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3.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4.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omments11.xml" ContentType="application/vnd.openxmlformats-officedocument.spreadsheetml.comments+xml"/>
  <Override PartName="/xl/threadedComments/threadedComment2.xml" ContentType="application/vnd.ms-excel.threaded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5"/>
  <workbookPr/>
  <mc:AlternateContent xmlns:mc="http://schemas.openxmlformats.org/markup-compatibility/2006">
    <mc:Choice Requires="x15">
      <x15ac:absPath xmlns:x15ac="http://schemas.microsoft.com/office/spreadsheetml/2010/11/ac" url="C:\Users\HP\Dropbox\PLANMICC2050_compartido con equipo\OSeMOSYS\2_Modelacion Energía y Transporte\Plantillas Energía Versión 6\"/>
    </mc:Choice>
  </mc:AlternateContent>
  <xr:revisionPtr revIDLastSave="49" documentId="13_ncr:1_{B9908F73-826C-4321-8C49-C8D51F219C98}" xr6:coauthVersionLast="47" xr6:coauthVersionMax="47" xr10:uidLastSave="{11B69FD8-6C8E-442B-AF0C-0A5D607C65DC}"/>
  <bookViews>
    <workbookView xWindow="11424" yWindow="0" windowWidth="11712" windowHeight="12336" firstSheet="20" activeTab="22" xr2:uid="{00000000-000D-0000-FFFF-FFFF00000000}"/>
  </bookViews>
  <sheets>
    <sheet name="Detalles" sheetId="1" r:id="rId1"/>
    <sheet name="Combustibles" sheetId="2" state="hidden" r:id="rId2"/>
    <sheet name="Electricidad" sheetId="3" state="hidden" r:id="rId3"/>
    <sheet name="Calculos electricidad" sheetId="4" state="hidden" r:id="rId4"/>
    <sheet name="Demanda_energia" sheetId="5" state="hidden" r:id="rId5"/>
    <sheet name="Costos Energía" sheetId="6" state="hidden" r:id="rId6"/>
    <sheet name="Costos Sector Eléctrico (v2)" sheetId="7" r:id="rId7"/>
    <sheet name="Costos Sector Eléctrico" sheetId="8" r:id="rId8"/>
    <sheet name="Costos Residencial" sheetId="9" state="hidden" r:id="rId9"/>
    <sheet name="Emisiones Energía" sheetId="10" state="hidden" r:id="rId10"/>
    <sheet name="Gráficos Combustibles" sheetId="11" state="hidden" r:id="rId11"/>
    <sheet name="Gráficos Electricidad" sheetId="12" state="hidden" r:id="rId12"/>
    <sheet name="Graficos Demanda Energia" sheetId="13" state="hidden" r:id="rId13"/>
    <sheet name="Gráfico Emisiones Energía" sheetId="14" state="hidden" r:id="rId14"/>
    <sheet name="Driver PIB" sheetId="15" state="hidden" r:id="rId15"/>
    <sheet name="Demandas Cálculos Driver PIB" sheetId="16" state="hidden" r:id="rId16"/>
    <sheet name="Copia de Combustibles" sheetId="17" state="hidden" r:id="rId17"/>
    <sheet name="Copia de Electricidad" sheetId="18" state="hidden" r:id="rId18"/>
    <sheet name="Copia de Demandas de energía " sheetId="19" state="hidden" r:id="rId19"/>
    <sheet name="Copia de Emisiones Energía" sheetId="20" state="hidden" r:id="rId20"/>
    <sheet name="Costos Sector Petrolero" sheetId="21" r:id="rId21"/>
    <sheet name="Costos Biomasa" sheetId="22" state="hidden" r:id="rId22"/>
    <sheet name="Transformación de Unidades" sheetId="26" r:id="rId23"/>
    <sheet name="Copia Costos Sector Petrolero" sheetId="25" r:id="rId24"/>
    <sheet name="Costos de transporte crudo" sheetId="24" r:id="rId25"/>
  </sheets>
  <externalReferences>
    <externalReference r:id="rId26"/>
  </externalReferences>
  <definedNames>
    <definedName name="_xlnm._FilterDatabase" localSheetId="15" hidden="1">'Demandas Cálculos Driver PIB'!$A$1:$AK$324</definedName>
    <definedName name="Google_Sheet_Link_1376587179" hidden="1">'Copia de Electricidad'!$C$379</definedName>
    <definedName name="Google_Sheet_Link_1571033540" hidden="1">'Copia de Electricidad'!$C$394:$H$422</definedName>
    <definedName name="Google_Sheet_Link_1724249844" hidden="1">Combustibles!$M$3</definedName>
    <definedName name="Google_Sheet_Link_633389037" hidden="1">Combustibles!$C$224</definedName>
    <definedName name="Google_Sheet_Link_784270939" hidden="1">Electricidad!$D$597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9" roundtripDataChecksum="E0zRy/kcT0EaZQHBHxv9m7eOUytZz+hd45UgsCspiYA="/>
    </ext>
  </extLst>
</workbook>
</file>

<file path=xl/calcChain.xml><?xml version="1.0" encoding="utf-8"?>
<calcChain xmlns="http://schemas.openxmlformats.org/spreadsheetml/2006/main">
  <c r="C74" i="26" l="1"/>
  <c r="D74" i="26"/>
  <c r="D75" i="26"/>
  <c r="D76" i="26"/>
  <c r="D77" i="26"/>
  <c r="D78" i="26"/>
  <c r="C75" i="26"/>
  <c r="C76" i="26"/>
  <c r="C77" i="26"/>
  <c r="C78" i="26"/>
  <c r="H126" i="21"/>
  <c r="F16" i="21"/>
  <c r="F56" i="21"/>
  <c r="G56" i="21"/>
  <c r="H56" i="21"/>
  <c r="I56" i="21"/>
  <c r="J56" i="21"/>
  <c r="K56" i="21"/>
  <c r="L56" i="21"/>
  <c r="M56" i="21"/>
  <c r="N56" i="21"/>
  <c r="O56" i="21"/>
  <c r="P56" i="21"/>
  <c r="Q56" i="21"/>
  <c r="R56" i="21"/>
  <c r="S56" i="21"/>
  <c r="T56" i="21"/>
  <c r="U56" i="21"/>
  <c r="V56" i="21"/>
  <c r="W56" i="21"/>
  <c r="X56" i="21"/>
  <c r="Y56" i="21"/>
  <c r="Z56" i="21"/>
  <c r="AA56" i="21"/>
  <c r="AB56" i="21"/>
  <c r="AC56" i="21"/>
  <c r="AD56" i="21"/>
  <c r="AE56" i="21"/>
  <c r="AF56" i="21"/>
  <c r="AG56" i="21"/>
  <c r="AH56" i="21"/>
  <c r="AI56" i="21"/>
  <c r="AJ56" i="21"/>
  <c r="AK56" i="21"/>
  <c r="AL56" i="21"/>
  <c r="G57" i="21"/>
  <c r="H57" i="21"/>
  <c r="I57" i="21"/>
  <c r="J57" i="21"/>
  <c r="K57" i="21"/>
  <c r="L57" i="21"/>
  <c r="M57" i="21"/>
  <c r="N57" i="21"/>
  <c r="O57" i="21"/>
  <c r="P57" i="21"/>
  <c r="Q57" i="21"/>
  <c r="R57" i="21"/>
  <c r="S57" i="21"/>
  <c r="T57" i="21"/>
  <c r="U57" i="21"/>
  <c r="V57" i="21"/>
  <c r="W57" i="21"/>
  <c r="X57" i="21"/>
  <c r="Y57" i="21"/>
  <c r="Z57" i="21"/>
  <c r="AA57" i="21"/>
  <c r="AB57" i="21"/>
  <c r="AC57" i="21"/>
  <c r="AD57" i="21"/>
  <c r="AE57" i="21"/>
  <c r="AF57" i="21"/>
  <c r="AG57" i="21"/>
  <c r="AH57" i="21"/>
  <c r="AI57" i="21"/>
  <c r="AJ57" i="21"/>
  <c r="AK57" i="21"/>
  <c r="AL57" i="21"/>
  <c r="G58" i="21"/>
  <c r="H58" i="21"/>
  <c r="I58" i="21"/>
  <c r="J58" i="21"/>
  <c r="K58" i="21"/>
  <c r="L58" i="21"/>
  <c r="M58" i="21"/>
  <c r="N58" i="21"/>
  <c r="O58" i="21"/>
  <c r="P58" i="21"/>
  <c r="Q58" i="21"/>
  <c r="R58" i="21"/>
  <c r="S58" i="21"/>
  <c r="T58" i="21"/>
  <c r="U58" i="21"/>
  <c r="V58" i="21"/>
  <c r="W58" i="21"/>
  <c r="X58" i="21"/>
  <c r="Y58" i="21"/>
  <c r="Z58" i="21"/>
  <c r="AA58" i="21"/>
  <c r="AB58" i="21"/>
  <c r="AC58" i="21"/>
  <c r="AD58" i="21"/>
  <c r="AE58" i="21"/>
  <c r="AF58" i="21"/>
  <c r="AG58" i="21"/>
  <c r="AH58" i="21"/>
  <c r="AI58" i="21"/>
  <c r="AJ58" i="21"/>
  <c r="AK58" i="21"/>
  <c r="AL58" i="21"/>
  <c r="F57" i="21"/>
  <c r="F58" i="21"/>
  <c r="F84" i="21"/>
  <c r="G84" i="21" s="1"/>
  <c r="D62" i="26"/>
  <c r="D59" i="26"/>
  <c r="D61" i="26"/>
  <c r="D58" i="26"/>
  <c r="C62" i="26"/>
  <c r="C61" i="26"/>
  <c r="C59" i="26"/>
  <c r="C58" i="26"/>
  <c r="A54" i="26"/>
  <c r="C39" i="26"/>
  <c r="D39" i="26"/>
  <c r="C40" i="26"/>
  <c r="D40" i="26"/>
  <c r="D38" i="26"/>
  <c r="C38" i="26"/>
  <c r="A34" i="26"/>
  <c r="D23" i="26"/>
  <c r="D42" i="26" s="1"/>
  <c r="D24" i="26"/>
  <c r="D43" i="26" s="1"/>
  <c r="D25" i="26"/>
  <c r="D44" i="26" s="1"/>
  <c r="D26" i="26"/>
  <c r="D45" i="26" s="1"/>
  <c r="D27" i="26"/>
  <c r="D46" i="26" s="1"/>
  <c r="D22" i="26"/>
  <c r="D41" i="26" s="1"/>
  <c r="C23" i="26"/>
  <c r="C42" i="26" s="1"/>
  <c r="C24" i="26"/>
  <c r="C43" i="26" s="1"/>
  <c r="C25" i="26"/>
  <c r="C44" i="26" s="1"/>
  <c r="C26" i="26"/>
  <c r="C45" i="26" s="1"/>
  <c r="C27" i="26"/>
  <c r="C46" i="26" s="1"/>
  <c r="C22" i="26"/>
  <c r="C41" i="26" s="1"/>
  <c r="A15" i="26"/>
  <c r="N116" i="21"/>
  <c r="F15" i="21"/>
  <c r="A8" i="26"/>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F17" i="21"/>
  <c r="D48" i="25"/>
  <c r="F114" i="25"/>
  <c r="F110" i="25"/>
  <c r="D10" i="25"/>
  <c r="D11" i="25"/>
  <c r="D12" i="25"/>
  <c r="D13" i="25"/>
  <c r="D14" i="25"/>
  <c r="D9" i="25"/>
  <c r="L88" i="25"/>
  <c r="N91" i="25"/>
  <c r="L94" i="25"/>
  <c r="F98" i="25"/>
  <c r="F99" i="25"/>
  <c r="F100" i="25"/>
  <c r="F101" i="25"/>
  <c r="F102" i="25"/>
  <c r="D103" i="25"/>
  <c r="D55" i="25"/>
  <c r="D49" i="25"/>
  <c r="A46" i="24"/>
  <c r="A38" i="24"/>
  <c r="A43" i="24" s="1"/>
  <c r="A37" i="24"/>
  <c r="A42" i="24" s="1"/>
  <c r="A44" i="24" s="1"/>
  <c r="A36" i="24"/>
  <c r="F14" i="24"/>
  <c r="A57" i="22"/>
  <c r="B47" i="22"/>
  <c r="L47" i="22" s="1"/>
  <c r="B35" i="22"/>
  <c r="B36" i="22" s="1"/>
  <c r="B28" i="22"/>
  <c r="B31" i="22" s="1"/>
  <c r="F131" i="21"/>
  <c r="N122" i="21"/>
  <c r="P119"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AK74" i="21"/>
  <c r="AJ74" i="21"/>
  <c r="AI74" i="21"/>
  <c r="AH74" i="21"/>
  <c r="AG74" i="21"/>
  <c r="AF74" i="21"/>
  <c r="AE74" i="21"/>
  <c r="AD74" i="21"/>
  <c r="AC74" i="21"/>
  <c r="AB74" i="21"/>
  <c r="AA74" i="21"/>
  <c r="Z74" i="21"/>
  <c r="Y74" i="21"/>
  <c r="X74" i="21"/>
  <c r="W74" i="21"/>
  <c r="V74" i="21"/>
  <c r="U74" i="21"/>
  <c r="T74" i="21"/>
  <c r="S74" i="21"/>
  <c r="Q74" i="21"/>
  <c r="P74" i="21"/>
  <c r="O74" i="21"/>
  <c r="N74" i="21"/>
  <c r="M74" i="21"/>
  <c r="L74" i="21"/>
  <c r="K74" i="21"/>
  <c r="J74" i="21"/>
  <c r="AL73" i="21"/>
  <c r="AL79" i="21" s="1"/>
  <c r="AK73" i="21"/>
  <c r="AJ73" i="21"/>
  <c r="AJ79" i="21" s="1"/>
  <c r="AI73" i="21"/>
  <c r="AH73" i="21"/>
  <c r="AG73" i="21"/>
  <c r="AG79" i="21" s="1"/>
  <c r="AF73" i="21"/>
  <c r="AE73" i="21"/>
  <c r="AE79" i="21" s="1"/>
  <c r="AD73" i="21"/>
  <c r="AD79" i="21" s="1"/>
  <c r="AC73" i="21"/>
  <c r="AC79" i="21" s="1"/>
  <c r="AB73" i="21"/>
  <c r="AA73" i="21"/>
  <c r="AA79" i="21" s="1"/>
  <c r="Z73" i="21"/>
  <c r="Z79" i="21" s="1"/>
  <c r="Y73" i="21"/>
  <c r="Y79" i="21" s="1"/>
  <c r="X73" i="21"/>
  <c r="X79" i="21" s="1"/>
  <c r="W73" i="21"/>
  <c r="W79" i="21" s="1"/>
  <c r="V73" i="21"/>
  <c r="V79" i="21" s="1"/>
  <c r="U73" i="21"/>
  <c r="U79" i="21" s="1"/>
  <c r="T73" i="21"/>
  <c r="S73" i="21"/>
  <c r="S79" i="21" s="1"/>
  <c r="R73" i="21"/>
  <c r="R79" i="21" s="1"/>
  <c r="Q73" i="21"/>
  <c r="Q79" i="21" s="1"/>
  <c r="P73" i="21"/>
  <c r="P79" i="21" s="1"/>
  <c r="O73" i="21"/>
  <c r="O79" i="21" s="1"/>
  <c r="N73" i="21"/>
  <c r="N79" i="21" s="1"/>
  <c r="M73" i="21"/>
  <c r="M79" i="21" s="1"/>
  <c r="L73" i="21"/>
  <c r="L79" i="21" s="1"/>
  <c r="K73" i="21"/>
  <c r="K79" i="21" s="1"/>
  <c r="J73" i="21"/>
  <c r="J79" i="21" s="1"/>
  <c r="I73" i="21"/>
  <c r="I79" i="21" s="1"/>
  <c r="H73" i="21"/>
  <c r="H79" i="21" s="1"/>
  <c r="G73" i="21"/>
  <c r="G79" i="21" s="1"/>
  <c r="F73" i="21"/>
  <c r="F79" i="21" s="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H28" i="21"/>
  <c r="G28" i="21"/>
  <c r="F28" i="21"/>
  <c r="I25" i="21"/>
  <c r="I24" i="21"/>
  <c r="I23" i="21"/>
  <c r="I22" i="21"/>
  <c r="I21" i="21"/>
  <c r="J21" i="21" s="1"/>
  <c r="G125" i="20"/>
  <c r="G127" i="20" s="1"/>
  <c r="G128" i="20" s="1"/>
  <c r="F125" i="20"/>
  <c r="F127" i="20" s="1"/>
  <c r="F128" i="20" s="1"/>
  <c r="E125" i="20"/>
  <c r="E127" i="20" s="1"/>
  <c r="E128" i="20" s="1"/>
  <c r="D125" i="20"/>
  <c r="D127" i="20" s="1"/>
  <c r="D128" i="20" s="1"/>
  <c r="G112" i="20"/>
  <c r="F112" i="20"/>
  <c r="E112" i="20"/>
  <c r="D112" i="20"/>
  <c r="G102" i="20"/>
  <c r="F102" i="20"/>
  <c r="E102" i="20"/>
  <c r="D102" i="20"/>
  <c r="G95" i="20"/>
  <c r="F95" i="20"/>
  <c r="E95" i="20"/>
  <c r="D95" i="20"/>
  <c r="G78" i="20"/>
  <c r="F78" i="20"/>
  <c r="E78" i="20"/>
  <c r="D78" i="20"/>
  <c r="G68" i="20"/>
  <c r="F68" i="20"/>
  <c r="E68" i="20"/>
  <c r="D68" i="20"/>
  <c r="G56" i="20"/>
  <c r="F56" i="20"/>
  <c r="E56" i="20"/>
  <c r="D56" i="20"/>
  <c r="D18" i="20"/>
  <c r="D17" i="20"/>
  <c r="D16" i="20"/>
  <c r="D15" i="20"/>
  <c r="D14" i="20"/>
  <c r="D13" i="20"/>
  <c r="D11" i="20"/>
  <c r="D10" i="20"/>
  <c r="D9" i="20"/>
  <c r="G78" i="19"/>
  <c r="F78" i="19"/>
  <c r="E78" i="19"/>
  <c r="D78" i="19"/>
  <c r="G73" i="19"/>
  <c r="F73" i="19"/>
  <c r="E73" i="19"/>
  <c r="D73" i="19"/>
  <c r="G68" i="19"/>
  <c r="F68" i="19"/>
  <c r="E68" i="19"/>
  <c r="D68" i="19"/>
  <c r="G55" i="19"/>
  <c r="F55" i="19"/>
  <c r="E55" i="19"/>
  <c r="D55" i="19"/>
  <c r="G42" i="19"/>
  <c r="F42" i="19"/>
  <c r="E42" i="19"/>
  <c r="D42" i="19"/>
  <c r="G29" i="19"/>
  <c r="F29" i="19"/>
  <c r="E29" i="19"/>
  <c r="D29" i="19"/>
  <c r="G16" i="19"/>
  <c r="F16" i="19"/>
  <c r="E16" i="19"/>
  <c r="D16" i="19"/>
  <c r="AJ367" i="18"/>
  <c r="AI367" i="18"/>
  <c r="AH367" i="18"/>
  <c r="AG367" i="18"/>
  <c r="AF367" i="18"/>
  <c r="AE367" i="18"/>
  <c r="AD367" i="18"/>
  <c r="AC367" i="18"/>
  <c r="AB367" i="18"/>
  <c r="AA367" i="18"/>
  <c r="Z367" i="18"/>
  <c r="Y367" i="18"/>
  <c r="X367" i="18"/>
  <c r="W367" i="18"/>
  <c r="V367" i="18"/>
  <c r="U367" i="18"/>
  <c r="T367" i="18"/>
  <c r="S367" i="18"/>
  <c r="R367" i="18"/>
  <c r="Q367" i="18"/>
  <c r="P367" i="18"/>
  <c r="O367" i="18"/>
  <c r="N367" i="18"/>
  <c r="M367" i="18"/>
  <c r="L367" i="18"/>
  <c r="K367" i="18"/>
  <c r="J367" i="18"/>
  <c r="I367" i="18"/>
  <c r="H367" i="18"/>
  <c r="G367" i="18"/>
  <c r="F367" i="18"/>
  <c r="E367" i="18"/>
  <c r="D367" i="18"/>
  <c r="G354" i="18"/>
  <c r="F354" i="18"/>
  <c r="E354" i="18"/>
  <c r="D354" i="18"/>
  <c r="H350" i="18"/>
  <c r="G348" i="18"/>
  <c r="F348" i="18"/>
  <c r="E348" i="18"/>
  <c r="D348" i="18"/>
  <c r="F347" i="18"/>
  <c r="AJ343" i="18"/>
  <c r="AJ350" i="18" s="1"/>
  <c r="AI343" i="18"/>
  <c r="AI350" i="18" s="1"/>
  <c r="AH343" i="18"/>
  <c r="AH350" i="18" s="1"/>
  <c r="AG343" i="18"/>
  <c r="AG350" i="18" s="1"/>
  <c r="AF343" i="18"/>
  <c r="AF350" i="18" s="1"/>
  <c r="AE343" i="18"/>
  <c r="AE350" i="18" s="1"/>
  <c r="AD343" i="18"/>
  <c r="AD350" i="18" s="1"/>
  <c r="AC343" i="18"/>
  <c r="AC350" i="18" s="1"/>
  <c r="AB343" i="18"/>
  <c r="AB350" i="18" s="1"/>
  <c r="AA343" i="18"/>
  <c r="AA350" i="18" s="1"/>
  <c r="Z343" i="18"/>
  <c r="Z350" i="18" s="1"/>
  <c r="Y343" i="18"/>
  <c r="Y350" i="18" s="1"/>
  <c r="X343" i="18"/>
  <c r="X350" i="18" s="1"/>
  <c r="W343" i="18"/>
  <c r="W350" i="18" s="1"/>
  <c r="V343" i="18"/>
  <c r="V350" i="18" s="1"/>
  <c r="U343" i="18"/>
  <c r="U350" i="18" s="1"/>
  <c r="T343" i="18"/>
  <c r="T350" i="18" s="1"/>
  <c r="S343" i="18"/>
  <c r="S350" i="18" s="1"/>
  <c r="R343" i="18"/>
  <c r="R350" i="18" s="1"/>
  <c r="Q343" i="18"/>
  <c r="Q350" i="18" s="1"/>
  <c r="P343" i="18"/>
  <c r="P350" i="18" s="1"/>
  <c r="O343" i="18"/>
  <c r="O350" i="18" s="1"/>
  <c r="N343" i="18"/>
  <c r="N350" i="18" s="1"/>
  <c r="M343" i="18"/>
  <c r="M350" i="18" s="1"/>
  <c r="L343" i="18"/>
  <c r="L350" i="18" s="1"/>
  <c r="K343" i="18"/>
  <c r="K350" i="18" s="1"/>
  <c r="J343" i="18"/>
  <c r="J350" i="18" s="1"/>
  <c r="I343" i="18"/>
  <c r="I350" i="18" s="1"/>
  <c r="H343" i="18"/>
  <c r="G343" i="18"/>
  <c r="G346" i="18" s="1"/>
  <c r="G350" i="18" s="1"/>
  <c r="F343" i="18"/>
  <c r="F346" i="18" s="1"/>
  <c r="F350" i="18" s="1"/>
  <c r="E343" i="18"/>
  <c r="E346" i="18" s="1"/>
  <c r="E350" i="18" s="1"/>
  <c r="D343" i="18"/>
  <c r="D346" i="18" s="1"/>
  <c r="D350" i="18" s="1"/>
  <c r="G283" i="18"/>
  <c r="F283" i="18"/>
  <c r="E283" i="18"/>
  <c r="D283" i="18"/>
  <c r="G278" i="18"/>
  <c r="F278" i="18"/>
  <c r="E278" i="18"/>
  <c r="D278" i="18"/>
  <c r="G268" i="18"/>
  <c r="F268" i="18"/>
  <c r="E268" i="18"/>
  <c r="D268" i="18"/>
  <c r="G267" i="18"/>
  <c r="F267" i="18"/>
  <c r="E267" i="18"/>
  <c r="D267" i="18"/>
  <c r="G264" i="18"/>
  <c r="G299" i="18" s="1"/>
  <c r="F264" i="18"/>
  <c r="F299" i="18" s="1"/>
  <c r="E264" i="18"/>
  <c r="E299" i="18" s="1"/>
  <c r="D264" i="18"/>
  <c r="D299" i="18" s="1"/>
  <c r="G257" i="18"/>
  <c r="F257" i="18"/>
  <c r="E257" i="18"/>
  <c r="D257" i="18"/>
  <c r="G256" i="18"/>
  <c r="F256" i="18"/>
  <c r="E256" i="18"/>
  <c r="D256" i="18"/>
  <c r="G254" i="18"/>
  <c r="F254" i="18"/>
  <c r="E254" i="18"/>
  <c r="D254" i="18"/>
  <c r="G233" i="18"/>
  <c r="G304" i="18" s="1"/>
  <c r="F233" i="18"/>
  <c r="F304" i="18" s="1"/>
  <c r="E233" i="18"/>
  <c r="E304" i="18" s="1"/>
  <c r="D233" i="18"/>
  <c r="D304" i="18" s="1"/>
  <c r="G231" i="18"/>
  <c r="G303" i="18" s="1"/>
  <c r="F231" i="18"/>
  <c r="F303" i="18" s="1"/>
  <c r="E231" i="18"/>
  <c r="E303" i="18" s="1"/>
  <c r="D231" i="18"/>
  <c r="D303" i="18" s="1"/>
  <c r="G228" i="18"/>
  <c r="G302" i="18" s="1"/>
  <c r="F228" i="18"/>
  <c r="F302" i="18" s="1"/>
  <c r="E228" i="18"/>
  <c r="E302" i="18" s="1"/>
  <c r="D228" i="18"/>
  <c r="D302" i="18" s="1"/>
  <c r="G223" i="18"/>
  <c r="G301" i="18" s="1"/>
  <c r="G300" i="18" s="1"/>
  <c r="F223" i="18"/>
  <c r="F301" i="18" s="1"/>
  <c r="F300" i="18" s="1"/>
  <c r="E223" i="18"/>
  <c r="E301" i="18" s="1"/>
  <c r="E300" i="18" s="1"/>
  <c r="D223" i="18"/>
  <c r="D301" i="18" s="1"/>
  <c r="D300" i="18" s="1"/>
  <c r="G222" i="18"/>
  <c r="F222" i="18"/>
  <c r="E222" i="18"/>
  <c r="D222" i="18"/>
  <c r="G218" i="18"/>
  <c r="G298" i="18" s="1"/>
  <c r="F218" i="18"/>
  <c r="F298" i="18" s="1"/>
  <c r="E218" i="18"/>
  <c r="E298" i="18" s="1"/>
  <c r="D218" i="18"/>
  <c r="D298" i="18" s="1"/>
  <c r="G215" i="18"/>
  <c r="G297" i="18" s="1"/>
  <c r="G296" i="18" s="1"/>
  <c r="F215" i="18"/>
  <c r="F297" i="18" s="1"/>
  <c r="F296" i="18" s="1"/>
  <c r="E215" i="18"/>
  <c r="E297" i="18" s="1"/>
  <c r="E296" i="18" s="1"/>
  <c r="D215" i="18"/>
  <c r="D297" i="18" s="1"/>
  <c r="D296" i="18" s="1"/>
  <c r="G214" i="18"/>
  <c r="F214" i="18"/>
  <c r="E214" i="18"/>
  <c r="D214" i="18"/>
  <c r="G210" i="18"/>
  <c r="F210" i="18"/>
  <c r="E210" i="18"/>
  <c r="D210" i="18"/>
  <c r="D196" i="18"/>
  <c r="D195" i="18"/>
  <c r="D194" i="18"/>
  <c r="Q135" i="18"/>
  <c r="P135" i="18"/>
  <c r="O135" i="18"/>
  <c r="N135" i="18"/>
  <c r="M135" i="18"/>
  <c r="L135" i="18"/>
  <c r="K135" i="18"/>
  <c r="I135" i="18"/>
  <c r="F135" i="18"/>
  <c r="E135" i="18"/>
  <c r="D135" i="18"/>
  <c r="J119" i="18"/>
  <c r="H119" i="18"/>
  <c r="H135" i="18" s="1"/>
  <c r="J116" i="18"/>
  <c r="G116" i="18"/>
  <c r="G135" i="18" s="1"/>
  <c r="J112" i="18"/>
  <c r="J135" i="18" s="1"/>
  <c r="G80" i="18"/>
  <c r="F80" i="18"/>
  <c r="E80" i="18"/>
  <c r="D80" i="18"/>
  <c r="G75" i="18"/>
  <c r="F75" i="18"/>
  <c r="E75" i="18"/>
  <c r="D75" i="18"/>
  <c r="G65" i="18"/>
  <c r="F65" i="18"/>
  <c r="E65" i="18"/>
  <c r="D65" i="18"/>
  <c r="G64" i="18"/>
  <c r="F64" i="18"/>
  <c r="E64" i="18"/>
  <c r="D64" i="18"/>
  <c r="G61" i="18"/>
  <c r="G96" i="18" s="1"/>
  <c r="F61" i="18"/>
  <c r="F96" i="18" s="1"/>
  <c r="E61" i="18"/>
  <c r="E96" i="18" s="1"/>
  <c r="D61" i="18"/>
  <c r="D96" i="18" s="1"/>
  <c r="G54" i="18"/>
  <c r="F54" i="18"/>
  <c r="E54" i="18"/>
  <c r="D54" i="18"/>
  <c r="G53" i="18"/>
  <c r="F53" i="18"/>
  <c r="E53" i="18"/>
  <c r="D53" i="18"/>
  <c r="G51" i="18"/>
  <c r="F51" i="18"/>
  <c r="E51" i="18"/>
  <c r="D51" i="18"/>
  <c r="G30" i="18"/>
  <c r="G101" i="18" s="1"/>
  <c r="F30" i="18"/>
  <c r="F101" i="18" s="1"/>
  <c r="E30" i="18"/>
  <c r="E101" i="18" s="1"/>
  <c r="D30" i="18"/>
  <c r="D101" i="18" s="1"/>
  <c r="G28" i="18"/>
  <c r="G100" i="18" s="1"/>
  <c r="F28" i="18"/>
  <c r="F100" i="18" s="1"/>
  <c r="E28" i="18"/>
  <c r="E100" i="18" s="1"/>
  <c r="D28" i="18"/>
  <c r="D100" i="18" s="1"/>
  <c r="G25" i="18"/>
  <c r="G99" i="18" s="1"/>
  <c r="F25" i="18"/>
  <c r="F99" i="18" s="1"/>
  <c r="E25" i="18"/>
  <c r="E99" i="18" s="1"/>
  <c r="D25" i="18"/>
  <c r="D99" i="18" s="1"/>
  <c r="G20" i="18"/>
  <c r="G98" i="18" s="1"/>
  <c r="G97" i="18" s="1"/>
  <c r="F20" i="18"/>
  <c r="F98" i="18" s="1"/>
  <c r="F97" i="18" s="1"/>
  <c r="E20" i="18"/>
  <c r="E98" i="18" s="1"/>
  <c r="E97" i="18" s="1"/>
  <c r="D20" i="18"/>
  <c r="D98" i="18" s="1"/>
  <c r="D97" i="18" s="1"/>
  <c r="G19" i="18"/>
  <c r="F19" i="18"/>
  <c r="E19" i="18"/>
  <c r="D19" i="18"/>
  <c r="G15" i="18"/>
  <c r="G95" i="18" s="1"/>
  <c r="F15" i="18"/>
  <c r="F95" i="18" s="1"/>
  <c r="E15" i="18"/>
  <c r="E95" i="18" s="1"/>
  <c r="D15" i="18"/>
  <c r="D95" i="18" s="1"/>
  <c r="G12" i="18"/>
  <c r="G94" i="18" s="1"/>
  <c r="G93" i="18" s="1"/>
  <c r="F12" i="18"/>
  <c r="F94" i="18" s="1"/>
  <c r="F93" i="18" s="1"/>
  <c r="E12" i="18"/>
  <c r="E94" i="18" s="1"/>
  <c r="E93" i="18" s="1"/>
  <c r="D12" i="18"/>
  <c r="D94" i="18" s="1"/>
  <c r="D93" i="18" s="1"/>
  <c r="G11" i="18"/>
  <c r="F11" i="18"/>
  <c r="E11" i="18"/>
  <c r="D11" i="18"/>
  <c r="G7" i="18"/>
  <c r="F7" i="18"/>
  <c r="E7" i="18"/>
  <c r="D7" i="18"/>
  <c r="G167" i="17"/>
  <c r="F167" i="17"/>
  <c r="E167" i="17"/>
  <c r="D167"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J162" i="17"/>
  <c r="I162" i="17"/>
  <c r="H16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J152" i="17"/>
  <c r="I152" i="17"/>
  <c r="H152" i="17"/>
  <c r="G152" i="17"/>
  <c r="F152" i="17"/>
  <c r="E152" i="17"/>
  <c r="D152"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J138" i="17"/>
  <c r="I138" i="17"/>
  <c r="H138" i="17"/>
  <c r="G138" i="17"/>
  <c r="F138" i="17"/>
  <c r="E138" i="17"/>
  <c r="D138"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J127" i="17"/>
  <c r="I127" i="17"/>
  <c r="H127" i="17"/>
  <c r="G127" i="17"/>
  <c r="F127" i="17"/>
  <c r="E127" i="17"/>
  <c r="D127"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J120" i="17"/>
  <c r="I120" i="17"/>
  <c r="H120" i="17"/>
  <c r="G120" i="17"/>
  <c r="F120" i="17"/>
  <c r="E120" i="17"/>
  <c r="D120"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J114" i="17"/>
  <c r="I114" i="17"/>
  <c r="H114" i="17"/>
  <c r="G114" i="17"/>
  <c r="F114" i="17"/>
  <c r="E114" i="17"/>
  <c r="D11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J104" i="17"/>
  <c r="I104" i="17"/>
  <c r="H104" i="17"/>
  <c r="G104" i="17"/>
  <c r="F104" i="17"/>
  <c r="E104" i="17"/>
  <c r="D104"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J50" i="17"/>
  <c r="I50" i="17"/>
  <c r="H50" i="17"/>
  <c r="G50" i="17"/>
  <c r="F50" i="17"/>
  <c r="E50" i="17"/>
  <c r="D50"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J36" i="17"/>
  <c r="I36" i="17"/>
  <c r="H36" i="17"/>
  <c r="G36" i="17"/>
  <c r="F36" i="17"/>
  <c r="E36" i="17"/>
  <c r="D36"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J28" i="17"/>
  <c r="I28" i="17"/>
  <c r="H28" i="17"/>
  <c r="G28" i="17"/>
  <c r="F28" i="17"/>
  <c r="E28" i="17"/>
  <c r="D28"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AJ124" i="16"/>
  <c r="AI124" i="16"/>
  <c r="AH124" i="16"/>
  <c r="AG124" i="16"/>
  <c r="AF124" i="16"/>
  <c r="AE124" i="16"/>
  <c r="AD124" i="16"/>
  <c r="AC124" i="16"/>
  <c r="AB124" i="16"/>
  <c r="AA124" i="16"/>
  <c r="Z124" i="16"/>
  <c r="Y124" i="16"/>
  <c r="X124" i="16"/>
  <c r="W124" i="16"/>
  <c r="V124" i="16"/>
  <c r="U124" i="16"/>
  <c r="T124" i="16"/>
  <c r="S124" i="16"/>
  <c r="R124" i="16"/>
  <c r="Q124" i="16"/>
  <c r="P124" i="16"/>
  <c r="O124" i="16"/>
  <c r="N124" i="16"/>
  <c r="M124" i="16"/>
  <c r="L124" i="16"/>
  <c r="K124" i="16"/>
  <c r="J124" i="16"/>
  <c r="I124" i="16"/>
  <c r="H124" i="16"/>
  <c r="G123" i="16"/>
  <c r="F123" i="16"/>
  <c r="E123" i="16"/>
  <c r="D123" i="16"/>
  <c r="G122" i="16"/>
  <c r="F122" i="16"/>
  <c r="E122" i="16"/>
  <c r="D122" i="16"/>
  <c r="G121" i="16"/>
  <c r="F121" i="16"/>
  <c r="E121" i="16"/>
  <c r="D121" i="16"/>
  <c r="G120" i="16"/>
  <c r="F120" i="16"/>
  <c r="E120" i="16"/>
  <c r="D120" i="16"/>
  <c r="G119" i="16"/>
  <c r="F119" i="16"/>
  <c r="E119" i="16"/>
  <c r="D119" i="16"/>
  <c r="G118" i="16"/>
  <c r="F118" i="16"/>
  <c r="E118" i="16"/>
  <c r="D118" i="16"/>
  <c r="G117" i="16"/>
  <c r="F117" i="16"/>
  <c r="E117" i="16"/>
  <c r="D117" i="16"/>
  <c r="G116" i="16"/>
  <c r="G124" i="16" s="1"/>
  <c r="F116" i="16"/>
  <c r="F124" i="16" s="1"/>
  <c r="E116" i="16"/>
  <c r="E124" i="16" s="1"/>
  <c r="D116" i="16"/>
  <c r="D124" i="16" s="1"/>
  <c r="G107" i="16"/>
  <c r="F107" i="16"/>
  <c r="E107" i="16"/>
  <c r="D107" i="16"/>
  <c r="G106" i="16"/>
  <c r="H106" i="16" s="1"/>
  <c r="I106" i="16" s="1"/>
  <c r="J106" i="16" s="1"/>
  <c r="K106" i="16" s="1"/>
  <c r="L106" i="16" s="1"/>
  <c r="M106" i="16" s="1"/>
  <c r="N106" i="16" s="1"/>
  <c r="O106" i="16" s="1"/>
  <c r="P106" i="16" s="1"/>
  <c r="Q106" i="16" s="1"/>
  <c r="R106" i="16" s="1"/>
  <c r="S106" i="16" s="1"/>
  <c r="T106" i="16" s="1"/>
  <c r="U106" i="16" s="1"/>
  <c r="V106" i="16" s="1"/>
  <c r="W106" i="16" s="1"/>
  <c r="X106" i="16" s="1"/>
  <c r="Y106" i="16" s="1"/>
  <c r="Z106" i="16" s="1"/>
  <c r="AA106" i="16" s="1"/>
  <c r="AB106" i="16" s="1"/>
  <c r="AC106" i="16" s="1"/>
  <c r="AD106" i="16" s="1"/>
  <c r="AE106" i="16" s="1"/>
  <c r="AF106" i="16" s="1"/>
  <c r="AG106" i="16" s="1"/>
  <c r="AH106" i="16" s="1"/>
  <c r="AI106" i="16" s="1"/>
  <c r="AJ106" i="16" s="1"/>
  <c r="F106" i="16"/>
  <c r="E106" i="16"/>
  <c r="D106" i="16"/>
  <c r="G105" i="16"/>
  <c r="H105" i="16" s="1"/>
  <c r="I105" i="16" s="1"/>
  <c r="J105" i="16" s="1"/>
  <c r="K105" i="16" s="1"/>
  <c r="L105" i="16" s="1"/>
  <c r="M105" i="16" s="1"/>
  <c r="N105" i="16" s="1"/>
  <c r="O105" i="16" s="1"/>
  <c r="P105" i="16" s="1"/>
  <c r="Q105" i="16" s="1"/>
  <c r="R105" i="16" s="1"/>
  <c r="S105" i="16" s="1"/>
  <c r="T105" i="16" s="1"/>
  <c r="U105" i="16" s="1"/>
  <c r="V105" i="16" s="1"/>
  <c r="W105" i="16" s="1"/>
  <c r="X105" i="16" s="1"/>
  <c r="Y105" i="16" s="1"/>
  <c r="Z105" i="16" s="1"/>
  <c r="AA105" i="16" s="1"/>
  <c r="AB105" i="16" s="1"/>
  <c r="AC105" i="16" s="1"/>
  <c r="AD105" i="16" s="1"/>
  <c r="AE105" i="16" s="1"/>
  <c r="AF105" i="16" s="1"/>
  <c r="AG105" i="16" s="1"/>
  <c r="AH105" i="16" s="1"/>
  <c r="AI105" i="16" s="1"/>
  <c r="AJ105" i="16" s="1"/>
  <c r="F105" i="16"/>
  <c r="E105" i="16"/>
  <c r="D105" i="16"/>
  <c r="G104" i="16"/>
  <c r="H104" i="16" s="1"/>
  <c r="I104" i="16" s="1"/>
  <c r="J104" i="16" s="1"/>
  <c r="K104" i="16" s="1"/>
  <c r="L104" i="16" s="1"/>
  <c r="M104" i="16" s="1"/>
  <c r="N104" i="16" s="1"/>
  <c r="O104" i="16" s="1"/>
  <c r="P104" i="16" s="1"/>
  <c r="Q104" i="16" s="1"/>
  <c r="R104" i="16" s="1"/>
  <c r="S104" i="16" s="1"/>
  <c r="T104" i="16" s="1"/>
  <c r="U104" i="16" s="1"/>
  <c r="V104" i="16" s="1"/>
  <c r="W104" i="16" s="1"/>
  <c r="X104" i="16" s="1"/>
  <c r="Y104" i="16" s="1"/>
  <c r="Z104" i="16" s="1"/>
  <c r="AA104" i="16" s="1"/>
  <c r="AB104" i="16" s="1"/>
  <c r="AC104" i="16" s="1"/>
  <c r="AD104" i="16" s="1"/>
  <c r="AE104" i="16" s="1"/>
  <c r="AF104" i="16" s="1"/>
  <c r="AG104" i="16" s="1"/>
  <c r="AH104" i="16" s="1"/>
  <c r="AI104" i="16" s="1"/>
  <c r="AJ104" i="16" s="1"/>
  <c r="F104" i="16"/>
  <c r="E104" i="16"/>
  <c r="D104" i="16"/>
  <c r="G103" i="16"/>
  <c r="H103" i="16" s="1"/>
  <c r="I103" i="16" s="1"/>
  <c r="J103" i="16" s="1"/>
  <c r="K103" i="16" s="1"/>
  <c r="L103" i="16" s="1"/>
  <c r="M103" i="16" s="1"/>
  <c r="N103" i="16" s="1"/>
  <c r="O103" i="16" s="1"/>
  <c r="P103" i="16" s="1"/>
  <c r="Q103" i="16" s="1"/>
  <c r="R103" i="16" s="1"/>
  <c r="S103" i="16" s="1"/>
  <c r="T103" i="16" s="1"/>
  <c r="U103" i="16" s="1"/>
  <c r="V103" i="16" s="1"/>
  <c r="W103" i="16" s="1"/>
  <c r="X103" i="16" s="1"/>
  <c r="Y103" i="16" s="1"/>
  <c r="Z103" i="16" s="1"/>
  <c r="AA103" i="16" s="1"/>
  <c r="AB103" i="16" s="1"/>
  <c r="AC103" i="16" s="1"/>
  <c r="AD103" i="16" s="1"/>
  <c r="AE103" i="16" s="1"/>
  <c r="AF103" i="16" s="1"/>
  <c r="AG103" i="16" s="1"/>
  <c r="AH103" i="16" s="1"/>
  <c r="AI103" i="16" s="1"/>
  <c r="AJ103" i="16" s="1"/>
  <c r="F103" i="16"/>
  <c r="E103" i="16"/>
  <c r="D103" i="16"/>
  <c r="G102" i="16"/>
  <c r="H102" i="16" s="1"/>
  <c r="I102" i="16" s="1"/>
  <c r="J102" i="16" s="1"/>
  <c r="K102" i="16" s="1"/>
  <c r="L102" i="16" s="1"/>
  <c r="M102" i="16" s="1"/>
  <c r="N102" i="16" s="1"/>
  <c r="O102" i="16" s="1"/>
  <c r="P102" i="16" s="1"/>
  <c r="Q102" i="16" s="1"/>
  <c r="R102" i="16" s="1"/>
  <c r="S102" i="16" s="1"/>
  <c r="T102" i="16" s="1"/>
  <c r="U102" i="16" s="1"/>
  <c r="V102" i="16" s="1"/>
  <c r="W102" i="16" s="1"/>
  <c r="X102" i="16" s="1"/>
  <c r="Y102" i="16" s="1"/>
  <c r="Z102" i="16" s="1"/>
  <c r="AA102" i="16" s="1"/>
  <c r="AB102" i="16" s="1"/>
  <c r="AC102" i="16" s="1"/>
  <c r="AD102" i="16" s="1"/>
  <c r="AE102" i="16" s="1"/>
  <c r="AF102" i="16" s="1"/>
  <c r="AG102" i="16" s="1"/>
  <c r="AH102" i="16" s="1"/>
  <c r="AI102" i="16" s="1"/>
  <c r="AJ102" i="16" s="1"/>
  <c r="F102" i="16"/>
  <c r="E102" i="16"/>
  <c r="D102" i="16"/>
  <c r="G101" i="16"/>
  <c r="H101" i="16" s="1"/>
  <c r="I101" i="16" s="1"/>
  <c r="J101" i="16" s="1"/>
  <c r="K101" i="16" s="1"/>
  <c r="L101" i="16" s="1"/>
  <c r="M101" i="16" s="1"/>
  <c r="N101" i="16" s="1"/>
  <c r="O101" i="16" s="1"/>
  <c r="P101" i="16" s="1"/>
  <c r="Q101" i="16" s="1"/>
  <c r="R101" i="16" s="1"/>
  <c r="S101" i="16" s="1"/>
  <c r="T101" i="16" s="1"/>
  <c r="U101" i="16" s="1"/>
  <c r="V101" i="16" s="1"/>
  <c r="W101" i="16" s="1"/>
  <c r="X101" i="16" s="1"/>
  <c r="Y101" i="16" s="1"/>
  <c r="Z101" i="16" s="1"/>
  <c r="AA101" i="16" s="1"/>
  <c r="AB101" i="16" s="1"/>
  <c r="AC101" i="16" s="1"/>
  <c r="AD101" i="16" s="1"/>
  <c r="AE101" i="16" s="1"/>
  <c r="AF101" i="16" s="1"/>
  <c r="AG101" i="16" s="1"/>
  <c r="AH101" i="16" s="1"/>
  <c r="AI101" i="16" s="1"/>
  <c r="AJ101" i="16" s="1"/>
  <c r="F101" i="16"/>
  <c r="E101" i="16"/>
  <c r="D101" i="16"/>
  <c r="G100" i="16"/>
  <c r="H100" i="16" s="1"/>
  <c r="I100" i="16" s="1"/>
  <c r="J100" i="16" s="1"/>
  <c r="K100" i="16" s="1"/>
  <c r="L100" i="16" s="1"/>
  <c r="M100" i="16" s="1"/>
  <c r="N100" i="16" s="1"/>
  <c r="O100" i="16" s="1"/>
  <c r="P100" i="16" s="1"/>
  <c r="Q100" i="16" s="1"/>
  <c r="R100" i="16" s="1"/>
  <c r="S100" i="16" s="1"/>
  <c r="T100" i="16" s="1"/>
  <c r="U100" i="16" s="1"/>
  <c r="V100" i="16" s="1"/>
  <c r="W100" i="16" s="1"/>
  <c r="X100" i="16" s="1"/>
  <c r="Y100" i="16" s="1"/>
  <c r="Z100" i="16" s="1"/>
  <c r="AA100" i="16" s="1"/>
  <c r="AB100" i="16" s="1"/>
  <c r="AC100" i="16" s="1"/>
  <c r="AD100" i="16" s="1"/>
  <c r="AE100" i="16" s="1"/>
  <c r="AF100" i="16" s="1"/>
  <c r="AG100" i="16" s="1"/>
  <c r="AH100" i="16" s="1"/>
  <c r="AI100" i="16" s="1"/>
  <c r="AJ100" i="16" s="1"/>
  <c r="F100" i="16"/>
  <c r="E100" i="16"/>
  <c r="D100" i="16"/>
  <c r="G99" i="16"/>
  <c r="H99" i="16" s="1"/>
  <c r="I99" i="16" s="1"/>
  <c r="J99" i="16" s="1"/>
  <c r="K99" i="16" s="1"/>
  <c r="L99" i="16" s="1"/>
  <c r="M99" i="16" s="1"/>
  <c r="N99" i="16" s="1"/>
  <c r="O99" i="16" s="1"/>
  <c r="P99" i="16" s="1"/>
  <c r="Q99" i="16" s="1"/>
  <c r="R99" i="16" s="1"/>
  <c r="S99" i="16" s="1"/>
  <c r="T99" i="16" s="1"/>
  <c r="U99" i="16" s="1"/>
  <c r="V99" i="16" s="1"/>
  <c r="W99" i="16" s="1"/>
  <c r="X99" i="16" s="1"/>
  <c r="Y99" i="16" s="1"/>
  <c r="Z99" i="16" s="1"/>
  <c r="AA99" i="16" s="1"/>
  <c r="AB99" i="16" s="1"/>
  <c r="AC99" i="16" s="1"/>
  <c r="AD99" i="16" s="1"/>
  <c r="AE99" i="16" s="1"/>
  <c r="AF99" i="16" s="1"/>
  <c r="AG99" i="16" s="1"/>
  <c r="AH99" i="16" s="1"/>
  <c r="AI99" i="16" s="1"/>
  <c r="AJ99" i="16" s="1"/>
  <c r="F99" i="16"/>
  <c r="E99" i="16"/>
  <c r="D99" i="16"/>
  <c r="G98" i="16"/>
  <c r="H98" i="16" s="1"/>
  <c r="I98" i="16" s="1"/>
  <c r="J98" i="16" s="1"/>
  <c r="K98" i="16" s="1"/>
  <c r="L98" i="16" s="1"/>
  <c r="M98" i="16" s="1"/>
  <c r="N98" i="16" s="1"/>
  <c r="O98" i="16" s="1"/>
  <c r="P98" i="16" s="1"/>
  <c r="Q98" i="16" s="1"/>
  <c r="R98" i="16" s="1"/>
  <c r="S98" i="16" s="1"/>
  <c r="T98" i="16" s="1"/>
  <c r="U98" i="16" s="1"/>
  <c r="V98" i="16" s="1"/>
  <c r="W98" i="16" s="1"/>
  <c r="X98" i="16" s="1"/>
  <c r="Y98" i="16" s="1"/>
  <c r="Z98" i="16" s="1"/>
  <c r="AA98" i="16" s="1"/>
  <c r="AB98" i="16" s="1"/>
  <c r="AC98" i="16" s="1"/>
  <c r="AD98" i="16" s="1"/>
  <c r="AE98" i="16" s="1"/>
  <c r="AF98" i="16" s="1"/>
  <c r="AG98" i="16" s="1"/>
  <c r="AH98" i="16" s="1"/>
  <c r="AI98" i="16" s="1"/>
  <c r="AJ98" i="16" s="1"/>
  <c r="F98" i="16"/>
  <c r="E98" i="16"/>
  <c r="D98" i="16"/>
  <c r="G97" i="16"/>
  <c r="H97" i="16" s="1"/>
  <c r="F97" i="16"/>
  <c r="E97" i="16"/>
  <c r="D97" i="16"/>
  <c r="AI84" i="16"/>
  <c r="AH84" i="16"/>
  <c r="AG84" i="16"/>
  <c r="AF84" i="16"/>
  <c r="AD84" i="16"/>
  <c r="AC84" i="16"/>
  <c r="AB84" i="16"/>
  <c r="AA84" i="16"/>
  <c r="Y84" i="16"/>
  <c r="X84" i="16"/>
  <c r="W84" i="16"/>
  <c r="V84" i="16"/>
  <c r="T84" i="16"/>
  <c r="S84" i="16"/>
  <c r="R84" i="16"/>
  <c r="Q84" i="16"/>
  <c r="O84" i="16"/>
  <c r="N84" i="16"/>
  <c r="M84" i="16"/>
  <c r="L84" i="16"/>
  <c r="T83" i="16"/>
  <c r="S83" i="16"/>
  <c r="R83" i="16"/>
  <c r="Q83" i="16"/>
  <c r="G81" i="16"/>
  <c r="H81" i="16" s="1"/>
  <c r="I81" i="16" s="1"/>
  <c r="J81" i="16" s="1"/>
  <c r="K81" i="16" s="1"/>
  <c r="L81" i="16" s="1"/>
  <c r="M81" i="16" s="1"/>
  <c r="N81" i="16" s="1"/>
  <c r="O81" i="16" s="1"/>
  <c r="P81" i="16" s="1"/>
  <c r="Q81" i="16" s="1"/>
  <c r="R81" i="16" s="1"/>
  <c r="S81" i="16" s="1"/>
  <c r="T81" i="16" s="1"/>
  <c r="U81" i="16" s="1"/>
  <c r="V81" i="16" s="1"/>
  <c r="W81" i="16" s="1"/>
  <c r="X81" i="16" s="1"/>
  <c r="Y81" i="16" s="1"/>
  <c r="Z81" i="16" s="1"/>
  <c r="AA81" i="16" s="1"/>
  <c r="AB81" i="16" s="1"/>
  <c r="AC81" i="16" s="1"/>
  <c r="AD81" i="16" s="1"/>
  <c r="AE81" i="16" s="1"/>
  <c r="AF81" i="16" s="1"/>
  <c r="AG81" i="16" s="1"/>
  <c r="AH81" i="16" s="1"/>
  <c r="AI81" i="16" s="1"/>
  <c r="AJ81" i="16" s="1"/>
  <c r="F81" i="16"/>
  <c r="E81" i="16"/>
  <c r="D81" i="16"/>
  <c r="G77" i="16"/>
  <c r="H77" i="16" s="1"/>
  <c r="I77" i="16" s="1"/>
  <c r="J77" i="16" s="1"/>
  <c r="K77" i="16" s="1"/>
  <c r="L77" i="16" s="1"/>
  <c r="M77" i="16" s="1"/>
  <c r="N77" i="16" s="1"/>
  <c r="O77" i="16" s="1"/>
  <c r="P77" i="16" s="1"/>
  <c r="Q77" i="16" s="1"/>
  <c r="R77" i="16" s="1"/>
  <c r="S77" i="16" s="1"/>
  <c r="T77" i="16" s="1"/>
  <c r="U77" i="16" s="1"/>
  <c r="V77" i="16" s="1"/>
  <c r="W77" i="16" s="1"/>
  <c r="X77" i="16" s="1"/>
  <c r="Y77" i="16" s="1"/>
  <c r="Z77" i="16" s="1"/>
  <c r="AA77" i="16" s="1"/>
  <c r="AB77" i="16" s="1"/>
  <c r="AC77" i="16" s="1"/>
  <c r="AD77" i="16" s="1"/>
  <c r="AE77" i="16" s="1"/>
  <c r="AF77" i="16" s="1"/>
  <c r="AG77" i="16" s="1"/>
  <c r="AH77" i="16" s="1"/>
  <c r="AI77" i="16" s="1"/>
  <c r="AJ77" i="16" s="1"/>
  <c r="F77" i="16"/>
  <c r="E77" i="16"/>
  <c r="D77" i="16"/>
  <c r="G76" i="16"/>
  <c r="F76" i="16"/>
  <c r="F78" i="16" s="1"/>
  <c r="E76" i="16"/>
  <c r="E78" i="16" s="1"/>
  <c r="D76" i="16"/>
  <c r="D78" i="16" s="1"/>
  <c r="G72" i="16"/>
  <c r="H72" i="16" s="1"/>
  <c r="I72" i="16" s="1"/>
  <c r="J72" i="16" s="1"/>
  <c r="K72" i="16" s="1"/>
  <c r="L72" i="16" s="1"/>
  <c r="M72" i="16" s="1"/>
  <c r="N72" i="16" s="1"/>
  <c r="O72" i="16" s="1"/>
  <c r="P72" i="16" s="1"/>
  <c r="Q72" i="16" s="1"/>
  <c r="R72" i="16" s="1"/>
  <c r="S72" i="16" s="1"/>
  <c r="T72" i="16" s="1"/>
  <c r="U72" i="16" s="1"/>
  <c r="V72" i="16" s="1"/>
  <c r="W72" i="16" s="1"/>
  <c r="X72" i="16" s="1"/>
  <c r="Y72" i="16" s="1"/>
  <c r="Z72" i="16" s="1"/>
  <c r="AA72" i="16" s="1"/>
  <c r="AB72" i="16" s="1"/>
  <c r="AC72" i="16" s="1"/>
  <c r="AD72" i="16" s="1"/>
  <c r="AE72" i="16" s="1"/>
  <c r="AF72" i="16" s="1"/>
  <c r="AG72" i="16" s="1"/>
  <c r="AH72" i="16" s="1"/>
  <c r="AI72" i="16" s="1"/>
  <c r="AJ72" i="16" s="1"/>
  <c r="F72" i="16"/>
  <c r="E72" i="16"/>
  <c r="D72" i="16"/>
  <c r="G71" i="16"/>
  <c r="F71" i="16"/>
  <c r="F73" i="16" s="1"/>
  <c r="E71" i="16"/>
  <c r="E73" i="16" s="1"/>
  <c r="D71" i="16"/>
  <c r="D73" i="16" s="1"/>
  <c r="H67" i="16"/>
  <c r="I67" i="16" s="1"/>
  <c r="J67" i="16" s="1"/>
  <c r="K67" i="16" s="1"/>
  <c r="L67" i="16" s="1"/>
  <c r="M67" i="16" s="1"/>
  <c r="N67" i="16" s="1"/>
  <c r="O67" i="16" s="1"/>
  <c r="P67" i="16" s="1"/>
  <c r="Q67" i="16" s="1"/>
  <c r="R67" i="16" s="1"/>
  <c r="S67" i="16" s="1"/>
  <c r="T67" i="16" s="1"/>
  <c r="U67" i="16" s="1"/>
  <c r="V67" i="16" s="1"/>
  <c r="W67" i="16" s="1"/>
  <c r="X67" i="16" s="1"/>
  <c r="Y67" i="16" s="1"/>
  <c r="Z67" i="16" s="1"/>
  <c r="AA67" i="16" s="1"/>
  <c r="AB67" i="16" s="1"/>
  <c r="AC67" i="16" s="1"/>
  <c r="AD67" i="16" s="1"/>
  <c r="AE67" i="16" s="1"/>
  <c r="AF67" i="16" s="1"/>
  <c r="AG67" i="16" s="1"/>
  <c r="AH67" i="16" s="1"/>
  <c r="AI67" i="16" s="1"/>
  <c r="AJ67" i="16" s="1"/>
  <c r="F66" i="16"/>
  <c r="G66" i="16" s="1"/>
  <c r="H66" i="16" s="1"/>
  <c r="I66" i="16" s="1"/>
  <c r="J66" i="16" s="1"/>
  <c r="K66" i="16" s="1"/>
  <c r="L66" i="16" s="1"/>
  <c r="M66" i="16" s="1"/>
  <c r="N66" i="16" s="1"/>
  <c r="O66" i="16" s="1"/>
  <c r="P66" i="16" s="1"/>
  <c r="Q66" i="16" s="1"/>
  <c r="R66" i="16" s="1"/>
  <c r="S66" i="16" s="1"/>
  <c r="T66" i="16" s="1"/>
  <c r="U66" i="16" s="1"/>
  <c r="V66" i="16" s="1"/>
  <c r="W66" i="16" s="1"/>
  <c r="X66" i="16" s="1"/>
  <c r="Y66" i="16" s="1"/>
  <c r="Z66" i="16" s="1"/>
  <c r="AA66" i="16" s="1"/>
  <c r="AB66" i="16" s="1"/>
  <c r="AC66" i="16" s="1"/>
  <c r="AD66" i="16" s="1"/>
  <c r="AE66" i="16" s="1"/>
  <c r="AF66" i="16" s="1"/>
  <c r="AG66" i="16" s="1"/>
  <c r="AH66" i="16" s="1"/>
  <c r="AI66" i="16" s="1"/>
  <c r="AJ66" i="16" s="1"/>
  <c r="E66" i="16"/>
  <c r="D66" i="16"/>
  <c r="H65" i="16"/>
  <c r="I65" i="16" s="1"/>
  <c r="J65" i="16" s="1"/>
  <c r="K65" i="16" s="1"/>
  <c r="L65" i="16" s="1"/>
  <c r="M65" i="16" s="1"/>
  <c r="N65" i="16" s="1"/>
  <c r="O65" i="16" s="1"/>
  <c r="P65" i="16" s="1"/>
  <c r="Q65" i="16" s="1"/>
  <c r="R65" i="16" s="1"/>
  <c r="S65" i="16" s="1"/>
  <c r="T65" i="16" s="1"/>
  <c r="U65" i="16" s="1"/>
  <c r="V65" i="16" s="1"/>
  <c r="W65" i="16" s="1"/>
  <c r="X65" i="16" s="1"/>
  <c r="Y65" i="16" s="1"/>
  <c r="Z65" i="16" s="1"/>
  <c r="AA65" i="16" s="1"/>
  <c r="AB65" i="16" s="1"/>
  <c r="AC65" i="16" s="1"/>
  <c r="AD65" i="16" s="1"/>
  <c r="AE65" i="16" s="1"/>
  <c r="AF65" i="16" s="1"/>
  <c r="AG65" i="16" s="1"/>
  <c r="AH65" i="16" s="1"/>
  <c r="AI65" i="16" s="1"/>
  <c r="AJ65" i="16" s="1"/>
  <c r="H64" i="16"/>
  <c r="I64" i="16" s="1"/>
  <c r="J64" i="16" s="1"/>
  <c r="K64" i="16" s="1"/>
  <c r="L64" i="16" s="1"/>
  <c r="M64" i="16" s="1"/>
  <c r="N64" i="16" s="1"/>
  <c r="O64" i="16" s="1"/>
  <c r="P64" i="16" s="1"/>
  <c r="Q64" i="16" s="1"/>
  <c r="R64" i="16" s="1"/>
  <c r="S64" i="16" s="1"/>
  <c r="T64" i="16" s="1"/>
  <c r="U64" i="16" s="1"/>
  <c r="V64" i="16" s="1"/>
  <c r="W64" i="16" s="1"/>
  <c r="X64" i="16" s="1"/>
  <c r="Y64" i="16" s="1"/>
  <c r="Z64" i="16" s="1"/>
  <c r="AA64" i="16" s="1"/>
  <c r="AB64" i="16" s="1"/>
  <c r="AC64" i="16" s="1"/>
  <c r="AD64" i="16" s="1"/>
  <c r="AE64" i="16" s="1"/>
  <c r="AF64" i="16" s="1"/>
  <c r="AG64" i="16" s="1"/>
  <c r="AH64" i="16" s="1"/>
  <c r="AI64" i="16" s="1"/>
  <c r="AJ64" i="16" s="1"/>
  <c r="H63" i="16"/>
  <c r="I63" i="16" s="1"/>
  <c r="J63" i="16" s="1"/>
  <c r="K63" i="16" s="1"/>
  <c r="L63" i="16" s="1"/>
  <c r="M63" i="16" s="1"/>
  <c r="N63" i="16" s="1"/>
  <c r="O63" i="16" s="1"/>
  <c r="P63" i="16" s="1"/>
  <c r="Q63" i="16" s="1"/>
  <c r="R63" i="16" s="1"/>
  <c r="S63" i="16" s="1"/>
  <c r="T63" i="16" s="1"/>
  <c r="U63" i="16" s="1"/>
  <c r="V63" i="16" s="1"/>
  <c r="W63" i="16" s="1"/>
  <c r="X63" i="16" s="1"/>
  <c r="Y63" i="16" s="1"/>
  <c r="Z63" i="16" s="1"/>
  <c r="AA63" i="16" s="1"/>
  <c r="AB63" i="16" s="1"/>
  <c r="AC63" i="16" s="1"/>
  <c r="AD63" i="16" s="1"/>
  <c r="AE63" i="16" s="1"/>
  <c r="AF63" i="16" s="1"/>
  <c r="AG63" i="16" s="1"/>
  <c r="AH63" i="16" s="1"/>
  <c r="AI63" i="16" s="1"/>
  <c r="AJ63" i="16" s="1"/>
  <c r="H62" i="16"/>
  <c r="I62" i="16" s="1"/>
  <c r="J62" i="16" s="1"/>
  <c r="K62" i="16" s="1"/>
  <c r="L62" i="16" s="1"/>
  <c r="M62" i="16" s="1"/>
  <c r="N62" i="16" s="1"/>
  <c r="O62" i="16" s="1"/>
  <c r="P62" i="16" s="1"/>
  <c r="Q62" i="16" s="1"/>
  <c r="R62" i="16" s="1"/>
  <c r="S62" i="16" s="1"/>
  <c r="T62" i="16" s="1"/>
  <c r="U62" i="16" s="1"/>
  <c r="V62" i="16" s="1"/>
  <c r="W62" i="16" s="1"/>
  <c r="X62" i="16" s="1"/>
  <c r="Y62" i="16" s="1"/>
  <c r="Z62" i="16" s="1"/>
  <c r="AA62" i="16" s="1"/>
  <c r="AB62" i="16" s="1"/>
  <c r="AC62" i="16" s="1"/>
  <c r="AD62" i="16" s="1"/>
  <c r="AE62" i="16" s="1"/>
  <c r="AF62" i="16" s="1"/>
  <c r="AG62" i="16" s="1"/>
  <c r="AH62" i="16" s="1"/>
  <c r="AI62" i="16" s="1"/>
  <c r="AJ62" i="16" s="1"/>
  <c r="H61" i="16"/>
  <c r="I61" i="16" s="1"/>
  <c r="J61" i="16" s="1"/>
  <c r="K61" i="16" s="1"/>
  <c r="L61" i="16" s="1"/>
  <c r="M61" i="16" s="1"/>
  <c r="N61" i="16" s="1"/>
  <c r="O61" i="16" s="1"/>
  <c r="P61" i="16" s="1"/>
  <c r="Q61" i="16" s="1"/>
  <c r="R61" i="16" s="1"/>
  <c r="S61" i="16" s="1"/>
  <c r="T61" i="16" s="1"/>
  <c r="U61" i="16" s="1"/>
  <c r="V61" i="16" s="1"/>
  <c r="W61" i="16" s="1"/>
  <c r="X61" i="16" s="1"/>
  <c r="Y61" i="16" s="1"/>
  <c r="Z61" i="16" s="1"/>
  <c r="AA61" i="16" s="1"/>
  <c r="AB61" i="16" s="1"/>
  <c r="AC61" i="16" s="1"/>
  <c r="AD61" i="16" s="1"/>
  <c r="AE61" i="16" s="1"/>
  <c r="AF61" i="16" s="1"/>
  <c r="AG61" i="16" s="1"/>
  <c r="AH61" i="16" s="1"/>
  <c r="AI61" i="16" s="1"/>
  <c r="AJ61" i="16" s="1"/>
  <c r="G60" i="16"/>
  <c r="H60" i="16" s="1"/>
  <c r="I60" i="16" s="1"/>
  <c r="J60" i="16" s="1"/>
  <c r="K60" i="16" s="1"/>
  <c r="L60" i="16" s="1"/>
  <c r="M60" i="16" s="1"/>
  <c r="N60" i="16" s="1"/>
  <c r="O60" i="16" s="1"/>
  <c r="P60" i="16" s="1"/>
  <c r="Q60" i="16" s="1"/>
  <c r="R60" i="16" s="1"/>
  <c r="S60" i="16" s="1"/>
  <c r="T60" i="16" s="1"/>
  <c r="U60" i="16" s="1"/>
  <c r="V60" i="16" s="1"/>
  <c r="W60" i="16" s="1"/>
  <c r="X60" i="16" s="1"/>
  <c r="Y60" i="16" s="1"/>
  <c r="Z60" i="16" s="1"/>
  <c r="AA60" i="16" s="1"/>
  <c r="AB60" i="16" s="1"/>
  <c r="AC60" i="16" s="1"/>
  <c r="AD60" i="16" s="1"/>
  <c r="AE60" i="16" s="1"/>
  <c r="AF60" i="16" s="1"/>
  <c r="AG60" i="16" s="1"/>
  <c r="AH60" i="16" s="1"/>
  <c r="AI60" i="16" s="1"/>
  <c r="AJ60" i="16" s="1"/>
  <c r="F60" i="16"/>
  <c r="E60" i="16"/>
  <c r="D60" i="16"/>
  <c r="G59" i="16"/>
  <c r="F59" i="16"/>
  <c r="F68" i="16" s="1"/>
  <c r="E59" i="16"/>
  <c r="E68" i="16" s="1"/>
  <c r="D59" i="16"/>
  <c r="D68" i="16" s="1"/>
  <c r="H58" i="16"/>
  <c r="G54" i="16"/>
  <c r="H54" i="16" s="1"/>
  <c r="I54" i="16" s="1"/>
  <c r="J54" i="16" s="1"/>
  <c r="K54" i="16" s="1"/>
  <c r="L54" i="16" s="1"/>
  <c r="M54" i="16" s="1"/>
  <c r="N54" i="16" s="1"/>
  <c r="O54" i="16" s="1"/>
  <c r="P54" i="16" s="1"/>
  <c r="Q54" i="16" s="1"/>
  <c r="R54" i="16" s="1"/>
  <c r="S54" i="16" s="1"/>
  <c r="T54" i="16" s="1"/>
  <c r="U54" i="16" s="1"/>
  <c r="V54" i="16" s="1"/>
  <c r="W54" i="16" s="1"/>
  <c r="X54" i="16" s="1"/>
  <c r="Y54" i="16" s="1"/>
  <c r="Z54" i="16" s="1"/>
  <c r="AA54" i="16" s="1"/>
  <c r="AB54" i="16" s="1"/>
  <c r="AC54" i="16" s="1"/>
  <c r="AD54" i="16" s="1"/>
  <c r="AE54" i="16" s="1"/>
  <c r="AF54" i="16" s="1"/>
  <c r="AG54" i="16" s="1"/>
  <c r="AH54" i="16" s="1"/>
  <c r="AI54" i="16" s="1"/>
  <c r="AJ54" i="16" s="1"/>
  <c r="F54" i="16"/>
  <c r="E54" i="16"/>
  <c r="D54" i="16"/>
  <c r="H53" i="16"/>
  <c r="I53" i="16" s="1"/>
  <c r="J53" i="16" s="1"/>
  <c r="K53" i="16" s="1"/>
  <c r="L53" i="16" s="1"/>
  <c r="M53" i="16" s="1"/>
  <c r="N53" i="16" s="1"/>
  <c r="O53" i="16" s="1"/>
  <c r="P53" i="16" s="1"/>
  <c r="Q53" i="16" s="1"/>
  <c r="R53" i="16" s="1"/>
  <c r="S53" i="16" s="1"/>
  <c r="T53" i="16" s="1"/>
  <c r="U53" i="16" s="1"/>
  <c r="V53" i="16" s="1"/>
  <c r="W53" i="16" s="1"/>
  <c r="X53" i="16" s="1"/>
  <c r="Y53" i="16" s="1"/>
  <c r="Z53" i="16" s="1"/>
  <c r="AA53" i="16" s="1"/>
  <c r="AB53" i="16" s="1"/>
  <c r="AC53" i="16" s="1"/>
  <c r="AD53" i="16" s="1"/>
  <c r="AE53" i="16" s="1"/>
  <c r="AF53" i="16" s="1"/>
  <c r="AG53" i="16" s="1"/>
  <c r="AH53" i="16" s="1"/>
  <c r="AI53" i="16" s="1"/>
  <c r="AJ53" i="16" s="1"/>
  <c r="H52" i="16"/>
  <c r="I52" i="16" s="1"/>
  <c r="J52" i="16" s="1"/>
  <c r="K52" i="16" s="1"/>
  <c r="L52" i="16" s="1"/>
  <c r="M52" i="16" s="1"/>
  <c r="N52" i="16" s="1"/>
  <c r="O52" i="16" s="1"/>
  <c r="P52" i="16" s="1"/>
  <c r="Q52" i="16" s="1"/>
  <c r="R52" i="16" s="1"/>
  <c r="S52" i="16" s="1"/>
  <c r="T52" i="16" s="1"/>
  <c r="U52" i="16" s="1"/>
  <c r="V52" i="16" s="1"/>
  <c r="W52" i="16" s="1"/>
  <c r="X52" i="16" s="1"/>
  <c r="Y52" i="16" s="1"/>
  <c r="Z52" i="16" s="1"/>
  <c r="AA52" i="16" s="1"/>
  <c r="AB52" i="16" s="1"/>
  <c r="AC52" i="16" s="1"/>
  <c r="AD52" i="16" s="1"/>
  <c r="AE52" i="16" s="1"/>
  <c r="AF52" i="16" s="1"/>
  <c r="AG52" i="16" s="1"/>
  <c r="AH52" i="16" s="1"/>
  <c r="AI52" i="16" s="1"/>
  <c r="AJ52" i="16" s="1"/>
  <c r="H51" i="16"/>
  <c r="I51" i="16" s="1"/>
  <c r="J51" i="16" s="1"/>
  <c r="K51" i="16" s="1"/>
  <c r="L51" i="16" s="1"/>
  <c r="M51" i="16" s="1"/>
  <c r="N51" i="16" s="1"/>
  <c r="O51" i="16" s="1"/>
  <c r="P51" i="16" s="1"/>
  <c r="Q51" i="16" s="1"/>
  <c r="R51" i="16" s="1"/>
  <c r="S51" i="16" s="1"/>
  <c r="T51" i="16" s="1"/>
  <c r="U51" i="16" s="1"/>
  <c r="V51" i="16" s="1"/>
  <c r="W51" i="16" s="1"/>
  <c r="X51" i="16" s="1"/>
  <c r="Y51" i="16" s="1"/>
  <c r="Z51" i="16" s="1"/>
  <c r="AA51" i="16" s="1"/>
  <c r="AB51" i="16" s="1"/>
  <c r="AC51" i="16" s="1"/>
  <c r="AD51" i="16" s="1"/>
  <c r="AE51" i="16" s="1"/>
  <c r="AF51" i="16" s="1"/>
  <c r="AG51" i="16" s="1"/>
  <c r="AH51" i="16" s="1"/>
  <c r="AI51" i="16" s="1"/>
  <c r="AJ51" i="16" s="1"/>
  <c r="H50" i="16"/>
  <c r="I50" i="16" s="1"/>
  <c r="J50" i="16" s="1"/>
  <c r="K50" i="16" s="1"/>
  <c r="L50" i="16" s="1"/>
  <c r="M50" i="16" s="1"/>
  <c r="N50" i="16" s="1"/>
  <c r="O50" i="16" s="1"/>
  <c r="P50" i="16" s="1"/>
  <c r="Q50" i="16" s="1"/>
  <c r="R50" i="16" s="1"/>
  <c r="S50" i="16" s="1"/>
  <c r="T50" i="16" s="1"/>
  <c r="U50" i="16" s="1"/>
  <c r="V50" i="16" s="1"/>
  <c r="W50" i="16" s="1"/>
  <c r="X50" i="16" s="1"/>
  <c r="Y50" i="16" s="1"/>
  <c r="Z50" i="16" s="1"/>
  <c r="AA50" i="16" s="1"/>
  <c r="AB50" i="16" s="1"/>
  <c r="AC50" i="16" s="1"/>
  <c r="AD50" i="16" s="1"/>
  <c r="AE50" i="16" s="1"/>
  <c r="AF50" i="16" s="1"/>
  <c r="AG50" i="16" s="1"/>
  <c r="AH50" i="16" s="1"/>
  <c r="AI50" i="16" s="1"/>
  <c r="AJ50" i="16" s="1"/>
  <c r="H49" i="16"/>
  <c r="I49" i="16" s="1"/>
  <c r="J49" i="16" s="1"/>
  <c r="K49" i="16" s="1"/>
  <c r="L49" i="16" s="1"/>
  <c r="M49" i="16" s="1"/>
  <c r="N49" i="16" s="1"/>
  <c r="O49" i="16" s="1"/>
  <c r="P49" i="16" s="1"/>
  <c r="Q49" i="16" s="1"/>
  <c r="R49" i="16" s="1"/>
  <c r="S49" i="16" s="1"/>
  <c r="T49" i="16" s="1"/>
  <c r="U49" i="16" s="1"/>
  <c r="V49" i="16" s="1"/>
  <c r="W49" i="16" s="1"/>
  <c r="X49" i="16" s="1"/>
  <c r="Y49" i="16" s="1"/>
  <c r="Z49" i="16" s="1"/>
  <c r="AA49" i="16" s="1"/>
  <c r="AB49" i="16" s="1"/>
  <c r="AC49" i="16" s="1"/>
  <c r="AD49" i="16" s="1"/>
  <c r="AE49" i="16" s="1"/>
  <c r="AF49" i="16" s="1"/>
  <c r="AG49" i="16" s="1"/>
  <c r="AH49" i="16" s="1"/>
  <c r="AI49" i="16" s="1"/>
  <c r="AJ49" i="16" s="1"/>
  <c r="G48" i="16"/>
  <c r="F48" i="16"/>
  <c r="F55" i="16" s="1"/>
  <c r="E48" i="16"/>
  <c r="E55" i="16" s="1"/>
  <c r="D48" i="16"/>
  <c r="D55" i="16" s="1"/>
  <c r="H47" i="16"/>
  <c r="I47" i="16" s="1"/>
  <c r="J47" i="16" s="1"/>
  <c r="K47" i="16" s="1"/>
  <c r="L47" i="16" s="1"/>
  <c r="M47" i="16" s="1"/>
  <c r="N47" i="16" s="1"/>
  <c r="O47" i="16" s="1"/>
  <c r="P47" i="16" s="1"/>
  <c r="Q47" i="16" s="1"/>
  <c r="R47" i="16" s="1"/>
  <c r="S47" i="16" s="1"/>
  <c r="T47" i="16" s="1"/>
  <c r="U47" i="16" s="1"/>
  <c r="V47" i="16" s="1"/>
  <c r="W47" i="16" s="1"/>
  <c r="X47" i="16" s="1"/>
  <c r="Y47" i="16" s="1"/>
  <c r="Z47" i="16" s="1"/>
  <c r="AA47" i="16" s="1"/>
  <c r="AB47" i="16" s="1"/>
  <c r="AC47" i="16" s="1"/>
  <c r="AD47" i="16" s="1"/>
  <c r="AE47" i="16" s="1"/>
  <c r="AF47" i="16" s="1"/>
  <c r="AG47" i="16" s="1"/>
  <c r="AH47" i="16" s="1"/>
  <c r="AI47" i="16" s="1"/>
  <c r="AJ47" i="16" s="1"/>
  <c r="H46" i="16"/>
  <c r="I46" i="16" s="1"/>
  <c r="J46" i="16" s="1"/>
  <c r="K46" i="16" s="1"/>
  <c r="L46" i="16" s="1"/>
  <c r="M46" i="16" s="1"/>
  <c r="N46" i="16" s="1"/>
  <c r="O46" i="16" s="1"/>
  <c r="P46" i="16" s="1"/>
  <c r="Q46" i="16" s="1"/>
  <c r="R46" i="16" s="1"/>
  <c r="S46" i="16" s="1"/>
  <c r="T46" i="16" s="1"/>
  <c r="U46" i="16" s="1"/>
  <c r="V46" i="16" s="1"/>
  <c r="W46" i="16" s="1"/>
  <c r="X46" i="16" s="1"/>
  <c r="Y46" i="16" s="1"/>
  <c r="Z46" i="16" s="1"/>
  <c r="AA46" i="16" s="1"/>
  <c r="AB46" i="16" s="1"/>
  <c r="AC46" i="16" s="1"/>
  <c r="AD46" i="16" s="1"/>
  <c r="AE46" i="16" s="1"/>
  <c r="AF46" i="16" s="1"/>
  <c r="AG46" i="16" s="1"/>
  <c r="AH46" i="16" s="1"/>
  <c r="AI46" i="16" s="1"/>
  <c r="AJ46" i="16" s="1"/>
  <c r="H45" i="16"/>
  <c r="H41" i="16"/>
  <c r="I41" i="16" s="1"/>
  <c r="J41" i="16" s="1"/>
  <c r="K41" i="16" s="1"/>
  <c r="L41" i="16" s="1"/>
  <c r="M41" i="16" s="1"/>
  <c r="N41" i="16" s="1"/>
  <c r="O41" i="16" s="1"/>
  <c r="P41" i="16" s="1"/>
  <c r="Q41" i="16" s="1"/>
  <c r="R41" i="16" s="1"/>
  <c r="S41" i="16" s="1"/>
  <c r="T41" i="16" s="1"/>
  <c r="U41" i="16" s="1"/>
  <c r="V41" i="16" s="1"/>
  <c r="W41" i="16" s="1"/>
  <c r="X41" i="16" s="1"/>
  <c r="Y41" i="16" s="1"/>
  <c r="Z41" i="16" s="1"/>
  <c r="AA41" i="16" s="1"/>
  <c r="AB41" i="16" s="1"/>
  <c r="AC41" i="16" s="1"/>
  <c r="AD41" i="16" s="1"/>
  <c r="AE41" i="16" s="1"/>
  <c r="AF41" i="16" s="1"/>
  <c r="AG41" i="16" s="1"/>
  <c r="AH41" i="16" s="1"/>
  <c r="AI41" i="16" s="1"/>
  <c r="AJ41" i="16" s="1"/>
  <c r="H40" i="16"/>
  <c r="I40" i="16" s="1"/>
  <c r="J40" i="16" s="1"/>
  <c r="K40" i="16" s="1"/>
  <c r="L40" i="16" s="1"/>
  <c r="M40" i="16" s="1"/>
  <c r="N40" i="16" s="1"/>
  <c r="O40" i="16" s="1"/>
  <c r="P40" i="16" s="1"/>
  <c r="Q40" i="16" s="1"/>
  <c r="R40" i="16" s="1"/>
  <c r="S40" i="16" s="1"/>
  <c r="T40" i="16" s="1"/>
  <c r="U40" i="16" s="1"/>
  <c r="V40" i="16" s="1"/>
  <c r="W40" i="16" s="1"/>
  <c r="X40" i="16" s="1"/>
  <c r="Y40" i="16" s="1"/>
  <c r="Z40" i="16" s="1"/>
  <c r="AA40" i="16" s="1"/>
  <c r="AB40" i="16" s="1"/>
  <c r="AC40" i="16" s="1"/>
  <c r="AD40" i="16" s="1"/>
  <c r="AE40" i="16" s="1"/>
  <c r="AF40" i="16" s="1"/>
  <c r="AG40" i="16" s="1"/>
  <c r="AH40" i="16" s="1"/>
  <c r="AI40" i="16" s="1"/>
  <c r="AJ40" i="16" s="1"/>
  <c r="G39" i="16"/>
  <c r="H39" i="16" s="1"/>
  <c r="I39" i="16" s="1"/>
  <c r="J39" i="16" s="1"/>
  <c r="K39" i="16" s="1"/>
  <c r="L39" i="16" s="1"/>
  <c r="M39" i="16" s="1"/>
  <c r="N39" i="16" s="1"/>
  <c r="O39" i="16" s="1"/>
  <c r="P39" i="16" s="1"/>
  <c r="Q39" i="16" s="1"/>
  <c r="R39" i="16" s="1"/>
  <c r="S39" i="16" s="1"/>
  <c r="T39" i="16" s="1"/>
  <c r="U39" i="16" s="1"/>
  <c r="V39" i="16" s="1"/>
  <c r="W39" i="16" s="1"/>
  <c r="X39" i="16" s="1"/>
  <c r="Y39" i="16" s="1"/>
  <c r="Z39" i="16" s="1"/>
  <c r="AA39" i="16" s="1"/>
  <c r="AB39" i="16" s="1"/>
  <c r="AC39" i="16" s="1"/>
  <c r="AD39" i="16" s="1"/>
  <c r="AE39" i="16" s="1"/>
  <c r="AF39" i="16" s="1"/>
  <c r="AG39" i="16" s="1"/>
  <c r="AH39" i="16" s="1"/>
  <c r="AI39" i="16" s="1"/>
  <c r="AJ39" i="16" s="1"/>
  <c r="F39" i="16"/>
  <c r="E39" i="16"/>
  <c r="D39" i="16"/>
  <c r="H38" i="16"/>
  <c r="I38" i="16" s="1"/>
  <c r="J38" i="16" s="1"/>
  <c r="K38" i="16" s="1"/>
  <c r="L38" i="16" s="1"/>
  <c r="M38" i="16" s="1"/>
  <c r="N38" i="16" s="1"/>
  <c r="O38" i="16" s="1"/>
  <c r="P38" i="16" s="1"/>
  <c r="Q38" i="16" s="1"/>
  <c r="R38" i="16" s="1"/>
  <c r="S38" i="16" s="1"/>
  <c r="T38" i="16" s="1"/>
  <c r="U38" i="16" s="1"/>
  <c r="V38" i="16" s="1"/>
  <c r="W38" i="16" s="1"/>
  <c r="X38" i="16" s="1"/>
  <c r="Y38" i="16" s="1"/>
  <c r="Z38" i="16" s="1"/>
  <c r="AA38" i="16" s="1"/>
  <c r="AB38" i="16" s="1"/>
  <c r="AC38" i="16" s="1"/>
  <c r="AD38" i="16" s="1"/>
  <c r="AE38" i="16" s="1"/>
  <c r="AF38" i="16" s="1"/>
  <c r="AG38" i="16" s="1"/>
  <c r="AH38" i="16" s="1"/>
  <c r="AI38" i="16" s="1"/>
  <c r="AJ38" i="16" s="1"/>
  <c r="H37" i="16"/>
  <c r="I37" i="16" s="1"/>
  <c r="J37" i="16" s="1"/>
  <c r="K37" i="16" s="1"/>
  <c r="L37" i="16" s="1"/>
  <c r="M37" i="16" s="1"/>
  <c r="N37" i="16" s="1"/>
  <c r="O37" i="16" s="1"/>
  <c r="P37" i="16" s="1"/>
  <c r="Q37" i="16" s="1"/>
  <c r="R37" i="16" s="1"/>
  <c r="S37" i="16" s="1"/>
  <c r="T37" i="16" s="1"/>
  <c r="U37" i="16" s="1"/>
  <c r="V37" i="16" s="1"/>
  <c r="W37" i="16" s="1"/>
  <c r="X37" i="16" s="1"/>
  <c r="Y37" i="16" s="1"/>
  <c r="Z37" i="16" s="1"/>
  <c r="AA37" i="16" s="1"/>
  <c r="AB37" i="16" s="1"/>
  <c r="AC37" i="16" s="1"/>
  <c r="AD37" i="16" s="1"/>
  <c r="AE37" i="16" s="1"/>
  <c r="AF37" i="16" s="1"/>
  <c r="AG37" i="16" s="1"/>
  <c r="AH37" i="16" s="1"/>
  <c r="AI37" i="16" s="1"/>
  <c r="AJ37" i="16" s="1"/>
  <c r="G36" i="16"/>
  <c r="H36" i="16" s="1"/>
  <c r="I36" i="16" s="1"/>
  <c r="J36" i="16" s="1"/>
  <c r="K36" i="16" s="1"/>
  <c r="L36" i="16" s="1"/>
  <c r="M36" i="16" s="1"/>
  <c r="N36" i="16" s="1"/>
  <c r="O36" i="16" s="1"/>
  <c r="P36" i="16" s="1"/>
  <c r="Q36" i="16" s="1"/>
  <c r="R36" i="16" s="1"/>
  <c r="S36" i="16" s="1"/>
  <c r="T36" i="16" s="1"/>
  <c r="U36" i="16" s="1"/>
  <c r="V36" i="16" s="1"/>
  <c r="W36" i="16" s="1"/>
  <c r="X36" i="16" s="1"/>
  <c r="Y36" i="16" s="1"/>
  <c r="Z36" i="16" s="1"/>
  <c r="AA36" i="16" s="1"/>
  <c r="AB36" i="16" s="1"/>
  <c r="AC36" i="16" s="1"/>
  <c r="AD36" i="16" s="1"/>
  <c r="AE36" i="16" s="1"/>
  <c r="AF36" i="16" s="1"/>
  <c r="AG36" i="16" s="1"/>
  <c r="AH36" i="16" s="1"/>
  <c r="AI36" i="16" s="1"/>
  <c r="AJ36" i="16" s="1"/>
  <c r="F36" i="16"/>
  <c r="E36" i="16"/>
  <c r="D36" i="16"/>
  <c r="G35" i="16"/>
  <c r="H35" i="16" s="1"/>
  <c r="I35" i="16" s="1"/>
  <c r="J35" i="16" s="1"/>
  <c r="K35" i="16" s="1"/>
  <c r="L35" i="16" s="1"/>
  <c r="M35" i="16" s="1"/>
  <c r="N35" i="16" s="1"/>
  <c r="O35" i="16" s="1"/>
  <c r="P35" i="16" s="1"/>
  <c r="Q35" i="16" s="1"/>
  <c r="R35" i="16" s="1"/>
  <c r="S35" i="16" s="1"/>
  <c r="T35" i="16" s="1"/>
  <c r="U35" i="16" s="1"/>
  <c r="V35" i="16" s="1"/>
  <c r="W35" i="16" s="1"/>
  <c r="X35" i="16" s="1"/>
  <c r="Y35" i="16" s="1"/>
  <c r="Z35" i="16" s="1"/>
  <c r="AA35" i="16" s="1"/>
  <c r="AB35" i="16" s="1"/>
  <c r="AC35" i="16" s="1"/>
  <c r="AD35" i="16" s="1"/>
  <c r="AE35" i="16" s="1"/>
  <c r="AF35" i="16" s="1"/>
  <c r="AG35" i="16" s="1"/>
  <c r="AH35" i="16" s="1"/>
  <c r="AI35" i="16" s="1"/>
  <c r="AJ35" i="16" s="1"/>
  <c r="F35" i="16"/>
  <c r="E35" i="16"/>
  <c r="D35" i="16"/>
  <c r="G34" i="16"/>
  <c r="H34" i="16" s="1"/>
  <c r="I34" i="16" s="1"/>
  <c r="J34" i="16" s="1"/>
  <c r="K34" i="16" s="1"/>
  <c r="L34" i="16" s="1"/>
  <c r="M34" i="16" s="1"/>
  <c r="N34" i="16" s="1"/>
  <c r="O34" i="16" s="1"/>
  <c r="P34" i="16" s="1"/>
  <c r="Q34" i="16" s="1"/>
  <c r="R34" i="16" s="1"/>
  <c r="S34" i="16" s="1"/>
  <c r="T34" i="16" s="1"/>
  <c r="U34" i="16" s="1"/>
  <c r="V34" i="16" s="1"/>
  <c r="W34" i="16" s="1"/>
  <c r="X34" i="16" s="1"/>
  <c r="Y34" i="16" s="1"/>
  <c r="Z34" i="16" s="1"/>
  <c r="AA34" i="16" s="1"/>
  <c r="AB34" i="16" s="1"/>
  <c r="AC34" i="16" s="1"/>
  <c r="AD34" i="16" s="1"/>
  <c r="AE34" i="16" s="1"/>
  <c r="AF34" i="16" s="1"/>
  <c r="AG34" i="16" s="1"/>
  <c r="AH34" i="16" s="1"/>
  <c r="AI34" i="16" s="1"/>
  <c r="AJ34" i="16" s="1"/>
  <c r="F34" i="16"/>
  <c r="E34" i="16"/>
  <c r="D34" i="16"/>
  <c r="G33" i="16"/>
  <c r="H33" i="16" s="1"/>
  <c r="I33" i="16" s="1"/>
  <c r="J33" i="16" s="1"/>
  <c r="K33" i="16" s="1"/>
  <c r="L33" i="16" s="1"/>
  <c r="M33" i="16" s="1"/>
  <c r="N33" i="16" s="1"/>
  <c r="O33" i="16" s="1"/>
  <c r="P33" i="16" s="1"/>
  <c r="Q33" i="16" s="1"/>
  <c r="R33" i="16" s="1"/>
  <c r="S33" i="16" s="1"/>
  <c r="T33" i="16" s="1"/>
  <c r="U33" i="16" s="1"/>
  <c r="V33" i="16" s="1"/>
  <c r="W33" i="16" s="1"/>
  <c r="X33" i="16" s="1"/>
  <c r="Y33" i="16" s="1"/>
  <c r="Z33" i="16" s="1"/>
  <c r="AA33" i="16" s="1"/>
  <c r="AB33" i="16" s="1"/>
  <c r="AC33" i="16" s="1"/>
  <c r="AD33" i="16" s="1"/>
  <c r="AE33" i="16" s="1"/>
  <c r="AF33" i="16" s="1"/>
  <c r="AG33" i="16" s="1"/>
  <c r="AH33" i="16" s="1"/>
  <c r="AI33" i="16" s="1"/>
  <c r="AJ33" i="16" s="1"/>
  <c r="F33" i="16"/>
  <c r="E33" i="16"/>
  <c r="D33" i="16"/>
  <c r="G32" i="16"/>
  <c r="F32" i="16"/>
  <c r="F42" i="16" s="1"/>
  <c r="E32" i="16"/>
  <c r="E42" i="16" s="1"/>
  <c r="D32" i="16"/>
  <c r="D42" i="16" s="1"/>
  <c r="AI28" i="16"/>
  <c r="AH28" i="16"/>
  <c r="AG28" i="16"/>
  <c r="AF28" i="16"/>
  <c r="AD28" i="16"/>
  <c r="AC28" i="16"/>
  <c r="AB28" i="16"/>
  <c r="AA28" i="16"/>
  <c r="Y28" i="16"/>
  <c r="X28" i="16"/>
  <c r="W28" i="16"/>
  <c r="V28" i="16"/>
  <c r="T28" i="16"/>
  <c r="S28" i="16"/>
  <c r="R28" i="16"/>
  <c r="Q28" i="16"/>
  <c r="O28" i="16"/>
  <c r="N28" i="16"/>
  <c r="M28" i="16"/>
  <c r="L28" i="16"/>
  <c r="G27" i="16"/>
  <c r="H27" i="16" s="1"/>
  <c r="I27" i="16" s="1"/>
  <c r="J27" i="16" s="1"/>
  <c r="K27" i="16" s="1"/>
  <c r="L27" i="16" s="1"/>
  <c r="M27" i="16" s="1"/>
  <c r="N27" i="16" s="1"/>
  <c r="O27" i="16" s="1"/>
  <c r="P27" i="16" s="1"/>
  <c r="Q27" i="16" s="1"/>
  <c r="R27" i="16" s="1"/>
  <c r="S27" i="16" s="1"/>
  <c r="T27" i="16" s="1"/>
  <c r="U27" i="16" s="1"/>
  <c r="V27" i="16" s="1"/>
  <c r="W27" i="16" s="1"/>
  <c r="X27" i="16" s="1"/>
  <c r="Y27" i="16" s="1"/>
  <c r="Z27" i="16" s="1"/>
  <c r="AA27" i="16" s="1"/>
  <c r="AB27" i="16" s="1"/>
  <c r="AC27" i="16" s="1"/>
  <c r="AD27" i="16" s="1"/>
  <c r="AE27" i="16" s="1"/>
  <c r="AF27" i="16" s="1"/>
  <c r="AG27" i="16" s="1"/>
  <c r="AH27" i="16" s="1"/>
  <c r="AI27" i="16" s="1"/>
  <c r="AJ27" i="16" s="1"/>
  <c r="F27" i="16"/>
  <c r="E27" i="16"/>
  <c r="D27" i="16"/>
  <c r="G26" i="16"/>
  <c r="H26" i="16" s="1"/>
  <c r="I26" i="16" s="1"/>
  <c r="J26" i="16" s="1"/>
  <c r="K26" i="16" s="1"/>
  <c r="L26" i="16" s="1"/>
  <c r="M26" i="16" s="1"/>
  <c r="N26" i="16" s="1"/>
  <c r="O26" i="16" s="1"/>
  <c r="P26" i="16" s="1"/>
  <c r="Q26" i="16" s="1"/>
  <c r="R26" i="16" s="1"/>
  <c r="S26" i="16" s="1"/>
  <c r="T26" i="16" s="1"/>
  <c r="U26" i="16" s="1"/>
  <c r="V26" i="16" s="1"/>
  <c r="W26" i="16" s="1"/>
  <c r="X26" i="16" s="1"/>
  <c r="Y26" i="16" s="1"/>
  <c r="Z26" i="16" s="1"/>
  <c r="AA26" i="16" s="1"/>
  <c r="AB26" i="16" s="1"/>
  <c r="AC26" i="16" s="1"/>
  <c r="AD26" i="16" s="1"/>
  <c r="AE26" i="16" s="1"/>
  <c r="AF26" i="16" s="1"/>
  <c r="AG26" i="16" s="1"/>
  <c r="AH26" i="16" s="1"/>
  <c r="AI26" i="16" s="1"/>
  <c r="AJ26" i="16" s="1"/>
  <c r="F26" i="16"/>
  <c r="E26" i="16"/>
  <c r="D26" i="16"/>
  <c r="G25" i="16"/>
  <c r="H25" i="16" s="1"/>
  <c r="I25" i="16" s="1"/>
  <c r="J25" i="16" s="1"/>
  <c r="K25" i="16" s="1"/>
  <c r="L25" i="16" s="1"/>
  <c r="M25" i="16" s="1"/>
  <c r="N25" i="16" s="1"/>
  <c r="O25" i="16" s="1"/>
  <c r="P25" i="16" s="1"/>
  <c r="Q25" i="16" s="1"/>
  <c r="R25" i="16" s="1"/>
  <c r="S25" i="16" s="1"/>
  <c r="T25" i="16" s="1"/>
  <c r="U25" i="16" s="1"/>
  <c r="V25" i="16" s="1"/>
  <c r="W25" i="16" s="1"/>
  <c r="X25" i="16" s="1"/>
  <c r="Y25" i="16" s="1"/>
  <c r="Z25" i="16" s="1"/>
  <c r="AA25" i="16" s="1"/>
  <c r="AB25" i="16" s="1"/>
  <c r="AC25" i="16" s="1"/>
  <c r="AD25" i="16" s="1"/>
  <c r="AE25" i="16" s="1"/>
  <c r="AF25" i="16" s="1"/>
  <c r="AG25" i="16" s="1"/>
  <c r="AH25" i="16" s="1"/>
  <c r="AI25" i="16" s="1"/>
  <c r="AJ25" i="16" s="1"/>
  <c r="F25" i="16"/>
  <c r="E25" i="16"/>
  <c r="D25" i="16"/>
  <c r="H24" i="16"/>
  <c r="I24" i="16" s="1"/>
  <c r="J24" i="16" s="1"/>
  <c r="K24" i="16" s="1"/>
  <c r="L24" i="16" s="1"/>
  <c r="M24" i="16" s="1"/>
  <c r="N24" i="16" s="1"/>
  <c r="O24" i="16" s="1"/>
  <c r="P24" i="16" s="1"/>
  <c r="Q24" i="16" s="1"/>
  <c r="R24" i="16" s="1"/>
  <c r="S24" i="16" s="1"/>
  <c r="T24" i="16" s="1"/>
  <c r="U24" i="16" s="1"/>
  <c r="V24" i="16" s="1"/>
  <c r="W24" i="16" s="1"/>
  <c r="X24" i="16" s="1"/>
  <c r="Y24" i="16" s="1"/>
  <c r="Z24" i="16" s="1"/>
  <c r="AA24" i="16" s="1"/>
  <c r="AB24" i="16" s="1"/>
  <c r="AC24" i="16" s="1"/>
  <c r="AD24" i="16" s="1"/>
  <c r="AE24" i="16" s="1"/>
  <c r="AF24" i="16" s="1"/>
  <c r="AG24" i="16" s="1"/>
  <c r="AH24" i="16" s="1"/>
  <c r="AI24" i="16" s="1"/>
  <c r="AJ24" i="16" s="1"/>
  <c r="G22" i="16"/>
  <c r="H22" i="16" s="1"/>
  <c r="I22" i="16" s="1"/>
  <c r="J22" i="16" s="1"/>
  <c r="K22" i="16" s="1"/>
  <c r="L22" i="16" s="1"/>
  <c r="M22" i="16" s="1"/>
  <c r="N22" i="16" s="1"/>
  <c r="O22" i="16" s="1"/>
  <c r="P22" i="16" s="1"/>
  <c r="Q22" i="16" s="1"/>
  <c r="R22" i="16" s="1"/>
  <c r="S22" i="16" s="1"/>
  <c r="T22" i="16" s="1"/>
  <c r="U22" i="16" s="1"/>
  <c r="V22" i="16" s="1"/>
  <c r="W22" i="16" s="1"/>
  <c r="X22" i="16" s="1"/>
  <c r="Y22" i="16" s="1"/>
  <c r="Z22" i="16" s="1"/>
  <c r="AA22" i="16" s="1"/>
  <c r="AB22" i="16" s="1"/>
  <c r="AC22" i="16" s="1"/>
  <c r="AD22" i="16" s="1"/>
  <c r="AE22" i="16" s="1"/>
  <c r="AF22" i="16" s="1"/>
  <c r="AG22" i="16" s="1"/>
  <c r="AH22" i="16" s="1"/>
  <c r="AI22" i="16" s="1"/>
  <c r="AJ22" i="16" s="1"/>
  <c r="F22" i="16"/>
  <c r="E22" i="16"/>
  <c r="D22" i="16"/>
  <c r="G21" i="16"/>
  <c r="H21" i="16" s="1"/>
  <c r="I21" i="16" s="1"/>
  <c r="J21" i="16" s="1"/>
  <c r="K21" i="16" s="1"/>
  <c r="L21" i="16" s="1"/>
  <c r="M21" i="16" s="1"/>
  <c r="N21" i="16" s="1"/>
  <c r="O21" i="16" s="1"/>
  <c r="P21" i="16" s="1"/>
  <c r="Q21" i="16" s="1"/>
  <c r="R21" i="16" s="1"/>
  <c r="S21" i="16" s="1"/>
  <c r="T21" i="16" s="1"/>
  <c r="U21" i="16" s="1"/>
  <c r="V21" i="16" s="1"/>
  <c r="W21" i="16" s="1"/>
  <c r="X21" i="16" s="1"/>
  <c r="Y21" i="16" s="1"/>
  <c r="Z21" i="16" s="1"/>
  <c r="AA21" i="16" s="1"/>
  <c r="AB21" i="16" s="1"/>
  <c r="AC21" i="16" s="1"/>
  <c r="AD21" i="16" s="1"/>
  <c r="AE21" i="16" s="1"/>
  <c r="AF21" i="16" s="1"/>
  <c r="AG21" i="16" s="1"/>
  <c r="AH21" i="16" s="1"/>
  <c r="AI21" i="16" s="1"/>
  <c r="AJ21" i="16" s="1"/>
  <c r="F21" i="16"/>
  <c r="E21" i="16"/>
  <c r="D21" i="16"/>
  <c r="G20" i="16"/>
  <c r="F20" i="16"/>
  <c r="F29" i="16" s="1"/>
  <c r="E20" i="16"/>
  <c r="E29" i="16" s="1"/>
  <c r="D20" i="16"/>
  <c r="D29" i="16" s="1"/>
  <c r="H19" i="16"/>
  <c r="G15" i="16"/>
  <c r="H15" i="16" s="1"/>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AI15" i="16" s="1"/>
  <c r="AJ15" i="16" s="1"/>
  <c r="F15" i="16"/>
  <c r="E15" i="16"/>
  <c r="D15" i="16"/>
  <c r="G14" i="16"/>
  <c r="H14" i="16" s="1"/>
  <c r="I14" i="16" s="1"/>
  <c r="J14" i="16" s="1"/>
  <c r="K14" i="16" s="1"/>
  <c r="L14" i="16" s="1"/>
  <c r="M14" i="16" s="1"/>
  <c r="N14" i="16" s="1"/>
  <c r="O14" i="16" s="1"/>
  <c r="P14" i="16" s="1"/>
  <c r="Q14" i="16" s="1"/>
  <c r="R14" i="16" s="1"/>
  <c r="S14" i="16" s="1"/>
  <c r="T14" i="16" s="1"/>
  <c r="U14" i="16" s="1"/>
  <c r="V14" i="16" s="1"/>
  <c r="W14" i="16" s="1"/>
  <c r="X14" i="16" s="1"/>
  <c r="Y14" i="16" s="1"/>
  <c r="Z14" i="16" s="1"/>
  <c r="AA14" i="16" s="1"/>
  <c r="AB14" i="16" s="1"/>
  <c r="AC14" i="16" s="1"/>
  <c r="AD14" i="16" s="1"/>
  <c r="AE14" i="16" s="1"/>
  <c r="AF14" i="16" s="1"/>
  <c r="AG14" i="16" s="1"/>
  <c r="AH14" i="16" s="1"/>
  <c r="AI14" i="16" s="1"/>
  <c r="AJ14" i="16" s="1"/>
  <c r="F14" i="16"/>
  <c r="E14" i="16"/>
  <c r="D14" i="16"/>
  <c r="G13" i="16"/>
  <c r="H13" i="16" s="1"/>
  <c r="I13" i="16" s="1"/>
  <c r="J13" i="16" s="1"/>
  <c r="K13" i="16" s="1"/>
  <c r="L13" i="16" s="1"/>
  <c r="M13" i="16" s="1"/>
  <c r="N13" i="16" s="1"/>
  <c r="O13" i="16" s="1"/>
  <c r="P13" i="16" s="1"/>
  <c r="Q13" i="16" s="1"/>
  <c r="R13" i="16" s="1"/>
  <c r="S13" i="16" s="1"/>
  <c r="T13" i="16" s="1"/>
  <c r="U13" i="16" s="1"/>
  <c r="V13" i="16" s="1"/>
  <c r="W13" i="16" s="1"/>
  <c r="X13" i="16" s="1"/>
  <c r="Y13" i="16" s="1"/>
  <c r="Z13" i="16" s="1"/>
  <c r="AA13" i="16" s="1"/>
  <c r="AB13" i="16" s="1"/>
  <c r="AC13" i="16" s="1"/>
  <c r="AD13" i="16" s="1"/>
  <c r="AE13" i="16" s="1"/>
  <c r="AF13" i="16" s="1"/>
  <c r="AG13" i="16" s="1"/>
  <c r="AH13" i="16" s="1"/>
  <c r="AI13" i="16" s="1"/>
  <c r="AJ13" i="16" s="1"/>
  <c r="F13" i="16"/>
  <c r="E13" i="16"/>
  <c r="D13" i="16"/>
  <c r="G12" i="16"/>
  <c r="H12" i="16" s="1"/>
  <c r="I12" i="16" s="1"/>
  <c r="J12" i="16" s="1"/>
  <c r="K12" i="16" s="1"/>
  <c r="L12" i="16" s="1"/>
  <c r="M12" i="16" s="1"/>
  <c r="N12" i="16" s="1"/>
  <c r="O12" i="16" s="1"/>
  <c r="P12" i="16" s="1"/>
  <c r="Q12" i="16" s="1"/>
  <c r="R12" i="16" s="1"/>
  <c r="S12" i="16" s="1"/>
  <c r="T12" i="16" s="1"/>
  <c r="U12" i="16" s="1"/>
  <c r="V12" i="16" s="1"/>
  <c r="W12" i="16" s="1"/>
  <c r="X12" i="16" s="1"/>
  <c r="Y12" i="16" s="1"/>
  <c r="Z12" i="16" s="1"/>
  <c r="AA12" i="16" s="1"/>
  <c r="AB12" i="16" s="1"/>
  <c r="AC12" i="16" s="1"/>
  <c r="AD12" i="16" s="1"/>
  <c r="AE12" i="16" s="1"/>
  <c r="AF12" i="16" s="1"/>
  <c r="AG12" i="16" s="1"/>
  <c r="AH12" i="16" s="1"/>
  <c r="AI12" i="16" s="1"/>
  <c r="AJ12" i="16" s="1"/>
  <c r="F12" i="16"/>
  <c r="E12" i="16"/>
  <c r="D12" i="16"/>
  <c r="H11" i="16"/>
  <c r="I11" i="16" s="1"/>
  <c r="J11" i="16" s="1"/>
  <c r="K11" i="16" s="1"/>
  <c r="L11" i="16" s="1"/>
  <c r="M11" i="16" s="1"/>
  <c r="N11" i="16" s="1"/>
  <c r="O11" i="16" s="1"/>
  <c r="P11" i="16" s="1"/>
  <c r="Q11" i="16" s="1"/>
  <c r="R11" i="16" s="1"/>
  <c r="S11" i="16" s="1"/>
  <c r="T11" i="16" s="1"/>
  <c r="U11" i="16" s="1"/>
  <c r="V11" i="16" s="1"/>
  <c r="W11" i="16" s="1"/>
  <c r="X11" i="16" s="1"/>
  <c r="Y11" i="16" s="1"/>
  <c r="Z11" i="16" s="1"/>
  <c r="AA11" i="16" s="1"/>
  <c r="AB11" i="16" s="1"/>
  <c r="AC11" i="16" s="1"/>
  <c r="AD11" i="16" s="1"/>
  <c r="AE11" i="16" s="1"/>
  <c r="AF11" i="16" s="1"/>
  <c r="AG11" i="16" s="1"/>
  <c r="AH11" i="16" s="1"/>
  <c r="AI11" i="16" s="1"/>
  <c r="AJ11" i="16" s="1"/>
  <c r="G10" i="16"/>
  <c r="H10" i="16" s="1"/>
  <c r="I10" i="16" s="1"/>
  <c r="J10" i="16" s="1"/>
  <c r="K10" i="16" s="1"/>
  <c r="L10" i="16" s="1"/>
  <c r="M10" i="16" s="1"/>
  <c r="N10" i="16" s="1"/>
  <c r="O10" i="16" s="1"/>
  <c r="P10" i="16" s="1"/>
  <c r="Q10" i="16" s="1"/>
  <c r="R10" i="16" s="1"/>
  <c r="S10" i="16" s="1"/>
  <c r="T10" i="16" s="1"/>
  <c r="U10" i="16" s="1"/>
  <c r="V10" i="16" s="1"/>
  <c r="W10" i="16" s="1"/>
  <c r="X10" i="16" s="1"/>
  <c r="Y10" i="16" s="1"/>
  <c r="Z10" i="16" s="1"/>
  <c r="AA10" i="16" s="1"/>
  <c r="AB10" i="16" s="1"/>
  <c r="AC10" i="16" s="1"/>
  <c r="AD10" i="16" s="1"/>
  <c r="AE10" i="16" s="1"/>
  <c r="AF10" i="16" s="1"/>
  <c r="AG10" i="16" s="1"/>
  <c r="AH10" i="16" s="1"/>
  <c r="AI10" i="16" s="1"/>
  <c r="AJ10" i="16" s="1"/>
  <c r="F10" i="16"/>
  <c r="E10" i="16"/>
  <c r="D10" i="16"/>
  <c r="G9" i="16"/>
  <c r="H9" i="16" s="1"/>
  <c r="I9" i="16" s="1"/>
  <c r="J9" i="16" s="1"/>
  <c r="K9" i="16" s="1"/>
  <c r="L9" i="16" s="1"/>
  <c r="M9" i="16" s="1"/>
  <c r="N9" i="16" s="1"/>
  <c r="O9" i="16" s="1"/>
  <c r="P9" i="16" s="1"/>
  <c r="Q9" i="16" s="1"/>
  <c r="R9" i="16" s="1"/>
  <c r="S9" i="16" s="1"/>
  <c r="T9" i="16" s="1"/>
  <c r="U9" i="16" s="1"/>
  <c r="V9" i="16" s="1"/>
  <c r="W9" i="16" s="1"/>
  <c r="X9" i="16" s="1"/>
  <c r="Y9" i="16" s="1"/>
  <c r="Z9" i="16" s="1"/>
  <c r="AA9" i="16" s="1"/>
  <c r="AB9" i="16" s="1"/>
  <c r="AC9" i="16" s="1"/>
  <c r="AD9" i="16" s="1"/>
  <c r="AE9" i="16" s="1"/>
  <c r="AF9" i="16" s="1"/>
  <c r="AG9" i="16" s="1"/>
  <c r="AH9" i="16" s="1"/>
  <c r="AI9" i="16" s="1"/>
  <c r="AJ9" i="16" s="1"/>
  <c r="F9" i="16"/>
  <c r="E9" i="16"/>
  <c r="D9" i="16"/>
  <c r="G8" i="16"/>
  <c r="H8" i="16" s="1"/>
  <c r="I8" i="16" s="1"/>
  <c r="J8" i="16" s="1"/>
  <c r="K8" i="16" s="1"/>
  <c r="L8" i="16" s="1"/>
  <c r="M8" i="16" s="1"/>
  <c r="N8" i="16" s="1"/>
  <c r="O8" i="16" s="1"/>
  <c r="P8" i="16" s="1"/>
  <c r="Q8" i="16" s="1"/>
  <c r="R8" i="16" s="1"/>
  <c r="S8" i="16" s="1"/>
  <c r="T8" i="16" s="1"/>
  <c r="U8" i="16" s="1"/>
  <c r="V8" i="16" s="1"/>
  <c r="W8" i="16" s="1"/>
  <c r="X8" i="16" s="1"/>
  <c r="Y8" i="16" s="1"/>
  <c r="Z8" i="16" s="1"/>
  <c r="AA8" i="16" s="1"/>
  <c r="AB8" i="16" s="1"/>
  <c r="AC8" i="16" s="1"/>
  <c r="AD8" i="16" s="1"/>
  <c r="AE8" i="16" s="1"/>
  <c r="AF8" i="16" s="1"/>
  <c r="AG8" i="16" s="1"/>
  <c r="AH8" i="16" s="1"/>
  <c r="AI8" i="16" s="1"/>
  <c r="AJ8" i="16" s="1"/>
  <c r="F8" i="16"/>
  <c r="E8" i="16"/>
  <c r="D8" i="16"/>
  <c r="G7" i="16"/>
  <c r="F7" i="16"/>
  <c r="F16" i="16" s="1"/>
  <c r="E7" i="16"/>
  <c r="E16" i="16" s="1"/>
  <c r="D7" i="16"/>
  <c r="D16" i="16" s="1"/>
  <c r="H6" i="16"/>
  <c r="D162" i="14"/>
  <c r="D161" i="14"/>
  <c r="G157" i="14"/>
  <c r="G159" i="14" s="1"/>
  <c r="F157" i="14"/>
  <c r="F159" i="14" s="1"/>
  <c r="E157" i="14"/>
  <c r="E159" i="14" s="1"/>
  <c r="D157" i="14"/>
  <c r="D159" i="14" s="1"/>
  <c r="D139" i="10"/>
  <c r="D133" i="10"/>
  <c r="N137" i="10" s="1"/>
  <c r="D136" i="10" s="1"/>
  <c r="N131" i="10"/>
  <c r="D130" i="10"/>
  <c r="G125" i="10"/>
  <c r="F125" i="10"/>
  <c r="E125" i="10"/>
  <c r="D125" i="10"/>
  <c r="G124" i="10"/>
  <c r="F124" i="10"/>
  <c r="E124" i="10"/>
  <c r="D124" i="10"/>
  <c r="D123" i="10"/>
  <c r="G119" i="10"/>
  <c r="F119" i="10"/>
  <c r="E119" i="10"/>
  <c r="D119" i="10"/>
  <c r="G111" i="10"/>
  <c r="F111" i="10"/>
  <c r="E111" i="10"/>
  <c r="D111" i="10"/>
  <c r="G110" i="10"/>
  <c r="F110" i="10"/>
  <c r="E110" i="10"/>
  <c r="D110" i="10"/>
  <c r="G109" i="10"/>
  <c r="F109" i="10"/>
  <c r="E109" i="10"/>
  <c r="D109" i="10"/>
  <c r="G108" i="10"/>
  <c r="F108" i="10"/>
  <c r="E108" i="10"/>
  <c r="D108" i="10"/>
  <c r="G107" i="10"/>
  <c r="F107" i="10"/>
  <c r="E107" i="10"/>
  <c r="D107" i="10"/>
  <c r="G106" i="10"/>
  <c r="F106" i="10"/>
  <c r="E106" i="10"/>
  <c r="D106" i="10"/>
  <c r="G105" i="10"/>
  <c r="G112" i="10" s="1"/>
  <c r="F105" i="10"/>
  <c r="F112" i="10" s="1"/>
  <c r="E105" i="10"/>
  <c r="E112" i="10" s="1"/>
  <c r="D105" i="10"/>
  <c r="D112" i="10" s="1"/>
  <c r="G101" i="10"/>
  <c r="F101" i="10"/>
  <c r="E101" i="10"/>
  <c r="D101" i="10"/>
  <c r="G100" i="10"/>
  <c r="G102" i="10" s="1"/>
  <c r="F100" i="10"/>
  <c r="F102" i="10" s="1"/>
  <c r="E100" i="10"/>
  <c r="E102" i="10" s="1"/>
  <c r="D100" i="10"/>
  <c r="D102" i="10" s="1"/>
  <c r="G93" i="10"/>
  <c r="F93" i="10"/>
  <c r="E93" i="10"/>
  <c r="D93" i="10"/>
  <c r="G92" i="10"/>
  <c r="G91" i="10"/>
  <c r="F91" i="10"/>
  <c r="E91" i="10"/>
  <c r="D91" i="10"/>
  <c r="G90" i="10"/>
  <c r="F90" i="10"/>
  <c r="E90" i="10"/>
  <c r="D90" i="10"/>
  <c r="G89" i="10"/>
  <c r="F89" i="10"/>
  <c r="E89" i="10"/>
  <c r="D89" i="10"/>
  <c r="G88" i="10"/>
  <c r="F88" i="10"/>
  <c r="E88" i="10"/>
  <c r="D88" i="10"/>
  <c r="G87" i="10"/>
  <c r="F87" i="10"/>
  <c r="E87" i="10"/>
  <c r="D87" i="10"/>
  <c r="G86" i="10"/>
  <c r="F86" i="10"/>
  <c r="E86" i="10"/>
  <c r="D86" i="10"/>
  <c r="G85" i="10"/>
  <c r="F85" i="10"/>
  <c r="E85" i="10"/>
  <c r="D85" i="10"/>
  <c r="G84" i="10"/>
  <c r="G95" i="10" s="1"/>
  <c r="F84" i="10"/>
  <c r="F95" i="10" s="1"/>
  <c r="E84" i="10"/>
  <c r="E95" i="10" s="1"/>
  <c r="D84" i="10"/>
  <c r="D95" i="10" s="1"/>
  <c r="G77" i="10"/>
  <c r="F77" i="10"/>
  <c r="E77" i="10"/>
  <c r="D77" i="10"/>
  <c r="G76" i="10"/>
  <c r="F76" i="10"/>
  <c r="E76" i="10"/>
  <c r="D76" i="10"/>
  <c r="G75" i="10"/>
  <c r="F75" i="10"/>
  <c r="E75" i="10"/>
  <c r="D75" i="10"/>
  <c r="G74" i="10"/>
  <c r="F74" i="10"/>
  <c r="E74" i="10"/>
  <c r="D74" i="10"/>
  <c r="G73" i="10"/>
  <c r="F73" i="10"/>
  <c r="E73" i="10"/>
  <c r="D73" i="10"/>
  <c r="G72" i="10"/>
  <c r="F72" i="10"/>
  <c r="E72" i="10"/>
  <c r="D72" i="10"/>
  <c r="G71" i="10"/>
  <c r="F71" i="10"/>
  <c r="E71" i="10"/>
  <c r="D71" i="10"/>
  <c r="E67" i="10"/>
  <c r="D67" i="10"/>
  <c r="G66" i="10"/>
  <c r="F66" i="10"/>
  <c r="E66" i="10"/>
  <c r="D66" i="10"/>
  <c r="G65" i="10"/>
  <c r="F65" i="10"/>
  <c r="E65" i="10"/>
  <c r="D65" i="10"/>
  <c r="G64" i="10"/>
  <c r="G63" i="10"/>
  <c r="F63" i="10"/>
  <c r="F68" i="10" s="1"/>
  <c r="E63" i="10"/>
  <c r="E68" i="10" s="1"/>
  <c r="D63" i="10"/>
  <c r="D68" i="10" s="1"/>
  <c r="G62" i="10"/>
  <c r="G68" i="10" s="1"/>
  <c r="G54" i="10"/>
  <c r="F54" i="10"/>
  <c r="E54" i="10"/>
  <c r="D54" i="10"/>
  <c r="G53" i="10"/>
  <c r="F53" i="10"/>
  <c r="E53" i="10"/>
  <c r="D53" i="10"/>
  <c r="G52" i="10"/>
  <c r="G56" i="10" s="1"/>
  <c r="F52" i="10"/>
  <c r="F56" i="10" s="1"/>
  <c r="E52" i="10"/>
  <c r="E56" i="10" s="1"/>
  <c r="D52" i="10"/>
  <c r="D56" i="10" s="1"/>
  <c r="D49" i="10"/>
  <c r="D48" i="10"/>
  <c r="D47" i="10"/>
  <c r="D46" i="10"/>
  <c r="D45" i="10"/>
  <c r="D44" i="10"/>
  <c r="E43" i="10"/>
  <c r="D43" i="10"/>
  <c r="D42" i="10"/>
  <c r="D41" i="10"/>
  <c r="D37" i="10"/>
  <c r="D36" i="10"/>
  <c r="D35" i="10"/>
  <c r="D34" i="10"/>
  <c r="D33" i="10"/>
  <c r="D32" i="10"/>
  <c r="D28" i="10"/>
  <c r="D27" i="10"/>
  <c r="D26" i="10"/>
  <c r="D25" i="10"/>
  <c r="D18" i="10"/>
  <c r="D17" i="10"/>
  <c r="E17" i="10" s="1"/>
  <c r="L16" i="10"/>
  <c r="D16" i="10"/>
  <c r="L15" i="10"/>
  <c r="L17" i="10" s="1"/>
  <c r="D15" i="10"/>
  <c r="M14" i="10"/>
  <c r="D14" i="10"/>
  <c r="L13" i="10"/>
  <c r="D13" i="10"/>
  <c r="D11" i="10"/>
  <c r="H13" i="10" s="1"/>
  <c r="L10" i="10"/>
  <c r="D10" i="10"/>
  <c r="H10" i="10" s="1"/>
  <c r="L9" i="10"/>
  <c r="D9" i="10"/>
  <c r="L8" i="10"/>
  <c r="L11" i="10" s="1"/>
  <c r="L19" i="10" s="1"/>
  <c r="H8" i="10"/>
  <c r="D8" i="10"/>
  <c r="H12" i="10" s="1"/>
  <c r="H24" i="10" s="1"/>
  <c r="D7" i="10"/>
  <c r="AJ40" i="8"/>
  <c r="AI40" i="8"/>
  <c r="AH40" i="8"/>
  <c r="AG40" i="8"/>
  <c r="AF40" i="8"/>
  <c r="AE40" i="8"/>
  <c r="AD40" i="8"/>
  <c r="AC40" i="8"/>
  <c r="AB40" i="8"/>
  <c r="AA40" i="8"/>
  <c r="Z40" i="8"/>
  <c r="Y40" i="8"/>
  <c r="X40" i="8"/>
  <c r="W40" i="8"/>
  <c r="V40" i="8"/>
  <c r="U40" i="8"/>
  <c r="T40" i="8"/>
  <c r="S40" i="8"/>
  <c r="R40" i="8"/>
  <c r="P40" i="8"/>
  <c r="O40" i="8"/>
  <c r="N40" i="8"/>
  <c r="M40" i="8"/>
  <c r="L40" i="8"/>
  <c r="K40" i="8"/>
  <c r="J40" i="8"/>
  <c r="I40" i="8"/>
  <c r="G40" i="8"/>
  <c r="F40" i="8"/>
  <c r="E40"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AJ11" i="8"/>
  <c r="AI11" i="8"/>
  <c r="AH11" i="8"/>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AL241" i="7"/>
  <c r="AM241" i="7" s="1"/>
  <c r="AN241" i="7" s="1"/>
  <c r="AO241" i="7" s="1"/>
  <c r="AP241" i="7" s="1"/>
  <c r="AQ241" i="7" s="1"/>
  <c r="AR241" i="7" s="1"/>
  <c r="AS241" i="7" s="1"/>
  <c r="AT241" i="7" s="1"/>
  <c r="AU241" i="7" s="1"/>
  <c r="AV241" i="7" s="1"/>
  <c r="AW241" i="7" s="1"/>
  <c r="AX241" i="7" s="1"/>
  <c r="AY241" i="7" s="1"/>
  <c r="AZ241" i="7" s="1"/>
  <c r="BA241" i="7" s="1"/>
  <c r="BB241" i="7" s="1"/>
  <c r="BC241" i="7" s="1"/>
  <c r="BD241" i="7" s="1"/>
  <c r="BE241" i="7" s="1"/>
  <c r="AL240" i="7"/>
  <c r="AM240" i="7" s="1"/>
  <c r="AN240" i="7" s="1"/>
  <c r="AO240" i="7" s="1"/>
  <c r="AP240" i="7" s="1"/>
  <c r="AQ240" i="7" s="1"/>
  <c r="AR240" i="7" s="1"/>
  <c r="AS240" i="7" s="1"/>
  <c r="AT240" i="7" s="1"/>
  <c r="AU240" i="7" s="1"/>
  <c r="AV240" i="7" s="1"/>
  <c r="AW240" i="7" s="1"/>
  <c r="AX240" i="7" s="1"/>
  <c r="AY240" i="7" s="1"/>
  <c r="AZ240" i="7" s="1"/>
  <c r="BA240" i="7" s="1"/>
  <c r="BB240" i="7" s="1"/>
  <c r="BC240" i="7" s="1"/>
  <c r="BD240" i="7" s="1"/>
  <c r="BE240" i="7" s="1"/>
  <c r="AK239" i="7"/>
  <c r="AL239" i="7" s="1"/>
  <c r="AM239" i="7" s="1"/>
  <c r="AN239" i="7" s="1"/>
  <c r="AO239" i="7" s="1"/>
  <c r="AP239" i="7" s="1"/>
  <c r="AQ239" i="7" s="1"/>
  <c r="AR239" i="7" s="1"/>
  <c r="AS239" i="7" s="1"/>
  <c r="AT239" i="7" s="1"/>
  <c r="AU239" i="7" s="1"/>
  <c r="AV239" i="7" s="1"/>
  <c r="AW239" i="7" s="1"/>
  <c r="AX239" i="7" s="1"/>
  <c r="AY239" i="7" s="1"/>
  <c r="AZ239" i="7" s="1"/>
  <c r="BA239" i="7" s="1"/>
  <c r="BB239" i="7" s="1"/>
  <c r="BC239" i="7" s="1"/>
  <c r="BD239" i="7" s="1"/>
  <c r="BE239" i="7" s="1"/>
  <c r="AJ239" i="7"/>
  <c r="AI239" i="7"/>
  <c r="AH239" i="7"/>
  <c r="AG239" i="7"/>
  <c r="AF239" i="7"/>
  <c r="AE239" i="7"/>
  <c r="AD239" i="7"/>
  <c r="AC239" i="7"/>
  <c r="AB239" i="7"/>
  <c r="AA239" i="7"/>
  <c r="Z239" i="7"/>
  <c r="Y239" i="7"/>
  <c r="X239" i="7"/>
  <c r="W239" i="7"/>
  <c r="V239" i="7"/>
  <c r="U239" i="7"/>
  <c r="T239" i="7"/>
  <c r="S239" i="7"/>
  <c r="R239" i="7"/>
  <c r="Q239" i="7"/>
  <c r="P239" i="7"/>
  <c r="O239" i="7"/>
  <c r="N239" i="7"/>
  <c r="M239" i="7"/>
  <c r="L239" i="7"/>
  <c r="K239" i="7"/>
  <c r="J239" i="7"/>
  <c r="I239" i="7"/>
  <c r="H239" i="7"/>
  <c r="G239" i="7"/>
  <c r="F239" i="7"/>
  <c r="E239" i="7"/>
  <c r="AL238" i="7"/>
  <c r="AM238" i="7" s="1"/>
  <c r="AN238" i="7" s="1"/>
  <c r="AO238" i="7" s="1"/>
  <c r="AP238" i="7" s="1"/>
  <c r="AQ238" i="7" s="1"/>
  <c r="AR238" i="7" s="1"/>
  <c r="AS238" i="7" s="1"/>
  <c r="AT238" i="7" s="1"/>
  <c r="AU238" i="7" s="1"/>
  <c r="AV238" i="7" s="1"/>
  <c r="AW238" i="7" s="1"/>
  <c r="AX238" i="7" s="1"/>
  <c r="AY238" i="7" s="1"/>
  <c r="AZ238" i="7" s="1"/>
  <c r="BA238" i="7" s="1"/>
  <c r="BB238" i="7" s="1"/>
  <c r="BC238" i="7" s="1"/>
  <c r="BD238" i="7" s="1"/>
  <c r="BE238" i="7" s="1"/>
  <c r="AK237" i="7"/>
  <c r="AL237" i="7" s="1"/>
  <c r="AM237" i="7" s="1"/>
  <c r="AN237" i="7" s="1"/>
  <c r="AO237" i="7" s="1"/>
  <c r="AP237" i="7" s="1"/>
  <c r="AQ237" i="7" s="1"/>
  <c r="AR237" i="7" s="1"/>
  <c r="AS237" i="7" s="1"/>
  <c r="AT237" i="7" s="1"/>
  <c r="AU237" i="7" s="1"/>
  <c r="AV237" i="7" s="1"/>
  <c r="AW237" i="7" s="1"/>
  <c r="AX237" i="7" s="1"/>
  <c r="AY237" i="7" s="1"/>
  <c r="AZ237" i="7" s="1"/>
  <c r="BA237" i="7" s="1"/>
  <c r="BB237" i="7" s="1"/>
  <c r="BC237" i="7" s="1"/>
  <c r="BD237" i="7" s="1"/>
  <c r="BE237" i="7" s="1"/>
  <c r="AJ237" i="7"/>
  <c r="AI237" i="7"/>
  <c r="AH237" i="7"/>
  <c r="AG237" i="7"/>
  <c r="AF237" i="7"/>
  <c r="AE237" i="7"/>
  <c r="AD237" i="7"/>
  <c r="AC237" i="7"/>
  <c r="AB237" i="7"/>
  <c r="AA237" i="7"/>
  <c r="Z237" i="7"/>
  <c r="Y237" i="7"/>
  <c r="X237" i="7"/>
  <c r="W237" i="7"/>
  <c r="V237" i="7"/>
  <c r="U237" i="7"/>
  <c r="T237" i="7"/>
  <c r="S237" i="7"/>
  <c r="R237" i="7"/>
  <c r="Q237" i="7"/>
  <c r="P237" i="7"/>
  <c r="O237" i="7"/>
  <c r="N237" i="7"/>
  <c r="M237" i="7"/>
  <c r="L237" i="7"/>
  <c r="K237" i="7"/>
  <c r="J237" i="7"/>
  <c r="I237" i="7"/>
  <c r="H237" i="7"/>
  <c r="G237" i="7"/>
  <c r="F237" i="7"/>
  <c r="E237" i="7"/>
  <c r="AL236" i="7"/>
  <c r="AM236" i="7" s="1"/>
  <c r="AN236" i="7" s="1"/>
  <c r="AO236" i="7" s="1"/>
  <c r="AP236" i="7" s="1"/>
  <c r="AQ236" i="7" s="1"/>
  <c r="AR236" i="7" s="1"/>
  <c r="AS236" i="7" s="1"/>
  <c r="AT236" i="7" s="1"/>
  <c r="AU236" i="7" s="1"/>
  <c r="AV236" i="7" s="1"/>
  <c r="AW236" i="7" s="1"/>
  <c r="AX236" i="7" s="1"/>
  <c r="AY236" i="7" s="1"/>
  <c r="AZ236" i="7" s="1"/>
  <c r="BA236" i="7" s="1"/>
  <c r="BB236" i="7" s="1"/>
  <c r="BC236" i="7" s="1"/>
  <c r="BD236" i="7" s="1"/>
  <c r="BE236" i="7" s="1"/>
  <c r="AL235" i="7"/>
  <c r="AM235" i="7" s="1"/>
  <c r="AN235" i="7" s="1"/>
  <c r="AO235" i="7" s="1"/>
  <c r="AP235" i="7" s="1"/>
  <c r="AQ235" i="7" s="1"/>
  <c r="AR235" i="7" s="1"/>
  <c r="AS235" i="7" s="1"/>
  <c r="AT235" i="7" s="1"/>
  <c r="AU235" i="7" s="1"/>
  <c r="AV235" i="7" s="1"/>
  <c r="AW235" i="7" s="1"/>
  <c r="AX235" i="7" s="1"/>
  <c r="AY235" i="7" s="1"/>
  <c r="AZ235" i="7" s="1"/>
  <c r="BA235" i="7" s="1"/>
  <c r="BB235" i="7" s="1"/>
  <c r="BC235" i="7" s="1"/>
  <c r="BD235" i="7" s="1"/>
  <c r="BE235" i="7" s="1"/>
  <c r="AL234" i="7"/>
  <c r="AM234" i="7" s="1"/>
  <c r="AN234" i="7" s="1"/>
  <c r="AO234" i="7" s="1"/>
  <c r="AP234" i="7" s="1"/>
  <c r="AQ234" i="7" s="1"/>
  <c r="AR234" i="7" s="1"/>
  <c r="AS234" i="7" s="1"/>
  <c r="AT234" i="7" s="1"/>
  <c r="AU234" i="7" s="1"/>
  <c r="AV234" i="7" s="1"/>
  <c r="AW234" i="7" s="1"/>
  <c r="AX234" i="7" s="1"/>
  <c r="AY234" i="7" s="1"/>
  <c r="AZ234" i="7" s="1"/>
  <c r="BA234" i="7" s="1"/>
  <c r="BB234" i="7" s="1"/>
  <c r="BC234" i="7" s="1"/>
  <c r="BD234" i="7" s="1"/>
  <c r="BE234" i="7" s="1"/>
  <c r="AL231" i="7"/>
  <c r="AM231" i="7" s="1"/>
  <c r="AN231" i="7" s="1"/>
  <c r="AO231" i="7" s="1"/>
  <c r="AP231" i="7" s="1"/>
  <c r="AQ231" i="7" s="1"/>
  <c r="AR231" i="7" s="1"/>
  <c r="AS231" i="7" s="1"/>
  <c r="AT231" i="7" s="1"/>
  <c r="AU231" i="7" s="1"/>
  <c r="AV231" i="7" s="1"/>
  <c r="AW231" i="7" s="1"/>
  <c r="AX231" i="7" s="1"/>
  <c r="AY231" i="7" s="1"/>
  <c r="AZ231" i="7" s="1"/>
  <c r="BA231" i="7" s="1"/>
  <c r="BB231" i="7" s="1"/>
  <c r="BC231" i="7" s="1"/>
  <c r="BD231" i="7" s="1"/>
  <c r="BE231" i="7" s="1"/>
  <c r="AL230" i="7"/>
  <c r="AM230" i="7" s="1"/>
  <c r="AN230" i="7" s="1"/>
  <c r="AO230" i="7" s="1"/>
  <c r="AP230" i="7" s="1"/>
  <c r="AQ230" i="7" s="1"/>
  <c r="AR230" i="7" s="1"/>
  <c r="AS230" i="7" s="1"/>
  <c r="AT230" i="7" s="1"/>
  <c r="AU230" i="7" s="1"/>
  <c r="AV230" i="7" s="1"/>
  <c r="AW230" i="7" s="1"/>
  <c r="AX230" i="7" s="1"/>
  <c r="AY230" i="7" s="1"/>
  <c r="AZ230" i="7" s="1"/>
  <c r="BA230" i="7" s="1"/>
  <c r="BB230" i="7" s="1"/>
  <c r="BC230" i="7" s="1"/>
  <c r="BD230" i="7" s="1"/>
  <c r="BE230" i="7" s="1"/>
  <c r="AL229" i="7"/>
  <c r="AM229" i="7" s="1"/>
  <c r="AN229" i="7" s="1"/>
  <c r="AO229" i="7" s="1"/>
  <c r="AP229" i="7" s="1"/>
  <c r="AQ229" i="7" s="1"/>
  <c r="AR229" i="7" s="1"/>
  <c r="AS229" i="7" s="1"/>
  <c r="AT229" i="7" s="1"/>
  <c r="AU229" i="7" s="1"/>
  <c r="AV229" i="7" s="1"/>
  <c r="AW229" i="7" s="1"/>
  <c r="AX229" i="7" s="1"/>
  <c r="AY229" i="7" s="1"/>
  <c r="AZ229" i="7" s="1"/>
  <c r="BA229" i="7" s="1"/>
  <c r="BB229" i="7" s="1"/>
  <c r="BC229" i="7" s="1"/>
  <c r="BD229" i="7" s="1"/>
  <c r="BE229" i="7" s="1"/>
  <c r="AL226" i="7"/>
  <c r="AM226" i="7" s="1"/>
  <c r="AN226" i="7" s="1"/>
  <c r="AO226" i="7" s="1"/>
  <c r="AP226" i="7" s="1"/>
  <c r="AQ226" i="7" s="1"/>
  <c r="AR226" i="7" s="1"/>
  <c r="AS226" i="7" s="1"/>
  <c r="AT226" i="7" s="1"/>
  <c r="AU226" i="7" s="1"/>
  <c r="AV226" i="7" s="1"/>
  <c r="AW226" i="7" s="1"/>
  <c r="AX226" i="7" s="1"/>
  <c r="AY226" i="7" s="1"/>
  <c r="AZ226" i="7" s="1"/>
  <c r="BA226" i="7" s="1"/>
  <c r="BB226" i="7" s="1"/>
  <c r="BC226" i="7" s="1"/>
  <c r="BD226" i="7" s="1"/>
  <c r="BE226" i="7" s="1"/>
  <c r="AL225" i="7"/>
  <c r="AM225" i="7" s="1"/>
  <c r="AN225" i="7" s="1"/>
  <c r="AO225" i="7" s="1"/>
  <c r="AP225" i="7" s="1"/>
  <c r="AQ225" i="7" s="1"/>
  <c r="AR225" i="7" s="1"/>
  <c r="AS225" i="7" s="1"/>
  <c r="AT225" i="7" s="1"/>
  <c r="AU225" i="7" s="1"/>
  <c r="AV225" i="7" s="1"/>
  <c r="AW225" i="7" s="1"/>
  <c r="AX225" i="7" s="1"/>
  <c r="AY225" i="7" s="1"/>
  <c r="AZ225" i="7" s="1"/>
  <c r="BA225" i="7" s="1"/>
  <c r="BB225" i="7" s="1"/>
  <c r="BC225" i="7" s="1"/>
  <c r="BD225" i="7" s="1"/>
  <c r="BE225" i="7" s="1"/>
  <c r="AK224" i="7"/>
  <c r="AL224" i="7" s="1"/>
  <c r="AM224" i="7" s="1"/>
  <c r="AN224" i="7" s="1"/>
  <c r="AO224" i="7" s="1"/>
  <c r="AP224" i="7" s="1"/>
  <c r="AQ224" i="7" s="1"/>
  <c r="AR224" i="7" s="1"/>
  <c r="AS224" i="7" s="1"/>
  <c r="AT224" i="7" s="1"/>
  <c r="AU224" i="7" s="1"/>
  <c r="AV224" i="7" s="1"/>
  <c r="AW224" i="7" s="1"/>
  <c r="AX224" i="7" s="1"/>
  <c r="AY224" i="7" s="1"/>
  <c r="AZ224" i="7" s="1"/>
  <c r="BA224" i="7" s="1"/>
  <c r="BB224" i="7" s="1"/>
  <c r="BC224" i="7" s="1"/>
  <c r="BD224" i="7" s="1"/>
  <c r="BE224" i="7" s="1"/>
  <c r="AJ224" i="7"/>
  <c r="AI224" i="7"/>
  <c r="AH224" i="7"/>
  <c r="AG224" i="7"/>
  <c r="AF224" i="7"/>
  <c r="AE224" i="7"/>
  <c r="AD224" i="7"/>
  <c r="AC224" i="7"/>
  <c r="AB224" i="7"/>
  <c r="AA224" i="7"/>
  <c r="Z224" i="7"/>
  <c r="Y224" i="7"/>
  <c r="X224" i="7"/>
  <c r="W224" i="7"/>
  <c r="V224" i="7"/>
  <c r="U224" i="7"/>
  <c r="T224" i="7"/>
  <c r="S224" i="7"/>
  <c r="R224" i="7"/>
  <c r="Q224" i="7"/>
  <c r="P224" i="7"/>
  <c r="O224" i="7"/>
  <c r="N224" i="7"/>
  <c r="M224" i="7"/>
  <c r="L224" i="7"/>
  <c r="K224" i="7"/>
  <c r="J224" i="7"/>
  <c r="I224" i="7"/>
  <c r="H224" i="7"/>
  <c r="G224" i="7"/>
  <c r="F224" i="7"/>
  <c r="E224" i="7"/>
  <c r="AL223" i="7"/>
  <c r="AM223" i="7" s="1"/>
  <c r="AN223" i="7" s="1"/>
  <c r="AO223" i="7" s="1"/>
  <c r="AP223" i="7" s="1"/>
  <c r="AQ223" i="7" s="1"/>
  <c r="AR223" i="7" s="1"/>
  <c r="AS223" i="7" s="1"/>
  <c r="AT223" i="7" s="1"/>
  <c r="AU223" i="7" s="1"/>
  <c r="AV223" i="7" s="1"/>
  <c r="AW223" i="7" s="1"/>
  <c r="AX223" i="7" s="1"/>
  <c r="AY223" i="7" s="1"/>
  <c r="AZ223" i="7" s="1"/>
  <c r="BA223" i="7" s="1"/>
  <c r="BB223" i="7" s="1"/>
  <c r="BC223" i="7" s="1"/>
  <c r="BD223" i="7" s="1"/>
  <c r="BE223" i="7" s="1"/>
  <c r="AL221" i="7"/>
  <c r="AM221" i="7" s="1"/>
  <c r="AN221" i="7" s="1"/>
  <c r="AO221" i="7" s="1"/>
  <c r="AP221" i="7" s="1"/>
  <c r="AQ221" i="7" s="1"/>
  <c r="AR221" i="7" s="1"/>
  <c r="AS221" i="7" s="1"/>
  <c r="AT221" i="7" s="1"/>
  <c r="AU221" i="7" s="1"/>
  <c r="AV221" i="7" s="1"/>
  <c r="AW221" i="7" s="1"/>
  <c r="AX221" i="7" s="1"/>
  <c r="AY221" i="7" s="1"/>
  <c r="AZ221" i="7" s="1"/>
  <c r="BA221" i="7" s="1"/>
  <c r="BB221" i="7" s="1"/>
  <c r="BC221" i="7" s="1"/>
  <c r="BD221" i="7" s="1"/>
  <c r="BE221" i="7" s="1"/>
  <c r="AL220" i="7"/>
  <c r="AM220" i="7" s="1"/>
  <c r="AN220" i="7" s="1"/>
  <c r="AO220" i="7" s="1"/>
  <c r="AP220" i="7" s="1"/>
  <c r="AQ220" i="7" s="1"/>
  <c r="AR220" i="7" s="1"/>
  <c r="AS220" i="7" s="1"/>
  <c r="AT220" i="7" s="1"/>
  <c r="AU220" i="7" s="1"/>
  <c r="AV220" i="7" s="1"/>
  <c r="AW220" i="7" s="1"/>
  <c r="AX220" i="7" s="1"/>
  <c r="AY220" i="7" s="1"/>
  <c r="AZ220" i="7" s="1"/>
  <c r="BA220" i="7" s="1"/>
  <c r="BB220" i="7" s="1"/>
  <c r="BC220" i="7" s="1"/>
  <c r="BD220" i="7" s="1"/>
  <c r="BE220" i="7" s="1"/>
  <c r="AL219" i="7"/>
  <c r="AM219" i="7" s="1"/>
  <c r="AN219" i="7" s="1"/>
  <c r="AO219" i="7" s="1"/>
  <c r="AP219" i="7" s="1"/>
  <c r="AQ219" i="7" s="1"/>
  <c r="AR219" i="7" s="1"/>
  <c r="AS219" i="7" s="1"/>
  <c r="AT219" i="7" s="1"/>
  <c r="AU219" i="7" s="1"/>
  <c r="AV219" i="7" s="1"/>
  <c r="AW219" i="7" s="1"/>
  <c r="AX219" i="7" s="1"/>
  <c r="AY219" i="7" s="1"/>
  <c r="AZ219" i="7" s="1"/>
  <c r="BA219" i="7" s="1"/>
  <c r="BB219" i="7" s="1"/>
  <c r="BC219" i="7" s="1"/>
  <c r="BD219" i="7" s="1"/>
  <c r="BE219" i="7" s="1"/>
  <c r="AK218" i="7"/>
  <c r="AL218" i="7" s="1"/>
  <c r="AM218" i="7" s="1"/>
  <c r="AN218" i="7" s="1"/>
  <c r="AO218" i="7" s="1"/>
  <c r="AP218" i="7" s="1"/>
  <c r="AQ218" i="7" s="1"/>
  <c r="AR218" i="7" s="1"/>
  <c r="AS218" i="7" s="1"/>
  <c r="AT218" i="7" s="1"/>
  <c r="AU218" i="7" s="1"/>
  <c r="AV218" i="7" s="1"/>
  <c r="AW218" i="7" s="1"/>
  <c r="AX218" i="7" s="1"/>
  <c r="AY218" i="7" s="1"/>
  <c r="AZ218" i="7" s="1"/>
  <c r="BA218" i="7" s="1"/>
  <c r="BB218" i="7" s="1"/>
  <c r="BC218" i="7" s="1"/>
  <c r="BD218" i="7" s="1"/>
  <c r="BE218" i="7" s="1"/>
  <c r="AJ218" i="7"/>
  <c r="AI218" i="7"/>
  <c r="AH218" i="7"/>
  <c r="AG218" i="7"/>
  <c r="AF218" i="7"/>
  <c r="AE218" i="7"/>
  <c r="AD218" i="7"/>
  <c r="AC218" i="7"/>
  <c r="AB218" i="7"/>
  <c r="AA218" i="7"/>
  <c r="Z218" i="7"/>
  <c r="Y218" i="7"/>
  <c r="X218" i="7"/>
  <c r="W218" i="7"/>
  <c r="V218" i="7"/>
  <c r="U218" i="7"/>
  <c r="T218" i="7"/>
  <c r="S218" i="7"/>
  <c r="R218" i="7"/>
  <c r="Q218" i="7"/>
  <c r="P218" i="7"/>
  <c r="O218" i="7"/>
  <c r="N218" i="7"/>
  <c r="M218" i="7"/>
  <c r="L218" i="7"/>
  <c r="K218" i="7"/>
  <c r="J218" i="7"/>
  <c r="I218" i="7"/>
  <c r="H218" i="7"/>
  <c r="G218" i="7"/>
  <c r="F218" i="7"/>
  <c r="E218" i="7"/>
  <c r="AL217" i="7"/>
  <c r="AM217" i="7" s="1"/>
  <c r="AN217" i="7" s="1"/>
  <c r="AO217" i="7" s="1"/>
  <c r="AP217" i="7" s="1"/>
  <c r="AQ217" i="7" s="1"/>
  <c r="AR217" i="7" s="1"/>
  <c r="AS217" i="7" s="1"/>
  <c r="AT217" i="7" s="1"/>
  <c r="AU217" i="7" s="1"/>
  <c r="AV217" i="7" s="1"/>
  <c r="AW217" i="7" s="1"/>
  <c r="AX217" i="7" s="1"/>
  <c r="AY217" i="7" s="1"/>
  <c r="AZ217" i="7" s="1"/>
  <c r="BA217" i="7" s="1"/>
  <c r="BB217" i="7" s="1"/>
  <c r="BC217" i="7" s="1"/>
  <c r="BD217" i="7" s="1"/>
  <c r="BE217" i="7" s="1"/>
  <c r="AL216" i="7"/>
  <c r="AM216" i="7" s="1"/>
  <c r="AN216" i="7" s="1"/>
  <c r="AO216" i="7" s="1"/>
  <c r="AP216" i="7" s="1"/>
  <c r="AQ216" i="7" s="1"/>
  <c r="AR216" i="7" s="1"/>
  <c r="AS216" i="7" s="1"/>
  <c r="AT216" i="7" s="1"/>
  <c r="AU216" i="7" s="1"/>
  <c r="AV216" i="7" s="1"/>
  <c r="AW216" i="7" s="1"/>
  <c r="AX216" i="7" s="1"/>
  <c r="AY216" i="7" s="1"/>
  <c r="AZ216" i="7" s="1"/>
  <c r="BA216" i="7" s="1"/>
  <c r="BB216" i="7" s="1"/>
  <c r="BC216" i="7" s="1"/>
  <c r="BD216" i="7" s="1"/>
  <c r="BE216" i="7" s="1"/>
  <c r="AL213" i="7"/>
  <c r="AM213" i="7" s="1"/>
  <c r="AN213" i="7" s="1"/>
  <c r="AO213" i="7" s="1"/>
  <c r="AP213" i="7" s="1"/>
  <c r="AQ213" i="7" s="1"/>
  <c r="AR213" i="7" s="1"/>
  <c r="AS213" i="7" s="1"/>
  <c r="AT213" i="7" s="1"/>
  <c r="AU213" i="7" s="1"/>
  <c r="AV213" i="7" s="1"/>
  <c r="AW213" i="7" s="1"/>
  <c r="AX213" i="7" s="1"/>
  <c r="AY213" i="7" s="1"/>
  <c r="AZ213" i="7" s="1"/>
  <c r="BA213" i="7" s="1"/>
  <c r="BB213" i="7" s="1"/>
  <c r="BC213" i="7" s="1"/>
  <c r="BD213" i="7" s="1"/>
  <c r="BE213" i="7" s="1"/>
  <c r="AL210" i="7"/>
  <c r="AM210" i="7" s="1"/>
  <c r="AN210" i="7" s="1"/>
  <c r="AO210" i="7" s="1"/>
  <c r="AP210" i="7" s="1"/>
  <c r="AQ210" i="7" s="1"/>
  <c r="AR210" i="7" s="1"/>
  <c r="AS210" i="7" s="1"/>
  <c r="AT210" i="7" s="1"/>
  <c r="AU210" i="7" s="1"/>
  <c r="AV210" i="7" s="1"/>
  <c r="AW210" i="7" s="1"/>
  <c r="AX210" i="7" s="1"/>
  <c r="AY210" i="7" s="1"/>
  <c r="AZ210" i="7" s="1"/>
  <c r="BA210" i="7" s="1"/>
  <c r="BB210" i="7" s="1"/>
  <c r="BC210" i="7" s="1"/>
  <c r="BD210" i="7" s="1"/>
  <c r="BE210" i="7" s="1"/>
  <c r="AL209" i="7"/>
  <c r="AM209" i="7" s="1"/>
  <c r="AN209" i="7" s="1"/>
  <c r="AO209" i="7" s="1"/>
  <c r="AP209" i="7" s="1"/>
  <c r="AQ209" i="7" s="1"/>
  <c r="AR209" i="7" s="1"/>
  <c r="AS209" i="7" s="1"/>
  <c r="AT209" i="7" s="1"/>
  <c r="AU209" i="7" s="1"/>
  <c r="AV209" i="7" s="1"/>
  <c r="AW209" i="7" s="1"/>
  <c r="AX209" i="7" s="1"/>
  <c r="AY209" i="7" s="1"/>
  <c r="AZ209" i="7" s="1"/>
  <c r="BA209" i="7" s="1"/>
  <c r="BB209" i="7" s="1"/>
  <c r="BC209" i="7" s="1"/>
  <c r="BD209" i="7" s="1"/>
  <c r="BE209" i="7" s="1"/>
  <c r="AL208" i="7"/>
  <c r="AM208" i="7" s="1"/>
  <c r="AN208" i="7" s="1"/>
  <c r="AO208" i="7" s="1"/>
  <c r="AP208" i="7" s="1"/>
  <c r="AQ208" i="7" s="1"/>
  <c r="AR208" i="7" s="1"/>
  <c r="AS208" i="7" s="1"/>
  <c r="AT208" i="7" s="1"/>
  <c r="AU208" i="7" s="1"/>
  <c r="AV208" i="7" s="1"/>
  <c r="AW208" i="7" s="1"/>
  <c r="AX208" i="7" s="1"/>
  <c r="AY208" i="7" s="1"/>
  <c r="AZ208" i="7" s="1"/>
  <c r="BA208" i="7" s="1"/>
  <c r="BB208" i="7" s="1"/>
  <c r="BC208" i="7" s="1"/>
  <c r="BD208" i="7" s="1"/>
  <c r="BE208" i="7" s="1"/>
  <c r="AL207" i="7"/>
  <c r="AM207" i="7" s="1"/>
  <c r="AN207" i="7" s="1"/>
  <c r="AO207" i="7" s="1"/>
  <c r="AP207" i="7" s="1"/>
  <c r="AQ207" i="7" s="1"/>
  <c r="AR207" i="7" s="1"/>
  <c r="AS207" i="7" s="1"/>
  <c r="AT207" i="7" s="1"/>
  <c r="AU207" i="7" s="1"/>
  <c r="AV207" i="7" s="1"/>
  <c r="AW207" i="7" s="1"/>
  <c r="AX207" i="7" s="1"/>
  <c r="AY207" i="7" s="1"/>
  <c r="AZ207" i="7" s="1"/>
  <c r="BA207" i="7" s="1"/>
  <c r="BB207" i="7" s="1"/>
  <c r="BC207" i="7" s="1"/>
  <c r="BD207" i="7" s="1"/>
  <c r="BE207" i="7" s="1"/>
  <c r="AL206" i="7"/>
  <c r="AM206" i="7" s="1"/>
  <c r="AN206" i="7" s="1"/>
  <c r="AO206" i="7" s="1"/>
  <c r="AP206" i="7" s="1"/>
  <c r="AQ206" i="7" s="1"/>
  <c r="AR206" i="7" s="1"/>
  <c r="AS206" i="7" s="1"/>
  <c r="AT206" i="7" s="1"/>
  <c r="AU206" i="7" s="1"/>
  <c r="AV206" i="7" s="1"/>
  <c r="AW206" i="7" s="1"/>
  <c r="AX206" i="7" s="1"/>
  <c r="AY206" i="7" s="1"/>
  <c r="AZ206" i="7" s="1"/>
  <c r="BA206" i="7" s="1"/>
  <c r="BB206" i="7" s="1"/>
  <c r="BC206" i="7" s="1"/>
  <c r="BD206" i="7" s="1"/>
  <c r="BE206" i="7" s="1"/>
  <c r="AL205" i="7"/>
  <c r="AM205" i="7" s="1"/>
  <c r="AN205" i="7" s="1"/>
  <c r="AO205" i="7" s="1"/>
  <c r="AP205" i="7" s="1"/>
  <c r="AQ205" i="7" s="1"/>
  <c r="AR205" i="7" s="1"/>
  <c r="AS205" i="7" s="1"/>
  <c r="AT205" i="7" s="1"/>
  <c r="AU205" i="7" s="1"/>
  <c r="AV205" i="7" s="1"/>
  <c r="AW205" i="7" s="1"/>
  <c r="AX205" i="7" s="1"/>
  <c r="AY205" i="7" s="1"/>
  <c r="AZ205" i="7" s="1"/>
  <c r="BA205" i="7" s="1"/>
  <c r="BB205" i="7" s="1"/>
  <c r="BC205" i="7" s="1"/>
  <c r="BD205" i="7" s="1"/>
  <c r="BE205" i="7" s="1"/>
  <c r="AL204" i="7"/>
  <c r="AM204" i="7" s="1"/>
  <c r="AN204" i="7" s="1"/>
  <c r="AO204" i="7" s="1"/>
  <c r="AP204" i="7" s="1"/>
  <c r="AQ204" i="7" s="1"/>
  <c r="AR204" i="7" s="1"/>
  <c r="AS204" i="7" s="1"/>
  <c r="AT204" i="7" s="1"/>
  <c r="AU204" i="7" s="1"/>
  <c r="AV204" i="7" s="1"/>
  <c r="AW204" i="7" s="1"/>
  <c r="AX204" i="7" s="1"/>
  <c r="AY204" i="7" s="1"/>
  <c r="AZ204" i="7" s="1"/>
  <c r="BA204" i="7" s="1"/>
  <c r="BB204" i="7" s="1"/>
  <c r="BC204" i="7" s="1"/>
  <c r="BD204" i="7" s="1"/>
  <c r="BE204" i="7" s="1"/>
  <c r="AL203" i="7"/>
  <c r="AM203" i="7" s="1"/>
  <c r="AN203" i="7" s="1"/>
  <c r="AO203" i="7" s="1"/>
  <c r="AP203" i="7" s="1"/>
  <c r="AQ203" i="7" s="1"/>
  <c r="AR203" i="7" s="1"/>
  <c r="AS203" i="7" s="1"/>
  <c r="AT203" i="7" s="1"/>
  <c r="AU203" i="7" s="1"/>
  <c r="AV203" i="7" s="1"/>
  <c r="AW203" i="7" s="1"/>
  <c r="AX203" i="7" s="1"/>
  <c r="AY203" i="7" s="1"/>
  <c r="AZ203" i="7" s="1"/>
  <c r="BA203" i="7" s="1"/>
  <c r="BB203" i="7" s="1"/>
  <c r="BC203" i="7" s="1"/>
  <c r="BD203" i="7" s="1"/>
  <c r="BE203" i="7" s="1"/>
  <c r="AK202" i="7"/>
  <c r="AL202" i="7" s="1"/>
  <c r="AM202" i="7" s="1"/>
  <c r="AN202" i="7" s="1"/>
  <c r="AO202" i="7" s="1"/>
  <c r="AP202" i="7" s="1"/>
  <c r="AQ202" i="7" s="1"/>
  <c r="AR202" i="7" s="1"/>
  <c r="AS202" i="7" s="1"/>
  <c r="AT202" i="7" s="1"/>
  <c r="AU202" i="7" s="1"/>
  <c r="AV202" i="7" s="1"/>
  <c r="AW202" i="7" s="1"/>
  <c r="AX202" i="7" s="1"/>
  <c r="AY202" i="7" s="1"/>
  <c r="AZ202" i="7" s="1"/>
  <c r="BA202" i="7" s="1"/>
  <c r="BB202" i="7" s="1"/>
  <c r="BC202" i="7" s="1"/>
  <c r="BD202" i="7" s="1"/>
  <c r="BE202" i="7" s="1"/>
  <c r="AJ202" i="7"/>
  <c r="AI202" i="7"/>
  <c r="AH202" i="7"/>
  <c r="AG202" i="7"/>
  <c r="AF202" i="7"/>
  <c r="AE202" i="7"/>
  <c r="AD202" i="7"/>
  <c r="AC202" i="7"/>
  <c r="AB202" i="7"/>
  <c r="AA202" i="7"/>
  <c r="Z202" i="7"/>
  <c r="Y202" i="7"/>
  <c r="X202" i="7"/>
  <c r="W202" i="7"/>
  <c r="V202" i="7"/>
  <c r="U202" i="7"/>
  <c r="T202" i="7"/>
  <c r="S202" i="7"/>
  <c r="R202" i="7"/>
  <c r="Q202" i="7"/>
  <c r="P202" i="7"/>
  <c r="O202" i="7"/>
  <c r="N202" i="7"/>
  <c r="M202" i="7"/>
  <c r="L202" i="7"/>
  <c r="K202" i="7"/>
  <c r="J202" i="7"/>
  <c r="I202" i="7"/>
  <c r="H202" i="7"/>
  <c r="G202" i="7"/>
  <c r="F202" i="7"/>
  <c r="E202" i="7"/>
  <c r="AK201" i="7"/>
  <c r="AL201" i="7" s="1"/>
  <c r="AM201" i="7" s="1"/>
  <c r="AN201" i="7" s="1"/>
  <c r="AO201" i="7" s="1"/>
  <c r="AP201" i="7" s="1"/>
  <c r="AQ201" i="7" s="1"/>
  <c r="AR201" i="7" s="1"/>
  <c r="AS201" i="7" s="1"/>
  <c r="AT201" i="7" s="1"/>
  <c r="AU201" i="7" s="1"/>
  <c r="AV201" i="7" s="1"/>
  <c r="AW201" i="7" s="1"/>
  <c r="AX201" i="7" s="1"/>
  <c r="AY201" i="7" s="1"/>
  <c r="AZ201" i="7" s="1"/>
  <c r="BA201" i="7" s="1"/>
  <c r="BB201" i="7" s="1"/>
  <c r="BC201" i="7" s="1"/>
  <c r="BD201" i="7" s="1"/>
  <c r="BE201" i="7" s="1"/>
  <c r="AJ201" i="7"/>
  <c r="AI201" i="7"/>
  <c r="AH201" i="7"/>
  <c r="AG201" i="7"/>
  <c r="AF201" i="7"/>
  <c r="AE201" i="7"/>
  <c r="AD201" i="7"/>
  <c r="AC201" i="7"/>
  <c r="AB201" i="7"/>
  <c r="AA201" i="7"/>
  <c r="Z201" i="7"/>
  <c r="Y201" i="7"/>
  <c r="X201" i="7"/>
  <c r="W201" i="7"/>
  <c r="V201" i="7"/>
  <c r="U201" i="7"/>
  <c r="T201" i="7"/>
  <c r="S201" i="7"/>
  <c r="R201" i="7"/>
  <c r="Q201" i="7"/>
  <c r="P201" i="7"/>
  <c r="O201" i="7"/>
  <c r="N201" i="7"/>
  <c r="M201" i="7"/>
  <c r="L201" i="7"/>
  <c r="K201" i="7"/>
  <c r="J201" i="7"/>
  <c r="I201" i="7"/>
  <c r="H201" i="7"/>
  <c r="G201" i="7"/>
  <c r="F201" i="7"/>
  <c r="E201" i="7"/>
  <c r="AL200" i="7"/>
  <c r="AM200" i="7" s="1"/>
  <c r="AN200" i="7" s="1"/>
  <c r="AO200" i="7" s="1"/>
  <c r="AP200" i="7" s="1"/>
  <c r="AQ200" i="7" s="1"/>
  <c r="AR200" i="7" s="1"/>
  <c r="AS200" i="7" s="1"/>
  <c r="AT200" i="7" s="1"/>
  <c r="AU200" i="7" s="1"/>
  <c r="AV200" i="7" s="1"/>
  <c r="AW200" i="7" s="1"/>
  <c r="AX200" i="7" s="1"/>
  <c r="AY200" i="7" s="1"/>
  <c r="AZ200" i="7" s="1"/>
  <c r="BA200" i="7" s="1"/>
  <c r="BB200" i="7" s="1"/>
  <c r="BC200" i="7" s="1"/>
  <c r="BD200" i="7" s="1"/>
  <c r="BE200" i="7" s="1"/>
  <c r="AK199" i="7"/>
  <c r="AJ199" i="7"/>
  <c r="AJ233" i="7" s="1"/>
  <c r="AI199" i="7"/>
  <c r="AI233" i="7" s="1"/>
  <c r="AH199" i="7"/>
  <c r="AH233" i="7" s="1"/>
  <c r="AG199" i="7"/>
  <c r="AG233" i="7" s="1"/>
  <c r="AF199" i="7"/>
  <c r="AF233" i="7" s="1"/>
  <c r="AE199" i="7"/>
  <c r="AE233" i="7" s="1"/>
  <c r="AD199" i="7"/>
  <c r="AD233" i="7" s="1"/>
  <c r="AC199" i="7"/>
  <c r="AC233" i="7" s="1"/>
  <c r="AB199" i="7"/>
  <c r="AB233" i="7" s="1"/>
  <c r="AA199" i="7"/>
  <c r="AA233" i="7" s="1"/>
  <c r="Z199" i="7"/>
  <c r="Z233" i="7" s="1"/>
  <c r="Y199" i="7"/>
  <c r="Y233" i="7" s="1"/>
  <c r="X199" i="7"/>
  <c r="X233" i="7" s="1"/>
  <c r="W199" i="7"/>
  <c r="W233" i="7" s="1"/>
  <c r="V199" i="7"/>
  <c r="V233" i="7" s="1"/>
  <c r="U199" i="7"/>
  <c r="U233" i="7" s="1"/>
  <c r="T199" i="7"/>
  <c r="T233" i="7" s="1"/>
  <c r="S199" i="7"/>
  <c r="S233" i="7" s="1"/>
  <c r="R199" i="7"/>
  <c r="R233" i="7" s="1"/>
  <c r="Q199" i="7"/>
  <c r="Q233" i="7" s="1"/>
  <c r="P199" i="7"/>
  <c r="P233" i="7" s="1"/>
  <c r="O199" i="7"/>
  <c r="O233" i="7" s="1"/>
  <c r="N199" i="7"/>
  <c r="N233" i="7" s="1"/>
  <c r="M199" i="7"/>
  <c r="M233" i="7" s="1"/>
  <c r="L199" i="7"/>
  <c r="L233" i="7" s="1"/>
  <c r="K199" i="7"/>
  <c r="K233" i="7" s="1"/>
  <c r="J199" i="7"/>
  <c r="J233" i="7" s="1"/>
  <c r="I199" i="7"/>
  <c r="I233" i="7" s="1"/>
  <c r="H199" i="7"/>
  <c r="H233" i="7" s="1"/>
  <c r="G199" i="7"/>
  <c r="G233" i="7" s="1"/>
  <c r="F199" i="7"/>
  <c r="F233" i="7" s="1"/>
  <c r="E199" i="7"/>
  <c r="E233" i="7" s="1"/>
  <c r="AK198" i="7"/>
  <c r="AJ198" i="7"/>
  <c r="AJ232" i="7" s="1"/>
  <c r="AI198" i="7"/>
  <c r="AI232" i="7" s="1"/>
  <c r="AH198" i="7"/>
  <c r="AH232" i="7" s="1"/>
  <c r="AG198" i="7"/>
  <c r="AG232" i="7" s="1"/>
  <c r="AF198" i="7"/>
  <c r="AF232" i="7" s="1"/>
  <c r="AE198" i="7"/>
  <c r="AE232" i="7" s="1"/>
  <c r="AD198" i="7"/>
  <c r="AD232" i="7" s="1"/>
  <c r="AC198" i="7"/>
  <c r="AC232" i="7" s="1"/>
  <c r="AB198" i="7"/>
  <c r="AB232" i="7" s="1"/>
  <c r="AA198" i="7"/>
  <c r="AA232" i="7" s="1"/>
  <c r="Z198" i="7"/>
  <c r="Z232" i="7" s="1"/>
  <c r="Y198" i="7"/>
  <c r="Y232" i="7" s="1"/>
  <c r="X198" i="7"/>
  <c r="X232" i="7" s="1"/>
  <c r="W198" i="7"/>
  <c r="W232" i="7" s="1"/>
  <c r="V198" i="7"/>
  <c r="V232" i="7" s="1"/>
  <c r="U198" i="7"/>
  <c r="U232" i="7" s="1"/>
  <c r="T198" i="7"/>
  <c r="T232" i="7" s="1"/>
  <c r="S198" i="7"/>
  <c r="S232" i="7" s="1"/>
  <c r="R198" i="7"/>
  <c r="R232" i="7" s="1"/>
  <c r="Q198" i="7"/>
  <c r="Q232" i="7" s="1"/>
  <c r="P198" i="7"/>
  <c r="P232" i="7" s="1"/>
  <c r="O198" i="7"/>
  <c r="O232" i="7" s="1"/>
  <c r="N198" i="7"/>
  <c r="N232" i="7" s="1"/>
  <c r="M198" i="7"/>
  <c r="M232" i="7" s="1"/>
  <c r="L198" i="7"/>
  <c r="L232" i="7" s="1"/>
  <c r="K198" i="7"/>
  <c r="K232" i="7" s="1"/>
  <c r="J198" i="7"/>
  <c r="J232" i="7" s="1"/>
  <c r="I198" i="7"/>
  <c r="I232" i="7" s="1"/>
  <c r="H198" i="7"/>
  <c r="H232" i="7" s="1"/>
  <c r="G198" i="7"/>
  <c r="G232" i="7" s="1"/>
  <c r="F198" i="7"/>
  <c r="F232" i="7" s="1"/>
  <c r="E198" i="7"/>
  <c r="E232" i="7" s="1"/>
  <c r="AL197" i="7"/>
  <c r="AM197" i="7" s="1"/>
  <c r="AN197" i="7" s="1"/>
  <c r="AO197" i="7" s="1"/>
  <c r="AP197" i="7" s="1"/>
  <c r="AQ197" i="7" s="1"/>
  <c r="AR197" i="7" s="1"/>
  <c r="AS197" i="7" s="1"/>
  <c r="AT197" i="7" s="1"/>
  <c r="AU197" i="7" s="1"/>
  <c r="AV197" i="7" s="1"/>
  <c r="AW197" i="7" s="1"/>
  <c r="AX197" i="7" s="1"/>
  <c r="AY197" i="7" s="1"/>
  <c r="AZ197" i="7" s="1"/>
  <c r="BA197" i="7" s="1"/>
  <c r="BB197" i="7" s="1"/>
  <c r="BC197" i="7" s="1"/>
  <c r="BD197" i="7" s="1"/>
  <c r="BE197" i="7" s="1"/>
  <c r="AL196" i="7"/>
  <c r="AM196" i="7" s="1"/>
  <c r="AN196" i="7" s="1"/>
  <c r="AO196" i="7" s="1"/>
  <c r="AP196" i="7" s="1"/>
  <c r="AQ196" i="7" s="1"/>
  <c r="AR196" i="7" s="1"/>
  <c r="AS196" i="7" s="1"/>
  <c r="AT196" i="7" s="1"/>
  <c r="AU196" i="7" s="1"/>
  <c r="AV196" i="7" s="1"/>
  <c r="AW196" i="7" s="1"/>
  <c r="AX196" i="7" s="1"/>
  <c r="AY196" i="7" s="1"/>
  <c r="AZ196" i="7" s="1"/>
  <c r="BA196" i="7" s="1"/>
  <c r="BB196" i="7" s="1"/>
  <c r="BC196" i="7" s="1"/>
  <c r="BD196" i="7" s="1"/>
  <c r="BE196" i="7" s="1"/>
  <c r="AK194" i="7"/>
  <c r="AJ194" i="7"/>
  <c r="AI194" i="7"/>
  <c r="AH194" i="7"/>
  <c r="AG194" i="7"/>
  <c r="AF194" i="7"/>
  <c r="AE194" i="7"/>
  <c r="AD194" i="7"/>
  <c r="AC194" i="7"/>
  <c r="AB194" i="7"/>
  <c r="AA194" i="7"/>
  <c r="Z194" i="7"/>
  <c r="Y194" i="7"/>
  <c r="X194" i="7"/>
  <c r="W194" i="7"/>
  <c r="V194" i="7"/>
  <c r="U194" i="7"/>
  <c r="T194" i="7"/>
  <c r="S194" i="7"/>
  <c r="R194" i="7"/>
  <c r="Q194" i="7"/>
  <c r="P194" i="7"/>
  <c r="O194" i="7"/>
  <c r="N194" i="7"/>
  <c r="M194" i="7"/>
  <c r="L194" i="7"/>
  <c r="K194" i="7"/>
  <c r="J194" i="7"/>
  <c r="I194" i="7"/>
  <c r="H194" i="7"/>
  <c r="G194" i="7"/>
  <c r="F194" i="7"/>
  <c r="E194" i="7"/>
  <c r="AK193" i="7"/>
  <c r="AJ193" i="7"/>
  <c r="AI193" i="7"/>
  <c r="AH193" i="7"/>
  <c r="AG193" i="7"/>
  <c r="AF193" i="7"/>
  <c r="AE193" i="7"/>
  <c r="AD193" i="7"/>
  <c r="AC193" i="7"/>
  <c r="AB193" i="7"/>
  <c r="AA193" i="7"/>
  <c r="Z193" i="7"/>
  <c r="Y193" i="7"/>
  <c r="X193" i="7"/>
  <c r="W193" i="7"/>
  <c r="V193" i="7"/>
  <c r="U193" i="7"/>
  <c r="T193" i="7"/>
  <c r="S193" i="7"/>
  <c r="R193" i="7"/>
  <c r="Q193" i="7"/>
  <c r="P193" i="7"/>
  <c r="O193" i="7"/>
  <c r="N193" i="7"/>
  <c r="M193" i="7"/>
  <c r="L193" i="7"/>
  <c r="K193" i="7"/>
  <c r="J193" i="7"/>
  <c r="I193" i="7"/>
  <c r="H193" i="7"/>
  <c r="G193" i="7"/>
  <c r="F193" i="7"/>
  <c r="E193" i="7"/>
  <c r="AL192" i="7"/>
  <c r="AM192" i="7" s="1"/>
  <c r="AN192" i="7" s="1"/>
  <c r="AO192" i="7" s="1"/>
  <c r="AP192" i="7" s="1"/>
  <c r="AQ192" i="7" s="1"/>
  <c r="AR192" i="7" s="1"/>
  <c r="AS192" i="7" s="1"/>
  <c r="AT192" i="7" s="1"/>
  <c r="AU192" i="7" s="1"/>
  <c r="AV192" i="7" s="1"/>
  <c r="AW192" i="7" s="1"/>
  <c r="AX192" i="7" s="1"/>
  <c r="AY192" i="7" s="1"/>
  <c r="AZ192" i="7" s="1"/>
  <c r="BA192" i="7" s="1"/>
  <c r="BB192" i="7" s="1"/>
  <c r="BC192" i="7" s="1"/>
  <c r="BD192" i="7" s="1"/>
  <c r="BE192" i="7" s="1"/>
  <c r="AL191" i="7"/>
  <c r="AM191" i="7" s="1"/>
  <c r="AN191" i="7" s="1"/>
  <c r="AO191" i="7" s="1"/>
  <c r="AP191" i="7" s="1"/>
  <c r="AQ191" i="7" s="1"/>
  <c r="AR191" i="7" s="1"/>
  <c r="AS191" i="7" s="1"/>
  <c r="AT191" i="7" s="1"/>
  <c r="AU191" i="7" s="1"/>
  <c r="AV191" i="7" s="1"/>
  <c r="AW191" i="7" s="1"/>
  <c r="AX191" i="7" s="1"/>
  <c r="AY191" i="7" s="1"/>
  <c r="AZ191" i="7" s="1"/>
  <c r="BA191" i="7" s="1"/>
  <c r="BB191" i="7" s="1"/>
  <c r="BC191" i="7" s="1"/>
  <c r="BD191" i="7" s="1"/>
  <c r="BE191" i="7" s="1"/>
  <c r="AL190" i="7"/>
  <c r="AM190" i="7" s="1"/>
  <c r="AN190" i="7" s="1"/>
  <c r="AO190" i="7" s="1"/>
  <c r="AP190" i="7" s="1"/>
  <c r="AQ190" i="7" s="1"/>
  <c r="AR190" i="7" s="1"/>
  <c r="AS190" i="7" s="1"/>
  <c r="AT190" i="7" s="1"/>
  <c r="AU190" i="7" s="1"/>
  <c r="AV190" i="7" s="1"/>
  <c r="AW190" i="7" s="1"/>
  <c r="AX190" i="7" s="1"/>
  <c r="AY190" i="7" s="1"/>
  <c r="AZ190" i="7" s="1"/>
  <c r="BA190" i="7" s="1"/>
  <c r="BB190" i="7" s="1"/>
  <c r="BC190" i="7" s="1"/>
  <c r="BD190" i="7" s="1"/>
  <c r="BE190" i="7" s="1"/>
  <c r="AK189" i="7"/>
  <c r="AL189" i="7" s="1"/>
  <c r="AM189" i="7" s="1"/>
  <c r="AN189" i="7" s="1"/>
  <c r="AO189" i="7" s="1"/>
  <c r="AP189" i="7" s="1"/>
  <c r="AQ189" i="7" s="1"/>
  <c r="AR189" i="7" s="1"/>
  <c r="AS189" i="7" s="1"/>
  <c r="AT189" i="7" s="1"/>
  <c r="AU189" i="7" s="1"/>
  <c r="AV189" i="7" s="1"/>
  <c r="AW189" i="7" s="1"/>
  <c r="AX189" i="7" s="1"/>
  <c r="AY189" i="7" s="1"/>
  <c r="AZ189" i="7" s="1"/>
  <c r="BA189" i="7" s="1"/>
  <c r="BB189" i="7" s="1"/>
  <c r="BC189" i="7" s="1"/>
  <c r="BD189" i="7" s="1"/>
  <c r="BE189" i="7" s="1"/>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E189" i="7"/>
  <c r="AK188" i="7"/>
  <c r="AL188" i="7" s="1"/>
  <c r="AM188" i="7" s="1"/>
  <c r="AN188" i="7" s="1"/>
  <c r="AO188" i="7" s="1"/>
  <c r="AP188" i="7" s="1"/>
  <c r="AQ188" i="7" s="1"/>
  <c r="AR188" i="7" s="1"/>
  <c r="AS188" i="7" s="1"/>
  <c r="AT188" i="7" s="1"/>
  <c r="AU188" i="7" s="1"/>
  <c r="AV188" i="7" s="1"/>
  <c r="AW188" i="7" s="1"/>
  <c r="AX188" i="7" s="1"/>
  <c r="AY188" i="7" s="1"/>
  <c r="AZ188" i="7" s="1"/>
  <c r="BA188" i="7" s="1"/>
  <c r="BB188" i="7" s="1"/>
  <c r="BC188" i="7" s="1"/>
  <c r="BD188" i="7" s="1"/>
  <c r="BE188" i="7" s="1"/>
  <c r="AJ188" i="7"/>
  <c r="AI188" i="7"/>
  <c r="AH188" i="7"/>
  <c r="AG188" i="7"/>
  <c r="AF188" i="7"/>
  <c r="AE188" i="7"/>
  <c r="AD188" i="7"/>
  <c r="AC188" i="7"/>
  <c r="AB188" i="7"/>
  <c r="AA188" i="7"/>
  <c r="Z188" i="7"/>
  <c r="Y188" i="7"/>
  <c r="X188" i="7"/>
  <c r="W188" i="7"/>
  <c r="V188" i="7"/>
  <c r="U188" i="7"/>
  <c r="T188" i="7"/>
  <c r="S188" i="7"/>
  <c r="R188" i="7"/>
  <c r="Q188" i="7"/>
  <c r="P188" i="7"/>
  <c r="O188" i="7"/>
  <c r="N188" i="7"/>
  <c r="M188" i="7"/>
  <c r="L188" i="7"/>
  <c r="K188" i="7"/>
  <c r="J188" i="7"/>
  <c r="I188" i="7"/>
  <c r="H188" i="7"/>
  <c r="G188" i="7"/>
  <c r="F188" i="7"/>
  <c r="E188" i="7"/>
  <c r="AK187" i="7"/>
  <c r="AJ187" i="7"/>
  <c r="AI187" i="7"/>
  <c r="AH187" i="7"/>
  <c r="AG187" i="7"/>
  <c r="AF187" i="7"/>
  <c r="AE187" i="7"/>
  <c r="AD187" i="7"/>
  <c r="AC187" i="7"/>
  <c r="AB187" i="7"/>
  <c r="AA187" i="7"/>
  <c r="Z187" i="7"/>
  <c r="Y187" i="7"/>
  <c r="X187" i="7"/>
  <c r="W187" i="7"/>
  <c r="V187" i="7"/>
  <c r="U187" i="7"/>
  <c r="T187" i="7"/>
  <c r="S187" i="7"/>
  <c r="R187" i="7"/>
  <c r="Q187" i="7"/>
  <c r="P187" i="7"/>
  <c r="O187" i="7"/>
  <c r="N187" i="7"/>
  <c r="M187" i="7"/>
  <c r="L187" i="7"/>
  <c r="K187" i="7"/>
  <c r="J187" i="7"/>
  <c r="I187" i="7"/>
  <c r="H187" i="7"/>
  <c r="G187" i="7"/>
  <c r="F187" i="7"/>
  <c r="E187" i="7"/>
  <c r="AK186" i="7"/>
  <c r="AL186" i="7" s="1"/>
  <c r="AM186" i="7" s="1"/>
  <c r="AN186" i="7" s="1"/>
  <c r="AO186" i="7" s="1"/>
  <c r="AP186" i="7" s="1"/>
  <c r="AQ186" i="7" s="1"/>
  <c r="AR186" i="7" s="1"/>
  <c r="AS186" i="7" s="1"/>
  <c r="AT186" i="7" s="1"/>
  <c r="AU186" i="7" s="1"/>
  <c r="AV186" i="7" s="1"/>
  <c r="AW186" i="7" s="1"/>
  <c r="AX186" i="7" s="1"/>
  <c r="AY186" i="7" s="1"/>
  <c r="AZ186" i="7" s="1"/>
  <c r="BA186" i="7" s="1"/>
  <c r="BB186" i="7" s="1"/>
  <c r="BC186" i="7" s="1"/>
  <c r="BD186" i="7" s="1"/>
  <c r="BE186" i="7" s="1"/>
  <c r="AJ186" i="7"/>
  <c r="AI186" i="7"/>
  <c r="AH186" i="7"/>
  <c r="AG186" i="7"/>
  <c r="AF186" i="7"/>
  <c r="AE186" i="7"/>
  <c r="AD186" i="7"/>
  <c r="AC186" i="7"/>
  <c r="AB186" i="7"/>
  <c r="AA186" i="7"/>
  <c r="Z186" i="7"/>
  <c r="Y186" i="7"/>
  <c r="X186" i="7"/>
  <c r="W186" i="7"/>
  <c r="V186" i="7"/>
  <c r="U186" i="7"/>
  <c r="T186" i="7"/>
  <c r="S186" i="7"/>
  <c r="R186" i="7"/>
  <c r="Q186" i="7"/>
  <c r="P186" i="7"/>
  <c r="O186" i="7"/>
  <c r="N186" i="7"/>
  <c r="M186" i="7"/>
  <c r="L186" i="7"/>
  <c r="K186" i="7"/>
  <c r="J186" i="7"/>
  <c r="I186" i="7"/>
  <c r="H186" i="7"/>
  <c r="G186" i="7"/>
  <c r="F186" i="7"/>
  <c r="E186" i="7"/>
  <c r="AK185" i="7"/>
  <c r="AL185" i="7" s="1"/>
  <c r="AM185" i="7" s="1"/>
  <c r="AN185" i="7" s="1"/>
  <c r="AO185" i="7" s="1"/>
  <c r="AP185" i="7" s="1"/>
  <c r="AQ185" i="7" s="1"/>
  <c r="AR185" i="7" s="1"/>
  <c r="AS185" i="7" s="1"/>
  <c r="AT185" i="7" s="1"/>
  <c r="AU185" i="7" s="1"/>
  <c r="AV185" i="7" s="1"/>
  <c r="AW185" i="7" s="1"/>
  <c r="AX185" i="7" s="1"/>
  <c r="AY185" i="7" s="1"/>
  <c r="AZ185" i="7" s="1"/>
  <c r="BA185" i="7" s="1"/>
  <c r="BB185" i="7" s="1"/>
  <c r="BC185" i="7" s="1"/>
  <c r="BD185" i="7" s="1"/>
  <c r="BE185" i="7" s="1"/>
  <c r="AJ185" i="7"/>
  <c r="AI185" i="7"/>
  <c r="AH185" i="7"/>
  <c r="AG185" i="7"/>
  <c r="AF185" i="7"/>
  <c r="AE185" i="7"/>
  <c r="AD185" i="7"/>
  <c r="AC185" i="7"/>
  <c r="AB185" i="7"/>
  <c r="AA185" i="7"/>
  <c r="Z185" i="7"/>
  <c r="Y185" i="7"/>
  <c r="X185" i="7"/>
  <c r="W185" i="7"/>
  <c r="V185" i="7"/>
  <c r="U185" i="7"/>
  <c r="T185" i="7"/>
  <c r="S185" i="7"/>
  <c r="R185" i="7"/>
  <c r="Q185" i="7"/>
  <c r="P185" i="7"/>
  <c r="O185" i="7"/>
  <c r="N185" i="7"/>
  <c r="M185" i="7"/>
  <c r="L185" i="7"/>
  <c r="K185" i="7"/>
  <c r="J185" i="7"/>
  <c r="I185" i="7"/>
  <c r="H185" i="7"/>
  <c r="G185" i="7"/>
  <c r="F185" i="7"/>
  <c r="E185" i="7"/>
  <c r="AK184" i="7"/>
  <c r="AJ184" i="7"/>
  <c r="AI184" i="7"/>
  <c r="AH184" i="7"/>
  <c r="AG184" i="7"/>
  <c r="AF184" i="7"/>
  <c r="AE184" i="7"/>
  <c r="AD184" i="7"/>
  <c r="AC184" i="7"/>
  <c r="AB184" i="7"/>
  <c r="AA184" i="7"/>
  <c r="Z184" i="7"/>
  <c r="Y184" i="7"/>
  <c r="X184" i="7"/>
  <c r="W184" i="7"/>
  <c r="V184" i="7"/>
  <c r="U184" i="7"/>
  <c r="T184" i="7"/>
  <c r="S184" i="7"/>
  <c r="R184" i="7"/>
  <c r="Q184" i="7"/>
  <c r="P184" i="7"/>
  <c r="O184" i="7"/>
  <c r="N184" i="7"/>
  <c r="M184" i="7"/>
  <c r="L184" i="7"/>
  <c r="K184" i="7"/>
  <c r="J184" i="7"/>
  <c r="I184" i="7"/>
  <c r="H184" i="7"/>
  <c r="G184" i="7"/>
  <c r="F184" i="7"/>
  <c r="E184" i="7"/>
  <c r="AL183" i="7"/>
  <c r="AM183" i="7" s="1"/>
  <c r="AN183" i="7" s="1"/>
  <c r="AO183" i="7" s="1"/>
  <c r="AP183" i="7" s="1"/>
  <c r="AQ183" i="7" s="1"/>
  <c r="AR183" i="7" s="1"/>
  <c r="AS183" i="7" s="1"/>
  <c r="AT183" i="7" s="1"/>
  <c r="AU183" i="7" s="1"/>
  <c r="AV183" i="7" s="1"/>
  <c r="AW183" i="7" s="1"/>
  <c r="AX183" i="7" s="1"/>
  <c r="AY183" i="7" s="1"/>
  <c r="AZ183" i="7" s="1"/>
  <c r="BA183" i="7" s="1"/>
  <c r="BB183" i="7" s="1"/>
  <c r="BC183" i="7" s="1"/>
  <c r="BD183" i="7" s="1"/>
  <c r="BE183" i="7" s="1"/>
  <c r="AK182" i="7"/>
  <c r="AL182" i="7" s="1"/>
  <c r="AM182" i="7" s="1"/>
  <c r="AN182" i="7" s="1"/>
  <c r="AO182" i="7" s="1"/>
  <c r="AP182" i="7" s="1"/>
  <c r="AQ182" i="7" s="1"/>
  <c r="AR182" i="7" s="1"/>
  <c r="AS182" i="7" s="1"/>
  <c r="AT182" i="7" s="1"/>
  <c r="AU182" i="7" s="1"/>
  <c r="AV182" i="7" s="1"/>
  <c r="AW182" i="7" s="1"/>
  <c r="AX182" i="7" s="1"/>
  <c r="AY182" i="7" s="1"/>
  <c r="AZ182" i="7" s="1"/>
  <c r="BA182" i="7" s="1"/>
  <c r="BB182" i="7" s="1"/>
  <c r="BC182" i="7" s="1"/>
  <c r="BD182" i="7" s="1"/>
  <c r="BE182" i="7" s="1"/>
  <c r="AJ182" i="7"/>
  <c r="AI182" i="7"/>
  <c r="AH182" i="7"/>
  <c r="AG182" i="7"/>
  <c r="AF182" i="7"/>
  <c r="AE182" i="7"/>
  <c r="AD182" i="7"/>
  <c r="AC182" i="7"/>
  <c r="AB182" i="7"/>
  <c r="AA182" i="7"/>
  <c r="Z182" i="7"/>
  <c r="Y182" i="7"/>
  <c r="X182" i="7"/>
  <c r="W182" i="7"/>
  <c r="V182" i="7"/>
  <c r="U182" i="7"/>
  <c r="T182" i="7"/>
  <c r="S182" i="7"/>
  <c r="R182" i="7"/>
  <c r="Q182" i="7"/>
  <c r="P182" i="7"/>
  <c r="O182" i="7"/>
  <c r="N182" i="7"/>
  <c r="M182" i="7"/>
  <c r="L182" i="7"/>
  <c r="K182" i="7"/>
  <c r="J182" i="7"/>
  <c r="I182" i="7"/>
  <c r="H182" i="7"/>
  <c r="G182" i="7"/>
  <c r="F182" i="7"/>
  <c r="E182" i="7"/>
  <c r="AK181" i="7"/>
  <c r="AL181" i="7" s="1"/>
  <c r="AM181" i="7" s="1"/>
  <c r="AN181" i="7" s="1"/>
  <c r="AO181" i="7" s="1"/>
  <c r="AP181" i="7" s="1"/>
  <c r="AQ181" i="7" s="1"/>
  <c r="AR181" i="7" s="1"/>
  <c r="AS181" i="7" s="1"/>
  <c r="AT181" i="7" s="1"/>
  <c r="AU181" i="7" s="1"/>
  <c r="AV181" i="7" s="1"/>
  <c r="AW181" i="7" s="1"/>
  <c r="AX181" i="7" s="1"/>
  <c r="AY181" i="7" s="1"/>
  <c r="AZ181" i="7" s="1"/>
  <c r="BA181" i="7" s="1"/>
  <c r="BB181" i="7" s="1"/>
  <c r="BC181" i="7" s="1"/>
  <c r="BD181" i="7" s="1"/>
  <c r="BE181" i="7" s="1"/>
  <c r="AJ181" i="7"/>
  <c r="AI181" i="7"/>
  <c r="AH181" i="7"/>
  <c r="AG181" i="7"/>
  <c r="AF181" i="7"/>
  <c r="AE181" i="7"/>
  <c r="AD181" i="7"/>
  <c r="AC181" i="7"/>
  <c r="AB181" i="7"/>
  <c r="AA181" i="7"/>
  <c r="Z181" i="7"/>
  <c r="Y181" i="7"/>
  <c r="X181" i="7"/>
  <c r="W181" i="7"/>
  <c r="V181" i="7"/>
  <c r="U181" i="7"/>
  <c r="T181" i="7"/>
  <c r="S181" i="7"/>
  <c r="R181" i="7"/>
  <c r="Q181" i="7"/>
  <c r="P181" i="7"/>
  <c r="O181" i="7"/>
  <c r="N181" i="7"/>
  <c r="M181" i="7"/>
  <c r="L181" i="7"/>
  <c r="K181" i="7"/>
  <c r="J181" i="7"/>
  <c r="I181" i="7"/>
  <c r="H181" i="7"/>
  <c r="G181" i="7"/>
  <c r="F181" i="7"/>
  <c r="E181" i="7"/>
  <c r="AK180" i="7"/>
  <c r="AL180" i="7" s="1"/>
  <c r="AM180" i="7" s="1"/>
  <c r="AN180" i="7" s="1"/>
  <c r="AO180" i="7" s="1"/>
  <c r="AP180" i="7" s="1"/>
  <c r="AQ180" i="7" s="1"/>
  <c r="AR180" i="7" s="1"/>
  <c r="AS180" i="7" s="1"/>
  <c r="AT180" i="7" s="1"/>
  <c r="AU180" i="7" s="1"/>
  <c r="AV180" i="7" s="1"/>
  <c r="AW180" i="7" s="1"/>
  <c r="AX180" i="7" s="1"/>
  <c r="AY180" i="7" s="1"/>
  <c r="AZ180" i="7" s="1"/>
  <c r="BA180" i="7" s="1"/>
  <c r="BB180" i="7" s="1"/>
  <c r="BC180" i="7" s="1"/>
  <c r="BD180" i="7" s="1"/>
  <c r="BE180" i="7" s="1"/>
  <c r="AJ180" i="7"/>
  <c r="AI180" i="7"/>
  <c r="AH180" i="7"/>
  <c r="AG180" i="7"/>
  <c r="AF180" i="7"/>
  <c r="AE180" i="7"/>
  <c r="AD180" i="7"/>
  <c r="AC180" i="7"/>
  <c r="AB180" i="7"/>
  <c r="AA180" i="7"/>
  <c r="Z180" i="7"/>
  <c r="Y180" i="7"/>
  <c r="X180" i="7"/>
  <c r="W180" i="7"/>
  <c r="V180" i="7"/>
  <c r="U180" i="7"/>
  <c r="T180" i="7"/>
  <c r="S180" i="7"/>
  <c r="R180" i="7"/>
  <c r="Q180" i="7"/>
  <c r="P180" i="7"/>
  <c r="O180" i="7"/>
  <c r="N180" i="7"/>
  <c r="M180" i="7"/>
  <c r="L180" i="7"/>
  <c r="K180" i="7"/>
  <c r="J180" i="7"/>
  <c r="I180" i="7"/>
  <c r="H180" i="7"/>
  <c r="G180" i="7"/>
  <c r="F180" i="7"/>
  <c r="E180" i="7"/>
  <c r="AK179" i="7"/>
  <c r="AL179" i="7" s="1"/>
  <c r="AM179" i="7" s="1"/>
  <c r="AN179" i="7" s="1"/>
  <c r="AO179" i="7" s="1"/>
  <c r="AP179" i="7" s="1"/>
  <c r="AQ179" i="7" s="1"/>
  <c r="AR179" i="7" s="1"/>
  <c r="AS179" i="7" s="1"/>
  <c r="AT179" i="7" s="1"/>
  <c r="AU179" i="7" s="1"/>
  <c r="AV179" i="7" s="1"/>
  <c r="AW179" i="7" s="1"/>
  <c r="AX179" i="7" s="1"/>
  <c r="AY179" i="7" s="1"/>
  <c r="AZ179" i="7" s="1"/>
  <c r="BA179" i="7" s="1"/>
  <c r="BB179" i="7" s="1"/>
  <c r="BC179" i="7" s="1"/>
  <c r="BD179" i="7" s="1"/>
  <c r="BE179" i="7" s="1"/>
  <c r="AJ179" i="7"/>
  <c r="AI179" i="7"/>
  <c r="AH179" i="7"/>
  <c r="AG179" i="7"/>
  <c r="AF179" i="7"/>
  <c r="AE179" i="7"/>
  <c r="AD179" i="7"/>
  <c r="AC179" i="7"/>
  <c r="AB179" i="7"/>
  <c r="AA179" i="7"/>
  <c r="Z179" i="7"/>
  <c r="Y179" i="7"/>
  <c r="X179" i="7"/>
  <c r="W179" i="7"/>
  <c r="V179" i="7"/>
  <c r="U179" i="7"/>
  <c r="T179" i="7"/>
  <c r="S179" i="7"/>
  <c r="R179" i="7"/>
  <c r="Q179" i="7"/>
  <c r="P179" i="7"/>
  <c r="O179" i="7"/>
  <c r="N179" i="7"/>
  <c r="M179" i="7"/>
  <c r="L179" i="7"/>
  <c r="K179" i="7"/>
  <c r="J179" i="7"/>
  <c r="I179" i="7"/>
  <c r="H179" i="7"/>
  <c r="G179" i="7"/>
  <c r="F179" i="7"/>
  <c r="E179" i="7"/>
  <c r="AK178" i="7"/>
  <c r="AL178" i="7" s="1"/>
  <c r="AM178" i="7" s="1"/>
  <c r="AN178" i="7" s="1"/>
  <c r="AO178" i="7" s="1"/>
  <c r="AP178" i="7" s="1"/>
  <c r="AQ178" i="7" s="1"/>
  <c r="AR178" i="7" s="1"/>
  <c r="AS178" i="7" s="1"/>
  <c r="AT178" i="7" s="1"/>
  <c r="AU178" i="7" s="1"/>
  <c r="AV178" i="7" s="1"/>
  <c r="AW178" i="7" s="1"/>
  <c r="AX178" i="7" s="1"/>
  <c r="AY178" i="7" s="1"/>
  <c r="AZ178" i="7" s="1"/>
  <c r="BA178" i="7" s="1"/>
  <c r="BB178" i="7" s="1"/>
  <c r="BC178" i="7" s="1"/>
  <c r="BD178" i="7" s="1"/>
  <c r="BE178" i="7" s="1"/>
  <c r="AJ178" i="7"/>
  <c r="AI178" i="7"/>
  <c r="AH178" i="7"/>
  <c r="AG178" i="7"/>
  <c r="AF178" i="7"/>
  <c r="AE178" i="7"/>
  <c r="AD178" i="7"/>
  <c r="AC178" i="7"/>
  <c r="AB178" i="7"/>
  <c r="AA178" i="7"/>
  <c r="Z178" i="7"/>
  <c r="Y178" i="7"/>
  <c r="X178" i="7"/>
  <c r="W178" i="7"/>
  <c r="V178" i="7"/>
  <c r="U178" i="7"/>
  <c r="T178" i="7"/>
  <c r="S178" i="7"/>
  <c r="R178" i="7"/>
  <c r="Q178" i="7"/>
  <c r="P178" i="7"/>
  <c r="O178" i="7"/>
  <c r="N178" i="7"/>
  <c r="M178" i="7"/>
  <c r="L178" i="7"/>
  <c r="K178" i="7"/>
  <c r="J178" i="7"/>
  <c r="I178" i="7"/>
  <c r="H178" i="7"/>
  <c r="G178" i="7"/>
  <c r="F178" i="7"/>
  <c r="E178" i="7"/>
  <c r="AK177" i="7"/>
  <c r="AL177" i="7" s="1"/>
  <c r="AM177" i="7" s="1"/>
  <c r="AN177" i="7" s="1"/>
  <c r="AO177" i="7" s="1"/>
  <c r="AP177" i="7" s="1"/>
  <c r="AQ177" i="7" s="1"/>
  <c r="AR177" i="7" s="1"/>
  <c r="AS177" i="7" s="1"/>
  <c r="AT177" i="7" s="1"/>
  <c r="AU177" i="7" s="1"/>
  <c r="AV177" i="7" s="1"/>
  <c r="AW177" i="7" s="1"/>
  <c r="AX177" i="7" s="1"/>
  <c r="AY177" i="7" s="1"/>
  <c r="AZ177" i="7" s="1"/>
  <c r="BA177" i="7" s="1"/>
  <c r="BB177" i="7" s="1"/>
  <c r="BC177" i="7" s="1"/>
  <c r="BD177" i="7" s="1"/>
  <c r="BE177" i="7" s="1"/>
  <c r="AJ177" i="7"/>
  <c r="AI177" i="7"/>
  <c r="AH177" i="7"/>
  <c r="AG177" i="7"/>
  <c r="AF177" i="7"/>
  <c r="AE177" i="7"/>
  <c r="AD177" i="7"/>
  <c r="AC177" i="7"/>
  <c r="AB177" i="7"/>
  <c r="AA177" i="7"/>
  <c r="Z177" i="7"/>
  <c r="Y177" i="7"/>
  <c r="X177" i="7"/>
  <c r="W177" i="7"/>
  <c r="V177" i="7"/>
  <c r="U177" i="7"/>
  <c r="T177" i="7"/>
  <c r="S177" i="7"/>
  <c r="R177" i="7"/>
  <c r="Q177" i="7"/>
  <c r="P177" i="7"/>
  <c r="O177" i="7"/>
  <c r="N177" i="7"/>
  <c r="M177" i="7"/>
  <c r="L177" i="7"/>
  <c r="K177" i="7"/>
  <c r="J177" i="7"/>
  <c r="I177" i="7"/>
  <c r="H177" i="7"/>
  <c r="G177" i="7"/>
  <c r="F177" i="7"/>
  <c r="E177" i="7"/>
  <c r="AL176" i="7"/>
  <c r="AM176" i="7" s="1"/>
  <c r="AN176" i="7" s="1"/>
  <c r="AO176" i="7" s="1"/>
  <c r="AP176" i="7" s="1"/>
  <c r="AQ176" i="7" s="1"/>
  <c r="AR176" i="7" s="1"/>
  <c r="AS176" i="7" s="1"/>
  <c r="AT176" i="7" s="1"/>
  <c r="AU176" i="7" s="1"/>
  <c r="AV176" i="7" s="1"/>
  <c r="AW176" i="7" s="1"/>
  <c r="AX176" i="7" s="1"/>
  <c r="AY176" i="7" s="1"/>
  <c r="AZ176" i="7" s="1"/>
  <c r="BA176" i="7" s="1"/>
  <c r="BB176" i="7" s="1"/>
  <c r="BC176" i="7" s="1"/>
  <c r="BD176" i="7" s="1"/>
  <c r="BE176" i="7" s="1"/>
  <c r="AL175" i="7"/>
  <c r="AM175" i="7" s="1"/>
  <c r="AN175" i="7" s="1"/>
  <c r="AO175" i="7" s="1"/>
  <c r="AP175" i="7" s="1"/>
  <c r="AQ175" i="7" s="1"/>
  <c r="AR175" i="7" s="1"/>
  <c r="AS175" i="7" s="1"/>
  <c r="AT175" i="7" s="1"/>
  <c r="AU175" i="7" s="1"/>
  <c r="AV175" i="7" s="1"/>
  <c r="AW175" i="7" s="1"/>
  <c r="AX175" i="7" s="1"/>
  <c r="AY175" i="7" s="1"/>
  <c r="AZ175" i="7" s="1"/>
  <c r="BA175" i="7" s="1"/>
  <c r="BB175" i="7" s="1"/>
  <c r="BC175" i="7" s="1"/>
  <c r="BD175" i="7" s="1"/>
  <c r="BE175" i="7" s="1"/>
  <c r="AL174" i="7"/>
  <c r="AM174" i="7" s="1"/>
  <c r="AN174" i="7" s="1"/>
  <c r="AO174" i="7" s="1"/>
  <c r="AP174" i="7" s="1"/>
  <c r="AQ174" i="7" s="1"/>
  <c r="AR174" i="7" s="1"/>
  <c r="AS174" i="7" s="1"/>
  <c r="AT174" i="7" s="1"/>
  <c r="AU174" i="7" s="1"/>
  <c r="AV174" i="7" s="1"/>
  <c r="AW174" i="7" s="1"/>
  <c r="AX174" i="7" s="1"/>
  <c r="AY174" i="7" s="1"/>
  <c r="AZ174" i="7" s="1"/>
  <c r="BA174" i="7" s="1"/>
  <c r="BB174" i="7" s="1"/>
  <c r="BC174" i="7" s="1"/>
  <c r="BD174" i="7" s="1"/>
  <c r="BE174" i="7" s="1"/>
  <c r="AK173" i="7"/>
  <c r="AL173" i="7" s="1"/>
  <c r="AM173" i="7" s="1"/>
  <c r="AN173" i="7" s="1"/>
  <c r="AO173" i="7" s="1"/>
  <c r="AP173" i="7" s="1"/>
  <c r="AQ173" i="7" s="1"/>
  <c r="AR173" i="7" s="1"/>
  <c r="AS173" i="7" s="1"/>
  <c r="AT173" i="7" s="1"/>
  <c r="AU173" i="7" s="1"/>
  <c r="AV173" i="7" s="1"/>
  <c r="AW173" i="7" s="1"/>
  <c r="AX173" i="7" s="1"/>
  <c r="AY173" i="7" s="1"/>
  <c r="AZ173" i="7" s="1"/>
  <c r="BA173" i="7" s="1"/>
  <c r="BB173" i="7" s="1"/>
  <c r="BC173" i="7" s="1"/>
  <c r="BD173" i="7" s="1"/>
  <c r="BE173" i="7" s="1"/>
  <c r="AJ173" i="7"/>
  <c r="AI173" i="7"/>
  <c r="AH173" i="7"/>
  <c r="AG173" i="7"/>
  <c r="AF173" i="7"/>
  <c r="AE173" i="7"/>
  <c r="AD173" i="7"/>
  <c r="AC173" i="7"/>
  <c r="AB173" i="7"/>
  <c r="AA173" i="7"/>
  <c r="Z173" i="7"/>
  <c r="Y173" i="7"/>
  <c r="X173" i="7"/>
  <c r="W173" i="7"/>
  <c r="V173" i="7"/>
  <c r="U173" i="7"/>
  <c r="T173" i="7"/>
  <c r="S173" i="7"/>
  <c r="R173" i="7"/>
  <c r="Q173" i="7"/>
  <c r="P173" i="7"/>
  <c r="O173" i="7"/>
  <c r="N173" i="7"/>
  <c r="M173" i="7"/>
  <c r="L173" i="7"/>
  <c r="K173" i="7"/>
  <c r="J173" i="7"/>
  <c r="I173" i="7"/>
  <c r="H173" i="7"/>
  <c r="G173" i="7"/>
  <c r="F173" i="7"/>
  <c r="E173" i="7"/>
  <c r="AL172" i="7"/>
  <c r="AM172" i="7" s="1"/>
  <c r="AN172" i="7" s="1"/>
  <c r="AO172" i="7" s="1"/>
  <c r="AP172" i="7" s="1"/>
  <c r="AQ172" i="7" s="1"/>
  <c r="AR172" i="7" s="1"/>
  <c r="AS172" i="7" s="1"/>
  <c r="AT172" i="7" s="1"/>
  <c r="AU172" i="7" s="1"/>
  <c r="AV172" i="7" s="1"/>
  <c r="AW172" i="7" s="1"/>
  <c r="AX172" i="7" s="1"/>
  <c r="AY172" i="7" s="1"/>
  <c r="AZ172" i="7" s="1"/>
  <c r="BA172" i="7" s="1"/>
  <c r="BB172" i="7" s="1"/>
  <c r="BC172" i="7" s="1"/>
  <c r="BD172" i="7" s="1"/>
  <c r="BE172" i="7" s="1"/>
  <c r="AL171" i="7"/>
  <c r="AM171" i="7" s="1"/>
  <c r="AN171" i="7" s="1"/>
  <c r="AO171" i="7" s="1"/>
  <c r="AP171" i="7" s="1"/>
  <c r="AQ171" i="7" s="1"/>
  <c r="AR171" i="7" s="1"/>
  <c r="AS171" i="7" s="1"/>
  <c r="AT171" i="7" s="1"/>
  <c r="AU171" i="7" s="1"/>
  <c r="AV171" i="7" s="1"/>
  <c r="AW171" i="7" s="1"/>
  <c r="AX171" i="7" s="1"/>
  <c r="AY171" i="7" s="1"/>
  <c r="AZ171" i="7" s="1"/>
  <c r="BA171" i="7" s="1"/>
  <c r="BB171" i="7" s="1"/>
  <c r="BC171" i="7" s="1"/>
  <c r="BD171" i="7" s="1"/>
  <c r="BE171" i="7" s="1"/>
  <c r="AL170" i="7"/>
  <c r="AM170" i="7" s="1"/>
  <c r="AN170" i="7" s="1"/>
  <c r="AO170" i="7" s="1"/>
  <c r="AP170" i="7" s="1"/>
  <c r="AQ170" i="7" s="1"/>
  <c r="AR170" i="7" s="1"/>
  <c r="AS170" i="7" s="1"/>
  <c r="AT170" i="7" s="1"/>
  <c r="AU170" i="7" s="1"/>
  <c r="AV170" i="7" s="1"/>
  <c r="AW170" i="7" s="1"/>
  <c r="AX170" i="7" s="1"/>
  <c r="AY170" i="7" s="1"/>
  <c r="AZ170" i="7" s="1"/>
  <c r="BA170" i="7" s="1"/>
  <c r="BB170" i="7" s="1"/>
  <c r="BC170" i="7" s="1"/>
  <c r="BD170" i="7" s="1"/>
  <c r="BE170" i="7" s="1"/>
  <c r="AL169" i="7"/>
  <c r="AM169" i="7" s="1"/>
  <c r="AN169" i="7" s="1"/>
  <c r="AO169" i="7" s="1"/>
  <c r="AP169" i="7" s="1"/>
  <c r="AQ169" i="7" s="1"/>
  <c r="AR169" i="7" s="1"/>
  <c r="AS169" i="7" s="1"/>
  <c r="AT169" i="7" s="1"/>
  <c r="AU169" i="7" s="1"/>
  <c r="AV169" i="7" s="1"/>
  <c r="AW169" i="7" s="1"/>
  <c r="AX169" i="7" s="1"/>
  <c r="AY169" i="7" s="1"/>
  <c r="AZ169" i="7" s="1"/>
  <c r="BA169" i="7" s="1"/>
  <c r="BB169" i="7" s="1"/>
  <c r="BC169" i="7" s="1"/>
  <c r="BD169" i="7" s="1"/>
  <c r="BE169" i="7" s="1"/>
  <c r="AL168" i="7"/>
  <c r="AM168" i="7" s="1"/>
  <c r="AN168" i="7" s="1"/>
  <c r="AO168" i="7" s="1"/>
  <c r="AP168" i="7" s="1"/>
  <c r="AQ168" i="7" s="1"/>
  <c r="AR168" i="7" s="1"/>
  <c r="AS168" i="7" s="1"/>
  <c r="AT168" i="7" s="1"/>
  <c r="AU168" i="7" s="1"/>
  <c r="AV168" i="7" s="1"/>
  <c r="AW168" i="7" s="1"/>
  <c r="AX168" i="7" s="1"/>
  <c r="AY168" i="7" s="1"/>
  <c r="AZ168" i="7" s="1"/>
  <c r="BA168" i="7" s="1"/>
  <c r="BB168" i="7" s="1"/>
  <c r="BC168" i="7" s="1"/>
  <c r="BD168" i="7" s="1"/>
  <c r="BE168" i="7" s="1"/>
  <c r="AL167" i="7"/>
  <c r="AM167" i="7" s="1"/>
  <c r="AN167" i="7" s="1"/>
  <c r="AO167" i="7" s="1"/>
  <c r="AP167" i="7" s="1"/>
  <c r="AQ167" i="7" s="1"/>
  <c r="AR167" i="7" s="1"/>
  <c r="AS167" i="7" s="1"/>
  <c r="AT167" i="7" s="1"/>
  <c r="AU167" i="7" s="1"/>
  <c r="AV167" i="7" s="1"/>
  <c r="AW167" i="7" s="1"/>
  <c r="AX167" i="7" s="1"/>
  <c r="AY167" i="7" s="1"/>
  <c r="AZ167" i="7" s="1"/>
  <c r="BA167" i="7" s="1"/>
  <c r="BB167" i="7" s="1"/>
  <c r="BC167" i="7" s="1"/>
  <c r="BD167" i="7" s="1"/>
  <c r="BE167" i="7" s="1"/>
  <c r="AL166" i="7"/>
  <c r="AM166" i="7" s="1"/>
  <c r="AN166" i="7" s="1"/>
  <c r="AO166" i="7" s="1"/>
  <c r="AP166" i="7" s="1"/>
  <c r="AQ166" i="7" s="1"/>
  <c r="AR166" i="7" s="1"/>
  <c r="AS166" i="7" s="1"/>
  <c r="AT166" i="7" s="1"/>
  <c r="AU166" i="7" s="1"/>
  <c r="AV166" i="7" s="1"/>
  <c r="AW166" i="7" s="1"/>
  <c r="AX166" i="7" s="1"/>
  <c r="AY166" i="7" s="1"/>
  <c r="AZ166" i="7" s="1"/>
  <c r="BA166" i="7" s="1"/>
  <c r="BB166" i="7" s="1"/>
  <c r="BC166" i="7" s="1"/>
  <c r="BD166" i="7" s="1"/>
  <c r="BE166" i="7" s="1"/>
  <c r="AL165" i="7"/>
  <c r="AM165" i="7" s="1"/>
  <c r="AN165" i="7" s="1"/>
  <c r="AO165" i="7" s="1"/>
  <c r="AP165" i="7" s="1"/>
  <c r="AQ165" i="7" s="1"/>
  <c r="AR165" i="7" s="1"/>
  <c r="AS165" i="7" s="1"/>
  <c r="AT165" i="7" s="1"/>
  <c r="AU165" i="7" s="1"/>
  <c r="AV165" i="7" s="1"/>
  <c r="AW165" i="7" s="1"/>
  <c r="AX165" i="7" s="1"/>
  <c r="AY165" i="7" s="1"/>
  <c r="AZ165" i="7" s="1"/>
  <c r="BA165" i="7" s="1"/>
  <c r="BB165" i="7" s="1"/>
  <c r="BC165" i="7" s="1"/>
  <c r="BD165" i="7" s="1"/>
  <c r="BE165" i="7" s="1"/>
  <c r="AL164" i="7"/>
  <c r="AM164" i="7" s="1"/>
  <c r="AN164" i="7" s="1"/>
  <c r="AO164" i="7" s="1"/>
  <c r="AP164" i="7" s="1"/>
  <c r="AQ164" i="7" s="1"/>
  <c r="AR164" i="7" s="1"/>
  <c r="AS164" i="7" s="1"/>
  <c r="AT164" i="7" s="1"/>
  <c r="AU164" i="7" s="1"/>
  <c r="AV164" i="7" s="1"/>
  <c r="AW164" i="7" s="1"/>
  <c r="AX164" i="7" s="1"/>
  <c r="AY164" i="7" s="1"/>
  <c r="AZ164" i="7" s="1"/>
  <c r="BA164" i="7" s="1"/>
  <c r="BB164" i="7" s="1"/>
  <c r="BC164" i="7" s="1"/>
  <c r="BD164" i="7" s="1"/>
  <c r="BE164" i="7" s="1"/>
  <c r="AL163" i="7"/>
  <c r="AM163" i="7" s="1"/>
  <c r="AN163" i="7" s="1"/>
  <c r="AO163" i="7" s="1"/>
  <c r="AP163" i="7" s="1"/>
  <c r="AQ163" i="7" s="1"/>
  <c r="AR163" i="7" s="1"/>
  <c r="AS163" i="7" s="1"/>
  <c r="AT163" i="7" s="1"/>
  <c r="AU163" i="7" s="1"/>
  <c r="AV163" i="7" s="1"/>
  <c r="AW163" i="7" s="1"/>
  <c r="AX163" i="7" s="1"/>
  <c r="AY163" i="7" s="1"/>
  <c r="AZ163" i="7" s="1"/>
  <c r="BA163" i="7" s="1"/>
  <c r="BB163" i="7" s="1"/>
  <c r="BC163" i="7" s="1"/>
  <c r="BD163" i="7" s="1"/>
  <c r="BE163" i="7" s="1"/>
  <c r="AL162" i="7"/>
  <c r="AM162" i="7" s="1"/>
  <c r="AN162" i="7" s="1"/>
  <c r="AO162" i="7" s="1"/>
  <c r="AP162" i="7" s="1"/>
  <c r="AQ162" i="7" s="1"/>
  <c r="AR162" i="7" s="1"/>
  <c r="AS162" i="7" s="1"/>
  <c r="AT162" i="7" s="1"/>
  <c r="AU162" i="7" s="1"/>
  <c r="AV162" i="7" s="1"/>
  <c r="AW162" i="7" s="1"/>
  <c r="AX162" i="7" s="1"/>
  <c r="AY162" i="7" s="1"/>
  <c r="AZ162" i="7" s="1"/>
  <c r="BA162" i="7" s="1"/>
  <c r="BB162" i="7" s="1"/>
  <c r="BC162" i="7" s="1"/>
  <c r="BD162" i="7" s="1"/>
  <c r="BE162" i="7" s="1"/>
  <c r="AL161" i="7"/>
  <c r="AM161" i="7" s="1"/>
  <c r="AN161" i="7" s="1"/>
  <c r="AO161" i="7" s="1"/>
  <c r="AP161" i="7" s="1"/>
  <c r="AQ161" i="7" s="1"/>
  <c r="AR161" i="7" s="1"/>
  <c r="AS161" i="7" s="1"/>
  <c r="AT161" i="7" s="1"/>
  <c r="AU161" i="7" s="1"/>
  <c r="AV161" i="7" s="1"/>
  <c r="AW161" i="7" s="1"/>
  <c r="AX161" i="7" s="1"/>
  <c r="AY161" i="7" s="1"/>
  <c r="AZ161" i="7" s="1"/>
  <c r="BA161" i="7" s="1"/>
  <c r="BB161" i="7" s="1"/>
  <c r="BC161" i="7" s="1"/>
  <c r="BD161" i="7" s="1"/>
  <c r="BE161" i="7" s="1"/>
  <c r="AL160" i="7"/>
  <c r="AM160" i="7" s="1"/>
  <c r="AN160" i="7" s="1"/>
  <c r="AO160" i="7" s="1"/>
  <c r="AP160" i="7" s="1"/>
  <c r="AQ160" i="7" s="1"/>
  <c r="AR160" i="7" s="1"/>
  <c r="AS160" i="7" s="1"/>
  <c r="AT160" i="7" s="1"/>
  <c r="AU160" i="7" s="1"/>
  <c r="AV160" i="7" s="1"/>
  <c r="AW160" i="7" s="1"/>
  <c r="AX160" i="7" s="1"/>
  <c r="AY160" i="7" s="1"/>
  <c r="AZ160" i="7" s="1"/>
  <c r="BA160" i="7" s="1"/>
  <c r="BB160" i="7" s="1"/>
  <c r="BC160" i="7" s="1"/>
  <c r="BD160" i="7" s="1"/>
  <c r="BE160" i="7" s="1"/>
  <c r="AK159" i="7"/>
  <c r="AL159" i="7" s="1"/>
  <c r="AM159" i="7" s="1"/>
  <c r="AN159" i="7" s="1"/>
  <c r="AO159" i="7" s="1"/>
  <c r="AP159" i="7" s="1"/>
  <c r="AQ159" i="7" s="1"/>
  <c r="AR159" i="7" s="1"/>
  <c r="AS159" i="7" s="1"/>
  <c r="AT159" i="7" s="1"/>
  <c r="AU159" i="7" s="1"/>
  <c r="AV159" i="7" s="1"/>
  <c r="AW159" i="7" s="1"/>
  <c r="AX159" i="7" s="1"/>
  <c r="AY159" i="7" s="1"/>
  <c r="AZ159" i="7" s="1"/>
  <c r="BA159" i="7" s="1"/>
  <c r="BB159" i="7" s="1"/>
  <c r="BC159" i="7" s="1"/>
  <c r="BD159" i="7" s="1"/>
  <c r="BE159" i="7" s="1"/>
  <c r="AJ159" i="7"/>
  <c r="AI159" i="7"/>
  <c r="AH159" i="7"/>
  <c r="AG159" i="7"/>
  <c r="AF159" i="7"/>
  <c r="AE159" i="7"/>
  <c r="AD159" i="7"/>
  <c r="AC159" i="7"/>
  <c r="AB159" i="7"/>
  <c r="AA159" i="7"/>
  <c r="Z159" i="7"/>
  <c r="Y159" i="7"/>
  <c r="X159" i="7"/>
  <c r="W159" i="7"/>
  <c r="V159" i="7"/>
  <c r="U159" i="7"/>
  <c r="T159" i="7"/>
  <c r="S159" i="7"/>
  <c r="R159" i="7"/>
  <c r="Q159" i="7"/>
  <c r="P159" i="7"/>
  <c r="O159" i="7"/>
  <c r="N159" i="7"/>
  <c r="M159" i="7"/>
  <c r="L159" i="7"/>
  <c r="K159" i="7"/>
  <c r="J159" i="7"/>
  <c r="I159" i="7"/>
  <c r="H159" i="7"/>
  <c r="G159" i="7"/>
  <c r="F159" i="7"/>
  <c r="E159" i="7"/>
  <c r="AL158" i="7"/>
  <c r="AM158" i="7" s="1"/>
  <c r="AN158" i="7" s="1"/>
  <c r="AO158" i="7" s="1"/>
  <c r="AP158" i="7" s="1"/>
  <c r="AQ158" i="7" s="1"/>
  <c r="AR158" i="7" s="1"/>
  <c r="AS158" i="7" s="1"/>
  <c r="AT158" i="7" s="1"/>
  <c r="AU158" i="7" s="1"/>
  <c r="AV158" i="7" s="1"/>
  <c r="AW158" i="7" s="1"/>
  <c r="AX158" i="7" s="1"/>
  <c r="AY158" i="7" s="1"/>
  <c r="AZ158" i="7" s="1"/>
  <c r="BA158" i="7" s="1"/>
  <c r="BB158" i="7" s="1"/>
  <c r="BC158" i="7" s="1"/>
  <c r="BD158" i="7" s="1"/>
  <c r="BE158" i="7" s="1"/>
  <c r="AK157" i="7"/>
  <c r="AL157" i="7" s="1"/>
  <c r="AM157" i="7" s="1"/>
  <c r="AN157" i="7" s="1"/>
  <c r="AO157" i="7" s="1"/>
  <c r="AP157" i="7" s="1"/>
  <c r="AQ157" i="7" s="1"/>
  <c r="AR157" i="7" s="1"/>
  <c r="AS157" i="7" s="1"/>
  <c r="AT157" i="7" s="1"/>
  <c r="AU157" i="7" s="1"/>
  <c r="AV157" i="7" s="1"/>
  <c r="AW157" i="7" s="1"/>
  <c r="AX157" i="7" s="1"/>
  <c r="AY157" i="7" s="1"/>
  <c r="AZ157" i="7" s="1"/>
  <c r="BA157" i="7" s="1"/>
  <c r="BB157" i="7" s="1"/>
  <c r="BC157" i="7" s="1"/>
  <c r="BD157" i="7" s="1"/>
  <c r="BE157" i="7" s="1"/>
  <c r="AJ157" i="7"/>
  <c r="AI157" i="7"/>
  <c r="AH157" i="7"/>
  <c r="AG157" i="7"/>
  <c r="AF157" i="7"/>
  <c r="AE157" i="7"/>
  <c r="AD157" i="7"/>
  <c r="AC157" i="7"/>
  <c r="AB157" i="7"/>
  <c r="AA157" i="7"/>
  <c r="Z157" i="7"/>
  <c r="Y157" i="7"/>
  <c r="X157" i="7"/>
  <c r="W157" i="7"/>
  <c r="V157" i="7"/>
  <c r="U157" i="7"/>
  <c r="T157" i="7"/>
  <c r="S157" i="7"/>
  <c r="R157" i="7"/>
  <c r="Q157" i="7"/>
  <c r="P157" i="7"/>
  <c r="O157" i="7"/>
  <c r="N157" i="7"/>
  <c r="M157" i="7"/>
  <c r="L157" i="7"/>
  <c r="K157" i="7"/>
  <c r="J157" i="7"/>
  <c r="I157" i="7"/>
  <c r="H157" i="7"/>
  <c r="G157" i="7"/>
  <c r="F157" i="7"/>
  <c r="E157" i="7"/>
  <c r="AL156" i="7"/>
  <c r="AM156" i="7" s="1"/>
  <c r="AN156" i="7" s="1"/>
  <c r="AO156" i="7" s="1"/>
  <c r="AP156" i="7" s="1"/>
  <c r="AQ156" i="7" s="1"/>
  <c r="AR156" i="7" s="1"/>
  <c r="AS156" i="7" s="1"/>
  <c r="AT156" i="7" s="1"/>
  <c r="AU156" i="7" s="1"/>
  <c r="AV156" i="7" s="1"/>
  <c r="AW156" i="7" s="1"/>
  <c r="AX156" i="7" s="1"/>
  <c r="AY156" i="7" s="1"/>
  <c r="AZ156" i="7" s="1"/>
  <c r="BA156" i="7" s="1"/>
  <c r="BB156" i="7" s="1"/>
  <c r="BC156" i="7" s="1"/>
  <c r="BD156" i="7" s="1"/>
  <c r="BE156" i="7" s="1"/>
  <c r="AL155" i="7"/>
  <c r="AM155" i="7" s="1"/>
  <c r="AN155" i="7" s="1"/>
  <c r="AO155" i="7" s="1"/>
  <c r="AP155" i="7" s="1"/>
  <c r="AQ155" i="7" s="1"/>
  <c r="AR155" i="7" s="1"/>
  <c r="AS155" i="7" s="1"/>
  <c r="AT155" i="7" s="1"/>
  <c r="AU155" i="7" s="1"/>
  <c r="AV155" i="7" s="1"/>
  <c r="AW155" i="7" s="1"/>
  <c r="AX155" i="7" s="1"/>
  <c r="AY155" i="7" s="1"/>
  <c r="AZ155" i="7" s="1"/>
  <c r="BA155" i="7" s="1"/>
  <c r="BB155" i="7" s="1"/>
  <c r="BC155" i="7" s="1"/>
  <c r="BD155" i="7" s="1"/>
  <c r="BE155" i="7" s="1"/>
  <c r="AL154" i="7"/>
  <c r="AM154" i="7" s="1"/>
  <c r="AN154" i="7" s="1"/>
  <c r="AO154" i="7" s="1"/>
  <c r="AP154" i="7" s="1"/>
  <c r="AQ154" i="7" s="1"/>
  <c r="AR154" i="7" s="1"/>
  <c r="AS154" i="7" s="1"/>
  <c r="AT154" i="7" s="1"/>
  <c r="AU154" i="7" s="1"/>
  <c r="AV154" i="7" s="1"/>
  <c r="AW154" i="7" s="1"/>
  <c r="AX154" i="7" s="1"/>
  <c r="AY154" i="7" s="1"/>
  <c r="AZ154" i="7" s="1"/>
  <c r="BA154" i="7" s="1"/>
  <c r="BB154" i="7" s="1"/>
  <c r="BC154" i="7" s="1"/>
  <c r="BD154" i="7" s="1"/>
  <c r="BE154" i="7" s="1"/>
  <c r="AK152" i="7"/>
  <c r="AL152" i="7" s="1"/>
  <c r="AM152" i="7" s="1"/>
  <c r="AN152" i="7" s="1"/>
  <c r="AO152" i="7" s="1"/>
  <c r="AP152" i="7" s="1"/>
  <c r="AQ152" i="7" s="1"/>
  <c r="AR152" i="7" s="1"/>
  <c r="AS152" i="7" s="1"/>
  <c r="AT152" i="7" s="1"/>
  <c r="AU152" i="7" s="1"/>
  <c r="AV152" i="7" s="1"/>
  <c r="AW152" i="7" s="1"/>
  <c r="AX152" i="7" s="1"/>
  <c r="AY152" i="7" s="1"/>
  <c r="AZ152" i="7" s="1"/>
  <c r="BA152" i="7" s="1"/>
  <c r="BB152" i="7" s="1"/>
  <c r="BC152" i="7" s="1"/>
  <c r="BD152" i="7" s="1"/>
  <c r="BE152" i="7" s="1"/>
  <c r="AJ152" i="7"/>
  <c r="AI152" i="7"/>
  <c r="AH152" i="7"/>
  <c r="AG152" i="7"/>
  <c r="AF152" i="7"/>
  <c r="AE152" i="7"/>
  <c r="AD152" i="7"/>
  <c r="AC152" i="7"/>
  <c r="AB152" i="7"/>
  <c r="AA152" i="7"/>
  <c r="Z152" i="7"/>
  <c r="Y152" i="7"/>
  <c r="X152" i="7"/>
  <c r="W152" i="7"/>
  <c r="V152" i="7"/>
  <c r="U152" i="7"/>
  <c r="T152" i="7"/>
  <c r="S152" i="7"/>
  <c r="R152" i="7"/>
  <c r="Q152" i="7"/>
  <c r="P152" i="7"/>
  <c r="O152" i="7"/>
  <c r="N152" i="7"/>
  <c r="M152" i="7"/>
  <c r="L152" i="7"/>
  <c r="K152" i="7"/>
  <c r="J152" i="7"/>
  <c r="I152" i="7"/>
  <c r="H152" i="7"/>
  <c r="G152" i="7"/>
  <c r="F152" i="7"/>
  <c r="E152" i="7"/>
  <c r="AL151" i="7"/>
  <c r="AM151" i="7" s="1"/>
  <c r="AN151" i="7" s="1"/>
  <c r="AO151" i="7" s="1"/>
  <c r="AP151" i="7" s="1"/>
  <c r="AQ151" i="7" s="1"/>
  <c r="AR151" i="7" s="1"/>
  <c r="AS151" i="7" s="1"/>
  <c r="AT151" i="7" s="1"/>
  <c r="AU151" i="7" s="1"/>
  <c r="AV151" i="7" s="1"/>
  <c r="AW151" i="7" s="1"/>
  <c r="AX151" i="7" s="1"/>
  <c r="AY151" i="7" s="1"/>
  <c r="AZ151" i="7" s="1"/>
  <c r="BA151" i="7" s="1"/>
  <c r="BB151" i="7" s="1"/>
  <c r="BC151" i="7" s="1"/>
  <c r="BD151" i="7" s="1"/>
  <c r="BE151" i="7" s="1"/>
  <c r="AL150" i="7"/>
  <c r="AM150" i="7" s="1"/>
  <c r="AN150" i="7" s="1"/>
  <c r="AO150" i="7" s="1"/>
  <c r="AP150" i="7" s="1"/>
  <c r="AQ150" i="7" s="1"/>
  <c r="AR150" i="7" s="1"/>
  <c r="AS150" i="7" s="1"/>
  <c r="AT150" i="7" s="1"/>
  <c r="AU150" i="7" s="1"/>
  <c r="AV150" i="7" s="1"/>
  <c r="AW150" i="7" s="1"/>
  <c r="AX150" i="7" s="1"/>
  <c r="AY150" i="7" s="1"/>
  <c r="AZ150" i="7" s="1"/>
  <c r="BA150" i="7" s="1"/>
  <c r="BB150" i="7" s="1"/>
  <c r="BC150" i="7" s="1"/>
  <c r="BD150" i="7" s="1"/>
  <c r="BE150" i="7" s="1"/>
  <c r="AL149" i="7"/>
  <c r="AM149" i="7" s="1"/>
  <c r="AN149" i="7" s="1"/>
  <c r="AO149" i="7" s="1"/>
  <c r="AP149" i="7" s="1"/>
  <c r="AQ149" i="7" s="1"/>
  <c r="AR149" i="7" s="1"/>
  <c r="AS149" i="7" s="1"/>
  <c r="AT149" i="7" s="1"/>
  <c r="AU149" i="7" s="1"/>
  <c r="AV149" i="7" s="1"/>
  <c r="AW149" i="7" s="1"/>
  <c r="AX149" i="7" s="1"/>
  <c r="AY149" i="7" s="1"/>
  <c r="AZ149" i="7" s="1"/>
  <c r="BA149" i="7" s="1"/>
  <c r="BB149" i="7" s="1"/>
  <c r="BC149" i="7" s="1"/>
  <c r="BD149" i="7" s="1"/>
  <c r="BE149" i="7" s="1"/>
  <c r="AL146" i="7"/>
  <c r="AM146" i="7" s="1"/>
  <c r="AN146" i="7" s="1"/>
  <c r="AO146" i="7" s="1"/>
  <c r="AP146" i="7" s="1"/>
  <c r="AQ146" i="7" s="1"/>
  <c r="AR146" i="7" s="1"/>
  <c r="AS146" i="7" s="1"/>
  <c r="AT146" i="7" s="1"/>
  <c r="AU146" i="7" s="1"/>
  <c r="AV146" i="7" s="1"/>
  <c r="AW146" i="7" s="1"/>
  <c r="AX146" i="7" s="1"/>
  <c r="AY146" i="7" s="1"/>
  <c r="AZ146" i="7" s="1"/>
  <c r="BA146" i="7" s="1"/>
  <c r="BB146" i="7" s="1"/>
  <c r="BC146" i="7" s="1"/>
  <c r="BD146" i="7" s="1"/>
  <c r="BE146" i="7" s="1"/>
  <c r="AL145" i="7"/>
  <c r="AM145" i="7" s="1"/>
  <c r="AN145" i="7" s="1"/>
  <c r="AO145" i="7" s="1"/>
  <c r="AP145" i="7" s="1"/>
  <c r="AQ145" i="7" s="1"/>
  <c r="AR145" i="7" s="1"/>
  <c r="AS145" i="7" s="1"/>
  <c r="AT145" i="7" s="1"/>
  <c r="AU145" i="7" s="1"/>
  <c r="AV145" i="7" s="1"/>
  <c r="AW145" i="7" s="1"/>
  <c r="AX145" i="7" s="1"/>
  <c r="AY145" i="7" s="1"/>
  <c r="AZ145" i="7" s="1"/>
  <c r="BA145" i="7" s="1"/>
  <c r="BB145" i="7" s="1"/>
  <c r="BC145" i="7" s="1"/>
  <c r="BD145" i="7" s="1"/>
  <c r="BE145" i="7" s="1"/>
  <c r="AL144" i="7"/>
  <c r="AM144" i="7" s="1"/>
  <c r="AN144" i="7" s="1"/>
  <c r="AO144" i="7" s="1"/>
  <c r="AP144" i="7" s="1"/>
  <c r="AQ144" i="7" s="1"/>
  <c r="AR144" i="7" s="1"/>
  <c r="AS144" i="7" s="1"/>
  <c r="AT144" i="7" s="1"/>
  <c r="AU144" i="7" s="1"/>
  <c r="AV144" i="7" s="1"/>
  <c r="AW144" i="7" s="1"/>
  <c r="AX144" i="7" s="1"/>
  <c r="AY144" i="7" s="1"/>
  <c r="AZ144" i="7" s="1"/>
  <c r="BA144" i="7" s="1"/>
  <c r="BB144" i="7" s="1"/>
  <c r="BC144" i="7" s="1"/>
  <c r="BD144" i="7" s="1"/>
  <c r="BE144" i="7" s="1"/>
  <c r="AL143" i="7"/>
  <c r="AM143" i="7" s="1"/>
  <c r="AN143" i="7" s="1"/>
  <c r="AO143" i="7" s="1"/>
  <c r="AP143" i="7" s="1"/>
  <c r="AQ143" i="7" s="1"/>
  <c r="AR143" i="7" s="1"/>
  <c r="AS143" i="7" s="1"/>
  <c r="AT143" i="7" s="1"/>
  <c r="AU143" i="7" s="1"/>
  <c r="AV143" i="7" s="1"/>
  <c r="AW143" i="7" s="1"/>
  <c r="AX143" i="7" s="1"/>
  <c r="AY143" i="7" s="1"/>
  <c r="AZ143" i="7" s="1"/>
  <c r="BA143" i="7" s="1"/>
  <c r="BB143" i="7" s="1"/>
  <c r="BC143" i="7" s="1"/>
  <c r="BD143" i="7" s="1"/>
  <c r="BE143" i="7" s="1"/>
  <c r="AL141" i="7"/>
  <c r="AM141" i="7" s="1"/>
  <c r="AN141" i="7" s="1"/>
  <c r="AO141" i="7" s="1"/>
  <c r="AP141" i="7" s="1"/>
  <c r="AQ141" i="7" s="1"/>
  <c r="AR141" i="7" s="1"/>
  <c r="AS141" i="7" s="1"/>
  <c r="AT141" i="7" s="1"/>
  <c r="AU141" i="7" s="1"/>
  <c r="AV141" i="7" s="1"/>
  <c r="AW141" i="7" s="1"/>
  <c r="AX141" i="7" s="1"/>
  <c r="AY141" i="7" s="1"/>
  <c r="AZ141" i="7" s="1"/>
  <c r="BA141" i="7" s="1"/>
  <c r="BB141" i="7" s="1"/>
  <c r="BC141" i="7" s="1"/>
  <c r="BD141" i="7" s="1"/>
  <c r="BE141" i="7" s="1"/>
  <c r="AL140" i="7"/>
  <c r="AM140" i="7" s="1"/>
  <c r="AN140" i="7" s="1"/>
  <c r="AO140" i="7" s="1"/>
  <c r="AP140" i="7" s="1"/>
  <c r="AQ140" i="7" s="1"/>
  <c r="AR140" i="7" s="1"/>
  <c r="AS140" i="7" s="1"/>
  <c r="AT140" i="7" s="1"/>
  <c r="AU140" i="7" s="1"/>
  <c r="AV140" i="7" s="1"/>
  <c r="AW140" i="7" s="1"/>
  <c r="AX140" i="7" s="1"/>
  <c r="AY140" i="7" s="1"/>
  <c r="AZ140" i="7" s="1"/>
  <c r="BA140" i="7" s="1"/>
  <c r="BB140" i="7" s="1"/>
  <c r="BC140" i="7" s="1"/>
  <c r="BD140" i="7" s="1"/>
  <c r="BE140" i="7" s="1"/>
  <c r="AL139" i="7"/>
  <c r="AM139" i="7" s="1"/>
  <c r="AN139" i="7" s="1"/>
  <c r="AO139" i="7" s="1"/>
  <c r="AP139" i="7" s="1"/>
  <c r="AQ139" i="7" s="1"/>
  <c r="AR139" i="7" s="1"/>
  <c r="AS139" i="7" s="1"/>
  <c r="AT139" i="7" s="1"/>
  <c r="AU139" i="7" s="1"/>
  <c r="AV139" i="7" s="1"/>
  <c r="AW139" i="7" s="1"/>
  <c r="AX139" i="7" s="1"/>
  <c r="AY139" i="7" s="1"/>
  <c r="AZ139" i="7" s="1"/>
  <c r="BA139" i="7" s="1"/>
  <c r="BB139" i="7" s="1"/>
  <c r="BC139" i="7" s="1"/>
  <c r="BD139" i="7" s="1"/>
  <c r="BE139" i="7" s="1"/>
  <c r="AK137" i="7"/>
  <c r="AL137" i="7" s="1"/>
  <c r="AM137" i="7" s="1"/>
  <c r="AN137" i="7" s="1"/>
  <c r="AO137" i="7" s="1"/>
  <c r="AP137" i="7" s="1"/>
  <c r="AQ137" i="7" s="1"/>
  <c r="AR137" i="7" s="1"/>
  <c r="AS137" i="7" s="1"/>
  <c r="AT137" i="7" s="1"/>
  <c r="AU137" i="7" s="1"/>
  <c r="AV137" i="7" s="1"/>
  <c r="AW137" i="7" s="1"/>
  <c r="AX137" i="7" s="1"/>
  <c r="AY137" i="7" s="1"/>
  <c r="AZ137" i="7" s="1"/>
  <c r="BA137" i="7" s="1"/>
  <c r="BB137" i="7" s="1"/>
  <c r="BC137" i="7" s="1"/>
  <c r="BD137" i="7" s="1"/>
  <c r="BE137" i="7" s="1"/>
  <c r="AJ137" i="7"/>
  <c r="AI137" i="7"/>
  <c r="AH137" i="7"/>
  <c r="AG137" i="7"/>
  <c r="AF137" i="7"/>
  <c r="AE137" i="7"/>
  <c r="AD137" i="7"/>
  <c r="AC137" i="7"/>
  <c r="AB137" i="7"/>
  <c r="AA137" i="7"/>
  <c r="Z137" i="7"/>
  <c r="Y137" i="7"/>
  <c r="X137" i="7"/>
  <c r="W137" i="7"/>
  <c r="V137" i="7"/>
  <c r="U137" i="7"/>
  <c r="T137" i="7"/>
  <c r="S137" i="7"/>
  <c r="R137" i="7"/>
  <c r="Q137" i="7"/>
  <c r="P137" i="7"/>
  <c r="O137" i="7"/>
  <c r="N137" i="7"/>
  <c r="M137" i="7"/>
  <c r="L137" i="7"/>
  <c r="K137" i="7"/>
  <c r="J137" i="7"/>
  <c r="I137" i="7"/>
  <c r="H137" i="7"/>
  <c r="G137" i="7"/>
  <c r="F137" i="7"/>
  <c r="E137" i="7"/>
  <c r="AL136" i="7"/>
  <c r="AM136" i="7" s="1"/>
  <c r="AN136" i="7" s="1"/>
  <c r="AO136" i="7" s="1"/>
  <c r="AP136" i="7" s="1"/>
  <c r="AQ136" i="7" s="1"/>
  <c r="AR136" i="7" s="1"/>
  <c r="AS136" i="7" s="1"/>
  <c r="AT136" i="7" s="1"/>
  <c r="AU136" i="7" s="1"/>
  <c r="AV136" i="7" s="1"/>
  <c r="AW136" i="7" s="1"/>
  <c r="AX136" i="7" s="1"/>
  <c r="AY136" i="7" s="1"/>
  <c r="AZ136" i="7" s="1"/>
  <c r="BA136" i="7" s="1"/>
  <c r="BB136" i="7" s="1"/>
  <c r="BC136" i="7" s="1"/>
  <c r="BD136" i="7" s="1"/>
  <c r="BE136" i="7" s="1"/>
  <c r="AL133" i="7"/>
  <c r="AM133" i="7" s="1"/>
  <c r="AN133" i="7" s="1"/>
  <c r="AO133" i="7" s="1"/>
  <c r="AP133" i="7" s="1"/>
  <c r="AQ133" i="7" s="1"/>
  <c r="AR133" i="7" s="1"/>
  <c r="AS133" i="7" s="1"/>
  <c r="AT133" i="7" s="1"/>
  <c r="AU133" i="7" s="1"/>
  <c r="AV133" i="7" s="1"/>
  <c r="AW133" i="7" s="1"/>
  <c r="AX133" i="7" s="1"/>
  <c r="AY133" i="7" s="1"/>
  <c r="AZ133" i="7" s="1"/>
  <c r="BA133" i="7" s="1"/>
  <c r="BB133" i="7" s="1"/>
  <c r="BC133" i="7" s="1"/>
  <c r="BD133" i="7" s="1"/>
  <c r="BE133" i="7" s="1"/>
  <c r="AL130" i="7"/>
  <c r="AM130" i="7" s="1"/>
  <c r="AN130" i="7" s="1"/>
  <c r="AO130" i="7" s="1"/>
  <c r="AP130" i="7" s="1"/>
  <c r="AQ130" i="7" s="1"/>
  <c r="AR130" i="7" s="1"/>
  <c r="AS130" i="7" s="1"/>
  <c r="AT130" i="7" s="1"/>
  <c r="AU130" i="7" s="1"/>
  <c r="AV130" i="7" s="1"/>
  <c r="AW130" i="7" s="1"/>
  <c r="AX130" i="7" s="1"/>
  <c r="AY130" i="7" s="1"/>
  <c r="AZ130" i="7" s="1"/>
  <c r="BA130" i="7" s="1"/>
  <c r="BB130" i="7" s="1"/>
  <c r="BC130" i="7" s="1"/>
  <c r="BD130" i="7" s="1"/>
  <c r="BE130" i="7" s="1"/>
  <c r="AL129" i="7"/>
  <c r="AM129" i="7" s="1"/>
  <c r="AN129" i="7" s="1"/>
  <c r="AO129" i="7" s="1"/>
  <c r="AP129" i="7" s="1"/>
  <c r="AQ129" i="7" s="1"/>
  <c r="AR129" i="7" s="1"/>
  <c r="AS129" i="7" s="1"/>
  <c r="AT129" i="7" s="1"/>
  <c r="AU129" i="7" s="1"/>
  <c r="AV129" i="7" s="1"/>
  <c r="AW129" i="7" s="1"/>
  <c r="AX129" i="7" s="1"/>
  <c r="AY129" i="7" s="1"/>
  <c r="AZ129" i="7" s="1"/>
  <c r="BA129" i="7" s="1"/>
  <c r="BB129" i="7" s="1"/>
  <c r="BC129" i="7" s="1"/>
  <c r="BD129" i="7" s="1"/>
  <c r="BE129" i="7" s="1"/>
  <c r="AL128" i="7"/>
  <c r="AM128" i="7" s="1"/>
  <c r="AN128" i="7" s="1"/>
  <c r="AO128" i="7" s="1"/>
  <c r="AP128" i="7" s="1"/>
  <c r="AQ128" i="7" s="1"/>
  <c r="AR128" i="7" s="1"/>
  <c r="AS128" i="7" s="1"/>
  <c r="AT128" i="7" s="1"/>
  <c r="AU128" i="7" s="1"/>
  <c r="AV128" i="7" s="1"/>
  <c r="AW128" i="7" s="1"/>
  <c r="AX128" i="7" s="1"/>
  <c r="AY128" i="7" s="1"/>
  <c r="AZ128" i="7" s="1"/>
  <c r="BA128" i="7" s="1"/>
  <c r="BB128" i="7" s="1"/>
  <c r="BC128" i="7" s="1"/>
  <c r="BD128" i="7" s="1"/>
  <c r="BE128" i="7" s="1"/>
  <c r="AK127" i="7"/>
  <c r="AL127" i="7" s="1"/>
  <c r="AM127" i="7" s="1"/>
  <c r="AN127" i="7" s="1"/>
  <c r="AO127" i="7" s="1"/>
  <c r="AP127" i="7" s="1"/>
  <c r="AQ127" i="7" s="1"/>
  <c r="AR127" i="7" s="1"/>
  <c r="AS127" i="7" s="1"/>
  <c r="AT127" i="7" s="1"/>
  <c r="AU127" i="7" s="1"/>
  <c r="AV127" i="7" s="1"/>
  <c r="AW127" i="7" s="1"/>
  <c r="AX127" i="7" s="1"/>
  <c r="AY127" i="7" s="1"/>
  <c r="AZ127" i="7" s="1"/>
  <c r="BA127" i="7" s="1"/>
  <c r="BB127" i="7" s="1"/>
  <c r="BC127" i="7" s="1"/>
  <c r="BD127" i="7" s="1"/>
  <c r="BE127" i="7" s="1"/>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E127" i="7"/>
  <c r="AL126" i="7"/>
  <c r="AM126" i="7" s="1"/>
  <c r="AN126" i="7" s="1"/>
  <c r="AO126" i="7" s="1"/>
  <c r="AP126" i="7" s="1"/>
  <c r="AQ126" i="7" s="1"/>
  <c r="AR126" i="7" s="1"/>
  <c r="AS126" i="7" s="1"/>
  <c r="AT126" i="7" s="1"/>
  <c r="AU126" i="7" s="1"/>
  <c r="AV126" i="7" s="1"/>
  <c r="AW126" i="7" s="1"/>
  <c r="AX126" i="7" s="1"/>
  <c r="AY126" i="7" s="1"/>
  <c r="AZ126" i="7" s="1"/>
  <c r="BA126" i="7" s="1"/>
  <c r="BB126" i="7" s="1"/>
  <c r="BC126" i="7" s="1"/>
  <c r="BD126" i="7" s="1"/>
  <c r="BE126" i="7" s="1"/>
  <c r="AL125" i="7"/>
  <c r="AM125" i="7" s="1"/>
  <c r="AN125" i="7" s="1"/>
  <c r="AO125" i="7" s="1"/>
  <c r="AP125" i="7" s="1"/>
  <c r="AQ125" i="7" s="1"/>
  <c r="AR125" i="7" s="1"/>
  <c r="AS125" i="7" s="1"/>
  <c r="AT125" i="7" s="1"/>
  <c r="AU125" i="7" s="1"/>
  <c r="AV125" i="7" s="1"/>
  <c r="AW125" i="7" s="1"/>
  <c r="AX125" i="7" s="1"/>
  <c r="AY125" i="7" s="1"/>
  <c r="AZ125" i="7" s="1"/>
  <c r="BA125" i="7" s="1"/>
  <c r="BB125" i="7" s="1"/>
  <c r="BC125" i="7" s="1"/>
  <c r="BD125" i="7" s="1"/>
  <c r="BE125" i="7" s="1"/>
  <c r="AL124" i="7"/>
  <c r="AM124" i="7" s="1"/>
  <c r="AN124" i="7" s="1"/>
  <c r="AO124" i="7" s="1"/>
  <c r="AP124" i="7" s="1"/>
  <c r="AQ124" i="7" s="1"/>
  <c r="AR124" i="7" s="1"/>
  <c r="AS124" i="7" s="1"/>
  <c r="AT124" i="7" s="1"/>
  <c r="AU124" i="7" s="1"/>
  <c r="AV124" i="7" s="1"/>
  <c r="AW124" i="7" s="1"/>
  <c r="AX124" i="7" s="1"/>
  <c r="AY124" i="7" s="1"/>
  <c r="AZ124" i="7" s="1"/>
  <c r="BA124" i="7" s="1"/>
  <c r="BB124" i="7" s="1"/>
  <c r="BC124" i="7" s="1"/>
  <c r="BD124" i="7" s="1"/>
  <c r="BE124" i="7" s="1"/>
  <c r="AL123" i="7"/>
  <c r="AM123" i="7" s="1"/>
  <c r="AN123" i="7" s="1"/>
  <c r="AO123" i="7" s="1"/>
  <c r="AP123" i="7" s="1"/>
  <c r="AQ123" i="7" s="1"/>
  <c r="AR123" i="7" s="1"/>
  <c r="AS123" i="7" s="1"/>
  <c r="AT123" i="7" s="1"/>
  <c r="AU123" i="7" s="1"/>
  <c r="AV123" i="7" s="1"/>
  <c r="AW123" i="7" s="1"/>
  <c r="AX123" i="7" s="1"/>
  <c r="AY123" i="7" s="1"/>
  <c r="AZ123" i="7" s="1"/>
  <c r="BA123" i="7" s="1"/>
  <c r="BB123" i="7" s="1"/>
  <c r="BC123" i="7" s="1"/>
  <c r="BD123" i="7" s="1"/>
  <c r="BE123" i="7" s="1"/>
  <c r="AK122" i="7"/>
  <c r="AL122" i="7" s="1"/>
  <c r="AM122" i="7" s="1"/>
  <c r="AN122" i="7" s="1"/>
  <c r="AO122" i="7" s="1"/>
  <c r="AP122" i="7" s="1"/>
  <c r="AQ122" i="7" s="1"/>
  <c r="AR122" i="7" s="1"/>
  <c r="AS122" i="7" s="1"/>
  <c r="AT122" i="7" s="1"/>
  <c r="AU122" i="7" s="1"/>
  <c r="AV122" i="7" s="1"/>
  <c r="AW122" i="7" s="1"/>
  <c r="AX122" i="7" s="1"/>
  <c r="AY122" i="7" s="1"/>
  <c r="AZ122" i="7" s="1"/>
  <c r="BA122" i="7" s="1"/>
  <c r="BB122" i="7" s="1"/>
  <c r="BC122" i="7" s="1"/>
  <c r="BD122" i="7" s="1"/>
  <c r="BE122" i="7" s="1"/>
  <c r="AJ122" i="7"/>
  <c r="AI122" i="7"/>
  <c r="AH122" i="7"/>
  <c r="AG122" i="7"/>
  <c r="AF122" i="7"/>
  <c r="AE122" i="7"/>
  <c r="AD122" i="7"/>
  <c r="AC122" i="7"/>
  <c r="AB122" i="7"/>
  <c r="AA122" i="7"/>
  <c r="Z122" i="7"/>
  <c r="Y122" i="7"/>
  <c r="X122" i="7"/>
  <c r="W122" i="7"/>
  <c r="V122" i="7"/>
  <c r="U122" i="7"/>
  <c r="T122" i="7"/>
  <c r="S122" i="7"/>
  <c r="R122" i="7"/>
  <c r="Q122" i="7"/>
  <c r="P122" i="7"/>
  <c r="O122" i="7"/>
  <c r="N122" i="7"/>
  <c r="M122" i="7"/>
  <c r="L122" i="7"/>
  <c r="K122" i="7"/>
  <c r="J122" i="7"/>
  <c r="I122" i="7"/>
  <c r="H122" i="7"/>
  <c r="G122" i="7"/>
  <c r="F122" i="7"/>
  <c r="E122" i="7"/>
  <c r="AK121" i="7"/>
  <c r="AL121" i="7" s="1"/>
  <c r="AM121" i="7" s="1"/>
  <c r="AN121" i="7" s="1"/>
  <c r="AO121" i="7" s="1"/>
  <c r="AP121" i="7" s="1"/>
  <c r="AQ121" i="7" s="1"/>
  <c r="AR121" i="7" s="1"/>
  <c r="AS121" i="7" s="1"/>
  <c r="AT121" i="7" s="1"/>
  <c r="AU121" i="7" s="1"/>
  <c r="AV121" i="7" s="1"/>
  <c r="AW121" i="7" s="1"/>
  <c r="AX121" i="7" s="1"/>
  <c r="AY121" i="7" s="1"/>
  <c r="AZ121" i="7" s="1"/>
  <c r="BA121" i="7" s="1"/>
  <c r="BB121" i="7" s="1"/>
  <c r="BC121" i="7" s="1"/>
  <c r="BD121" i="7" s="1"/>
  <c r="BE121" i="7" s="1"/>
  <c r="AJ121" i="7"/>
  <c r="AI121" i="7"/>
  <c r="AH121" i="7"/>
  <c r="AG121" i="7"/>
  <c r="AF121" i="7"/>
  <c r="AE121" i="7"/>
  <c r="AD121" i="7"/>
  <c r="AC121" i="7"/>
  <c r="AB121" i="7"/>
  <c r="AA121" i="7"/>
  <c r="Z121" i="7"/>
  <c r="Y121" i="7"/>
  <c r="X121" i="7"/>
  <c r="W121" i="7"/>
  <c r="V121" i="7"/>
  <c r="U121" i="7"/>
  <c r="T121" i="7"/>
  <c r="S121" i="7"/>
  <c r="R121" i="7"/>
  <c r="Q121" i="7"/>
  <c r="P121" i="7"/>
  <c r="O121" i="7"/>
  <c r="N121" i="7"/>
  <c r="M121" i="7"/>
  <c r="L121" i="7"/>
  <c r="K121" i="7"/>
  <c r="J121" i="7"/>
  <c r="I121" i="7"/>
  <c r="H121" i="7"/>
  <c r="G121" i="7"/>
  <c r="F121" i="7"/>
  <c r="E121" i="7"/>
  <c r="AL120" i="7"/>
  <c r="AM120" i="7" s="1"/>
  <c r="AN120" i="7" s="1"/>
  <c r="AO120" i="7" s="1"/>
  <c r="AP120" i="7" s="1"/>
  <c r="AQ120" i="7" s="1"/>
  <c r="AR120" i="7" s="1"/>
  <c r="AS120" i="7" s="1"/>
  <c r="AT120" i="7" s="1"/>
  <c r="AU120" i="7" s="1"/>
  <c r="AV120" i="7" s="1"/>
  <c r="AW120" i="7" s="1"/>
  <c r="AX120" i="7" s="1"/>
  <c r="AY120" i="7" s="1"/>
  <c r="AZ120" i="7" s="1"/>
  <c r="BA120" i="7" s="1"/>
  <c r="BB120" i="7" s="1"/>
  <c r="BC120" i="7" s="1"/>
  <c r="BD120" i="7" s="1"/>
  <c r="BE120" i="7" s="1"/>
  <c r="AK119" i="7"/>
  <c r="AJ119" i="7"/>
  <c r="AJ153" i="7" s="1"/>
  <c r="AI119" i="7"/>
  <c r="AI153" i="7" s="1"/>
  <c r="AH119" i="7"/>
  <c r="AH153" i="7" s="1"/>
  <c r="AG119" i="7"/>
  <c r="AG153" i="7" s="1"/>
  <c r="AF119" i="7"/>
  <c r="AF153" i="7" s="1"/>
  <c r="AE119" i="7"/>
  <c r="AE153" i="7" s="1"/>
  <c r="AD119" i="7"/>
  <c r="AD153" i="7" s="1"/>
  <c r="AC119" i="7"/>
  <c r="AC153" i="7" s="1"/>
  <c r="AB119" i="7"/>
  <c r="AB153" i="7" s="1"/>
  <c r="AA119" i="7"/>
  <c r="AA153" i="7" s="1"/>
  <c r="Z119" i="7"/>
  <c r="Z153" i="7" s="1"/>
  <c r="Y119" i="7"/>
  <c r="Y153" i="7" s="1"/>
  <c r="X119" i="7"/>
  <c r="X153" i="7" s="1"/>
  <c r="W119" i="7"/>
  <c r="W153" i="7" s="1"/>
  <c r="V119" i="7"/>
  <c r="V153" i="7" s="1"/>
  <c r="U119" i="7"/>
  <c r="U153" i="7" s="1"/>
  <c r="T119" i="7"/>
  <c r="T153" i="7" s="1"/>
  <c r="S119" i="7"/>
  <c r="S153" i="7" s="1"/>
  <c r="R119" i="7"/>
  <c r="R153" i="7" s="1"/>
  <c r="Q119" i="7"/>
  <c r="Q153" i="7" s="1"/>
  <c r="P119" i="7"/>
  <c r="P153" i="7" s="1"/>
  <c r="O119" i="7"/>
  <c r="O153" i="7" s="1"/>
  <c r="N119" i="7"/>
  <c r="N153" i="7" s="1"/>
  <c r="M119" i="7"/>
  <c r="M153" i="7" s="1"/>
  <c r="L119" i="7"/>
  <c r="L153" i="7" s="1"/>
  <c r="K119" i="7"/>
  <c r="K153" i="7" s="1"/>
  <c r="J119" i="7"/>
  <c r="J153" i="7" s="1"/>
  <c r="I119" i="7"/>
  <c r="I153" i="7" s="1"/>
  <c r="H119" i="7"/>
  <c r="H153" i="7" s="1"/>
  <c r="G119" i="7"/>
  <c r="G153" i="7" s="1"/>
  <c r="F119" i="7"/>
  <c r="F153" i="7" s="1"/>
  <c r="E119" i="7"/>
  <c r="E153" i="7" s="1"/>
  <c r="AL118" i="7"/>
  <c r="AM118" i="7" s="1"/>
  <c r="AN118" i="7" s="1"/>
  <c r="AO118" i="7" s="1"/>
  <c r="AP118" i="7" s="1"/>
  <c r="AQ118" i="7" s="1"/>
  <c r="AR118" i="7" s="1"/>
  <c r="AS118" i="7" s="1"/>
  <c r="AT118" i="7" s="1"/>
  <c r="AU118" i="7" s="1"/>
  <c r="AV118" i="7" s="1"/>
  <c r="AW118" i="7" s="1"/>
  <c r="AX118" i="7" s="1"/>
  <c r="AY118" i="7" s="1"/>
  <c r="AZ118" i="7" s="1"/>
  <c r="BA118" i="7" s="1"/>
  <c r="BB118" i="7" s="1"/>
  <c r="BC118" i="7" s="1"/>
  <c r="BD118" i="7" s="1"/>
  <c r="BE118" i="7" s="1"/>
  <c r="AL117" i="7"/>
  <c r="AM117" i="7" s="1"/>
  <c r="AN117" i="7" s="1"/>
  <c r="AO117" i="7" s="1"/>
  <c r="AP117" i="7" s="1"/>
  <c r="AQ117" i="7" s="1"/>
  <c r="AR117" i="7" s="1"/>
  <c r="AS117" i="7" s="1"/>
  <c r="AT117" i="7" s="1"/>
  <c r="AU117" i="7" s="1"/>
  <c r="AV117" i="7" s="1"/>
  <c r="AW117" i="7" s="1"/>
  <c r="AX117" i="7" s="1"/>
  <c r="AY117" i="7" s="1"/>
  <c r="AZ117" i="7" s="1"/>
  <c r="BA117" i="7" s="1"/>
  <c r="BB117" i="7" s="1"/>
  <c r="BC117" i="7" s="1"/>
  <c r="BD117" i="7" s="1"/>
  <c r="BE117" i="7" s="1"/>
  <c r="AK116" i="7"/>
  <c r="AL116" i="7" s="1"/>
  <c r="AM116" i="7" s="1"/>
  <c r="AN116" i="7" s="1"/>
  <c r="AO116" i="7" s="1"/>
  <c r="AP116" i="7" s="1"/>
  <c r="AQ116" i="7" s="1"/>
  <c r="AR116" i="7" s="1"/>
  <c r="AS116" i="7" s="1"/>
  <c r="AT116" i="7" s="1"/>
  <c r="AU116" i="7" s="1"/>
  <c r="AV116" i="7" s="1"/>
  <c r="AW116" i="7" s="1"/>
  <c r="AX116" i="7" s="1"/>
  <c r="AY116" i="7" s="1"/>
  <c r="AZ116" i="7" s="1"/>
  <c r="BA116" i="7" s="1"/>
  <c r="BB116" i="7" s="1"/>
  <c r="BC116" i="7" s="1"/>
  <c r="BD116" i="7" s="1"/>
  <c r="BE116" i="7" s="1"/>
  <c r="AJ116" i="7"/>
  <c r="AI116" i="7"/>
  <c r="AH116"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AK114" i="7"/>
  <c r="AJ114" i="7"/>
  <c r="AI114" i="7"/>
  <c r="AH114"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AK113" i="7"/>
  <c r="AJ113" i="7"/>
  <c r="AI113" i="7"/>
  <c r="AH113"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AL112" i="7"/>
  <c r="AM112" i="7" s="1"/>
  <c r="AN112" i="7" s="1"/>
  <c r="AO112" i="7" s="1"/>
  <c r="AP112" i="7" s="1"/>
  <c r="AQ112" i="7" s="1"/>
  <c r="AR112" i="7" s="1"/>
  <c r="AS112" i="7" s="1"/>
  <c r="AT112" i="7" s="1"/>
  <c r="AU112" i="7" s="1"/>
  <c r="AV112" i="7" s="1"/>
  <c r="AW112" i="7" s="1"/>
  <c r="AX112" i="7" s="1"/>
  <c r="AY112" i="7" s="1"/>
  <c r="AZ112" i="7" s="1"/>
  <c r="BA112" i="7" s="1"/>
  <c r="BB112" i="7" s="1"/>
  <c r="BC112" i="7" s="1"/>
  <c r="BD112" i="7" s="1"/>
  <c r="BE112" i="7" s="1"/>
  <c r="AL111" i="7"/>
  <c r="AM111" i="7" s="1"/>
  <c r="AN111" i="7" s="1"/>
  <c r="AO111" i="7" s="1"/>
  <c r="AP111" i="7" s="1"/>
  <c r="AQ111" i="7" s="1"/>
  <c r="AR111" i="7" s="1"/>
  <c r="AS111" i="7" s="1"/>
  <c r="AT111" i="7" s="1"/>
  <c r="AU111" i="7" s="1"/>
  <c r="AV111" i="7" s="1"/>
  <c r="AW111" i="7" s="1"/>
  <c r="AX111" i="7" s="1"/>
  <c r="AY111" i="7" s="1"/>
  <c r="AZ111" i="7" s="1"/>
  <c r="BA111" i="7" s="1"/>
  <c r="BB111" i="7" s="1"/>
  <c r="BC111" i="7" s="1"/>
  <c r="BD111" i="7" s="1"/>
  <c r="BE111" i="7" s="1"/>
  <c r="AK110" i="7"/>
  <c r="AJ110" i="7"/>
  <c r="AJ138" i="7" s="1"/>
  <c r="AI110" i="7"/>
  <c r="AI138" i="7" s="1"/>
  <c r="AH110" i="7"/>
  <c r="AH138" i="7" s="1"/>
  <c r="AG110" i="7"/>
  <c r="AG138" i="7" s="1"/>
  <c r="AF110" i="7"/>
  <c r="AF138" i="7" s="1"/>
  <c r="AE110" i="7"/>
  <c r="AE138" i="7" s="1"/>
  <c r="AD110" i="7"/>
  <c r="AD138" i="7" s="1"/>
  <c r="AC110" i="7"/>
  <c r="AC138" i="7" s="1"/>
  <c r="AB110" i="7"/>
  <c r="AB138" i="7" s="1"/>
  <c r="AA110" i="7"/>
  <c r="AA138" i="7" s="1"/>
  <c r="Z110" i="7"/>
  <c r="Z138" i="7" s="1"/>
  <c r="Y110" i="7"/>
  <c r="Y138" i="7" s="1"/>
  <c r="X110" i="7"/>
  <c r="X138" i="7" s="1"/>
  <c r="W110" i="7"/>
  <c r="W138" i="7" s="1"/>
  <c r="V110" i="7"/>
  <c r="V138" i="7" s="1"/>
  <c r="U110" i="7"/>
  <c r="U138" i="7" s="1"/>
  <c r="T110" i="7"/>
  <c r="T138" i="7" s="1"/>
  <c r="S110" i="7"/>
  <c r="S138" i="7" s="1"/>
  <c r="R110" i="7"/>
  <c r="R138" i="7" s="1"/>
  <c r="Q110" i="7"/>
  <c r="Q138" i="7" s="1"/>
  <c r="P110" i="7"/>
  <c r="P138" i="7" s="1"/>
  <c r="O110" i="7"/>
  <c r="O138" i="7" s="1"/>
  <c r="N110" i="7"/>
  <c r="N138" i="7" s="1"/>
  <c r="M110" i="7"/>
  <c r="M138" i="7" s="1"/>
  <c r="L110" i="7"/>
  <c r="L138" i="7" s="1"/>
  <c r="K110" i="7"/>
  <c r="K138" i="7" s="1"/>
  <c r="J110" i="7"/>
  <c r="J138" i="7" s="1"/>
  <c r="I110" i="7"/>
  <c r="I138" i="7" s="1"/>
  <c r="H110" i="7"/>
  <c r="H138" i="7" s="1"/>
  <c r="G110" i="7"/>
  <c r="G138" i="7" s="1"/>
  <c r="F110" i="7"/>
  <c r="F138" i="7" s="1"/>
  <c r="E110" i="7"/>
  <c r="E138" i="7" s="1"/>
  <c r="AK109" i="7"/>
  <c r="AL109" i="7" s="1"/>
  <c r="AM109" i="7" s="1"/>
  <c r="AN109" i="7" s="1"/>
  <c r="AO109" i="7" s="1"/>
  <c r="AP109" i="7" s="1"/>
  <c r="AQ109" i="7" s="1"/>
  <c r="AR109" i="7" s="1"/>
  <c r="AS109" i="7" s="1"/>
  <c r="AT109" i="7" s="1"/>
  <c r="AU109" i="7" s="1"/>
  <c r="AV109" i="7" s="1"/>
  <c r="AW109" i="7" s="1"/>
  <c r="AX109" i="7" s="1"/>
  <c r="AY109" i="7" s="1"/>
  <c r="AZ109" i="7" s="1"/>
  <c r="BA109" i="7" s="1"/>
  <c r="BB109" i="7" s="1"/>
  <c r="BC109" i="7" s="1"/>
  <c r="BD109" i="7" s="1"/>
  <c r="BE109" i="7" s="1"/>
  <c r="AJ109" i="7"/>
  <c r="AI109" i="7"/>
  <c r="AH109"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AK108" i="7"/>
  <c r="AL108" i="7" s="1"/>
  <c r="AM108" i="7" s="1"/>
  <c r="AN108" i="7" s="1"/>
  <c r="AO108" i="7" s="1"/>
  <c r="AP108" i="7" s="1"/>
  <c r="AQ108" i="7" s="1"/>
  <c r="AR108" i="7" s="1"/>
  <c r="AS108" i="7" s="1"/>
  <c r="AT108" i="7" s="1"/>
  <c r="AU108" i="7" s="1"/>
  <c r="AV108" i="7" s="1"/>
  <c r="AW108" i="7" s="1"/>
  <c r="AX108" i="7" s="1"/>
  <c r="AY108" i="7" s="1"/>
  <c r="AZ108" i="7" s="1"/>
  <c r="BA108" i="7" s="1"/>
  <c r="BB108" i="7" s="1"/>
  <c r="BC108" i="7" s="1"/>
  <c r="BD108" i="7" s="1"/>
  <c r="BE108" i="7" s="1"/>
  <c r="AJ108" i="7"/>
  <c r="AI108" i="7"/>
  <c r="AH108"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AK107" i="7"/>
  <c r="AJ107" i="7"/>
  <c r="AI107" i="7"/>
  <c r="AH107"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AK106" i="7"/>
  <c r="AL106" i="7" s="1"/>
  <c r="AM106" i="7" s="1"/>
  <c r="AN106" i="7" s="1"/>
  <c r="AO106" i="7" s="1"/>
  <c r="AP106" i="7" s="1"/>
  <c r="AQ106" i="7" s="1"/>
  <c r="AR106" i="7" s="1"/>
  <c r="AS106" i="7" s="1"/>
  <c r="AT106" i="7" s="1"/>
  <c r="AU106" i="7" s="1"/>
  <c r="AV106" i="7" s="1"/>
  <c r="AW106" i="7" s="1"/>
  <c r="AX106" i="7" s="1"/>
  <c r="AY106" i="7" s="1"/>
  <c r="AZ106" i="7" s="1"/>
  <c r="BA106" i="7" s="1"/>
  <c r="BB106" i="7" s="1"/>
  <c r="BC106" i="7" s="1"/>
  <c r="BD106" i="7" s="1"/>
  <c r="BE106" i="7" s="1"/>
  <c r="AJ106" i="7"/>
  <c r="AI106" i="7"/>
  <c r="AH106"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AK105" i="7"/>
  <c r="AL105" i="7" s="1"/>
  <c r="AM105" i="7" s="1"/>
  <c r="AN105" i="7" s="1"/>
  <c r="AO105" i="7" s="1"/>
  <c r="AP105" i="7" s="1"/>
  <c r="AQ105" i="7" s="1"/>
  <c r="AR105" i="7" s="1"/>
  <c r="AS105" i="7" s="1"/>
  <c r="AT105" i="7" s="1"/>
  <c r="AU105" i="7" s="1"/>
  <c r="AV105" i="7" s="1"/>
  <c r="AW105" i="7" s="1"/>
  <c r="AX105" i="7" s="1"/>
  <c r="AY105" i="7" s="1"/>
  <c r="AZ105" i="7" s="1"/>
  <c r="BA105" i="7" s="1"/>
  <c r="BB105" i="7" s="1"/>
  <c r="BC105" i="7" s="1"/>
  <c r="BD105" i="7" s="1"/>
  <c r="BE105" i="7" s="1"/>
  <c r="AJ105" i="7"/>
  <c r="AI105" i="7"/>
  <c r="AH105"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AK104" i="7"/>
  <c r="AJ104" i="7"/>
  <c r="AI104" i="7"/>
  <c r="AH104"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AL103" i="7"/>
  <c r="AM103" i="7" s="1"/>
  <c r="AN103" i="7" s="1"/>
  <c r="AO103" i="7" s="1"/>
  <c r="AP103" i="7" s="1"/>
  <c r="AQ103" i="7" s="1"/>
  <c r="AR103" i="7" s="1"/>
  <c r="AS103" i="7" s="1"/>
  <c r="AT103" i="7" s="1"/>
  <c r="AU103" i="7" s="1"/>
  <c r="AV103" i="7" s="1"/>
  <c r="AW103" i="7" s="1"/>
  <c r="AX103" i="7" s="1"/>
  <c r="AY103" i="7" s="1"/>
  <c r="AZ103" i="7" s="1"/>
  <c r="BA103" i="7" s="1"/>
  <c r="BB103" i="7" s="1"/>
  <c r="BC103" i="7" s="1"/>
  <c r="BD103" i="7" s="1"/>
  <c r="BE103" i="7" s="1"/>
  <c r="AK102" i="7"/>
  <c r="AL102" i="7" s="1"/>
  <c r="AM102" i="7" s="1"/>
  <c r="AN102" i="7" s="1"/>
  <c r="AO102" i="7" s="1"/>
  <c r="AP102" i="7" s="1"/>
  <c r="AQ102" i="7" s="1"/>
  <c r="AR102" i="7" s="1"/>
  <c r="AS102" i="7" s="1"/>
  <c r="AT102" i="7" s="1"/>
  <c r="AU102" i="7" s="1"/>
  <c r="AV102" i="7" s="1"/>
  <c r="AW102" i="7" s="1"/>
  <c r="AX102" i="7" s="1"/>
  <c r="AY102" i="7" s="1"/>
  <c r="AZ102" i="7" s="1"/>
  <c r="BA102" i="7" s="1"/>
  <c r="BB102" i="7" s="1"/>
  <c r="BC102" i="7" s="1"/>
  <c r="BD102" i="7" s="1"/>
  <c r="BE102" i="7" s="1"/>
  <c r="AJ102" i="7"/>
  <c r="AI102" i="7"/>
  <c r="AH102"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AK101" i="7"/>
  <c r="AL101" i="7" s="1"/>
  <c r="AM101" i="7" s="1"/>
  <c r="AN101" i="7" s="1"/>
  <c r="AO101" i="7" s="1"/>
  <c r="AP101" i="7" s="1"/>
  <c r="AQ101" i="7" s="1"/>
  <c r="AR101" i="7" s="1"/>
  <c r="AS101" i="7" s="1"/>
  <c r="AT101" i="7" s="1"/>
  <c r="AU101" i="7" s="1"/>
  <c r="AV101" i="7" s="1"/>
  <c r="AW101" i="7" s="1"/>
  <c r="AX101" i="7" s="1"/>
  <c r="AY101" i="7" s="1"/>
  <c r="AZ101" i="7" s="1"/>
  <c r="BA101" i="7" s="1"/>
  <c r="BB101" i="7" s="1"/>
  <c r="BC101" i="7" s="1"/>
  <c r="BD101" i="7" s="1"/>
  <c r="BE101" i="7" s="1"/>
  <c r="AJ101" i="7"/>
  <c r="AI101" i="7"/>
  <c r="AH101"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AK100" i="7"/>
  <c r="AL100" i="7" s="1"/>
  <c r="AM100" i="7" s="1"/>
  <c r="AN100" i="7" s="1"/>
  <c r="AO100" i="7" s="1"/>
  <c r="AP100" i="7" s="1"/>
  <c r="AQ100" i="7" s="1"/>
  <c r="AR100" i="7" s="1"/>
  <c r="AS100" i="7" s="1"/>
  <c r="AT100" i="7" s="1"/>
  <c r="AU100" i="7" s="1"/>
  <c r="AV100" i="7" s="1"/>
  <c r="AW100" i="7" s="1"/>
  <c r="AX100" i="7" s="1"/>
  <c r="AY100" i="7" s="1"/>
  <c r="AZ100" i="7" s="1"/>
  <c r="BA100" i="7" s="1"/>
  <c r="BB100" i="7" s="1"/>
  <c r="BC100" i="7" s="1"/>
  <c r="BD100" i="7" s="1"/>
  <c r="BE100" i="7" s="1"/>
  <c r="AJ100" i="7"/>
  <c r="AI100" i="7"/>
  <c r="AH100"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AK99" i="7"/>
  <c r="AL99" i="7" s="1"/>
  <c r="AM99" i="7" s="1"/>
  <c r="AN99" i="7" s="1"/>
  <c r="AO99" i="7" s="1"/>
  <c r="AP99" i="7" s="1"/>
  <c r="AQ99" i="7" s="1"/>
  <c r="AR99" i="7" s="1"/>
  <c r="AS99" i="7" s="1"/>
  <c r="AT99" i="7" s="1"/>
  <c r="AU99" i="7" s="1"/>
  <c r="AV99" i="7" s="1"/>
  <c r="AW99" i="7" s="1"/>
  <c r="AX99" i="7" s="1"/>
  <c r="AY99" i="7" s="1"/>
  <c r="AZ99" i="7" s="1"/>
  <c r="BA99" i="7" s="1"/>
  <c r="BB99" i="7" s="1"/>
  <c r="BC99" i="7" s="1"/>
  <c r="BD99" i="7" s="1"/>
  <c r="BE99" i="7" s="1"/>
  <c r="AJ99" i="7"/>
  <c r="AI99" i="7"/>
  <c r="AH99"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AK98" i="7"/>
  <c r="AL98" i="7" s="1"/>
  <c r="AM98" i="7" s="1"/>
  <c r="AN98" i="7" s="1"/>
  <c r="AO98" i="7" s="1"/>
  <c r="AP98" i="7" s="1"/>
  <c r="AQ98" i="7" s="1"/>
  <c r="AR98" i="7" s="1"/>
  <c r="AS98" i="7" s="1"/>
  <c r="AT98" i="7" s="1"/>
  <c r="AU98" i="7" s="1"/>
  <c r="AV98" i="7" s="1"/>
  <c r="AW98" i="7" s="1"/>
  <c r="AX98" i="7" s="1"/>
  <c r="AY98" i="7" s="1"/>
  <c r="AZ98" i="7" s="1"/>
  <c r="BA98" i="7" s="1"/>
  <c r="BB98" i="7" s="1"/>
  <c r="BC98" i="7" s="1"/>
  <c r="BD98" i="7" s="1"/>
  <c r="BE98" i="7" s="1"/>
  <c r="AJ98" i="7"/>
  <c r="AI98" i="7"/>
  <c r="AH98"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AK97" i="7"/>
  <c r="AL97" i="7" s="1"/>
  <c r="AM97" i="7" s="1"/>
  <c r="AN97" i="7" s="1"/>
  <c r="AO97" i="7" s="1"/>
  <c r="AP97" i="7" s="1"/>
  <c r="AQ97" i="7" s="1"/>
  <c r="AR97" i="7" s="1"/>
  <c r="AS97" i="7" s="1"/>
  <c r="AT97" i="7" s="1"/>
  <c r="AU97" i="7" s="1"/>
  <c r="AV97" i="7" s="1"/>
  <c r="AW97" i="7" s="1"/>
  <c r="AX97" i="7" s="1"/>
  <c r="AY97" i="7" s="1"/>
  <c r="AZ97" i="7" s="1"/>
  <c r="BA97" i="7" s="1"/>
  <c r="BB97" i="7" s="1"/>
  <c r="BC97" i="7" s="1"/>
  <c r="BD97" i="7" s="1"/>
  <c r="BE97" i="7" s="1"/>
  <c r="AJ97" i="7"/>
  <c r="AI97" i="7"/>
  <c r="AH97"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AL96" i="7"/>
  <c r="AM96" i="7" s="1"/>
  <c r="AN96" i="7" s="1"/>
  <c r="AO96" i="7" s="1"/>
  <c r="AP96" i="7" s="1"/>
  <c r="AQ96" i="7" s="1"/>
  <c r="AR96" i="7" s="1"/>
  <c r="AS96" i="7" s="1"/>
  <c r="AT96" i="7" s="1"/>
  <c r="AU96" i="7" s="1"/>
  <c r="AV96" i="7" s="1"/>
  <c r="AW96" i="7" s="1"/>
  <c r="AX96" i="7" s="1"/>
  <c r="AY96" i="7" s="1"/>
  <c r="AZ96" i="7" s="1"/>
  <c r="BA96" i="7" s="1"/>
  <c r="BB96" i="7" s="1"/>
  <c r="BC96" i="7" s="1"/>
  <c r="BD96" i="7" s="1"/>
  <c r="BE96" i="7" s="1"/>
  <c r="AL95" i="7"/>
  <c r="AM95" i="7" s="1"/>
  <c r="AN95" i="7" s="1"/>
  <c r="AO95" i="7" s="1"/>
  <c r="AP95" i="7" s="1"/>
  <c r="AQ95" i="7" s="1"/>
  <c r="AR95" i="7" s="1"/>
  <c r="AS95" i="7" s="1"/>
  <c r="AT95" i="7" s="1"/>
  <c r="AU95" i="7" s="1"/>
  <c r="AV95" i="7" s="1"/>
  <c r="AW95" i="7" s="1"/>
  <c r="AX95" i="7" s="1"/>
  <c r="AY95" i="7" s="1"/>
  <c r="AZ95" i="7" s="1"/>
  <c r="BA95" i="7" s="1"/>
  <c r="BB95" i="7" s="1"/>
  <c r="BC95" i="7" s="1"/>
  <c r="BD95" i="7" s="1"/>
  <c r="BE95" i="7" s="1"/>
  <c r="AK94" i="7"/>
  <c r="AL94" i="7" s="1"/>
  <c r="AM94" i="7" s="1"/>
  <c r="AN94" i="7" s="1"/>
  <c r="AO94" i="7" s="1"/>
  <c r="AP94" i="7" s="1"/>
  <c r="AQ94" i="7" s="1"/>
  <c r="AR94" i="7" s="1"/>
  <c r="AS94" i="7" s="1"/>
  <c r="AT94" i="7" s="1"/>
  <c r="AU94" i="7" s="1"/>
  <c r="AV94" i="7" s="1"/>
  <c r="AW94" i="7" s="1"/>
  <c r="AX94" i="7" s="1"/>
  <c r="AY94" i="7" s="1"/>
  <c r="AZ94" i="7" s="1"/>
  <c r="BA94" i="7" s="1"/>
  <c r="BB94" i="7" s="1"/>
  <c r="BC94" i="7" s="1"/>
  <c r="BD94" i="7" s="1"/>
  <c r="BE94" i="7" s="1"/>
  <c r="AJ94" i="7"/>
  <c r="AI94" i="7"/>
  <c r="AH94"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AK93" i="7"/>
  <c r="AL93" i="7" s="1"/>
  <c r="AM93" i="7" s="1"/>
  <c r="AN93" i="7" s="1"/>
  <c r="AO93" i="7" s="1"/>
  <c r="AP93" i="7" s="1"/>
  <c r="AQ93" i="7" s="1"/>
  <c r="AR93" i="7" s="1"/>
  <c r="AS93" i="7" s="1"/>
  <c r="AT93" i="7" s="1"/>
  <c r="AU93" i="7" s="1"/>
  <c r="AV93" i="7" s="1"/>
  <c r="AW93" i="7" s="1"/>
  <c r="AX93" i="7" s="1"/>
  <c r="AY93" i="7" s="1"/>
  <c r="AZ93" i="7" s="1"/>
  <c r="BA93" i="7" s="1"/>
  <c r="BB93" i="7" s="1"/>
  <c r="BC93" i="7" s="1"/>
  <c r="BD93" i="7" s="1"/>
  <c r="BE93" i="7" s="1"/>
  <c r="AJ93" i="7"/>
  <c r="AI93" i="7"/>
  <c r="AH93"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AL92" i="7"/>
  <c r="AM92" i="7" s="1"/>
  <c r="AN92" i="7" s="1"/>
  <c r="AO92" i="7" s="1"/>
  <c r="AP92" i="7" s="1"/>
  <c r="AQ92" i="7" s="1"/>
  <c r="AR92" i="7" s="1"/>
  <c r="AS92" i="7" s="1"/>
  <c r="AT92" i="7" s="1"/>
  <c r="AU92" i="7" s="1"/>
  <c r="AV92" i="7" s="1"/>
  <c r="AW92" i="7" s="1"/>
  <c r="AX92" i="7" s="1"/>
  <c r="AY92" i="7" s="1"/>
  <c r="AZ92" i="7" s="1"/>
  <c r="BA92" i="7" s="1"/>
  <c r="BB92" i="7" s="1"/>
  <c r="BC92" i="7" s="1"/>
  <c r="BD92" i="7" s="1"/>
  <c r="BE92" i="7" s="1"/>
  <c r="AL91" i="7"/>
  <c r="AM91" i="7" s="1"/>
  <c r="AN91" i="7" s="1"/>
  <c r="AO91" i="7" s="1"/>
  <c r="AP91" i="7" s="1"/>
  <c r="AQ91" i="7" s="1"/>
  <c r="AR91" i="7" s="1"/>
  <c r="AS91" i="7" s="1"/>
  <c r="AT91" i="7" s="1"/>
  <c r="AU91" i="7" s="1"/>
  <c r="AV91" i="7" s="1"/>
  <c r="AW91" i="7" s="1"/>
  <c r="AX91" i="7" s="1"/>
  <c r="AY91" i="7" s="1"/>
  <c r="AZ91" i="7" s="1"/>
  <c r="BA91" i="7" s="1"/>
  <c r="BB91" i="7" s="1"/>
  <c r="BC91" i="7" s="1"/>
  <c r="BD91" i="7" s="1"/>
  <c r="BE91" i="7" s="1"/>
  <c r="AL90" i="7"/>
  <c r="AM90" i="7" s="1"/>
  <c r="AN90" i="7" s="1"/>
  <c r="AO90" i="7" s="1"/>
  <c r="AP90" i="7" s="1"/>
  <c r="AQ90" i="7" s="1"/>
  <c r="AR90" i="7" s="1"/>
  <c r="AS90" i="7" s="1"/>
  <c r="AT90" i="7" s="1"/>
  <c r="AU90" i="7" s="1"/>
  <c r="AV90" i="7" s="1"/>
  <c r="AW90" i="7" s="1"/>
  <c r="AX90" i="7" s="1"/>
  <c r="AY90" i="7" s="1"/>
  <c r="AZ90" i="7" s="1"/>
  <c r="BA90" i="7" s="1"/>
  <c r="BB90" i="7" s="1"/>
  <c r="BC90" i="7" s="1"/>
  <c r="BD90" i="7" s="1"/>
  <c r="BE90" i="7" s="1"/>
  <c r="AL89" i="7"/>
  <c r="AM89" i="7" s="1"/>
  <c r="AN89" i="7" s="1"/>
  <c r="AO89" i="7" s="1"/>
  <c r="AP89" i="7" s="1"/>
  <c r="AQ89" i="7" s="1"/>
  <c r="AR89" i="7" s="1"/>
  <c r="AS89" i="7" s="1"/>
  <c r="AT89" i="7" s="1"/>
  <c r="AU89" i="7" s="1"/>
  <c r="AV89" i="7" s="1"/>
  <c r="AW89" i="7" s="1"/>
  <c r="AX89" i="7" s="1"/>
  <c r="AY89" i="7" s="1"/>
  <c r="AZ89" i="7" s="1"/>
  <c r="BA89" i="7" s="1"/>
  <c r="BB89" i="7" s="1"/>
  <c r="BC89" i="7" s="1"/>
  <c r="BD89" i="7" s="1"/>
  <c r="BE89" i="7" s="1"/>
  <c r="AL88" i="7"/>
  <c r="AM88" i="7" s="1"/>
  <c r="AN88" i="7" s="1"/>
  <c r="AO88" i="7" s="1"/>
  <c r="AP88" i="7" s="1"/>
  <c r="AQ88" i="7" s="1"/>
  <c r="AR88" i="7" s="1"/>
  <c r="AS88" i="7" s="1"/>
  <c r="AT88" i="7" s="1"/>
  <c r="AU88" i="7" s="1"/>
  <c r="AV88" i="7" s="1"/>
  <c r="AW88" i="7" s="1"/>
  <c r="AX88" i="7" s="1"/>
  <c r="AY88" i="7" s="1"/>
  <c r="AZ88" i="7" s="1"/>
  <c r="BA88" i="7" s="1"/>
  <c r="BB88" i="7" s="1"/>
  <c r="BC88" i="7" s="1"/>
  <c r="BD88" i="7" s="1"/>
  <c r="BE88" i="7" s="1"/>
  <c r="AL87" i="7"/>
  <c r="AM87" i="7" s="1"/>
  <c r="AN87" i="7" s="1"/>
  <c r="AO87" i="7" s="1"/>
  <c r="AP87" i="7" s="1"/>
  <c r="AQ87" i="7" s="1"/>
  <c r="AR87" i="7" s="1"/>
  <c r="AS87" i="7" s="1"/>
  <c r="AT87" i="7" s="1"/>
  <c r="AU87" i="7" s="1"/>
  <c r="AV87" i="7" s="1"/>
  <c r="AW87" i="7" s="1"/>
  <c r="AX87" i="7" s="1"/>
  <c r="AY87" i="7" s="1"/>
  <c r="AZ87" i="7" s="1"/>
  <c r="BA87" i="7" s="1"/>
  <c r="BB87" i="7" s="1"/>
  <c r="BC87" i="7" s="1"/>
  <c r="BD87" i="7" s="1"/>
  <c r="BE87" i="7" s="1"/>
  <c r="AL86" i="7"/>
  <c r="AM86" i="7" s="1"/>
  <c r="AN86" i="7" s="1"/>
  <c r="AO86" i="7" s="1"/>
  <c r="AP86" i="7" s="1"/>
  <c r="AQ86" i="7" s="1"/>
  <c r="AR86" i="7" s="1"/>
  <c r="AS86" i="7" s="1"/>
  <c r="AT86" i="7" s="1"/>
  <c r="AU86" i="7" s="1"/>
  <c r="AV86" i="7" s="1"/>
  <c r="AW86" i="7" s="1"/>
  <c r="AX86" i="7" s="1"/>
  <c r="AY86" i="7" s="1"/>
  <c r="AZ86" i="7" s="1"/>
  <c r="BA86" i="7" s="1"/>
  <c r="BB86" i="7" s="1"/>
  <c r="BC86" i="7" s="1"/>
  <c r="BD86" i="7" s="1"/>
  <c r="BE86" i="7" s="1"/>
  <c r="AL85" i="7"/>
  <c r="AM85" i="7" s="1"/>
  <c r="AN85" i="7" s="1"/>
  <c r="AO85" i="7" s="1"/>
  <c r="AP85" i="7" s="1"/>
  <c r="AQ85" i="7" s="1"/>
  <c r="AR85" i="7" s="1"/>
  <c r="AS85" i="7" s="1"/>
  <c r="AT85" i="7" s="1"/>
  <c r="AU85" i="7" s="1"/>
  <c r="AV85" i="7" s="1"/>
  <c r="AW85" i="7" s="1"/>
  <c r="AX85" i="7" s="1"/>
  <c r="AY85" i="7" s="1"/>
  <c r="AZ85" i="7" s="1"/>
  <c r="BA85" i="7" s="1"/>
  <c r="BB85" i="7" s="1"/>
  <c r="BC85" i="7" s="1"/>
  <c r="BD85" i="7" s="1"/>
  <c r="BE85" i="7" s="1"/>
  <c r="AL84" i="7"/>
  <c r="AM84" i="7" s="1"/>
  <c r="AN84" i="7" s="1"/>
  <c r="AO84" i="7" s="1"/>
  <c r="AP84" i="7" s="1"/>
  <c r="AQ84" i="7" s="1"/>
  <c r="AR84" i="7" s="1"/>
  <c r="AS84" i="7" s="1"/>
  <c r="AT84" i="7" s="1"/>
  <c r="AU84" i="7" s="1"/>
  <c r="AV84" i="7" s="1"/>
  <c r="AW84" i="7" s="1"/>
  <c r="AX84" i="7" s="1"/>
  <c r="AY84" i="7" s="1"/>
  <c r="AZ84" i="7" s="1"/>
  <c r="BA84" i="7" s="1"/>
  <c r="BB84" i="7" s="1"/>
  <c r="BC84" i="7" s="1"/>
  <c r="BD84" i="7" s="1"/>
  <c r="BE84" i="7" s="1"/>
  <c r="AL83" i="7"/>
  <c r="AM83" i="7" s="1"/>
  <c r="AN83" i="7" s="1"/>
  <c r="AO83" i="7" s="1"/>
  <c r="AP83" i="7" s="1"/>
  <c r="AQ83" i="7" s="1"/>
  <c r="AR83" i="7" s="1"/>
  <c r="AS83" i="7" s="1"/>
  <c r="AT83" i="7" s="1"/>
  <c r="AU83" i="7" s="1"/>
  <c r="AV83" i="7" s="1"/>
  <c r="AW83" i="7" s="1"/>
  <c r="AX83" i="7" s="1"/>
  <c r="AY83" i="7" s="1"/>
  <c r="AZ83" i="7" s="1"/>
  <c r="BA83" i="7" s="1"/>
  <c r="BB83" i="7" s="1"/>
  <c r="BC83" i="7" s="1"/>
  <c r="BD83" i="7" s="1"/>
  <c r="BE83" i="7" s="1"/>
  <c r="AL82" i="7"/>
  <c r="AM82" i="7" s="1"/>
  <c r="AN82" i="7" s="1"/>
  <c r="AO82" i="7" s="1"/>
  <c r="AP82" i="7" s="1"/>
  <c r="AQ82" i="7" s="1"/>
  <c r="AR82" i="7" s="1"/>
  <c r="AS82" i="7" s="1"/>
  <c r="AT82" i="7" s="1"/>
  <c r="AU82" i="7" s="1"/>
  <c r="AV82" i="7" s="1"/>
  <c r="AW82" i="7" s="1"/>
  <c r="AX82" i="7" s="1"/>
  <c r="AY82" i="7" s="1"/>
  <c r="AZ82" i="7" s="1"/>
  <c r="BA82" i="7" s="1"/>
  <c r="BB82" i="7" s="1"/>
  <c r="BC82" i="7" s="1"/>
  <c r="BD82" i="7" s="1"/>
  <c r="BE82" i="7" s="1"/>
  <c r="AL81" i="7"/>
  <c r="AM81" i="7" s="1"/>
  <c r="AN81" i="7" s="1"/>
  <c r="AO81" i="7" s="1"/>
  <c r="AP81" i="7" s="1"/>
  <c r="AQ81" i="7" s="1"/>
  <c r="AR81" i="7" s="1"/>
  <c r="AS81" i="7" s="1"/>
  <c r="AT81" i="7" s="1"/>
  <c r="AU81" i="7" s="1"/>
  <c r="AV81" i="7" s="1"/>
  <c r="AW81" i="7" s="1"/>
  <c r="AX81" i="7" s="1"/>
  <c r="AY81" i="7" s="1"/>
  <c r="AZ81" i="7" s="1"/>
  <c r="BA81" i="7" s="1"/>
  <c r="BB81" i="7" s="1"/>
  <c r="BC81" i="7" s="1"/>
  <c r="BD81" i="7" s="1"/>
  <c r="BE81" i="7" s="1"/>
  <c r="AL80" i="7"/>
  <c r="AM80" i="7" s="1"/>
  <c r="AN80" i="7" s="1"/>
  <c r="AO80" i="7" s="1"/>
  <c r="AP80" i="7" s="1"/>
  <c r="AQ80" i="7" s="1"/>
  <c r="AR80" i="7" s="1"/>
  <c r="AS80" i="7" s="1"/>
  <c r="AT80" i="7" s="1"/>
  <c r="AU80" i="7" s="1"/>
  <c r="AV80" i="7" s="1"/>
  <c r="AW80" i="7" s="1"/>
  <c r="AX80" i="7" s="1"/>
  <c r="AY80" i="7" s="1"/>
  <c r="AZ80" i="7" s="1"/>
  <c r="BA80" i="7" s="1"/>
  <c r="BB80" i="7" s="1"/>
  <c r="BC80" i="7" s="1"/>
  <c r="BD80" i="7" s="1"/>
  <c r="BE80" i="7" s="1"/>
  <c r="AL78" i="7"/>
  <c r="AM78" i="7" s="1"/>
  <c r="AN78" i="7" s="1"/>
  <c r="AO78" i="7" s="1"/>
  <c r="AP78" i="7" s="1"/>
  <c r="AQ78" i="7" s="1"/>
  <c r="AR78" i="7" s="1"/>
  <c r="AS78" i="7" s="1"/>
  <c r="AT78" i="7" s="1"/>
  <c r="AU78" i="7" s="1"/>
  <c r="AV78" i="7" s="1"/>
  <c r="AW78" i="7" s="1"/>
  <c r="AX78" i="7" s="1"/>
  <c r="AY78" i="7" s="1"/>
  <c r="AZ78" i="7" s="1"/>
  <c r="BA78" i="7" s="1"/>
  <c r="BB78" i="7" s="1"/>
  <c r="BC78" i="7" s="1"/>
  <c r="BD78" i="7" s="1"/>
  <c r="BE78" i="7" s="1"/>
  <c r="AK77" i="7"/>
  <c r="AJ77" i="7"/>
  <c r="AJ79" i="7" s="1"/>
  <c r="AI77" i="7"/>
  <c r="AI79" i="7" s="1"/>
  <c r="AH77" i="7"/>
  <c r="AH79" i="7" s="1"/>
  <c r="AG77" i="7"/>
  <c r="AG79" i="7" s="1"/>
  <c r="AF77" i="7"/>
  <c r="AF79" i="7" s="1"/>
  <c r="AE77" i="7"/>
  <c r="AE79" i="7" s="1"/>
  <c r="AD77" i="7"/>
  <c r="AD79" i="7" s="1"/>
  <c r="AC77" i="7"/>
  <c r="AC79" i="7" s="1"/>
  <c r="AB77" i="7"/>
  <c r="AB79" i="7" s="1"/>
  <c r="AA77" i="7"/>
  <c r="AA79" i="7" s="1"/>
  <c r="Z77" i="7"/>
  <c r="Z79" i="7" s="1"/>
  <c r="Y77" i="7"/>
  <c r="Y79" i="7" s="1"/>
  <c r="X77" i="7"/>
  <c r="X79" i="7" s="1"/>
  <c r="W77" i="7"/>
  <c r="W79" i="7" s="1"/>
  <c r="V77" i="7"/>
  <c r="V79" i="7" s="1"/>
  <c r="U77" i="7"/>
  <c r="U79" i="7" s="1"/>
  <c r="T77" i="7"/>
  <c r="T79" i="7" s="1"/>
  <c r="S77" i="7"/>
  <c r="S79" i="7" s="1"/>
  <c r="R77" i="7"/>
  <c r="R79" i="7" s="1"/>
  <c r="Q77" i="7"/>
  <c r="Q79" i="7" s="1"/>
  <c r="P77" i="7"/>
  <c r="P79" i="7" s="1"/>
  <c r="O77" i="7"/>
  <c r="O79" i="7" s="1"/>
  <c r="N77" i="7"/>
  <c r="N79" i="7" s="1"/>
  <c r="M77" i="7"/>
  <c r="M79" i="7" s="1"/>
  <c r="L77" i="7"/>
  <c r="L79" i="7" s="1"/>
  <c r="K77" i="7"/>
  <c r="K79" i="7" s="1"/>
  <c r="J77" i="7"/>
  <c r="J79" i="7" s="1"/>
  <c r="I77" i="7"/>
  <c r="I79" i="7" s="1"/>
  <c r="H77" i="7"/>
  <c r="H79" i="7" s="1"/>
  <c r="G77" i="7"/>
  <c r="G79" i="7" s="1"/>
  <c r="F77" i="7"/>
  <c r="F79" i="7" s="1"/>
  <c r="E77" i="7"/>
  <c r="E79" i="7" s="1"/>
  <c r="AL76" i="7"/>
  <c r="AM76" i="7" s="1"/>
  <c r="AN76" i="7" s="1"/>
  <c r="AO76" i="7" s="1"/>
  <c r="AP76" i="7" s="1"/>
  <c r="AQ76" i="7" s="1"/>
  <c r="AR76" i="7" s="1"/>
  <c r="AS76" i="7" s="1"/>
  <c r="AT76" i="7" s="1"/>
  <c r="AU76" i="7" s="1"/>
  <c r="AV76" i="7" s="1"/>
  <c r="AW76" i="7" s="1"/>
  <c r="AX76" i="7" s="1"/>
  <c r="AY76" i="7" s="1"/>
  <c r="AZ76" i="7" s="1"/>
  <c r="BA76" i="7" s="1"/>
  <c r="BB76" i="7" s="1"/>
  <c r="BC76" i="7" s="1"/>
  <c r="BD76" i="7" s="1"/>
  <c r="BE76" i="7" s="1"/>
  <c r="AL75" i="7"/>
  <c r="AM75" i="7" s="1"/>
  <c r="AN75" i="7" s="1"/>
  <c r="AO75" i="7" s="1"/>
  <c r="AP75" i="7" s="1"/>
  <c r="AQ75" i="7" s="1"/>
  <c r="AR75" i="7" s="1"/>
  <c r="AS75" i="7" s="1"/>
  <c r="AT75" i="7" s="1"/>
  <c r="AU75" i="7" s="1"/>
  <c r="AV75" i="7" s="1"/>
  <c r="AW75" i="7" s="1"/>
  <c r="AX75" i="7" s="1"/>
  <c r="AY75" i="7" s="1"/>
  <c r="AZ75" i="7" s="1"/>
  <c r="BA75" i="7" s="1"/>
  <c r="BB75" i="7" s="1"/>
  <c r="BC75" i="7" s="1"/>
  <c r="BD75" i="7" s="1"/>
  <c r="BE75" i="7" s="1"/>
  <c r="AL74" i="7"/>
  <c r="AM74" i="7" s="1"/>
  <c r="AN74" i="7" s="1"/>
  <c r="AO74" i="7" s="1"/>
  <c r="AP74" i="7" s="1"/>
  <c r="AQ74" i="7" s="1"/>
  <c r="AR74" i="7" s="1"/>
  <c r="AS74" i="7" s="1"/>
  <c r="AT74" i="7" s="1"/>
  <c r="AU74" i="7" s="1"/>
  <c r="AV74" i="7" s="1"/>
  <c r="AW74" i="7" s="1"/>
  <c r="AX74" i="7" s="1"/>
  <c r="AY74" i="7" s="1"/>
  <c r="AZ74" i="7" s="1"/>
  <c r="BA74" i="7" s="1"/>
  <c r="BB74" i="7" s="1"/>
  <c r="BC74" i="7" s="1"/>
  <c r="BD74" i="7" s="1"/>
  <c r="BE74" i="7" s="1"/>
  <c r="AK72" i="7"/>
  <c r="AL72" i="7" s="1"/>
  <c r="AM72" i="7" s="1"/>
  <c r="AN72" i="7" s="1"/>
  <c r="AO72" i="7" s="1"/>
  <c r="AP72" i="7" s="1"/>
  <c r="AQ72" i="7" s="1"/>
  <c r="AR72" i="7" s="1"/>
  <c r="AS72" i="7" s="1"/>
  <c r="AT72" i="7" s="1"/>
  <c r="AU72" i="7" s="1"/>
  <c r="AV72" i="7" s="1"/>
  <c r="AW72" i="7" s="1"/>
  <c r="AX72" i="7" s="1"/>
  <c r="AY72" i="7" s="1"/>
  <c r="AZ72" i="7" s="1"/>
  <c r="BA72" i="7" s="1"/>
  <c r="BB72" i="7" s="1"/>
  <c r="BC72" i="7" s="1"/>
  <c r="BD72" i="7" s="1"/>
  <c r="BE72" i="7" s="1"/>
  <c r="AJ72" i="7"/>
  <c r="AI72" i="7"/>
  <c r="AH72"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AL71" i="7"/>
  <c r="AM71" i="7" s="1"/>
  <c r="AN71" i="7" s="1"/>
  <c r="AO71" i="7" s="1"/>
  <c r="AP71" i="7" s="1"/>
  <c r="AQ71" i="7" s="1"/>
  <c r="AR71" i="7" s="1"/>
  <c r="AS71" i="7" s="1"/>
  <c r="AT71" i="7" s="1"/>
  <c r="AU71" i="7" s="1"/>
  <c r="AV71" i="7" s="1"/>
  <c r="AW71" i="7" s="1"/>
  <c r="AX71" i="7" s="1"/>
  <c r="AY71" i="7" s="1"/>
  <c r="AZ71" i="7" s="1"/>
  <c r="BA71" i="7" s="1"/>
  <c r="BB71" i="7" s="1"/>
  <c r="BC71" i="7" s="1"/>
  <c r="BD71" i="7" s="1"/>
  <c r="BE71" i="7" s="1"/>
  <c r="AL70" i="7"/>
  <c r="AM70" i="7" s="1"/>
  <c r="AN70" i="7" s="1"/>
  <c r="AO70" i="7" s="1"/>
  <c r="AP70" i="7" s="1"/>
  <c r="AQ70" i="7" s="1"/>
  <c r="AR70" i="7" s="1"/>
  <c r="AS70" i="7" s="1"/>
  <c r="AT70" i="7" s="1"/>
  <c r="AU70" i="7" s="1"/>
  <c r="AV70" i="7" s="1"/>
  <c r="AW70" i="7" s="1"/>
  <c r="AX70" i="7" s="1"/>
  <c r="AY70" i="7" s="1"/>
  <c r="AZ70" i="7" s="1"/>
  <c r="BA70" i="7" s="1"/>
  <c r="BB70" i="7" s="1"/>
  <c r="BC70" i="7" s="1"/>
  <c r="BD70" i="7" s="1"/>
  <c r="BE70" i="7" s="1"/>
  <c r="AK69" i="7"/>
  <c r="AL69" i="7" s="1"/>
  <c r="AM69" i="7" s="1"/>
  <c r="AN69" i="7" s="1"/>
  <c r="AO69" i="7" s="1"/>
  <c r="AP69" i="7" s="1"/>
  <c r="AQ69" i="7" s="1"/>
  <c r="AR69" i="7" s="1"/>
  <c r="AS69" i="7" s="1"/>
  <c r="AT69" i="7" s="1"/>
  <c r="AU69" i="7" s="1"/>
  <c r="AV69" i="7" s="1"/>
  <c r="AW69" i="7" s="1"/>
  <c r="AX69" i="7" s="1"/>
  <c r="AY69" i="7" s="1"/>
  <c r="AZ69" i="7" s="1"/>
  <c r="BA69" i="7" s="1"/>
  <c r="BB69" i="7" s="1"/>
  <c r="BC69" i="7" s="1"/>
  <c r="BD69" i="7" s="1"/>
  <c r="BE69" i="7" s="1"/>
  <c r="AJ69" i="7"/>
  <c r="AI69" i="7"/>
  <c r="AH69"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AL66" i="7"/>
  <c r="AM66" i="7" s="1"/>
  <c r="AN66" i="7" s="1"/>
  <c r="AO66" i="7" s="1"/>
  <c r="AP66" i="7" s="1"/>
  <c r="AQ66" i="7" s="1"/>
  <c r="AR66" i="7" s="1"/>
  <c r="AS66" i="7" s="1"/>
  <c r="AT66" i="7" s="1"/>
  <c r="AU66" i="7" s="1"/>
  <c r="AV66" i="7" s="1"/>
  <c r="AW66" i="7" s="1"/>
  <c r="AX66" i="7" s="1"/>
  <c r="AY66" i="7" s="1"/>
  <c r="AZ66" i="7" s="1"/>
  <c r="BA66" i="7" s="1"/>
  <c r="BB66" i="7" s="1"/>
  <c r="BC66" i="7" s="1"/>
  <c r="BD66" i="7" s="1"/>
  <c r="BE66" i="7" s="1"/>
  <c r="AL65" i="7"/>
  <c r="AM65" i="7" s="1"/>
  <c r="AN65" i="7" s="1"/>
  <c r="AO65" i="7" s="1"/>
  <c r="AP65" i="7" s="1"/>
  <c r="AQ65" i="7" s="1"/>
  <c r="AR65" i="7" s="1"/>
  <c r="AS65" i="7" s="1"/>
  <c r="AT65" i="7" s="1"/>
  <c r="AU65" i="7" s="1"/>
  <c r="AV65" i="7" s="1"/>
  <c r="AW65" i="7" s="1"/>
  <c r="AX65" i="7" s="1"/>
  <c r="AY65" i="7" s="1"/>
  <c r="AZ65" i="7" s="1"/>
  <c r="BA65" i="7" s="1"/>
  <c r="BB65" i="7" s="1"/>
  <c r="BC65" i="7" s="1"/>
  <c r="BD65" i="7" s="1"/>
  <c r="BE65" i="7" s="1"/>
  <c r="AL64" i="7"/>
  <c r="AM64" i="7" s="1"/>
  <c r="AN64" i="7" s="1"/>
  <c r="AO64" i="7" s="1"/>
  <c r="AP64" i="7" s="1"/>
  <c r="AQ64" i="7" s="1"/>
  <c r="AR64" i="7" s="1"/>
  <c r="AS64" i="7" s="1"/>
  <c r="AT64" i="7" s="1"/>
  <c r="AU64" i="7" s="1"/>
  <c r="AV64" i="7" s="1"/>
  <c r="AW64" i="7" s="1"/>
  <c r="AX64" i="7" s="1"/>
  <c r="AY64" i="7" s="1"/>
  <c r="AZ64" i="7" s="1"/>
  <c r="BA64" i="7" s="1"/>
  <c r="BB64" i="7" s="1"/>
  <c r="BC64" i="7" s="1"/>
  <c r="BD64" i="7" s="1"/>
  <c r="BE64" i="7" s="1"/>
  <c r="AL63" i="7"/>
  <c r="AM63" i="7" s="1"/>
  <c r="AN63" i="7" s="1"/>
  <c r="AO63" i="7" s="1"/>
  <c r="AP63" i="7" s="1"/>
  <c r="AQ63" i="7" s="1"/>
  <c r="AR63" i="7" s="1"/>
  <c r="AS63" i="7" s="1"/>
  <c r="AT63" i="7" s="1"/>
  <c r="AU63" i="7" s="1"/>
  <c r="AV63" i="7" s="1"/>
  <c r="AW63" i="7" s="1"/>
  <c r="AX63" i="7" s="1"/>
  <c r="AY63" i="7" s="1"/>
  <c r="AZ63" i="7" s="1"/>
  <c r="BA63" i="7" s="1"/>
  <c r="BB63" i="7" s="1"/>
  <c r="BC63" i="7" s="1"/>
  <c r="BD63" i="7" s="1"/>
  <c r="BE63" i="7" s="1"/>
  <c r="AL61" i="7"/>
  <c r="AM61" i="7" s="1"/>
  <c r="AN61" i="7" s="1"/>
  <c r="AO61" i="7" s="1"/>
  <c r="AP61" i="7" s="1"/>
  <c r="AQ61" i="7" s="1"/>
  <c r="AR61" i="7" s="1"/>
  <c r="AS61" i="7" s="1"/>
  <c r="AT61" i="7" s="1"/>
  <c r="AU61" i="7" s="1"/>
  <c r="AV61" i="7" s="1"/>
  <c r="AW61" i="7" s="1"/>
  <c r="AX61" i="7" s="1"/>
  <c r="AY61" i="7" s="1"/>
  <c r="AZ61" i="7" s="1"/>
  <c r="BA61" i="7" s="1"/>
  <c r="BB61" i="7" s="1"/>
  <c r="BC61" i="7" s="1"/>
  <c r="BD61" i="7" s="1"/>
  <c r="BE61" i="7" s="1"/>
  <c r="AL60" i="7"/>
  <c r="AM60" i="7" s="1"/>
  <c r="AN60" i="7" s="1"/>
  <c r="AO60" i="7" s="1"/>
  <c r="AP60" i="7" s="1"/>
  <c r="AQ60" i="7" s="1"/>
  <c r="AR60" i="7" s="1"/>
  <c r="AS60" i="7" s="1"/>
  <c r="AT60" i="7" s="1"/>
  <c r="AU60" i="7" s="1"/>
  <c r="AV60" i="7" s="1"/>
  <c r="AW60" i="7" s="1"/>
  <c r="AX60" i="7" s="1"/>
  <c r="AY60" i="7" s="1"/>
  <c r="AZ60" i="7" s="1"/>
  <c r="BA60" i="7" s="1"/>
  <c r="BB60" i="7" s="1"/>
  <c r="BC60" i="7" s="1"/>
  <c r="BD60" i="7" s="1"/>
  <c r="BE60" i="7" s="1"/>
  <c r="AL59" i="7"/>
  <c r="AM59" i="7" s="1"/>
  <c r="AN59" i="7" s="1"/>
  <c r="AO59" i="7" s="1"/>
  <c r="AP59" i="7" s="1"/>
  <c r="AQ59" i="7" s="1"/>
  <c r="AR59" i="7" s="1"/>
  <c r="AS59" i="7" s="1"/>
  <c r="AT59" i="7" s="1"/>
  <c r="AU59" i="7" s="1"/>
  <c r="AV59" i="7" s="1"/>
  <c r="AW59" i="7" s="1"/>
  <c r="AX59" i="7" s="1"/>
  <c r="AY59" i="7" s="1"/>
  <c r="AZ59" i="7" s="1"/>
  <c r="BA59" i="7" s="1"/>
  <c r="BB59" i="7" s="1"/>
  <c r="BC59" i="7" s="1"/>
  <c r="BD59" i="7" s="1"/>
  <c r="BE59" i="7" s="1"/>
  <c r="AK57" i="7"/>
  <c r="AL57" i="7" s="1"/>
  <c r="AM57" i="7" s="1"/>
  <c r="AN57" i="7" s="1"/>
  <c r="AO57" i="7" s="1"/>
  <c r="AP57" i="7" s="1"/>
  <c r="AQ57" i="7" s="1"/>
  <c r="AR57" i="7" s="1"/>
  <c r="AS57" i="7" s="1"/>
  <c r="AT57" i="7" s="1"/>
  <c r="AU57" i="7" s="1"/>
  <c r="AV57" i="7" s="1"/>
  <c r="AW57" i="7" s="1"/>
  <c r="AX57" i="7" s="1"/>
  <c r="AY57" i="7" s="1"/>
  <c r="AZ57" i="7" s="1"/>
  <c r="BA57" i="7" s="1"/>
  <c r="BB57" i="7" s="1"/>
  <c r="BC57" i="7" s="1"/>
  <c r="BD57" i="7" s="1"/>
  <c r="BE57" i="7" s="1"/>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AL56" i="7"/>
  <c r="AM56" i="7" s="1"/>
  <c r="AN56" i="7" s="1"/>
  <c r="AO56" i="7" s="1"/>
  <c r="AP56" i="7" s="1"/>
  <c r="AQ56" i="7" s="1"/>
  <c r="AR56" i="7" s="1"/>
  <c r="AS56" i="7" s="1"/>
  <c r="AT56" i="7" s="1"/>
  <c r="AU56" i="7" s="1"/>
  <c r="AV56" i="7" s="1"/>
  <c r="AW56" i="7" s="1"/>
  <c r="AX56" i="7" s="1"/>
  <c r="AY56" i="7" s="1"/>
  <c r="AZ56" i="7" s="1"/>
  <c r="BA56" i="7" s="1"/>
  <c r="BB56" i="7" s="1"/>
  <c r="BC56" i="7" s="1"/>
  <c r="BD56" i="7" s="1"/>
  <c r="BE56" i="7" s="1"/>
  <c r="AL53" i="7"/>
  <c r="AM53" i="7" s="1"/>
  <c r="AN53" i="7" s="1"/>
  <c r="AO53" i="7" s="1"/>
  <c r="AP53" i="7" s="1"/>
  <c r="AQ53" i="7" s="1"/>
  <c r="AR53" i="7" s="1"/>
  <c r="AS53" i="7" s="1"/>
  <c r="AT53" i="7" s="1"/>
  <c r="AU53" i="7" s="1"/>
  <c r="AV53" i="7" s="1"/>
  <c r="AW53" i="7" s="1"/>
  <c r="AX53" i="7" s="1"/>
  <c r="AY53" i="7" s="1"/>
  <c r="AZ53" i="7" s="1"/>
  <c r="BA53" i="7" s="1"/>
  <c r="BB53" i="7" s="1"/>
  <c r="BC53" i="7" s="1"/>
  <c r="BD53" i="7" s="1"/>
  <c r="BE53" i="7" s="1"/>
  <c r="AL50" i="7"/>
  <c r="AM50" i="7" s="1"/>
  <c r="AN50" i="7" s="1"/>
  <c r="AO50" i="7" s="1"/>
  <c r="AP50" i="7" s="1"/>
  <c r="AQ50" i="7" s="1"/>
  <c r="AR50" i="7" s="1"/>
  <c r="AS50" i="7" s="1"/>
  <c r="AT50" i="7" s="1"/>
  <c r="AU50" i="7" s="1"/>
  <c r="AV50" i="7" s="1"/>
  <c r="AW50" i="7" s="1"/>
  <c r="AX50" i="7" s="1"/>
  <c r="AY50" i="7" s="1"/>
  <c r="AZ50" i="7" s="1"/>
  <c r="BA50" i="7" s="1"/>
  <c r="BB50" i="7" s="1"/>
  <c r="BC50" i="7" s="1"/>
  <c r="BD50" i="7" s="1"/>
  <c r="BE50" i="7" s="1"/>
  <c r="AL49" i="7"/>
  <c r="AM49" i="7" s="1"/>
  <c r="AN49" i="7" s="1"/>
  <c r="AO49" i="7" s="1"/>
  <c r="AP49" i="7" s="1"/>
  <c r="AQ49" i="7" s="1"/>
  <c r="AR49" i="7" s="1"/>
  <c r="AS49" i="7" s="1"/>
  <c r="AT49" i="7" s="1"/>
  <c r="AU49" i="7" s="1"/>
  <c r="AV49" i="7" s="1"/>
  <c r="AW49" i="7" s="1"/>
  <c r="AX49" i="7" s="1"/>
  <c r="AY49" i="7" s="1"/>
  <c r="AZ49" i="7" s="1"/>
  <c r="BA49" i="7" s="1"/>
  <c r="BB49" i="7" s="1"/>
  <c r="BC49" i="7" s="1"/>
  <c r="BD49" i="7" s="1"/>
  <c r="BE49" i="7" s="1"/>
  <c r="AL48" i="7"/>
  <c r="AM48" i="7" s="1"/>
  <c r="AN48" i="7" s="1"/>
  <c r="AO48" i="7" s="1"/>
  <c r="AP48" i="7" s="1"/>
  <c r="AQ48" i="7" s="1"/>
  <c r="AR48" i="7" s="1"/>
  <c r="AS48" i="7" s="1"/>
  <c r="AT48" i="7" s="1"/>
  <c r="AU48" i="7" s="1"/>
  <c r="AV48" i="7" s="1"/>
  <c r="AW48" i="7" s="1"/>
  <c r="AX48" i="7" s="1"/>
  <c r="AY48" i="7" s="1"/>
  <c r="AZ48" i="7" s="1"/>
  <c r="BA48" i="7" s="1"/>
  <c r="BB48" i="7" s="1"/>
  <c r="BC48" i="7" s="1"/>
  <c r="BD48" i="7" s="1"/>
  <c r="BE48" i="7" s="1"/>
  <c r="AK47" i="7"/>
  <c r="AL47" i="7" s="1"/>
  <c r="AM47" i="7" s="1"/>
  <c r="AN47" i="7" s="1"/>
  <c r="AO47" i="7" s="1"/>
  <c r="AP47" i="7" s="1"/>
  <c r="AQ47" i="7" s="1"/>
  <c r="AR47" i="7" s="1"/>
  <c r="AS47" i="7" s="1"/>
  <c r="AT47" i="7" s="1"/>
  <c r="AU47" i="7" s="1"/>
  <c r="AV47" i="7" s="1"/>
  <c r="AW47" i="7" s="1"/>
  <c r="AX47" i="7" s="1"/>
  <c r="AY47" i="7" s="1"/>
  <c r="AZ47" i="7" s="1"/>
  <c r="BA47" i="7" s="1"/>
  <c r="BB47" i="7" s="1"/>
  <c r="BC47" i="7" s="1"/>
  <c r="BD47" i="7" s="1"/>
  <c r="BE47" i="7" s="1"/>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AL46" i="7"/>
  <c r="AM46" i="7" s="1"/>
  <c r="AN46" i="7" s="1"/>
  <c r="AO46" i="7" s="1"/>
  <c r="AP46" i="7" s="1"/>
  <c r="AQ46" i="7" s="1"/>
  <c r="AR46" i="7" s="1"/>
  <c r="AS46" i="7" s="1"/>
  <c r="AT46" i="7" s="1"/>
  <c r="AU46" i="7" s="1"/>
  <c r="AV46" i="7" s="1"/>
  <c r="AW46" i="7" s="1"/>
  <c r="AX46" i="7" s="1"/>
  <c r="AY46" i="7" s="1"/>
  <c r="AZ46" i="7" s="1"/>
  <c r="BA46" i="7" s="1"/>
  <c r="BB46" i="7" s="1"/>
  <c r="BC46" i="7" s="1"/>
  <c r="BD46" i="7" s="1"/>
  <c r="BE46" i="7" s="1"/>
  <c r="AL45" i="7"/>
  <c r="AM45" i="7" s="1"/>
  <c r="AN45" i="7" s="1"/>
  <c r="AO45" i="7" s="1"/>
  <c r="AP45" i="7" s="1"/>
  <c r="AQ45" i="7" s="1"/>
  <c r="AR45" i="7" s="1"/>
  <c r="AS45" i="7" s="1"/>
  <c r="AT45" i="7" s="1"/>
  <c r="AU45" i="7" s="1"/>
  <c r="AV45" i="7" s="1"/>
  <c r="AW45" i="7" s="1"/>
  <c r="AX45" i="7" s="1"/>
  <c r="AY45" i="7" s="1"/>
  <c r="AZ45" i="7" s="1"/>
  <c r="BA45" i="7" s="1"/>
  <c r="BB45" i="7" s="1"/>
  <c r="BC45" i="7" s="1"/>
  <c r="BD45" i="7" s="1"/>
  <c r="BE45" i="7" s="1"/>
  <c r="AL44" i="7"/>
  <c r="AM44" i="7" s="1"/>
  <c r="AN44" i="7" s="1"/>
  <c r="AO44" i="7" s="1"/>
  <c r="AP44" i="7" s="1"/>
  <c r="AQ44" i="7" s="1"/>
  <c r="AR44" i="7" s="1"/>
  <c r="AS44" i="7" s="1"/>
  <c r="AT44" i="7" s="1"/>
  <c r="AU44" i="7" s="1"/>
  <c r="AV44" i="7" s="1"/>
  <c r="AW44" i="7" s="1"/>
  <c r="AX44" i="7" s="1"/>
  <c r="AY44" i="7" s="1"/>
  <c r="AZ44" i="7" s="1"/>
  <c r="BA44" i="7" s="1"/>
  <c r="BB44" i="7" s="1"/>
  <c r="BC44" i="7" s="1"/>
  <c r="BD44" i="7" s="1"/>
  <c r="BE44" i="7" s="1"/>
  <c r="AL43" i="7"/>
  <c r="AM43" i="7" s="1"/>
  <c r="AN43" i="7" s="1"/>
  <c r="AO43" i="7" s="1"/>
  <c r="AP43" i="7" s="1"/>
  <c r="AQ43" i="7" s="1"/>
  <c r="AR43" i="7" s="1"/>
  <c r="AS43" i="7" s="1"/>
  <c r="AT43" i="7" s="1"/>
  <c r="AU43" i="7" s="1"/>
  <c r="AV43" i="7" s="1"/>
  <c r="AW43" i="7" s="1"/>
  <c r="AX43" i="7" s="1"/>
  <c r="AY43" i="7" s="1"/>
  <c r="AZ43" i="7" s="1"/>
  <c r="BA43" i="7" s="1"/>
  <c r="BB43" i="7" s="1"/>
  <c r="BC43" i="7" s="1"/>
  <c r="BD43" i="7" s="1"/>
  <c r="BE43" i="7" s="1"/>
  <c r="AK42" i="7"/>
  <c r="AL42" i="7" s="1"/>
  <c r="AM42" i="7" s="1"/>
  <c r="AN42" i="7" s="1"/>
  <c r="AO42" i="7" s="1"/>
  <c r="AP42" i="7" s="1"/>
  <c r="AQ42" i="7" s="1"/>
  <c r="AR42" i="7" s="1"/>
  <c r="AS42" i="7" s="1"/>
  <c r="AT42" i="7" s="1"/>
  <c r="AU42" i="7" s="1"/>
  <c r="AV42" i="7" s="1"/>
  <c r="AW42" i="7" s="1"/>
  <c r="AX42" i="7" s="1"/>
  <c r="AY42" i="7" s="1"/>
  <c r="AZ42" i="7" s="1"/>
  <c r="BA42" i="7" s="1"/>
  <c r="BB42" i="7" s="1"/>
  <c r="BC42" i="7" s="1"/>
  <c r="BD42" i="7" s="1"/>
  <c r="BE42" i="7" s="1"/>
  <c r="AJ42" i="7"/>
  <c r="AI42" i="7"/>
  <c r="AH42"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AK41" i="7"/>
  <c r="AL41" i="7" s="1"/>
  <c r="AM41" i="7" s="1"/>
  <c r="AN41" i="7" s="1"/>
  <c r="AO41" i="7" s="1"/>
  <c r="AP41" i="7" s="1"/>
  <c r="AQ41" i="7" s="1"/>
  <c r="AR41" i="7" s="1"/>
  <c r="AS41" i="7" s="1"/>
  <c r="AT41" i="7" s="1"/>
  <c r="AU41" i="7" s="1"/>
  <c r="AV41" i="7" s="1"/>
  <c r="AW41" i="7" s="1"/>
  <c r="AX41" i="7" s="1"/>
  <c r="AY41" i="7" s="1"/>
  <c r="AZ41" i="7" s="1"/>
  <c r="BA41" i="7" s="1"/>
  <c r="BB41" i="7" s="1"/>
  <c r="BC41" i="7" s="1"/>
  <c r="BD41" i="7" s="1"/>
  <c r="BE41" i="7" s="1"/>
  <c r="AJ41" i="7"/>
  <c r="AI41" i="7"/>
  <c r="AH41"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AL40" i="7"/>
  <c r="AM40" i="7" s="1"/>
  <c r="AN40" i="7" s="1"/>
  <c r="AO40" i="7" s="1"/>
  <c r="AP40" i="7" s="1"/>
  <c r="AQ40" i="7" s="1"/>
  <c r="AR40" i="7" s="1"/>
  <c r="AS40" i="7" s="1"/>
  <c r="AT40" i="7" s="1"/>
  <c r="AU40" i="7" s="1"/>
  <c r="AV40" i="7" s="1"/>
  <c r="AW40" i="7" s="1"/>
  <c r="AX40" i="7" s="1"/>
  <c r="AY40" i="7" s="1"/>
  <c r="AZ40" i="7" s="1"/>
  <c r="BA40" i="7" s="1"/>
  <c r="BB40" i="7" s="1"/>
  <c r="BC40" i="7" s="1"/>
  <c r="BD40" i="7" s="1"/>
  <c r="BE40" i="7" s="1"/>
  <c r="AK39" i="7"/>
  <c r="AJ39" i="7"/>
  <c r="AJ73" i="7" s="1"/>
  <c r="AI39" i="7"/>
  <c r="AI73" i="7" s="1"/>
  <c r="AH39" i="7"/>
  <c r="AH73" i="7" s="1"/>
  <c r="AG39" i="7"/>
  <c r="AG73" i="7" s="1"/>
  <c r="AF39" i="7"/>
  <c r="AF73" i="7" s="1"/>
  <c r="AE39" i="7"/>
  <c r="AE73" i="7" s="1"/>
  <c r="AD39" i="7"/>
  <c r="AD73" i="7" s="1"/>
  <c r="AC39" i="7"/>
  <c r="AC73" i="7" s="1"/>
  <c r="AB39" i="7"/>
  <c r="AB73" i="7" s="1"/>
  <c r="AA39" i="7"/>
  <c r="AA73" i="7" s="1"/>
  <c r="Z39" i="7"/>
  <c r="Z73" i="7" s="1"/>
  <c r="Y39" i="7"/>
  <c r="Y73" i="7" s="1"/>
  <c r="X39" i="7"/>
  <c r="X73" i="7" s="1"/>
  <c r="W39" i="7"/>
  <c r="W73" i="7" s="1"/>
  <c r="V39" i="7"/>
  <c r="V73" i="7" s="1"/>
  <c r="U39" i="7"/>
  <c r="U73" i="7" s="1"/>
  <c r="T39" i="7"/>
  <c r="T73" i="7" s="1"/>
  <c r="S39" i="7"/>
  <c r="S73" i="7" s="1"/>
  <c r="R39" i="7"/>
  <c r="R73" i="7" s="1"/>
  <c r="Q39" i="7"/>
  <c r="Q73" i="7" s="1"/>
  <c r="P39" i="7"/>
  <c r="P73" i="7" s="1"/>
  <c r="O39" i="7"/>
  <c r="O73" i="7" s="1"/>
  <c r="N39" i="7"/>
  <c r="N73" i="7" s="1"/>
  <c r="M39" i="7"/>
  <c r="M73" i="7" s="1"/>
  <c r="L39" i="7"/>
  <c r="L73" i="7" s="1"/>
  <c r="K39" i="7"/>
  <c r="K73" i="7" s="1"/>
  <c r="J39" i="7"/>
  <c r="J73" i="7" s="1"/>
  <c r="I39" i="7"/>
  <c r="I73" i="7" s="1"/>
  <c r="H39" i="7"/>
  <c r="H73" i="7" s="1"/>
  <c r="G39" i="7"/>
  <c r="G73" i="7" s="1"/>
  <c r="F39" i="7"/>
  <c r="F73" i="7" s="1"/>
  <c r="E39" i="7"/>
  <c r="E73" i="7" s="1"/>
  <c r="AL38" i="7"/>
  <c r="AM38" i="7" s="1"/>
  <c r="AN38" i="7" s="1"/>
  <c r="AO38" i="7" s="1"/>
  <c r="AP38" i="7" s="1"/>
  <c r="AQ38" i="7" s="1"/>
  <c r="AR38" i="7" s="1"/>
  <c r="AS38" i="7" s="1"/>
  <c r="AT38" i="7" s="1"/>
  <c r="AU38" i="7" s="1"/>
  <c r="AV38" i="7" s="1"/>
  <c r="AW38" i="7" s="1"/>
  <c r="AX38" i="7" s="1"/>
  <c r="AY38" i="7" s="1"/>
  <c r="AZ38" i="7" s="1"/>
  <c r="BA38" i="7" s="1"/>
  <c r="BB38" i="7" s="1"/>
  <c r="BC38" i="7" s="1"/>
  <c r="BD38" i="7" s="1"/>
  <c r="BE38" i="7" s="1"/>
  <c r="AL37" i="7"/>
  <c r="AM37" i="7" s="1"/>
  <c r="AN37" i="7" s="1"/>
  <c r="AO37" i="7" s="1"/>
  <c r="AP37" i="7" s="1"/>
  <c r="AQ37" i="7" s="1"/>
  <c r="AR37" i="7" s="1"/>
  <c r="AS37" i="7" s="1"/>
  <c r="AT37" i="7" s="1"/>
  <c r="AU37" i="7" s="1"/>
  <c r="AV37" i="7" s="1"/>
  <c r="AW37" i="7" s="1"/>
  <c r="AX37" i="7" s="1"/>
  <c r="AY37" i="7" s="1"/>
  <c r="AZ37" i="7" s="1"/>
  <c r="BA37" i="7" s="1"/>
  <c r="BB37" i="7" s="1"/>
  <c r="BC37" i="7" s="1"/>
  <c r="BD37" i="7" s="1"/>
  <c r="BE37" i="7" s="1"/>
  <c r="AK36" i="7"/>
  <c r="AL36" i="7" s="1"/>
  <c r="AM36" i="7" s="1"/>
  <c r="AN36" i="7" s="1"/>
  <c r="AO36" i="7" s="1"/>
  <c r="AP36" i="7" s="1"/>
  <c r="AQ36" i="7" s="1"/>
  <c r="AR36" i="7" s="1"/>
  <c r="AS36" i="7" s="1"/>
  <c r="AT36" i="7" s="1"/>
  <c r="AU36" i="7" s="1"/>
  <c r="AV36" i="7" s="1"/>
  <c r="AW36" i="7" s="1"/>
  <c r="AX36" i="7" s="1"/>
  <c r="AY36" i="7" s="1"/>
  <c r="AZ36" i="7" s="1"/>
  <c r="BA36" i="7" s="1"/>
  <c r="BB36" i="7" s="1"/>
  <c r="BC36" i="7" s="1"/>
  <c r="BD36" i="7" s="1"/>
  <c r="BE36" i="7" s="1"/>
  <c r="AJ36" i="7"/>
  <c r="AI36" i="7"/>
  <c r="AH36"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AK34" i="7"/>
  <c r="AJ34" i="7"/>
  <c r="AI34" i="7"/>
  <c r="AH34"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AK33"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AL32" i="7"/>
  <c r="AM32" i="7" s="1"/>
  <c r="AN32" i="7" s="1"/>
  <c r="AO32" i="7" s="1"/>
  <c r="AP32" i="7" s="1"/>
  <c r="AQ32" i="7" s="1"/>
  <c r="AR32" i="7" s="1"/>
  <c r="AS32" i="7" s="1"/>
  <c r="AT32" i="7" s="1"/>
  <c r="AU32" i="7" s="1"/>
  <c r="AV32" i="7" s="1"/>
  <c r="AW32" i="7" s="1"/>
  <c r="AX32" i="7" s="1"/>
  <c r="AY32" i="7" s="1"/>
  <c r="AZ32" i="7" s="1"/>
  <c r="BA32" i="7" s="1"/>
  <c r="BB32" i="7" s="1"/>
  <c r="BC32" i="7" s="1"/>
  <c r="BD32" i="7" s="1"/>
  <c r="BE32" i="7" s="1"/>
  <c r="AL31" i="7"/>
  <c r="AM31" i="7" s="1"/>
  <c r="AN31" i="7" s="1"/>
  <c r="AO31" i="7" s="1"/>
  <c r="AP31" i="7" s="1"/>
  <c r="AQ31" i="7" s="1"/>
  <c r="AR31" i="7" s="1"/>
  <c r="AS31" i="7" s="1"/>
  <c r="AT31" i="7" s="1"/>
  <c r="AU31" i="7" s="1"/>
  <c r="AV31" i="7" s="1"/>
  <c r="AW31" i="7" s="1"/>
  <c r="AX31" i="7" s="1"/>
  <c r="AY31" i="7" s="1"/>
  <c r="AZ31" i="7" s="1"/>
  <c r="BA31" i="7" s="1"/>
  <c r="BB31" i="7" s="1"/>
  <c r="BC31" i="7" s="1"/>
  <c r="BD31" i="7" s="1"/>
  <c r="BE31" i="7" s="1"/>
  <c r="AK30" i="7"/>
  <c r="AJ30" i="7"/>
  <c r="AJ58" i="7" s="1"/>
  <c r="AI30" i="7"/>
  <c r="AI58" i="7" s="1"/>
  <c r="AH30" i="7"/>
  <c r="AH58" i="7" s="1"/>
  <c r="AG30" i="7"/>
  <c r="AG58" i="7" s="1"/>
  <c r="AF30" i="7"/>
  <c r="AF58" i="7" s="1"/>
  <c r="AE30" i="7"/>
  <c r="AE58" i="7" s="1"/>
  <c r="AD30" i="7"/>
  <c r="AD58" i="7" s="1"/>
  <c r="AC30" i="7"/>
  <c r="AC58" i="7" s="1"/>
  <c r="AB30" i="7"/>
  <c r="AB58" i="7" s="1"/>
  <c r="AA30" i="7"/>
  <c r="AA58" i="7" s="1"/>
  <c r="Z30" i="7"/>
  <c r="Z58" i="7" s="1"/>
  <c r="Y30" i="7"/>
  <c r="Y58" i="7" s="1"/>
  <c r="X30" i="7"/>
  <c r="X58" i="7" s="1"/>
  <c r="W30" i="7"/>
  <c r="W58" i="7" s="1"/>
  <c r="V30" i="7"/>
  <c r="V58" i="7" s="1"/>
  <c r="U30" i="7"/>
  <c r="U58" i="7" s="1"/>
  <c r="T30" i="7"/>
  <c r="T58" i="7" s="1"/>
  <c r="S30" i="7"/>
  <c r="S58" i="7" s="1"/>
  <c r="R30" i="7"/>
  <c r="R58" i="7" s="1"/>
  <c r="Q30" i="7"/>
  <c r="Q58" i="7" s="1"/>
  <c r="P30" i="7"/>
  <c r="P58" i="7" s="1"/>
  <c r="O30" i="7"/>
  <c r="O58" i="7" s="1"/>
  <c r="N30" i="7"/>
  <c r="N58" i="7" s="1"/>
  <c r="M30" i="7"/>
  <c r="M58" i="7" s="1"/>
  <c r="L30" i="7"/>
  <c r="L58" i="7" s="1"/>
  <c r="K30" i="7"/>
  <c r="K58" i="7" s="1"/>
  <c r="J30" i="7"/>
  <c r="J58" i="7" s="1"/>
  <c r="I30" i="7"/>
  <c r="I58" i="7" s="1"/>
  <c r="H30" i="7"/>
  <c r="H58" i="7" s="1"/>
  <c r="G30" i="7"/>
  <c r="G58" i="7" s="1"/>
  <c r="F30" i="7"/>
  <c r="F58" i="7" s="1"/>
  <c r="E30" i="7"/>
  <c r="E58" i="7" s="1"/>
  <c r="AK29" i="7"/>
  <c r="AL29" i="7" s="1"/>
  <c r="AM29" i="7" s="1"/>
  <c r="AN29" i="7" s="1"/>
  <c r="AO29" i="7" s="1"/>
  <c r="AP29" i="7" s="1"/>
  <c r="AQ29" i="7" s="1"/>
  <c r="AR29" i="7" s="1"/>
  <c r="AS29" i="7" s="1"/>
  <c r="AT29" i="7" s="1"/>
  <c r="AU29" i="7" s="1"/>
  <c r="AV29" i="7" s="1"/>
  <c r="AW29" i="7" s="1"/>
  <c r="AX29" i="7" s="1"/>
  <c r="AY29" i="7" s="1"/>
  <c r="AZ29" i="7" s="1"/>
  <c r="BA29" i="7" s="1"/>
  <c r="BB29" i="7" s="1"/>
  <c r="BC29" i="7" s="1"/>
  <c r="BD29" i="7" s="1"/>
  <c r="BE29" i="7" s="1"/>
  <c r="AJ29" i="7"/>
  <c r="AI29" i="7"/>
  <c r="AH29"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AK28" i="7"/>
  <c r="AL28" i="7" s="1"/>
  <c r="AM28" i="7" s="1"/>
  <c r="AN28" i="7" s="1"/>
  <c r="AO28" i="7" s="1"/>
  <c r="AP28" i="7" s="1"/>
  <c r="AQ28" i="7" s="1"/>
  <c r="AR28" i="7" s="1"/>
  <c r="AS28" i="7" s="1"/>
  <c r="AT28" i="7" s="1"/>
  <c r="AU28" i="7" s="1"/>
  <c r="AV28" i="7" s="1"/>
  <c r="AW28" i="7" s="1"/>
  <c r="AX28" i="7" s="1"/>
  <c r="AY28" i="7" s="1"/>
  <c r="AZ28" i="7" s="1"/>
  <c r="BA28" i="7" s="1"/>
  <c r="BB28" i="7" s="1"/>
  <c r="BC28" i="7" s="1"/>
  <c r="BD28" i="7" s="1"/>
  <c r="BE28" i="7" s="1"/>
  <c r="AJ28" i="7"/>
  <c r="AI28" i="7"/>
  <c r="AH28"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AK27" i="7"/>
  <c r="AJ27" i="7"/>
  <c r="AI27" i="7"/>
  <c r="AH27"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AK26" i="7"/>
  <c r="AL26" i="7" s="1"/>
  <c r="AM26" i="7" s="1"/>
  <c r="AN26" i="7" s="1"/>
  <c r="AO26" i="7" s="1"/>
  <c r="AP26" i="7" s="1"/>
  <c r="AQ26" i="7" s="1"/>
  <c r="AR26" i="7" s="1"/>
  <c r="AS26" i="7" s="1"/>
  <c r="AT26" i="7" s="1"/>
  <c r="AU26" i="7" s="1"/>
  <c r="AV26" i="7" s="1"/>
  <c r="AW26" i="7" s="1"/>
  <c r="AX26" i="7" s="1"/>
  <c r="AY26" i="7" s="1"/>
  <c r="AZ26" i="7" s="1"/>
  <c r="BA26" i="7" s="1"/>
  <c r="BB26" i="7" s="1"/>
  <c r="BC26" i="7" s="1"/>
  <c r="BD26" i="7" s="1"/>
  <c r="BE26" i="7" s="1"/>
  <c r="AJ26" i="7"/>
  <c r="AI26" i="7"/>
  <c r="AH26"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AK25" i="7"/>
  <c r="AL25" i="7" s="1"/>
  <c r="AM25" i="7" s="1"/>
  <c r="AN25" i="7" s="1"/>
  <c r="AO25" i="7" s="1"/>
  <c r="AP25" i="7" s="1"/>
  <c r="AQ25" i="7" s="1"/>
  <c r="AR25" i="7" s="1"/>
  <c r="AS25" i="7" s="1"/>
  <c r="AT25" i="7" s="1"/>
  <c r="AU25" i="7" s="1"/>
  <c r="AV25" i="7" s="1"/>
  <c r="AW25" i="7" s="1"/>
  <c r="AX25" i="7" s="1"/>
  <c r="AY25" i="7" s="1"/>
  <c r="AZ25" i="7" s="1"/>
  <c r="BA25" i="7" s="1"/>
  <c r="BB25" i="7" s="1"/>
  <c r="BC25" i="7" s="1"/>
  <c r="BD25" i="7" s="1"/>
  <c r="BE25" i="7" s="1"/>
  <c r="AJ25" i="7"/>
  <c r="AI25" i="7"/>
  <c r="AH25" i="7"/>
  <c r="AG25" i="7"/>
  <c r="AF25" i="7"/>
  <c r="AE25" i="7"/>
  <c r="AD25" i="7"/>
  <c r="AC25" i="7"/>
  <c r="AB25" i="7"/>
  <c r="AA25" i="7"/>
  <c r="Z25" i="7"/>
  <c r="Y25" i="7"/>
  <c r="X25" i="7"/>
  <c r="W25" i="7"/>
  <c r="V25" i="7"/>
  <c r="U25" i="7"/>
  <c r="T25" i="7"/>
  <c r="S25" i="7"/>
  <c r="R25" i="7"/>
  <c r="Q25" i="7"/>
  <c r="P25" i="7"/>
  <c r="O25" i="7"/>
  <c r="N25" i="7"/>
  <c r="M25" i="7"/>
  <c r="L25" i="7"/>
  <c r="K25" i="7"/>
  <c r="J25" i="7"/>
  <c r="I25" i="7"/>
  <c r="H25" i="7"/>
  <c r="G25" i="7"/>
  <c r="F25" i="7"/>
  <c r="E25"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AL23" i="7"/>
  <c r="AM23" i="7" s="1"/>
  <c r="AN23" i="7" s="1"/>
  <c r="AO23" i="7" s="1"/>
  <c r="AP23" i="7" s="1"/>
  <c r="AQ23" i="7" s="1"/>
  <c r="AR23" i="7" s="1"/>
  <c r="AS23" i="7" s="1"/>
  <c r="AT23" i="7" s="1"/>
  <c r="AU23" i="7" s="1"/>
  <c r="AV23" i="7" s="1"/>
  <c r="AW23" i="7" s="1"/>
  <c r="AX23" i="7" s="1"/>
  <c r="AY23" i="7" s="1"/>
  <c r="AZ23" i="7" s="1"/>
  <c r="BA23" i="7" s="1"/>
  <c r="BB23" i="7" s="1"/>
  <c r="BC23" i="7" s="1"/>
  <c r="BD23" i="7" s="1"/>
  <c r="BE23" i="7" s="1"/>
  <c r="AK22" i="7"/>
  <c r="AL22" i="7" s="1"/>
  <c r="AM22" i="7" s="1"/>
  <c r="AN22" i="7" s="1"/>
  <c r="AO22" i="7" s="1"/>
  <c r="AP22" i="7" s="1"/>
  <c r="AQ22" i="7" s="1"/>
  <c r="AR22" i="7" s="1"/>
  <c r="AS22" i="7" s="1"/>
  <c r="AT22" i="7" s="1"/>
  <c r="AU22" i="7" s="1"/>
  <c r="AV22" i="7" s="1"/>
  <c r="AW22" i="7" s="1"/>
  <c r="AX22" i="7" s="1"/>
  <c r="AY22" i="7" s="1"/>
  <c r="AZ22" i="7" s="1"/>
  <c r="BA22" i="7" s="1"/>
  <c r="BB22" i="7" s="1"/>
  <c r="BC22" i="7" s="1"/>
  <c r="BD22" i="7" s="1"/>
  <c r="BE22" i="7" s="1"/>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AK21" i="7"/>
  <c r="AL21" i="7" s="1"/>
  <c r="AM21" i="7" s="1"/>
  <c r="AN21" i="7" s="1"/>
  <c r="AO21" i="7" s="1"/>
  <c r="AP21" i="7" s="1"/>
  <c r="AQ21" i="7" s="1"/>
  <c r="AR21" i="7" s="1"/>
  <c r="AS21" i="7" s="1"/>
  <c r="AT21" i="7" s="1"/>
  <c r="AU21" i="7" s="1"/>
  <c r="AV21" i="7" s="1"/>
  <c r="AW21" i="7" s="1"/>
  <c r="AX21" i="7" s="1"/>
  <c r="AY21" i="7" s="1"/>
  <c r="AZ21" i="7" s="1"/>
  <c r="BA21" i="7" s="1"/>
  <c r="BB21" i="7" s="1"/>
  <c r="BC21" i="7" s="1"/>
  <c r="BD21" i="7" s="1"/>
  <c r="BE21" i="7" s="1"/>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AK20" i="7"/>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AK19" i="7"/>
  <c r="AL19" i="7" s="1"/>
  <c r="AM19" i="7" s="1"/>
  <c r="AN19" i="7" s="1"/>
  <c r="AO19" i="7" s="1"/>
  <c r="AP19" i="7" s="1"/>
  <c r="AQ19" i="7" s="1"/>
  <c r="AR19" i="7" s="1"/>
  <c r="AS19" i="7" s="1"/>
  <c r="AT19" i="7" s="1"/>
  <c r="AU19" i="7" s="1"/>
  <c r="AV19" i="7" s="1"/>
  <c r="AW19" i="7" s="1"/>
  <c r="AX19" i="7" s="1"/>
  <c r="AY19" i="7" s="1"/>
  <c r="AZ19" i="7" s="1"/>
  <c r="BA19" i="7" s="1"/>
  <c r="BB19" i="7" s="1"/>
  <c r="BC19" i="7" s="1"/>
  <c r="BD19" i="7" s="1"/>
  <c r="BE19" i="7" s="1"/>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AK18" i="7"/>
  <c r="AL18" i="7" s="1"/>
  <c r="AM18" i="7" s="1"/>
  <c r="AN18" i="7" s="1"/>
  <c r="AO18" i="7" s="1"/>
  <c r="AP18" i="7" s="1"/>
  <c r="AQ18" i="7" s="1"/>
  <c r="AR18" i="7" s="1"/>
  <c r="AS18" i="7" s="1"/>
  <c r="AT18" i="7" s="1"/>
  <c r="AU18" i="7" s="1"/>
  <c r="AV18" i="7" s="1"/>
  <c r="AW18" i="7" s="1"/>
  <c r="AX18" i="7" s="1"/>
  <c r="AY18" i="7" s="1"/>
  <c r="AZ18" i="7" s="1"/>
  <c r="BA18" i="7" s="1"/>
  <c r="BB18" i="7" s="1"/>
  <c r="BC18" i="7" s="1"/>
  <c r="BD18" i="7" s="1"/>
  <c r="BE18" i="7" s="1"/>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AK17" i="7"/>
  <c r="AL17" i="7" s="1"/>
  <c r="AM17" i="7" s="1"/>
  <c r="AN17" i="7" s="1"/>
  <c r="AO17" i="7" s="1"/>
  <c r="AP17" i="7" s="1"/>
  <c r="AQ17" i="7" s="1"/>
  <c r="AR17" i="7" s="1"/>
  <c r="AS17" i="7" s="1"/>
  <c r="AT17" i="7" s="1"/>
  <c r="AU17" i="7" s="1"/>
  <c r="AV17" i="7" s="1"/>
  <c r="AW17" i="7" s="1"/>
  <c r="AX17" i="7" s="1"/>
  <c r="AY17" i="7" s="1"/>
  <c r="AZ17" i="7" s="1"/>
  <c r="BA17" i="7" s="1"/>
  <c r="BB17" i="7" s="1"/>
  <c r="BC17" i="7" s="1"/>
  <c r="BD17" i="7" s="1"/>
  <c r="BE17" i="7" s="1"/>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AL16" i="7"/>
  <c r="AM16" i="7" s="1"/>
  <c r="AN16" i="7" s="1"/>
  <c r="AO16" i="7" s="1"/>
  <c r="AP16" i="7" s="1"/>
  <c r="AQ16" i="7" s="1"/>
  <c r="AR16" i="7" s="1"/>
  <c r="AS16" i="7" s="1"/>
  <c r="AT16" i="7" s="1"/>
  <c r="AU16" i="7" s="1"/>
  <c r="AV16" i="7" s="1"/>
  <c r="AW16" i="7" s="1"/>
  <c r="AX16" i="7" s="1"/>
  <c r="AY16" i="7" s="1"/>
  <c r="AZ16" i="7" s="1"/>
  <c r="BA16" i="7" s="1"/>
  <c r="BB16" i="7" s="1"/>
  <c r="BC16" i="7" s="1"/>
  <c r="BD16" i="7" s="1"/>
  <c r="BE16" i="7" s="1"/>
  <c r="AL15" i="7"/>
  <c r="AM15" i="7" s="1"/>
  <c r="AN15" i="7" s="1"/>
  <c r="AO15" i="7" s="1"/>
  <c r="AP15" i="7" s="1"/>
  <c r="AQ15" i="7" s="1"/>
  <c r="AR15" i="7" s="1"/>
  <c r="AS15" i="7" s="1"/>
  <c r="AT15" i="7" s="1"/>
  <c r="AU15" i="7" s="1"/>
  <c r="AV15" i="7" s="1"/>
  <c r="AW15" i="7" s="1"/>
  <c r="AX15" i="7" s="1"/>
  <c r="AY15" i="7" s="1"/>
  <c r="AZ15" i="7" s="1"/>
  <c r="BA15" i="7" s="1"/>
  <c r="BB15" i="7" s="1"/>
  <c r="BC15" i="7" s="1"/>
  <c r="BD15" i="7" s="1"/>
  <c r="BE15" i="7" s="1"/>
  <c r="AK14" i="7"/>
  <c r="AL14" i="7" s="1"/>
  <c r="AM14" i="7" s="1"/>
  <c r="AN14" i="7" s="1"/>
  <c r="AO14" i="7" s="1"/>
  <c r="AP14" i="7" s="1"/>
  <c r="AQ14" i="7" s="1"/>
  <c r="AR14" i="7" s="1"/>
  <c r="AS14" i="7" s="1"/>
  <c r="AT14" i="7" s="1"/>
  <c r="AU14" i="7" s="1"/>
  <c r="AV14" i="7" s="1"/>
  <c r="AW14" i="7" s="1"/>
  <c r="AX14" i="7" s="1"/>
  <c r="AY14" i="7" s="1"/>
  <c r="AZ14" i="7" s="1"/>
  <c r="BA14" i="7" s="1"/>
  <c r="BB14" i="7" s="1"/>
  <c r="BC14" i="7" s="1"/>
  <c r="BD14" i="7" s="1"/>
  <c r="BE14" i="7" s="1"/>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AK13" i="7"/>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AL12" i="7"/>
  <c r="AM12" i="7" s="1"/>
  <c r="AN12" i="7" s="1"/>
  <c r="AO12" i="7" s="1"/>
  <c r="AP12" i="7" s="1"/>
  <c r="AQ12" i="7" s="1"/>
  <c r="AR12" i="7" s="1"/>
  <c r="AS12" i="7" s="1"/>
  <c r="AT12" i="7" s="1"/>
  <c r="AU12" i="7" s="1"/>
  <c r="AV12" i="7" s="1"/>
  <c r="AW12" i="7" s="1"/>
  <c r="AX12" i="7" s="1"/>
  <c r="AY12" i="7" s="1"/>
  <c r="AZ12" i="7" s="1"/>
  <c r="BA12" i="7" s="1"/>
  <c r="BB12" i="7" s="1"/>
  <c r="BC12" i="7" s="1"/>
  <c r="BD12" i="7" s="1"/>
  <c r="BE12" i="7" s="1"/>
  <c r="AL11" i="7"/>
  <c r="AM11" i="7" s="1"/>
  <c r="AN11" i="7" s="1"/>
  <c r="AO11" i="7" s="1"/>
  <c r="AP11" i="7" s="1"/>
  <c r="AQ11" i="7" s="1"/>
  <c r="AR11" i="7" s="1"/>
  <c r="AS11" i="7" s="1"/>
  <c r="AT11" i="7" s="1"/>
  <c r="AU11" i="7" s="1"/>
  <c r="AV11" i="7" s="1"/>
  <c r="AW11" i="7" s="1"/>
  <c r="AX11" i="7" s="1"/>
  <c r="AY11" i="7" s="1"/>
  <c r="AZ11" i="7" s="1"/>
  <c r="BA11" i="7" s="1"/>
  <c r="BB11" i="7" s="1"/>
  <c r="BC11" i="7" s="1"/>
  <c r="BD11" i="7" s="1"/>
  <c r="BE11" i="7" s="1"/>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c r="G81" i="5"/>
  <c r="F81" i="5"/>
  <c r="E81" i="5"/>
  <c r="H77" i="5"/>
  <c r="G77" i="5"/>
  <c r="F77" i="5"/>
  <c r="E77" i="5"/>
  <c r="H76" i="5"/>
  <c r="H78" i="5" s="1"/>
  <c r="G76" i="5"/>
  <c r="G78" i="5" s="1"/>
  <c r="F76" i="5"/>
  <c r="F78" i="5" s="1"/>
  <c r="E76" i="5"/>
  <c r="E78" i="5" s="1"/>
  <c r="H72" i="5"/>
  <c r="G72" i="5"/>
  <c r="F72" i="5"/>
  <c r="E72" i="5"/>
  <c r="H71" i="5"/>
  <c r="H73" i="5" s="1"/>
  <c r="G71" i="5"/>
  <c r="G73" i="5" s="1"/>
  <c r="F71" i="5"/>
  <c r="F73" i="5" s="1"/>
  <c r="E71" i="5"/>
  <c r="E73" i="5" s="1"/>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H68" i="5" s="1"/>
  <c r="G59" i="5"/>
  <c r="G68" i="5" s="1"/>
  <c r="F59" i="5"/>
  <c r="F68" i="5" s="1"/>
  <c r="E59" i="5"/>
  <c r="E68" i="5" s="1"/>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H55" i="5" s="1"/>
  <c r="G48" i="5"/>
  <c r="G55" i="5" s="1"/>
  <c r="F48" i="5"/>
  <c r="F55" i="5" s="1"/>
  <c r="E48" i="5"/>
  <c r="E55" i="5" s="1"/>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H42" i="5" s="1"/>
  <c r="G32" i="5"/>
  <c r="G42" i="5" s="1"/>
  <c r="F32" i="5"/>
  <c r="F42" i="5" s="1"/>
  <c r="E32" i="5"/>
  <c r="E42" i="5" s="1"/>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H29" i="5" s="1"/>
  <c r="G20" i="5"/>
  <c r="G29" i="5" s="1"/>
  <c r="F20" i="5"/>
  <c r="F29" i="5" s="1"/>
  <c r="E20" i="5"/>
  <c r="E29" i="5" s="1"/>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5" i="5"/>
  <c r="G15" i="5"/>
  <c r="F15" i="5"/>
  <c r="E15" i="5"/>
  <c r="H14" i="5"/>
  <c r="G14" i="5"/>
  <c r="F14" i="5"/>
  <c r="E14" i="5"/>
  <c r="H13" i="5"/>
  <c r="G13" i="5"/>
  <c r="F13" i="5"/>
  <c r="E13" i="5"/>
  <c r="H12" i="5"/>
  <c r="G12" i="5"/>
  <c r="F12" i="5"/>
  <c r="E12" i="5"/>
  <c r="H10" i="5"/>
  <c r="G10" i="5"/>
  <c r="F10" i="5"/>
  <c r="E10" i="5"/>
  <c r="H9" i="5"/>
  <c r="G9" i="5"/>
  <c r="F9" i="5"/>
  <c r="E9" i="5"/>
  <c r="H8" i="5"/>
  <c r="G8" i="5"/>
  <c r="F8" i="5"/>
  <c r="E8" i="5"/>
  <c r="H7" i="5"/>
  <c r="H16" i="5" s="1"/>
  <c r="G7" i="5"/>
  <c r="G16" i="5" s="1"/>
  <c r="F7" i="5"/>
  <c r="F16" i="5" s="1"/>
  <c r="E7" i="5"/>
  <c r="E16" i="5" s="1"/>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I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I476" i="4"/>
  <c r="AK474" i="4"/>
  <c r="AJ474" i="4"/>
  <c r="AI474" i="4"/>
  <c r="AH474" i="4"/>
  <c r="AG474" i="4"/>
  <c r="AF474" i="4"/>
  <c r="AE474" i="4"/>
  <c r="AD474" i="4"/>
  <c r="AC474" i="4"/>
  <c r="AB474" i="4"/>
  <c r="AA474" i="4"/>
  <c r="Z474" i="4"/>
  <c r="Y474" i="4"/>
  <c r="X474" i="4"/>
  <c r="W474" i="4"/>
  <c r="V474" i="4"/>
  <c r="U474" i="4"/>
  <c r="T474" i="4"/>
  <c r="S474" i="4"/>
  <c r="R474" i="4"/>
  <c r="Q474" i="4"/>
  <c r="P474" i="4"/>
  <c r="O474" i="4"/>
  <c r="N474" i="4"/>
  <c r="M474" i="4"/>
  <c r="L474" i="4"/>
  <c r="K474" i="4"/>
  <c r="J474" i="4"/>
  <c r="I474"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I471" i="4"/>
  <c r="AK470" i="4"/>
  <c r="AJ470" i="4"/>
  <c r="AI470" i="4"/>
  <c r="AH470" i="4"/>
  <c r="AG470" i="4"/>
  <c r="AF470" i="4"/>
  <c r="AE470" i="4"/>
  <c r="AD470" i="4"/>
  <c r="AC470" i="4"/>
  <c r="AB470" i="4"/>
  <c r="AA470" i="4"/>
  <c r="Z470" i="4"/>
  <c r="Y470" i="4"/>
  <c r="X470" i="4"/>
  <c r="W470" i="4"/>
  <c r="V470" i="4"/>
  <c r="U470" i="4"/>
  <c r="T470" i="4"/>
  <c r="S470" i="4"/>
  <c r="R470" i="4"/>
  <c r="Q470" i="4"/>
  <c r="P470" i="4"/>
  <c r="O470" i="4"/>
  <c r="N470" i="4"/>
  <c r="M470" i="4"/>
  <c r="L470" i="4"/>
  <c r="K470" i="4"/>
  <c r="J470" i="4"/>
  <c r="I470" i="4"/>
  <c r="AK469" i="4"/>
  <c r="AJ469" i="4"/>
  <c r="AI469" i="4"/>
  <c r="AH469" i="4"/>
  <c r="AG469" i="4"/>
  <c r="AF469" i="4"/>
  <c r="AE469" i="4"/>
  <c r="AD469" i="4"/>
  <c r="AC469" i="4"/>
  <c r="AB469" i="4"/>
  <c r="AA469" i="4"/>
  <c r="Z469" i="4"/>
  <c r="Y469" i="4"/>
  <c r="X469" i="4"/>
  <c r="W469" i="4"/>
  <c r="V469" i="4"/>
  <c r="U469" i="4"/>
  <c r="T469" i="4"/>
  <c r="S469" i="4"/>
  <c r="R469" i="4"/>
  <c r="Q469" i="4"/>
  <c r="P469" i="4"/>
  <c r="O469" i="4"/>
  <c r="N469" i="4"/>
  <c r="M469" i="4"/>
  <c r="L469" i="4"/>
  <c r="K469" i="4"/>
  <c r="J469" i="4"/>
  <c r="I469" i="4"/>
  <c r="AK466" i="4"/>
  <c r="AJ466" i="4"/>
  <c r="AI466" i="4"/>
  <c r="AH466" i="4"/>
  <c r="AG466" i="4"/>
  <c r="AF466" i="4"/>
  <c r="AE466" i="4"/>
  <c r="AD466" i="4"/>
  <c r="AC466" i="4"/>
  <c r="AB466" i="4"/>
  <c r="AA466" i="4"/>
  <c r="Z466" i="4"/>
  <c r="Y466" i="4"/>
  <c r="X466" i="4"/>
  <c r="W466" i="4"/>
  <c r="V466" i="4"/>
  <c r="U466" i="4"/>
  <c r="T466" i="4"/>
  <c r="S466" i="4"/>
  <c r="R466" i="4"/>
  <c r="Q466" i="4"/>
  <c r="P466" i="4"/>
  <c r="O466" i="4"/>
  <c r="N466" i="4"/>
  <c r="M466" i="4"/>
  <c r="L466" i="4"/>
  <c r="K466" i="4"/>
  <c r="J466" i="4"/>
  <c r="I466"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I465"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I463"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I461" i="4"/>
  <c r="AK459" i="4"/>
  <c r="AJ459" i="4"/>
  <c r="AI459" i="4"/>
  <c r="AH459" i="4"/>
  <c r="AG459" i="4"/>
  <c r="AF459" i="4"/>
  <c r="AE459" i="4"/>
  <c r="AD459" i="4"/>
  <c r="AC459" i="4"/>
  <c r="AB459" i="4"/>
  <c r="AA459" i="4"/>
  <c r="Z459" i="4"/>
  <c r="Y459" i="4"/>
  <c r="X459" i="4"/>
  <c r="W459" i="4"/>
  <c r="V459" i="4"/>
  <c r="U459" i="4"/>
  <c r="T459" i="4"/>
  <c r="S459" i="4"/>
  <c r="R459" i="4"/>
  <c r="Q459" i="4"/>
  <c r="P459" i="4"/>
  <c r="O459" i="4"/>
  <c r="N459" i="4"/>
  <c r="M459" i="4"/>
  <c r="L459" i="4"/>
  <c r="K459" i="4"/>
  <c r="J459" i="4"/>
  <c r="I459" i="4"/>
  <c r="AK455" i="4"/>
  <c r="AJ455" i="4"/>
  <c r="AI455" i="4"/>
  <c r="AH455" i="4"/>
  <c r="AG455" i="4"/>
  <c r="AF455" i="4"/>
  <c r="AE455" i="4"/>
  <c r="AD455" i="4"/>
  <c r="AC455" i="4"/>
  <c r="AB455" i="4"/>
  <c r="AA455" i="4"/>
  <c r="Z455" i="4"/>
  <c r="Y455" i="4"/>
  <c r="X455" i="4"/>
  <c r="W455" i="4"/>
  <c r="V455" i="4"/>
  <c r="U455" i="4"/>
  <c r="T455" i="4"/>
  <c r="S455" i="4"/>
  <c r="R455" i="4"/>
  <c r="Q455" i="4"/>
  <c r="P455" i="4"/>
  <c r="O455" i="4"/>
  <c r="N455" i="4"/>
  <c r="M455" i="4"/>
  <c r="L455" i="4"/>
  <c r="K455" i="4"/>
  <c r="J455" i="4"/>
  <c r="I455"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I454" i="4"/>
  <c r="AK452" i="4"/>
  <c r="AJ452" i="4"/>
  <c r="AI452" i="4"/>
  <c r="AH452" i="4"/>
  <c r="AG452" i="4"/>
  <c r="AF452" i="4"/>
  <c r="AE452" i="4"/>
  <c r="AD452" i="4"/>
  <c r="AC452" i="4"/>
  <c r="AB452" i="4"/>
  <c r="AA452" i="4"/>
  <c r="Z452" i="4"/>
  <c r="Y452" i="4"/>
  <c r="X452" i="4"/>
  <c r="W452" i="4"/>
  <c r="V452" i="4"/>
  <c r="U452" i="4"/>
  <c r="T452" i="4"/>
  <c r="S452" i="4"/>
  <c r="R452" i="4"/>
  <c r="Q452" i="4"/>
  <c r="P452" i="4"/>
  <c r="O452" i="4"/>
  <c r="N452" i="4"/>
  <c r="M452" i="4"/>
  <c r="L452" i="4"/>
  <c r="K452" i="4"/>
  <c r="J452" i="4"/>
  <c r="I452"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I451" i="4"/>
  <c r="AK449" i="4"/>
  <c r="AJ449" i="4"/>
  <c r="AI449" i="4"/>
  <c r="AH449" i="4"/>
  <c r="AG449" i="4"/>
  <c r="AF449" i="4"/>
  <c r="AE449" i="4"/>
  <c r="AD449" i="4"/>
  <c r="AC449" i="4"/>
  <c r="AB449" i="4"/>
  <c r="AA449" i="4"/>
  <c r="Z449" i="4"/>
  <c r="Y449" i="4"/>
  <c r="X449" i="4"/>
  <c r="W449" i="4"/>
  <c r="V449" i="4"/>
  <c r="U449" i="4"/>
  <c r="T449" i="4"/>
  <c r="S449" i="4"/>
  <c r="R449" i="4"/>
  <c r="Q449" i="4"/>
  <c r="P449" i="4"/>
  <c r="O449" i="4"/>
  <c r="N449" i="4"/>
  <c r="M449" i="4"/>
  <c r="L449" i="4"/>
  <c r="K449" i="4"/>
  <c r="J449" i="4"/>
  <c r="I449" i="4"/>
  <c r="AK448" i="4"/>
  <c r="AJ448" i="4"/>
  <c r="AI448" i="4"/>
  <c r="AH448" i="4"/>
  <c r="AG448" i="4"/>
  <c r="AF448" i="4"/>
  <c r="AE448" i="4"/>
  <c r="AD448" i="4"/>
  <c r="AC448" i="4"/>
  <c r="AB448" i="4"/>
  <c r="AA448" i="4"/>
  <c r="Z448" i="4"/>
  <c r="Y448" i="4"/>
  <c r="X448" i="4"/>
  <c r="W448" i="4"/>
  <c r="V448" i="4"/>
  <c r="U448" i="4"/>
  <c r="T448" i="4"/>
  <c r="S448" i="4"/>
  <c r="R448" i="4"/>
  <c r="Q448" i="4"/>
  <c r="P448" i="4"/>
  <c r="O448" i="4"/>
  <c r="N448" i="4"/>
  <c r="M448" i="4"/>
  <c r="L448" i="4"/>
  <c r="K448" i="4"/>
  <c r="J448" i="4"/>
  <c r="I448"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AK442" i="4"/>
  <c r="AJ442" i="4"/>
  <c r="AI442" i="4"/>
  <c r="AH442" i="4"/>
  <c r="AG442" i="4"/>
  <c r="AF442" i="4"/>
  <c r="AE442" i="4"/>
  <c r="AD442" i="4"/>
  <c r="AC442" i="4"/>
  <c r="AB442" i="4"/>
  <c r="AA442" i="4"/>
  <c r="Z442" i="4"/>
  <c r="Y442" i="4"/>
  <c r="X442" i="4"/>
  <c r="W442" i="4"/>
  <c r="V442" i="4"/>
  <c r="U442" i="4"/>
  <c r="T442" i="4"/>
  <c r="S442" i="4"/>
  <c r="R442" i="4"/>
  <c r="Q442" i="4"/>
  <c r="P442" i="4"/>
  <c r="O442" i="4"/>
  <c r="N442" i="4"/>
  <c r="M442" i="4"/>
  <c r="L442" i="4"/>
  <c r="K442" i="4"/>
  <c r="J442" i="4"/>
  <c r="I442" i="4"/>
  <c r="O395" i="4"/>
  <c r="K395" i="4"/>
  <c r="J395" i="4"/>
  <c r="I395" i="4"/>
  <c r="H395" i="4"/>
  <c r="H394" i="4"/>
  <c r="H285" i="4"/>
  <c r="G285" i="4"/>
  <c r="F285" i="4"/>
  <c r="E285" i="4"/>
  <c r="H283" i="4"/>
  <c r="G283" i="4"/>
  <c r="F283" i="4"/>
  <c r="E283" i="4"/>
  <c r="H281" i="4"/>
  <c r="G281" i="4"/>
  <c r="F281" i="4"/>
  <c r="E281" i="4"/>
  <c r="H279" i="4"/>
  <c r="G279" i="4"/>
  <c r="F279" i="4"/>
  <c r="E279" i="4"/>
  <c r="AK278" i="4"/>
  <c r="AJ278" i="4"/>
  <c r="AI278" i="4"/>
  <c r="AH278" i="4"/>
  <c r="AG278" i="4"/>
  <c r="AF278" i="4"/>
  <c r="AE278" i="4"/>
  <c r="AD278" i="4"/>
  <c r="AC278" i="4"/>
  <c r="AB278" i="4"/>
  <c r="AA278" i="4"/>
  <c r="Z278" i="4"/>
  <c r="Y278" i="4"/>
  <c r="X278" i="4"/>
  <c r="W278" i="4"/>
  <c r="V278" i="4"/>
  <c r="U278" i="4"/>
  <c r="T278" i="4"/>
  <c r="S278" i="4"/>
  <c r="R278" i="4"/>
  <c r="Q278" i="4"/>
  <c r="P278" i="4"/>
  <c r="O278" i="4"/>
  <c r="N278" i="4"/>
  <c r="M278" i="4"/>
  <c r="L278" i="4"/>
  <c r="K278" i="4"/>
  <c r="J278" i="4"/>
  <c r="I278" i="4"/>
  <c r="H274" i="4"/>
  <c r="G274" i="4"/>
  <c r="F274" i="4"/>
  <c r="E274" i="4"/>
  <c r="AK273" i="4"/>
  <c r="AJ273" i="4"/>
  <c r="AI273" i="4"/>
  <c r="AH273" i="4"/>
  <c r="AG273" i="4"/>
  <c r="AF273" i="4"/>
  <c r="AE273" i="4"/>
  <c r="AD273" i="4"/>
  <c r="AC273" i="4"/>
  <c r="AB273" i="4"/>
  <c r="AA273" i="4"/>
  <c r="Z273" i="4"/>
  <c r="Y273" i="4"/>
  <c r="X273" i="4"/>
  <c r="W273" i="4"/>
  <c r="V273" i="4"/>
  <c r="U273" i="4"/>
  <c r="T273" i="4"/>
  <c r="S273" i="4"/>
  <c r="R273" i="4"/>
  <c r="Q273" i="4"/>
  <c r="P273" i="4"/>
  <c r="O273" i="4"/>
  <c r="N273" i="4"/>
  <c r="M273" i="4"/>
  <c r="L273" i="4"/>
  <c r="K273" i="4"/>
  <c r="J273" i="4"/>
  <c r="I273" i="4"/>
  <c r="H268" i="4"/>
  <c r="G268" i="4"/>
  <c r="F268" i="4"/>
  <c r="E268" i="4"/>
  <c r="H266" i="4"/>
  <c r="G266" i="4"/>
  <c r="F266" i="4"/>
  <c r="E266" i="4"/>
  <c r="H264" i="4"/>
  <c r="G264" i="4"/>
  <c r="F264" i="4"/>
  <c r="E264" i="4"/>
  <c r="AK259" i="4"/>
  <c r="AJ259" i="4"/>
  <c r="AI259" i="4"/>
  <c r="AH259" i="4"/>
  <c r="AG259" i="4"/>
  <c r="AF259" i="4"/>
  <c r="AE259" i="4"/>
  <c r="AD259" i="4"/>
  <c r="AC259" i="4"/>
  <c r="AB259" i="4"/>
  <c r="AA259" i="4"/>
  <c r="Z259" i="4"/>
  <c r="Y259" i="4"/>
  <c r="X259" i="4"/>
  <c r="W259" i="4"/>
  <c r="V259" i="4"/>
  <c r="U259" i="4"/>
  <c r="T259" i="4"/>
  <c r="S259" i="4"/>
  <c r="R259" i="4"/>
  <c r="Q259" i="4"/>
  <c r="P259" i="4"/>
  <c r="O259" i="4"/>
  <c r="N259" i="4"/>
  <c r="M259" i="4"/>
  <c r="L259" i="4"/>
  <c r="K259" i="4"/>
  <c r="J259" i="4"/>
  <c r="I259" i="4"/>
  <c r="H256" i="4"/>
  <c r="G256" i="4"/>
  <c r="F256" i="4"/>
  <c r="E256" i="4"/>
  <c r="H253" i="4"/>
  <c r="G253" i="4"/>
  <c r="F253" i="4"/>
  <c r="E253" i="4"/>
  <c r="AK252" i="4"/>
  <c r="AJ252" i="4"/>
  <c r="AI252" i="4"/>
  <c r="AH252" i="4"/>
  <c r="AG252" i="4"/>
  <c r="AF252" i="4"/>
  <c r="AE252" i="4"/>
  <c r="AD252" i="4"/>
  <c r="AC252" i="4"/>
  <c r="AB252" i="4"/>
  <c r="AA252" i="4"/>
  <c r="Z252" i="4"/>
  <c r="Y252" i="4"/>
  <c r="X252" i="4"/>
  <c r="W252" i="4"/>
  <c r="V252" i="4"/>
  <c r="U252" i="4"/>
  <c r="T252" i="4"/>
  <c r="S252" i="4"/>
  <c r="R252" i="4"/>
  <c r="Q252" i="4"/>
  <c r="P252" i="4"/>
  <c r="O252" i="4"/>
  <c r="N252" i="4"/>
  <c r="M252" i="4"/>
  <c r="L252" i="4"/>
  <c r="K252" i="4"/>
  <c r="J252" i="4"/>
  <c r="I252" i="4"/>
  <c r="AK251" i="4"/>
  <c r="AJ251" i="4"/>
  <c r="AI251" i="4"/>
  <c r="AH251" i="4"/>
  <c r="AG251" i="4"/>
  <c r="AF251" i="4"/>
  <c r="AE251" i="4"/>
  <c r="AD251" i="4"/>
  <c r="AC251" i="4"/>
  <c r="AB251" i="4"/>
  <c r="AA251" i="4"/>
  <c r="Z251" i="4"/>
  <c r="Y251" i="4"/>
  <c r="X251" i="4"/>
  <c r="W251" i="4"/>
  <c r="V251" i="4"/>
  <c r="U251" i="4"/>
  <c r="T251" i="4"/>
  <c r="S251" i="4"/>
  <c r="R251" i="4"/>
  <c r="Q251" i="4"/>
  <c r="P251" i="4"/>
  <c r="O251" i="4"/>
  <c r="N251" i="4"/>
  <c r="M251" i="4"/>
  <c r="L251" i="4"/>
  <c r="K251" i="4"/>
  <c r="J251" i="4"/>
  <c r="I251" i="4"/>
  <c r="H248" i="4"/>
  <c r="G248" i="4"/>
  <c r="F248" i="4"/>
  <c r="E248" i="4"/>
  <c r="H247" i="4"/>
  <c r="H246" i="4"/>
  <c r="H241" i="4"/>
  <c r="G241" i="4"/>
  <c r="F241" i="4"/>
  <c r="E241" i="4"/>
  <c r="H238" i="4"/>
  <c r="G238" i="4"/>
  <c r="F238" i="4"/>
  <c r="E238" i="4"/>
  <c r="AK235" i="4"/>
  <c r="AJ235" i="4"/>
  <c r="AI235" i="4"/>
  <c r="AH235" i="4"/>
  <c r="AG235" i="4"/>
  <c r="AF235" i="4"/>
  <c r="AE235" i="4"/>
  <c r="AD235" i="4"/>
  <c r="AC235" i="4"/>
  <c r="AB235" i="4"/>
  <c r="AA235" i="4"/>
  <c r="Z235" i="4"/>
  <c r="Y235" i="4"/>
  <c r="X235" i="4"/>
  <c r="W235" i="4"/>
  <c r="V235" i="4"/>
  <c r="U235" i="4"/>
  <c r="T235" i="4"/>
  <c r="S235" i="4"/>
  <c r="H235" i="4"/>
  <c r="G235" i="4"/>
  <c r="F235" i="4"/>
  <c r="E235" i="4"/>
  <c r="S234" i="4"/>
  <c r="H234" i="4"/>
  <c r="G234" i="4"/>
  <c r="F234" i="4"/>
  <c r="E234" i="4"/>
  <c r="BE233" i="4"/>
  <c r="BD233" i="4"/>
  <c r="BC233" i="4"/>
  <c r="BB233" i="4"/>
  <c r="BA233" i="4"/>
  <c r="AZ233" i="4"/>
  <c r="AY233" i="4"/>
  <c r="AX233" i="4"/>
  <c r="AW233" i="4"/>
  <c r="AV233" i="4"/>
  <c r="AU233" i="4"/>
  <c r="AT233" i="4"/>
  <c r="AS233" i="4"/>
  <c r="AR233" i="4"/>
  <c r="AQ233" i="4"/>
  <c r="AP233" i="4"/>
  <c r="AO233" i="4"/>
  <c r="AN233" i="4"/>
  <c r="AM233" i="4"/>
  <c r="AL233" i="4"/>
  <c r="H231" i="4"/>
  <c r="H425" i="4" s="1"/>
  <c r="G231" i="4"/>
  <c r="G425" i="4" s="1"/>
  <c r="F231" i="4"/>
  <c r="F425" i="4" s="1"/>
  <c r="E231" i="4"/>
  <c r="E425" i="4" s="1"/>
  <c r="H229" i="4"/>
  <c r="G229" i="4"/>
  <c r="F229" i="4"/>
  <c r="E229" i="4"/>
  <c r="H206" i="4"/>
  <c r="G206" i="4"/>
  <c r="F206" i="4"/>
  <c r="E206" i="4"/>
  <c r="H197" i="4"/>
  <c r="H196" i="4"/>
  <c r="H194" i="4"/>
  <c r="H193" i="4"/>
  <c r="H192" i="4"/>
  <c r="H191" i="4"/>
  <c r="H190" i="4"/>
  <c r="H189" i="4"/>
  <c r="H188" i="4"/>
  <c r="I165" i="4"/>
  <c r="I164" i="4"/>
  <c r="G164" i="4"/>
  <c r="G196" i="4" s="1"/>
  <c r="F164" i="4"/>
  <c r="F196" i="4" s="1"/>
  <c r="E164" i="4"/>
  <c r="E196" i="4" s="1"/>
  <c r="I163" i="4"/>
  <c r="I162" i="4"/>
  <c r="I161" i="4"/>
  <c r="G161" i="4"/>
  <c r="G193" i="4" s="1"/>
  <c r="F161" i="4"/>
  <c r="F193" i="4" s="1"/>
  <c r="E161" i="4"/>
  <c r="E193" i="4" s="1"/>
  <c r="I160" i="4"/>
  <c r="I159" i="4"/>
  <c r="I158" i="4"/>
  <c r="I157" i="4"/>
  <c r="I156" i="4"/>
  <c r="G156" i="4"/>
  <c r="G188" i="4" s="1"/>
  <c r="F156" i="4"/>
  <c r="F188" i="4" s="1"/>
  <c r="E156" i="4"/>
  <c r="E188" i="4" s="1"/>
  <c r="I155" i="4"/>
  <c r="R134" i="4"/>
  <c r="Q134" i="4"/>
  <c r="P134" i="4"/>
  <c r="O134" i="4"/>
  <c r="N134" i="4"/>
  <c r="M134" i="4"/>
  <c r="L134" i="4"/>
  <c r="K134" i="4"/>
  <c r="J134" i="4"/>
  <c r="I134" i="4"/>
  <c r="H134" i="4"/>
  <c r="G134" i="4"/>
  <c r="G199" i="4" s="1"/>
  <c r="F134" i="4"/>
  <c r="F199" i="4" s="1"/>
  <c r="E134" i="4"/>
  <c r="E199" i="4" s="1"/>
  <c r="R130" i="4"/>
  <c r="Q130" i="4"/>
  <c r="P130" i="4"/>
  <c r="O130" i="4"/>
  <c r="N130" i="4"/>
  <c r="M130" i="4"/>
  <c r="L130" i="4"/>
  <c r="K130" i="4"/>
  <c r="J130" i="4"/>
  <c r="I130" i="4"/>
  <c r="H130" i="4"/>
  <c r="H195" i="4" s="1"/>
  <c r="G130" i="4"/>
  <c r="F130" i="4"/>
  <c r="E130" i="4"/>
  <c r="R122" i="4"/>
  <c r="Q122" i="4"/>
  <c r="P122" i="4"/>
  <c r="O122" i="4"/>
  <c r="N122" i="4"/>
  <c r="M122" i="4"/>
  <c r="L122" i="4"/>
  <c r="K122" i="4"/>
  <c r="J122" i="4"/>
  <c r="I122" i="4"/>
  <c r="H122" i="4"/>
  <c r="H187" i="4" s="1"/>
  <c r="G122" i="4"/>
  <c r="G155" i="4" s="1"/>
  <c r="G187" i="4" s="1"/>
  <c r="F122" i="4"/>
  <c r="F155" i="4" s="1"/>
  <c r="F187" i="4" s="1"/>
  <c r="E122" i="4"/>
  <c r="E155" i="4" s="1"/>
  <c r="E187" i="4" s="1"/>
  <c r="R121" i="4"/>
  <c r="Q121" i="4"/>
  <c r="P121" i="4"/>
  <c r="O121" i="4"/>
  <c r="N121" i="4"/>
  <c r="M121" i="4"/>
  <c r="L121" i="4"/>
  <c r="K121" i="4"/>
  <c r="J121" i="4"/>
  <c r="I121" i="4"/>
  <c r="H121" i="4"/>
  <c r="G121" i="4"/>
  <c r="G154" i="4" s="1"/>
  <c r="F121" i="4"/>
  <c r="F154" i="4" s="1"/>
  <c r="F186" i="4" s="1"/>
  <c r="E121" i="4"/>
  <c r="E154" i="4" s="1"/>
  <c r="E186" i="4" s="1"/>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Q118" i="4"/>
  <c r="P118" i="4"/>
  <c r="O118" i="4"/>
  <c r="N118" i="4"/>
  <c r="M118" i="4"/>
  <c r="L118" i="4"/>
  <c r="K118" i="4"/>
  <c r="J118" i="4"/>
  <c r="I118" i="4"/>
  <c r="H118" i="4"/>
  <c r="G118" i="4"/>
  <c r="F118" i="4"/>
  <c r="E118" i="4"/>
  <c r="R117" i="4"/>
  <c r="Q117" i="4"/>
  <c r="P117" i="4"/>
  <c r="O117" i="4"/>
  <c r="N117" i="4"/>
  <c r="M117" i="4"/>
  <c r="L117" i="4"/>
  <c r="K117" i="4"/>
  <c r="J117" i="4"/>
  <c r="I117" i="4"/>
  <c r="H117" i="4"/>
  <c r="G117" i="4"/>
  <c r="F117" i="4"/>
  <c r="E117" i="4"/>
  <c r="R116" i="4"/>
  <c r="Q116" i="4"/>
  <c r="P116" i="4"/>
  <c r="O116" i="4"/>
  <c r="N116" i="4"/>
  <c r="M116" i="4"/>
  <c r="L116" i="4"/>
  <c r="K116" i="4"/>
  <c r="J116" i="4"/>
  <c r="I116" i="4"/>
  <c r="H116" i="4"/>
  <c r="G116" i="4"/>
  <c r="F116" i="4"/>
  <c r="E116" i="4"/>
  <c r="R115" i="4"/>
  <c r="Q115" i="4"/>
  <c r="P115" i="4"/>
  <c r="O115" i="4"/>
  <c r="N115" i="4"/>
  <c r="M115" i="4"/>
  <c r="L115" i="4"/>
  <c r="K115" i="4"/>
  <c r="J115" i="4"/>
  <c r="I115" i="4"/>
  <c r="H115" i="4"/>
  <c r="G115" i="4"/>
  <c r="F115" i="4"/>
  <c r="E115" i="4"/>
  <c r="R113" i="4"/>
  <c r="Q113" i="4"/>
  <c r="P113" i="4"/>
  <c r="O113" i="4"/>
  <c r="N113" i="4"/>
  <c r="M113" i="4"/>
  <c r="L113" i="4"/>
  <c r="K113" i="4"/>
  <c r="J113" i="4"/>
  <c r="I113" i="4"/>
  <c r="H113" i="4"/>
  <c r="G113" i="4"/>
  <c r="F113" i="4"/>
  <c r="E113" i="4"/>
  <c r="R112" i="4"/>
  <c r="Q112" i="4"/>
  <c r="P112" i="4"/>
  <c r="O112" i="4"/>
  <c r="N112" i="4"/>
  <c r="M112" i="4"/>
  <c r="L112" i="4"/>
  <c r="K112" i="4"/>
  <c r="J112" i="4"/>
  <c r="I112" i="4"/>
  <c r="H112" i="4"/>
  <c r="G112" i="4"/>
  <c r="F112" i="4"/>
  <c r="E112" i="4"/>
  <c r="R111" i="4"/>
  <c r="Q111" i="4"/>
  <c r="P111" i="4"/>
  <c r="O111" i="4"/>
  <c r="N111" i="4"/>
  <c r="M111" i="4"/>
  <c r="L111" i="4"/>
  <c r="K111" i="4"/>
  <c r="J111" i="4"/>
  <c r="I111" i="4"/>
  <c r="H111" i="4"/>
  <c r="G111" i="4"/>
  <c r="F111" i="4"/>
  <c r="E111" i="4"/>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8" i="4"/>
  <c r="Q108" i="4"/>
  <c r="P108" i="4"/>
  <c r="O108" i="4"/>
  <c r="N108" i="4"/>
  <c r="M108" i="4"/>
  <c r="L108" i="4"/>
  <c r="K108" i="4"/>
  <c r="J108" i="4"/>
  <c r="I108" i="4"/>
  <c r="H108" i="4"/>
  <c r="G108" i="4"/>
  <c r="F108" i="4"/>
  <c r="E108" i="4"/>
  <c r="R106" i="4"/>
  <c r="Q106" i="4"/>
  <c r="P106" i="4"/>
  <c r="O106" i="4"/>
  <c r="N106" i="4"/>
  <c r="M106" i="4"/>
  <c r="L106" i="4"/>
  <c r="K106" i="4"/>
  <c r="J106" i="4"/>
  <c r="I106" i="4"/>
  <c r="H106" i="4"/>
  <c r="G106" i="4"/>
  <c r="F106" i="4"/>
  <c r="E106" i="4"/>
  <c r="R105" i="4"/>
  <c r="R135" i="4" s="1"/>
  <c r="Q105" i="4"/>
  <c r="Q135" i="4" s="1"/>
  <c r="P105" i="4"/>
  <c r="P135" i="4" s="1"/>
  <c r="O105" i="4"/>
  <c r="O135" i="4" s="1"/>
  <c r="N105" i="4"/>
  <c r="N135" i="4" s="1"/>
  <c r="M105" i="4"/>
  <c r="M135" i="4" s="1"/>
  <c r="L105" i="4"/>
  <c r="L135" i="4" s="1"/>
  <c r="K105" i="4"/>
  <c r="K135" i="4" s="1"/>
  <c r="J105" i="4"/>
  <c r="J135" i="4" s="1"/>
  <c r="I105" i="4"/>
  <c r="I135" i="4" s="1"/>
  <c r="H105" i="4"/>
  <c r="H135" i="4" s="1"/>
  <c r="G105" i="4"/>
  <c r="F105" i="4"/>
  <c r="E105" i="4"/>
  <c r="R102" i="4"/>
  <c r="Q102" i="4"/>
  <c r="P102" i="4"/>
  <c r="O102" i="4"/>
  <c r="N102" i="4"/>
  <c r="M102" i="4"/>
  <c r="L102" i="4"/>
  <c r="K102" i="4"/>
  <c r="J102" i="4"/>
  <c r="I102" i="4"/>
  <c r="H102" i="4"/>
  <c r="G102" i="4"/>
  <c r="F102" i="4"/>
  <c r="E102" i="4"/>
  <c r="H19" i="4"/>
  <c r="G19" i="4"/>
  <c r="F19" i="4"/>
  <c r="E19" i="4"/>
  <c r="H13" i="4"/>
  <c r="G13" i="4"/>
  <c r="F13" i="4"/>
  <c r="E13" i="4"/>
  <c r="H12" i="4"/>
  <c r="G12" i="4"/>
  <c r="F12" i="4"/>
  <c r="E12" i="4"/>
  <c r="E604" i="3"/>
  <c r="E601" i="3"/>
  <c r="E606" i="3" s="1"/>
  <c r="F511" i="3"/>
  <c r="F510" i="3"/>
  <c r="F509" i="3"/>
  <c r="F508" i="3"/>
  <c r="F507" i="3"/>
  <c r="F506" i="3"/>
  <c r="AK501" i="3"/>
  <c r="AJ501" i="3"/>
  <c r="AI501" i="3"/>
  <c r="AH501" i="3"/>
  <c r="AG501" i="3"/>
  <c r="AF501" i="3"/>
  <c r="AE501" i="3"/>
  <c r="AD501" i="3"/>
  <c r="AC501" i="3"/>
  <c r="AB501" i="3"/>
  <c r="AA501" i="3"/>
  <c r="Z501" i="3"/>
  <c r="Y501" i="3"/>
  <c r="X501" i="3"/>
  <c r="W501" i="3"/>
  <c r="V501" i="3"/>
  <c r="U501" i="3"/>
  <c r="T501" i="3"/>
  <c r="S501" i="3"/>
  <c r="R501" i="3"/>
  <c r="Q501" i="3"/>
  <c r="P501" i="3"/>
  <c r="O501" i="3"/>
  <c r="N501" i="3"/>
  <c r="M501" i="3"/>
  <c r="L501" i="3"/>
  <c r="K501" i="3"/>
  <c r="J501" i="3"/>
  <c r="I501" i="3"/>
  <c r="H498" i="3"/>
  <c r="G498" i="3"/>
  <c r="F498" i="3"/>
  <c r="E498" i="3"/>
  <c r="H494" i="3"/>
  <c r="G494" i="3"/>
  <c r="F494" i="3"/>
  <c r="E494" i="3"/>
  <c r="H493" i="3"/>
  <c r="G493" i="3"/>
  <c r="F493" i="3"/>
  <c r="E493" i="3"/>
  <c r="H492" i="3"/>
  <c r="G492" i="3"/>
  <c r="F492" i="3"/>
  <c r="E492" i="3"/>
  <c r="H491" i="3"/>
  <c r="H501" i="3" s="1"/>
  <c r="G491" i="3"/>
  <c r="G501" i="3" s="1"/>
  <c r="F491" i="3"/>
  <c r="F501" i="3" s="1"/>
  <c r="E491" i="3"/>
  <c r="E501" i="3" s="1"/>
  <c r="H487" i="3"/>
  <c r="G487" i="3"/>
  <c r="F487" i="3"/>
  <c r="E487" i="3"/>
  <c r="H486" i="3"/>
  <c r="G486" i="3"/>
  <c r="F486" i="3"/>
  <c r="E486" i="3"/>
  <c r="I483" i="3"/>
  <c r="J483" i="3" s="1"/>
  <c r="K483" i="3" s="1"/>
  <c r="L483" i="3" s="1"/>
  <c r="M483" i="3" s="1"/>
  <c r="N483" i="3" s="1"/>
  <c r="O483" i="3" s="1"/>
  <c r="P483" i="3" s="1"/>
  <c r="Q483" i="3" s="1"/>
  <c r="R483" i="3" s="1"/>
  <c r="S483" i="3" s="1"/>
  <c r="T483" i="3" s="1"/>
  <c r="U483" i="3" s="1"/>
  <c r="V483" i="3" s="1"/>
  <c r="W483" i="3" s="1"/>
  <c r="X483" i="3" s="1"/>
  <c r="Y483" i="3" s="1"/>
  <c r="Z483" i="3" s="1"/>
  <c r="AA483" i="3" s="1"/>
  <c r="AB483" i="3" s="1"/>
  <c r="AC483" i="3" s="1"/>
  <c r="AD483" i="3" s="1"/>
  <c r="AE483" i="3" s="1"/>
  <c r="AF483" i="3" s="1"/>
  <c r="AG483" i="3" s="1"/>
  <c r="AH483" i="3" s="1"/>
  <c r="AI483" i="3" s="1"/>
  <c r="AJ483" i="3" s="1"/>
  <c r="AK483" i="3" s="1"/>
  <c r="J480" i="3"/>
  <c r="K480" i="3" s="1"/>
  <c r="L480" i="3" s="1"/>
  <c r="M480" i="3" s="1"/>
  <c r="N480" i="3" s="1"/>
  <c r="O480" i="3" s="1"/>
  <c r="P480" i="3" s="1"/>
  <c r="Q480" i="3" s="1"/>
  <c r="R480" i="3" s="1"/>
  <c r="S480" i="3" s="1"/>
  <c r="T480" i="3" s="1"/>
  <c r="U480" i="3" s="1"/>
  <c r="V480" i="3" s="1"/>
  <c r="W480" i="3" s="1"/>
  <c r="X480" i="3" s="1"/>
  <c r="Y480" i="3" s="1"/>
  <c r="Z480" i="3" s="1"/>
  <c r="AA480" i="3" s="1"/>
  <c r="AB480" i="3" s="1"/>
  <c r="AC480" i="3" s="1"/>
  <c r="AD480" i="3" s="1"/>
  <c r="AE480" i="3" s="1"/>
  <c r="AF480" i="3" s="1"/>
  <c r="AG480" i="3" s="1"/>
  <c r="AH480" i="3" s="1"/>
  <c r="AI480" i="3" s="1"/>
  <c r="AJ480" i="3" s="1"/>
  <c r="AK480" i="3" s="1"/>
  <c r="I479" i="3"/>
  <c r="J479" i="3" s="1"/>
  <c r="K479" i="3" s="1"/>
  <c r="L479" i="3" s="1"/>
  <c r="M479" i="3" s="1"/>
  <c r="N479" i="3" s="1"/>
  <c r="O479" i="3" s="1"/>
  <c r="P479" i="3" s="1"/>
  <c r="Q479" i="3" s="1"/>
  <c r="R479" i="3" s="1"/>
  <c r="S479" i="3" s="1"/>
  <c r="T479" i="3" s="1"/>
  <c r="U479" i="3" s="1"/>
  <c r="V479" i="3" s="1"/>
  <c r="W479" i="3" s="1"/>
  <c r="X479" i="3" s="1"/>
  <c r="Y479" i="3" s="1"/>
  <c r="Z479" i="3" s="1"/>
  <c r="AA479" i="3" s="1"/>
  <c r="AB479" i="3" s="1"/>
  <c r="AC479" i="3" s="1"/>
  <c r="AD479" i="3" s="1"/>
  <c r="AE479" i="3" s="1"/>
  <c r="AF479" i="3" s="1"/>
  <c r="AG479" i="3" s="1"/>
  <c r="AH479" i="3" s="1"/>
  <c r="AI479" i="3" s="1"/>
  <c r="AJ479" i="3" s="1"/>
  <c r="AK479" i="3" s="1"/>
  <c r="H469" i="3"/>
  <c r="G469" i="3"/>
  <c r="F469" i="3"/>
  <c r="E469" i="3"/>
  <c r="H466" i="3"/>
  <c r="G466" i="3"/>
  <c r="F466" i="3"/>
  <c r="E466" i="3"/>
  <c r="H462" i="3"/>
  <c r="G462" i="3"/>
  <c r="F462" i="3"/>
  <c r="E462" i="3"/>
  <c r="H461" i="3"/>
  <c r="G461" i="3"/>
  <c r="F461" i="3"/>
  <c r="E461" i="3"/>
  <c r="H428" i="3"/>
  <c r="H595" i="3" s="1"/>
  <c r="G428" i="3"/>
  <c r="G595" i="3" s="1"/>
  <c r="F428" i="3"/>
  <c r="F595" i="3" s="1"/>
  <c r="E428" i="3"/>
  <c r="E595" i="3" s="1"/>
  <c r="H426" i="3"/>
  <c r="H593" i="3" s="1"/>
  <c r="G426" i="3"/>
  <c r="G593" i="3" s="1"/>
  <c r="F426" i="3"/>
  <c r="F593" i="3" s="1"/>
  <c r="E426" i="3"/>
  <c r="E593" i="3" s="1"/>
  <c r="H424" i="3"/>
  <c r="H591" i="3" s="1"/>
  <c r="G424" i="3"/>
  <c r="G591" i="3" s="1"/>
  <c r="F424" i="3"/>
  <c r="F591" i="3" s="1"/>
  <c r="E424" i="3"/>
  <c r="E591" i="3" s="1"/>
  <c r="H422" i="3"/>
  <c r="H589" i="3" s="1"/>
  <c r="G422" i="3"/>
  <c r="G589" i="3" s="1"/>
  <c r="F422" i="3"/>
  <c r="F589" i="3" s="1"/>
  <c r="E422" i="3"/>
  <c r="E589" i="3" s="1"/>
  <c r="H417" i="3"/>
  <c r="H584" i="3" s="1"/>
  <c r="G417" i="3"/>
  <c r="G584" i="3" s="1"/>
  <c r="F417" i="3"/>
  <c r="F584" i="3" s="1"/>
  <c r="E417" i="3"/>
  <c r="E584" i="3" s="1"/>
  <c r="H411" i="3"/>
  <c r="H578" i="3" s="1"/>
  <c r="G411" i="3"/>
  <c r="G578" i="3" s="1"/>
  <c r="F411" i="3"/>
  <c r="F578" i="3" s="1"/>
  <c r="E411" i="3"/>
  <c r="E578" i="3" s="1"/>
  <c r="H409" i="3"/>
  <c r="H576" i="3" s="1"/>
  <c r="G409" i="3"/>
  <c r="G576" i="3" s="1"/>
  <c r="F409" i="3"/>
  <c r="F576" i="3" s="1"/>
  <c r="E409" i="3"/>
  <c r="E576" i="3" s="1"/>
  <c r="H407" i="3"/>
  <c r="H574" i="3" s="1"/>
  <c r="G407" i="3"/>
  <c r="G574" i="3" s="1"/>
  <c r="F407" i="3"/>
  <c r="F574" i="3" s="1"/>
  <c r="E407" i="3"/>
  <c r="E574" i="3" s="1"/>
  <c r="H399" i="3"/>
  <c r="H566" i="3" s="1"/>
  <c r="G399" i="3"/>
  <c r="G566" i="3" s="1"/>
  <c r="F399" i="3"/>
  <c r="F566" i="3" s="1"/>
  <c r="E399" i="3"/>
  <c r="E566" i="3" s="1"/>
  <c r="H396" i="3"/>
  <c r="H563" i="3" s="1"/>
  <c r="G396" i="3"/>
  <c r="G563" i="3" s="1"/>
  <c r="F396" i="3"/>
  <c r="F563" i="3" s="1"/>
  <c r="E396" i="3"/>
  <c r="E563" i="3" s="1"/>
  <c r="H391" i="3"/>
  <c r="H558" i="3" s="1"/>
  <c r="G391" i="3"/>
  <c r="G558" i="3" s="1"/>
  <c r="F391" i="3"/>
  <c r="F558" i="3" s="1"/>
  <c r="E391" i="3"/>
  <c r="E558" i="3" s="1"/>
  <c r="H385" i="3"/>
  <c r="H551" i="3" s="1"/>
  <c r="G385" i="3"/>
  <c r="G551" i="3" s="1"/>
  <c r="F385" i="3"/>
  <c r="F551" i="3" s="1"/>
  <c r="E385" i="3"/>
  <c r="E551" i="3" s="1"/>
  <c r="H382" i="3"/>
  <c r="H548" i="3" s="1"/>
  <c r="G382" i="3"/>
  <c r="G548" i="3" s="1"/>
  <c r="F382" i="3"/>
  <c r="F548" i="3" s="1"/>
  <c r="E382" i="3"/>
  <c r="E548" i="3" s="1"/>
  <c r="H379" i="3"/>
  <c r="H545" i="3" s="1"/>
  <c r="G379" i="3"/>
  <c r="G545" i="3" s="1"/>
  <c r="F379" i="3"/>
  <c r="F545" i="3" s="1"/>
  <c r="E379" i="3"/>
  <c r="E545" i="3" s="1"/>
  <c r="H378" i="3"/>
  <c r="H544" i="3" s="1"/>
  <c r="G378" i="3"/>
  <c r="G544" i="3" s="1"/>
  <c r="F378" i="3"/>
  <c r="F544" i="3" s="1"/>
  <c r="E378" i="3"/>
  <c r="E544" i="3" s="1"/>
  <c r="H375" i="3"/>
  <c r="H541" i="3" s="1"/>
  <c r="G375" i="3"/>
  <c r="G541" i="3" s="1"/>
  <c r="F375" i="3"/>
  <c r="F541" i="3" s="1"/>
  <c r="E375" i="3"/>
  <c r="E541" i="3" s="1"/>
  <c r="H373" i="3"/>
  <c r="H539" i="3" s="1"/>
  <c r="G373" i="3"/>
  <c r="G539" i="3" s="1"/>
  <c r="F373" i="3"/>
  <c r="F539" i="3" s="1"/>
  <c r="E373" i="3"/>
  <c r="E539" i="3" s="1"/>
  <c r="H350" i="3"/>
  <c r="H516" i="3" s="1"/>
  <c r="G350" i="3"/>
  <c r="G516" i="3" s="1"/>
  <c r="F350" i="3"/>
  <c r="F516" i="3" s="1"/>
  <c r="E350" i="3"/>
  <c r="E516" i="3" s="1"/>
  <c r="H329" i="3"/>
  <c r="G329" i="3"/>
  <c r="F329" i="3"/>
  <c r="E329" i="3"/>
  <c r="H327" i="3"/>
  <c r="G327" i="3"/>
  <c r="F327" i="3"/>
  <c r="E327" i="3"/>
  <c r="H325" i="3"/>
  <c r="G325" i="3"/>
  <c r="F325" i="3"/>
  <c r="E325" i="3"/>
  <c r="H323" i="3"/>
  <c r="G323" i="3"/>
  <c r="F323" i="3"/>
  <c r="E323" i="3"/>
  <c r="H322" i="3"/>
  <c r="G322" i="3"/>
  <c r="F322" i="3"/>
  <c r="E322" i="3"/>
  <c r="H321" i="3"/>
  <c r="G321" i="3"/>
  <c r="F321" i="3"/>
  <c r="E321" i="3"/>
  <c r="H320" i="3"/>
  <c r="G320" i="3"/>
  <c r="F320" i="3"/>
  <c r="E320" i="3"/>
  <c r="H318" i="3"/>
  <c r="G318" i="3"/>
  <c r="F318" i="3"/>
  <c r="E318" i="3"/>
  <c r="H317" i="3"/>
  <c r="G317" i="3"/>
  <c r="F317" i="3"/>
  <c r="E317" i="3"/>
  <c r="H316" i="3"/>
  <c r="G316" i="3"/>
  <c r="F316" i="3"/>
  <c r="E316" i="3"/>
  <c r="H315" i="3"/>
  <c r="G315" i="3"/>
  <c r="F315" i="3"/>
  <c r="E315" i="3"/>
  <c r="H314" i="3"/>
  <c r="G314" i="3"/>
  <c r="F314" i="3"/>
  <c r="E314" i="3"/>
  <c r="H312" i="3"/>
  <c r="G312" i="3"/>
  <c r="F312" i="3"/>
  <c r="E312" i="3"/>
  <c r="H310" i="3"/>
  <c r="G310" i="3"/>
  <c r="F310" i="3"/>
  <c r="E310" i="3"/>
  <c r="H308" i="3"/>
  <c r="G308" i="3"/>
  <c r="F308" i="3"/>
  <c r="E308" i="3"/>
  <c r="H307" i="3"/>
  <c r="G307" i="3"/>
  <c r="F307" i="3"/>
  <c r="E307" i="3"/>
  <c r="H306" i="3"/>
  <c r="G306" i="3"/>
  <c r="F306" i="3"/>
  <c r="E306" i="3"/>
  <c r="H305" i="3"/>
  <c r="G305" i="3"/>
  <c r="F305" i="3"/>
  <c r="E305" i="3"/>
  <c r="H304" i="3"/>
  <c r="G304" i="3"/>
  <c r="F304" i="3"/>
  <c r="E304" i="3"/>
  <c r="H303" i="3"/>
  <c r="G303" i="3"/>
  <c r="F303" i="3"/>
  <c r="E303" i="3"/>
  <c r="H302" i="3"/>
  <c r="G302" i="3"/>
  <c r="F302" i="3"/>
  <c r="E302" i="3"/>
  <c r="H300" i="3"/>
  <c r="G300" i="3"/>
  <c r="F300" i="3"/>
  <c r="E300" i="3"/>
  <c r="H299" i="3"/>
  <c r="G299" i="3"/>
  <c r="F299" i="3"/>
  <c r="E299" i="3"/>
  <c r="H297" i="3"/>
  <c r="G297" i="3"/>
  <c r="F297" i="3"/>
  <c r="E297" i="3"/>
  <c r="H296" i="3"/>
  <c r="G296" i="3"/>
  <c r="F296" i="3"/>
  <c r="E296" i="3"/>
  <c r="H295" i="3"/>
  <c r="G295" i="3"/>
  <c r="F295" i="3"/>
  <c r="E295" i="3"/>
  <c r="H294" i="3"/>
  <c r="G294" i="3"/>
  <c r="F294" i="3"/>
  <c r="E294" i="3"/>
  <c r="H289" i="3"/>
  <c r="G289" i="3"/>
  <c r="F289" i="3"/>
  <c r="E289" i="3"/>
  <c r="H288" i="3"/>
  <c r="G288" i="3"/>
  <c r="F288" i="3"/>
  <c r="E288" i="3"/>
  <c r="H287" i="3"/>
  <c r="G287" i="3"/>
  <c r="F287" i="3"/>
  <c r="E287" i="3"/>
  <c r="H285" i="3"/>
  <c r="G285" i="3"/>
  <c r="F285" i="3"/>
  <c r="E285" i="3"/>
  <c r="H284" i="3"/>
  <c r="G284" i="3"/>
  <c r="F284" i="3"/>
  <c r="E284" i="3"/>
  <c r="H282" i="3"/>
  <c r="G282" i="3"/>
  <c r="F282" i="3"/>
  <c r="E282" i="3"/>
  <c r="H281" i="3"/>
  <c r="G281" i="3"/>
  <c r="F281" i="3"/>
  <c r="E281" i="3"/>
  <c r="H278" i="3"/>
  <c r="G278" i="3"/>
  <c r="F278" i="3"/>
  <c r="E278" i="3"/>
  <c r="H277" i="3"/>
  <c r="G277" i="3"/>
  <c r="F277" i="3"/>
  <c r="E277" i="3"/>
  <c r="H275" i="3"/>
  <c r="G275" i="3"/>
  <c r="F275" i="3"/>
  <c r="E275" i="3"/>
  <c r="H273" i="3"/>
  <c r="G273" i="3"/>
  <c r="F273" i="3"/>
  <c r="E273" i="3"/>
  <c r="H272" i="3"/>
  <c r="G272" i="3"/>
  <c r="F272" i="3"/>
  <c r="E272" i="3"/>
  <c r="H271" i="3"/>
  <c r="G271" i="3"/>
  <c r="F271" i="3"/>
  <c r="E271" i="3"/>
  <c r="H270" i="3"/>
  <c r="G270" i="3"/>
  <c r="F270" i="3"/>
  <c r="E270" i="3"/>
  <c r="H269" i="3"/>
  <c r="G269" i="3"/>
  <c r="F269" i="3"/>
  <c r="E269" i="3"/>
  <c r="H268" i="3"/>
  <c r="G268" i="3"/>
  <c r="F268" i="3"/>
  <c r="E268" i="3"/>
  <c r="H267" i="3"/>
  <c r="G267" i="3"/>
  <c r="F267" i="3"/>
  <c r="E267" i="3"/>
  <c r="H266" i="3"/>
  <c r="G266" i="3"/>
  <c r="F266" i="3"/>
  <c r="E266" i="3"/>
  <c r="H265" i="3"/>
  <c r="G265" i="3"/>
  <c r="F265" i="3"/>
  <c r="E265" i="3"/>
  <c r="H264" i="3"/>
  <c r="G264" i="3"/>
  <c r="F264" i="3"/>
  <c r="E264" i="3"/>
  <c r="H263" i="3"/>
  <c r="G263" i="3"/>
  <c r="F263" i="3"/>
  <c r="E263" i="3"/>
  <c r="H262" i="3"/>
  <c r="G262" i="3"/>
  <c r="F262" i="3"/>
  <c r="E262" i="3"/>
  <c r="H261" i="3"/>
  <c r="G261" i="3"/>
  <c r="F261" i="3"/>
  <c r="E261" i="3"/>
  <c r="H260" i="3"/>
  <c r="G260" i="3"/>
  <c r="F260" i="3"/>
  <c r="E260" i="3"/>
  <c r="H259" i="3"/>
  <c r="G259" i="3"/>
  <c r="F259" i="3"/>
  <c r="E259" i="3"/>
  <c r="H258" i="3"/>
  <c r="G258" i="3"/>
  <c r="F258" i="3"/>
  <c r="E258" i="3"/>
  <c r="H257" i="3"/>
  <c r="G257" i="3"/>
  <c r="F257" i="3"/>
  <c r="E257" i="3"/>
  <c r="H256" i="3"/>
  <c r="G256" i="3"/>
  <c r="F256" i="3"/>
  <c r="E256" i="3"/>
  <c r="H255" i="3"/>
  <c r="G255" i="3"/>
  <c r="F255" i="3"/>
  <c r="E255" i="3"/>
  <c r="H254" i="3"/>
  <c r="G254" i="3"/>
  <c r="F254" i="3"/>
  <c r="E254" i="3"/>
  <c r="H253" i="3"/>
  <c r="G253" i="3"/>
  <c r="F253" i="3"/>
  <c r="E253" i="3"/>
  <c r="H252" i="3"/>
  <c r="G252" i="3"/>
  <c r="F252" i="3"/>
  <c r="E252" i="3"/>
  <c r="H250" i="3"/>
  <c r="G250" i="3"/>
  <c r="F250" i="3"/>
  <c r="E250" i="3"/>
  <c r="E243" i="3"/>
  <c r="E241" i="3"/>
  <c r="E240" i="3"/>
  <c r="E238" i="3"/>
  <c r="E236" i="3"/>
  <c r="E235" i="3"/>
  <c r="E234" i="3"/>
  <c r="G234" i="3" s="1"/>
  <c r="E231" i="3"/>
  <c r="J229" i="3"/>
  <c r="J228" i="3"/>
  <c r="E228" i="3"/>
  <c r="E227" i="3"/>
  <c r="E226" i="3"/>
  <c r="J225" i="3"/>
  <c r="E225" i="3"/>
  <c r="E223" i="3"/>
  <c r="E221" i="3"/>
  <c r="E220" i="3"/>
  <c r="E219" i="3"/>
  <c r="J218" i="3"/>
  <c r="E218" i="3"/>
  <c r="E217" i="3"/>
  <c r="E216" i="3"/>
  <c r="E215" i="3"/>
  <c r="J214" i="3"/>
  <c r="H167" i="4" s="1"/>
  <c r="E214" i="3"/>
  <c r="J213" i="3"/>
  <c r="E213" i="3"/>
  <c r="J212" i="3"/>
  <c r="E212" i="3"/>
  <c r="J211" i="3"/>
  <c r="J210" i="3"/>
  <c r="F208" i="3"/>
  <c r="F207" i="3"/>
  <c r="F206" i="3"/>
  <c r="F205" i="3"/>
  <c r="F204" i="3"/>
  <c r="F202" i="3"/>
  <c r="F201" i="3"/>
  <c r="F200" i="3"/>
  <c r="F199" i="3"/>
  <c r="F198" i="3"/>
  <c r="F197" i="3"/>
  <c r="F196" i="3"/>
  <c r="F195" i="3"/>
  <c r="F194" i="3"/>
  <c r="F193" i="3"/>
  <c r="N135" i="3"/>
  <c r="F135" i="3"/>
  <c r="K133" i="3"/>
  <c r="K132" i="3"/>
  <c r="K131" i="3"/>
  <c r="K130" i="3"/>
  <c r="O129" i="3"/>
  <c r="M129" i="3"/>
  <c r="L129" i="3"/>
  <c r="M128" i="3"/>
  <c r="M135" i="3" s="1"/>
  <c r="K128" i="3"/>
  <c r="J124" i="3"/>
  <c r="H124" i="3"/>
  <c r="I123" i="3"/>
  <c r="E121" i="3"/>
  <c r="L120" i="3"/>
  <c r="L135" i="3" s="1"/>
  <c r="E120" i="3"/>
  <c r="K119" i="3"/>
  <c r="I119" i="3"/>
  <c r="I135" i="3" s="1"/>
  <c r="E119" i="3"/>
  <c r="E118" i="3"/>
  <c r="O117" i="3"/>
  <c r="E117" i="3"/>
  <c r="K116" i="3"/>
  <c r="J116" i="3"/>
  <c r="J135" i="3" s="1"/>
  <c r="H116" i="3"/>
  <c r="G116" i="3"/>
  <c r="G135" i="3" s="1"/>
  <c r="E116" i="3"/>
  <c r="R114" i="3"/>
  <c r="R135" i="3" s="1"/>
  <c r="Q114" i="3"/>
  <c r="Q135" i="3" s="1"/>
  <c r="P114" i="3"/>
  <c r="P135" i="3" s="1"/>
  <c r="E114" i="3"/>
  <c r="E113" i="3"/>
  <c r="K112" i="3"/>
  <c r="K135" i="3" s="1"/>
  <c r="E112" i="3"/>
  <c r="E111" i="3"/>
  <c r="H110" i="3"/>
  <c r="E110" i="3"/>
  <c r="H109" i="3"/>
  <c r="H135" i="3" s="1"/>
  <c r="E109" i="3"/>
  <c r="E135" i="3" s="1"/>
  <c r="O107" i="3"/>
  <c r="O135"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H58" i="4" s="1"/>
  <c r="G70" i="3"/>
  <c r="G59" i="4" s="1"/>
  <c r="G58" i="4" s="1"/>
  <c r="F70" i="3"/>
  <c r="F59" i="4" s="1"/>
  <c r="F58" i="4" s="1"/>
  <c r="E70" i="3"/>
  <c r="E59" i="4" s="1"/>
  <c r="E58" i="4" s="1"/>
  <c r="H68" i="3"/>
  <c r="H41" i="4" s="1"/>
  <c r="G68" i="3"/>
  <c r="G41" i="4" s="1"/>
  <c r="F68" i="3"/>
  <c r="F41" i="4" s="1"/>
  <c r="E68" i="3"/>
  <c r="E41" i="4" s="1"/>
  <c r="H66" i="3"/>
  <c r="H49" i="4" s="1"/>
  <c r="H48" i="4" s="1"/>
  <c r="G66" i="3"/>
  <c r="G49" i="4" s="1"/>
  <c r="G48" i="4" s="1"/>
  <c r="F66" i="3"/>
  <c r="F49" i="4" s="1"/>
  <c r="F48" i="4" s="1"/>
  <c r="E66" i="3"/>
  <c r="E49" i="4" s="1"/>
  <c r="E48"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E87" i="3" s="1"/>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H16" i="4" s="1"/>
  <c r="G40" i="3"/>
  <c r="G17" i="4" s="1"/>
  <c r="G16" i="4" s="1"/>
  <c r="G147" i="4" s="1"/>
  <c r="F40" i="3"/>
  <c r="F17" i="4" s="1"/>
  <c r="F16" i="4" s="1"/>
  <c r="F147" i="4" s="1"/>
  <c r="F179" i="4" s="1"/>
  <c r="E40" i="3"/>
  <c r="E17" i="4" s="1"/>
  <c r="E16" i="4" s="1"/>
  <c r="E147" i="4" s="1"/>
  <c r="E179"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H9" i="4" s="1"/>
  <c r="G33" i="3"/>
  <c r="G10" i="4" s="1"/>
  <c r="G9" i="4" s="1"/>
  <c r="G140" i="4" s="1"/>
  <c r="F33" i="3"/>
  <c r="F10" i="4" s="1"/>
  <c r="F9" i="4" s="1"/>
  <c r="F140" i="4" s="1"/>
  <c r="F172" i="4" s="1"/>
  <c r="E33" i="3"/>
  <c r="E10" i="4" s="1"/>
  <c r="E9" i="4" s="1"/>
  <c r="E140" i="4" s="1"/>
  <c r="E172" i="4" s="1"/>
  <c r="H31" i="3"/>
  <c r="G31" i="3"/>
  <c r="F31" i="3"/>
  <c r="E31" i="3"/>
  <c r="H29" i="3"/>
  <c r="H35" i="4" s="1"/>
  <c r="G29" i="3"/>
  <c r="G35" i="4" s="1"/>
  <c r="G166" i="4" s="1"/>
  <c r="F29" i="3"/>
  <c r="F35" i="4" s="1"/>
  <c r="F166" i="4" s="1"/>
  <c r="F198" i="4" s="1"/>
  <c r="E29" i="3"/>
  <c r="E35" i="4" s="1"/>
  <c r="E166" i="4" s="1"/>
  <c r="E198" i="4" s="1"/>
  <c r="H28" i="3"/>
  <c r="H34" i="4" s="1"/>
  <c r="G28" i="3"/>
  <c r="G34" i="4" s="1"/>
  <c r="G165" i="4" s="1"/>
  <c r="G197" i="4" s="1"/>
  <c r="F28" i="3"/>
  <c r="F34" i="4" s="1"/>
  <c r="F165" i="4" s="1"/>
  <c r="F197" i="4" s="1"/>
  <c r="E28" i="3"/>
  <c r="E34" i="4" s="1"/>
  <c r="E165" i="4" s="1"/>
  <c r="E197" i="4" s="1"/>
  <c r="H27" i="3"/>
  <c r="G27" i="3"/>
  <c r="F27" i="3"/>
  <c r="E27" i="3"/>
  <c r="H26" i="3"/>
  <c r="H32" i="4" s="1"/>
  <c r="G26" i="3"/>
  <c r="G32" i="4" s="1"/>
  <c r="F26" i="3"/>
  <c r="F32" i="4" s="1"/>
  <c r="E26" i="3"/>
  <c r="E32" i="4" s="1"/>
  <c r="H25" i="3"/>
  <c r="H31" i="4" s="1"/>
  <c r="G25" i="3"/>
  <c r="G31" i="4" s="1"/>
  <c r="G162" i="4" s="1"/>
  <c r="G194" i="4" s="1"/>
  <c r="F25" i="3"/>
  <c r="F31" i="4" s="1"/>
  <c r="F162" i="4" s="1"/>
  <c r="F194" i="4" s="1"/>
  <c r="E25" i="3"/>
  <c r="E31" i="4" s="1"/>
  <c r="E162" i="4" s="1"/>
  <c r="E194" i="4" s="1"/>
  <c r="H24" i="3"/>
  <c r="G24" i="3"/>
  <c r="F24" i="3"/>
  <c r="E24" i="3"/>
  <c r="H23" i="3"/>
  <c r="H29" i="4" s="1"/>
  <c r="G23" i="3"/>
  <c r="G29" i="4" s="1"/>
  <c r="G160" i="4" s="1"/>
  <c r="G192" i="4" s="1"/>
  <c r="F23" i="3"/>
  <c r="F29" i="4" s="1"/>
  <c r="F160" i="4" s="1"/>
  <c r="F192" i="4" s="1"/>
  <c r="E23" i="3"/>
  <c r="E29" i="4" s="1"/>
  <c r="E160" i="4" s="1"/>
  <c r="E192" i="4" s="1"/>
  <c r="H22" i="3"/>
  <c r="H28" i="4" s="1"/>
  <c r="G22" i="3"/>
  <c r="G28" i="4" s="1"/>
  <c r="G159" i="4" s="1"/>
  <c r="G191" i="4" s="1"/>
  <c r="F22" i="3"/>
  <c r="F28" i="4" s="1"/>
  <c r="F159" i="4" s="1"/>
  <c r="F191" i="4" s="1"/>
  <c r="E22" i="3"/>
  <c r="E28" i="4" s="1"/>
  <c r="E159" i="4" s="1"/>
  <c r="E191" i="4" s="1"/>
  <c r="H21" i="3"/>
  <c r="H27" i="4" s="1"/>
  <c r="G21" i="3"/>
  <c r="G27" i="4" s="1"/>
  <c r="G158" i="4" s="1"/>
  <c r="G190" i="4" s="1"/>
  <c r="F21" i="3"/>
  <c r="F27" i="4" s="1"/>
  <c r="F158" i="4" s="1"/>
  <c r="F190" i="4" s="1"/>
  <c r="E21" i="3"/>
  <c r="E27" i="4" s="1"/>
  <c r="E158" i="4" s="1"/>
  <c r="E190" i="4" s="1"/>
  <c r="H20" i="3"/>
  <c r="H26" i="4" s="1"/>
  <c r="G20" i="3"/>
  <c r="G26" i="4" s="1"/>
  <c r="G157" i="4" s="1"/>
  <c r="G189" i="4" s="1"/>
  <c r="F20" i="3"/>
  <c r="F26" i="4" s="1"/>
  <c r="F157" i="4" s="1"/>
  <c r="F189" i="4" s="1"/>
  <c r="E20" i="3"/>
  <c r="E26" i="4" s="1"/>
  <c r="E157" i="4" s="1"/>
  <c r="E189"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E317" i="2"/>
  <c r="E316" i="2"/>
  <c r="E315" i="2"/>
  <c r="E314" i="2"/>
  <c r="E313" i="2"/>
  <c r="AJ293" i="2"/>
  <c r="AI293" i="2"/>
  <c r="AH293" i="2"/>
  <c r="AG293" i="2"/>
  <c r="AF293" i="2"/>
  <c r="AE293" i="2"/>
  <c r="AD293" i="2"/>
  <c r="AC293" i="2"/>
  <c r="AB293" i="2"/>
  <c r="AA293" i="2"/>
  <c r="Z293" i="2"/>
  <c r="Y293" i="2"/>
  <c r="X293" i="2"/>
  <c r="W293" i="2"/>
  <c r="V293" i="2"/>
  <c r="U293" i="2"/>
  <c r="T293" i="2"/>
  <c r="S293" i="2"/>
  <c r="R293" i="2"/>
  <c r="Q293" i="2"/>
  <c r="P293" i="2"/>
  <c r="O293" i="2"/>
  <c r="N293" i="2"/>
  <c r="M293" i="2"/>
  <c r="L293" i="2"/>
  <c r="K293" i="2"/>
  <c r="J293" i="2"/>
  <c r="I293" i="2"/>
  <c r="H293" i="2"/>
  <c r="AJ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E292" i="2"/>
  <c r="D292" i="2"/>
  <c r="AJ291" i="2"/>
  <c r="AI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AJ289" i="2"/>
  <c r="AI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AJ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AJ287" i="2"/>
  <c r="AJ295" i="2" s="1"/>
  <c r="AI287" i="2"/>
  <c r="AI295" i="2" s="1"/>
  <c r="AH287" i="2"/>
  <c r="AH295" i="2" s="1"/>
  <c r="AG287" i="2"/>
  <c r="AG295" i="2" s="1"/>
  <c r="AF287" i="2"/>
  <c r="AF295" i="2" s="1"/>
  <c r="AE287" i="2"/>
  <c r="AE295" i="2" s="1"/>
  <c r="AD287" i="2"/>
  <c r="AD295" i="2" s="1"/>
  <c r="AC287" i="2"/>
  <c r="AC295" i="2" s="1"/>
  <c r="AB287" i="2"/>
  <c r="AB295" i="2" s="1"/>
  <c r="AA287" i="2"/>
  <c r="AA295" i="2" s="1"/>
  <c r="Z287" i="2"/>
  <c r="Z295" i="2" s="1"/>
  <c r="Y287" i="2"/>
  <c r="Y295" i="2" s="1"/>
  <c r="X287" i="2"/>
  <c r="X295" i="2" s="1"/>
  <c r="W287" i="2"/>
  <c r="W295" i="2" s="1"/>
  <c r="V287" i="2"/>
  <c r="V295" i="2" s="1"/>
  <c r="U287" i="2"/>
  <c r="U295" i="2" s="1"/>
  <c r="T287" i="2"/>
  <c r="T295" i="2" s="1"/>
  <c r="S287" i="2"/>
  <c r="S295" i="2" s="1"/>
  <c r="R287" i="2"/>
  <c r="R295" i="2" s="1"/>
  <c r="Q287" i="2"/>
  <c r="Q295" i="2" s="1"/>
  <c r="P287" i="2"/>
  <c r="P295" i="2" s="1"/>
  <c r="O287" i="2"/>
  <c r="O295" i="2" s="1"/>
  <c r="N287" i="2"/>
  <c r="N295" i="2" s="1"/>
  <c r="M287" i="2"/>
  <c r="M295" i="2" s="1"/>
  <c r="L287" i="2"/>
  <c r="L295" i="2" s="1"/>
  <c r="K287" i="2"/>
  <c r="K295" i="2" s="1"/>
  <c r="J287" i="2"/>
  <c r="J295" i="2" s="1"/>
  <c r="I287" i="2"/>
  <c r="I295" i="2" s="1"/>
  <c r="H287" i="2"/>
  <c r="H295" i="2" s="1"/>
  <c r="G287" i="2"/>
  <c r="F287" i="2"/>
  <c r="E287" i="2"/>
  <c r="D287" i="2"/>
  <c r="AJ281" i="2"/>
  <c r="AI281" i="2"/>
  <c r="AH281" i="2"/>
  <c r="AG281" i="2"/>
  <c r="AF281" i="2"/>
  <c r="AE281" i="2"/>
  <c r="AD281" i="2"/>
  <c r="AC281" i="2"/>
  <c r="AB281" i="2"/>
  <c r="AA281" i="2"/>
  <c r="Z281" i="2"/>
  <c r="Y281" i="2"/>
  <c r="X281" i="2"/>
  <c r="W281" i="2"/>
  <c r="V281" i="2"/>
  <c r="U281" i="2"/>
  <c r="T281" i="2"/>
  <c r="S281" i="2"/>
  <c r="R281" i="2"/>
  <c r="Q281" i="2"/>
  <c r="P281" i="2"/>
  <c r="O281" i="2"/>
  <c r="N281" i="2"/>
  <c r="M281" i="2"/>
  <c r="L281" i="2"/>
  <c r="K281" i="2"/>
  <c r="J281" i="2"/>
  <c r="I281" i="2"/>
  <c r="H281" i="2"/>
  <c r="AJ280" i="2"/>
  <c r="AI280" i="2"/>
  <c r="AH280" i="2"/>
  <c r="AG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E280" i="2"/>
  <c r="D280"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AJ278" i="2"/>
  <c r="AI278" i="2"/>
  <c r="AH278" i="2"/>
  <c r="AG278" i="2"/>
  <c r="AF278" i="2"/>
  <c r="AE278" i="2"/>
  <c r="AD278" i="2"/>
  <c r="AC278" i="2"/>
  <c r="AB278" i="2"/>
  <c r="AA278" i="2"/>
  <c r="Z278" i="2"/>
  <c r="Y278" i="2"/>
  <c r="X278" i="2"/>
  <c r="W278" i="2"/>
  <c r="V278" i="2"/>
  <c r="U278" i="2"/>
  <c r="T278" i="2"/>
  <c r="S278" i="2"/>
  <c r="R278" i="2"/>
  <c r="Q278" i="2"/>
  <c r="P278" i="2"/>
  <c r="O278" i="2"/>
  <c r="N278" i="2"/>
  <c r="M278" i="2"/>
  <c r="L278" i="2"/>
  <c r="K278" i="2"/>
  <c r="J278" i="2"/>
  <c r="I278" i="2"/>
  <c r="H278" i="2"/>
  <c r="AJ277" i="2"/>
  <c r="AI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AJ276" i="2"/>
  <c r="AI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AJ275" i="2"/>
  <c r="AJ283" i="2" s="1"/>
  <c r="AI275" i="2"/>
  <c r="AI283" i="2" s="1"/>
  <c r="AH275" i="2"/>
  <c r="AH283" i="2" s="1"/>
  <c r="AG275" i="2"/>
  <c r="AG283" i="2" s="1"/>
  <c r="AF275" i="2"/>
  <c r="AF283" i="2" s="1"/>
  <c r="AE275" i="2"/>
  <c r="AE283" i="2" s="1"/>
  <c r="AD275" i="2"/>
  <c r="AD283" i="2" s="1"/>
  <c r="AC275" i="2"/>
  <c r="AC283" i="2" s="1"/>
  <c r="AB275" i="2"/>
  <c r="AB283" i="2" s="1"/>
  <c r="AA275" i="2"/>
  <c r="AA283" i="2" s="1"/>
  <c r="Z275" i="2"/>
  <c r="Z283" i="2" s="1"/>
  <c r="Y275" i="2"/>
  <c r="Y283" i="2" s="1"/>
  <c r="X275" i="2"/>
  <c r="X283" i="2" s="1"/>
  <c r="W275" i="2"/>
  <c r="W283" i="2" s="1"/>
  <c r="V275" i="2"/>
  <c r="V283" i="2" s="1"/>
  <c r="U275" i="2"/>
  <c r="U283" i="2" s="1"/>
  <c r="T275" i="2"/>
  <c r="T283" i="2" s="1"/>
  <c r="S275" i="2"/>
  <c r="S283" i="2" s="1"/>
  <c r="R275" i="2"/>
  <c r="R283" i="2" s="1"/>
  <c r="Q275" i="2"/>
  <c r="Q283" i="2" s="1"/>
  <c r="P275" i="2"/>
  <c r="P283" i="2" s="1"/>
  <c r="O275" i="2"/>
  <c r="O283" i="2" s="1"/>
  <c r="N275" i="2"/>
  <c r="N283" i="2" s="1"/>
  <c r="M275" i="2"/>
  <c r="M283" i="2" s="1"/>
  <c r="L275" i="2"/>
  <c r="L283" i="2" s="1"/>
  <c r="K275" i="2"/>
  <c r="K283" i="2" s="1"/>
  <c r="J275" i="2"/>
  <c r="J283" i="2" s="1"/>
  <c r="I275" i="2"/>
  <c r="I283" i="2" s="1"/>
  <c r="H275" i="2"/>
  <c r="H283" i="2" s="1"/>
  <c r="G275" i="2"/>
  <c r="F275" i="2"/>
  <c r="E275" i="2"/>
  <c r="D275" i="2"/>
  <c r="D234" i="2"/>
  <c r="D231" i="2"/>
  <c r="D228" i="2"/>
  <c r="F207" i="2"/>
  <c r="E207" i="2"/>
  <c r="D207" i="2"/>
  <c r="F206" i="2"/>
  <c r="E206" i="2"/>
  <c r="D206" i="2"/>
  <c r="F204" i="2"/>
  <c r="E204" i="2"/>
  <c r="D204" i="2"/>
  <c r="F203" i="2"/>
  <c r="E203" i="2"/>
  <c r="D203" i="2"/>
  <c r="F200" i="2"/>
  <c r="E200" i="2"/>
  <c r="D200" i="2"/>
  <c r="F199" i="2"/>
  <c r="E199" i="2"/>
  <c r="D199" i="2"/>
  <c r="F198" i="2"/>
  <c r="E198" i="2"/>
  <c r="D198" i="2"/>
  <c r="G192" i="2"/>
  <c r="F192" i="2"/>
  <c r="E192" i="2"/>
  <c r="D192" i="2"/>
  <c r="D222" i="2" s="1"/>
  <c r="G191" i="2"/>
  <c r="F191" i="2"/>
  <c r="F221" i="2" s="1"/>
  <c r="E191" i="2"/>
  <c r="E221" i="2" s="1"/>
  <c r="D191" i="2"/>
  <c r="D221" i="2" s="1"/>
  <c r="G221" i="2" s="1"/>
  <c r="G190" i="2"/>
  <c r="F190" i="2"/>
  <c r="F220" i="2" s="1"/>
  <c r="E190" i="2"/>
  <c r="E220" i="2" s="1"/>
  <c r="D190" i="2"/>
  <c r="D220" i="2" s="1"/>
  <c r="G220" i="2" s="1"/>
  <c r="G189" i="2"/>
  <c r="F189" i="2"/>
  <c r="F219" i="2" s="1"/>
  <c r="E189" i="2"/>
  <c r="E219" i="2" s="1"/>
  <c r="D189" i="2"/>
  <c r="D219" i="2" s="1"/>
  <c r="G219" i="2" s="1"/>
  <c r="G188" i="2"/>
  <c r="F188" i="2"/>
  <c r="F218" i="2" s="1"/>
  <c r="E188" i="2"/>
  <c r="E218" i="2" s="1"/>
  <c r="D188" i="2"/>
  <c r="D218" i="2" s="1"/>
  <c r="G218" i="2" s="1"/>
  <c r="G187" i="2"/>
  <c r="F187" i="2"/>
  <c r="F217" i="2" s="1"/>
  <c r="E187" i="2"/>
  <c r="E217" i="2" s="1"/>
  <c r="D187" i="2"/>
  <c r="D217" i="2" s="1"/>
  <c r="G217" i="2" s="1"/>
  <c r="G186" i="2"/>
  <c r="F186" i="2"/>
  <c r="F216" i="2" s="1"/>
  <c r="E186" i="2"/>
  <c r="E216" i="2" s="1"/>
  <c r="D186" i="2"/>
  <c r="D216" i="2" s="1"/>
  <c r="G216" i="2" s="1"/>
  <c r="G185" i="2"/>
  <c r="F185" i="2"/>
  <c r="F215" i="2" s="1"/>
  <c r="E185" i="2"/>
  <c r="E215" i="2" s="1"/>
  <c r="D185" i="2"/>
  <c r="D215" i="2" s="1"/>
  <c r="G215" i="2" s="1"/>
  <c r="G184" i="2"/>
  <c r="F184" i="2"/>
  <c r="F214" i="2" s="1"/>
  <c r="E184" i="2"/>
  <c r="E214" i="2" s="1"/>
  <c r="D184" i="2"/>
  <c r="D214" i="2" s="1"/>
  <c r="G214" i="2" s="1"/>
  <c r="G183" i="2"/>
  <c r="G193" i="2" s="1"/>
  <c r="F183" i="2"/>
  <c r="E183" i="2"/>
  <c r="D183" i="2"/>
  <c r="G175" i="2"/>
  <c r="F175" i="2"/>
  <c r="E175" i="2"/>
  <c r="D175" i="2"/>
  <c r="G173" i="2"/>
  <c r="F173" i="2"/>
  <c r="E173" i="2"/>
  <c r="D173" i="2"/>
  <c r="G163" i="2"/>
  <c r="F163" i="2"/>
  <c r="E163" i="2"/>
  <c r="D163" i="2"/>
  <c r="G162" i="2"/>
  <c r="G167" i="2" s="1"/>
  <c r="F162" i="2"/>
  <c r="F167" i="2" s="1"/>
  <c r="E162" i="2"/>
  <c r="E167" i="2" s="1"/>
  <c r="D162" i="2"/>
  <c r="D167" i="2" s="1"/>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1" i="2"/>
  <c r="F151" i="2"/>
  <c r="E151" i="2"/>
  <c r="D151" i="2"/>
  <c r="G149" i="2"/>
  <c r="F149" i="2"/>
  <c r="E149" i="2"/>
  <c r="D149" i="2"/>
  <c r="E147" i="2"/>
  <c r="G146" i="2"/>
  <c r="E146" i="2"/>
  <c r="G145" i="2"/>
  <c r="G153" i="2" s="1"/>
  <c r="F145" i="2"/>
  <c r="F153" i="2" s="1"/>
  <c r="E145" i="2"/>
  <c r="E153" i="2" s="1"/>
  <c r="D145" i="2"/>
  <c r="D153" i="2" s="1"/>
  <c r="G132" i="2"/>
  <c r="F132" i="2"/>
  <c r="E132" i="2"/>
  <c r="D132" i="2"/>
  <c r="G131" i="2"/>
  <c r="F131" i="2"/>
  <c r="E131" i="2"/>
  <c r="D131" i="2"/>
  <c r="G130" i="2"/>
  <c r="G134" i="2" s="1"/>
  <c r="F130" i="2"/>
  <c r="F134" i="2" s="1"/>
  <c r="E130" i="2"/>
  <c r="E134" i="2" s="1"/>
  <c r="D130" i="2"/>
  <c r="D134" i="2" s="1"/>
  <c r="G125" i="2"/>
  <c r="F125" i="2"/>
  <c r="E125" i="2"/>
  <c r="D125" i="2"/>
  <c r="G124" i="2"/>
  <c r="G127" i="2" s="1"/>
  <c r="G137" i="2" s="1"/>
  <c r="F124" i="2"/>
  <c r="F127" i="2" s="1"/>
  <c r="F137" i="2" s="1"/>
  <c r="E124" i="2"/>
  <c r="E127" i="2" s="1"/>
  <c r="E137" i="2" s="1"/>
  <c r="D124" i="2"/>
  <c r="D127" i="2" s="1"/>
  <c r="D137" i="2" s="1"/>
  <c r="H137" i="2" s="1"/>
  <c r="G111" i="2"/>
  <c r="F111" i="2"/>
  <c r="E111" i="2"/>
  <c r="D111" i="2"/>
  <c r="G110" i="2"/>
  <c r="F110" i="2"/>
  <c r="E110" i="2"/>
  <c r="D110" i="2"/>
  <c r="G109" i="2"/>
  <c r="F109" i="2"/>
  <c r="E109" i="2"/>
  <c r="D109" i="2"/>
  <c r="G107" i="2"/>
  <c r="F107" i="2"/>
  <c r="E107" i="2"/>
  <c r="D107" i="2"/>
  <c r="G106" i="2"/>
  <c r="F106" i="2"/>
  <c r="E106" i="2"/>
  <c r="D106" i="2"/>
  <c r="G105" i="2"/>
  <c r="G112" i="2" s="1"/>
  <c r="F105" i="2"/>
  <c r="F112" i="2" s="1"/>
  <c r="E105" i="2"/>
  <c r="E112" i="2" s="1"/>
  <c r="D105" i="2"/>
  <c r="D112" i="2" s="1"/>
  <c r="G101" i="2"/>
  <c r="F101" i="2"/>
  <c r="E101" i="2"/>
  <c r="D101" i="2"/>
  <c r="E100" i="2"/>
  <c r="G99" i="2"/>
  <c r="F99" i="2"/>
  <c r="E99" i="2"/>
  <c r="D99" i="2"/>
  <c r="G97" i="2"/>
  <c r="F97" i="2"/>
  <c r="E97" i="2"/>
  <c r="D97" i="2"/>
  <c r="G96" i="2"/>
  <c r="G102" i="2" s="1"/>
  <c r="F96" i="2"/>
  <c r="F102" i="2" s="1"/>
  <c r="E96" i="2"/>
  <c r="E102" i="2" s="1"/>
  <c r="D96" i="2"/>
  <c r="D102" i="2" s="1"/>
  <c r="G92" i="2"/>
  <c r="F92" i="2"/>
  <c r="E92" i="2"/>
  <c r="D92" i="2"/>
  <c r="G91" i="2"/>
  <c r="F91" i="2"/>
  <c r="E91" i="2"/>
  <c r="D91" i="2"/>
  <c r="G90" i="2"/>
  <c r="F90" i="2"/>
  <c r="E90" i="2"/>
  <c r="D90" i="2"/>
  <c r="G89" i="2"/>
  <c r="F89" i="2"/>
  <c r="E89" i="2"/>
  <c r="D89" i="2"/>
  <c r="G88" i="2"/>
  <c r="F88" i="2"/>
  <c r="E88" i="2"/>
  <c r="D88" i="2"/>
  <c r="G87" i="2"/>
  <c r="G93" i="2" s="1"/>
  <c r="F87" i="2"/>
  <c r="F93" i="2" s="1"/>
  <c r="E87" i="2"/>
  <c r="E93" i="2" s="1"/>
  <c r="D87" i="2"/>
  <c r="D93" i="2" s="1"/>
  <c r="G83" i="2"/>
  <c r="F83" i="2"/>
  <c r="E83" i="2"/>
  <c r="D83" i="2"/>
  <c r="G82" i="2"/>
  <c r="F82" i="2"/>
  <c r="E82" i="2"/>
  <c r="D82" i="2"/>
  <c r="G81" i="2"/>
  <c r="F81" i="2"/>
  <c r="E81" i="2"/>
  <c r="D81" i="2"/>
  <c r="G80" i="2"/>
  <c r="F80" i="2"/>
  <c r="E80" i="2"/>
  <c r="D80" i="2"/>
  <c r="G79" i="2"/>
  <c r="F79" i="2"/>
  <c r="E79" i="2"/>
  <c r="D79" i="2"/>
  <c r="G78" i="2"/>
  <c r="F78" i="2"/>
  <c r="E78" i="2"/>
  <c r="D78" i="2"/>
  <c r="G77" i="2"/>
  <c r="F77" i="2"/>
  <c r="E77" i="2"/>
  <c r="D77" i="2"/>
  <c r="G71" i="2"/>
  <c r="F71" i="2"/>
  <c r="E71" i="2"/>
  <c r="D71" i="2"/>
  <c r="G70" i="2"/>
  <c r="G72" i="2" s="1"/>
  <c r="G120" i="2" s="1"/>
  <c r="F70" i="2"/>
  <c r="F72" i="2" s="1"/>
  <c r="F120" i="2" s="1"/>
  <c r="E70" i="2"/>
  <c r="E72" i="2" s="1"/>
  <c r="E120" i="2" s="1"/>
  <c r="D70" i="2"/>
  <c r="D72" i="2" s="1"/>
  <c r="D120" i="2" s="1"/>
  <c r="H120" i="2" s="1"/>
  <c r="G67" i="2"/>
  <c r="G119" i="2" s="1"/>
  <c r="F67" i="2"/>
  <c r="F119" i="2" s="1"/>
  <c r="E67" i="2"/>
  <c r="E119" i="2" s="1"/>
  <c r="D67" i="2"/>
  <c r="D119" i="2" s="1"/>
  <c r="H119" i="2" s="1"/>
  <c r="G63" i="2"/>
  <c r="F63" i="2"/>
  <c r="E63" i="2"/>
  <c r="D63" i="2"/>
  <c r="G62" i="2"/>
  <c r="G64" i="2" s="1"/>
  <c r="G118" i="2" s="1"/>
  <c r="F62" i="2"/>
  <c r="F64" i="2" s="1"/>
  <c r="F118" i="2" s="1"/>
  <c r="E62" i="2"/>
  <c r="E64" i="2" s="1"/>
  <c r="E118" i="2" s="1"/>
  <c r="D62" i="2"/>
  <c r="D64" i="2" s="1"/>
  <c r="D118" i="2" s="1"/>
  <c r="H118" i="2" s="1"/>
  <c r="G59" i="2"/>
  <c r="F59" i="2"/>
  <c r="E59" i="2"/>
  <c r="D59"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2" i="2"/>
  <c r="F52" i="2"/>
  <c r="E52" i="2"/>
  <c r="D52" i="2"/>
  <c r="F51" i="2"/>
  <c r="G50" i="2"/>
  <c r="F50" i="2"/>
  <c r="E50" i="2"/>
  <c r="D50" i="2"/>
  <c r="G49" i="2"/>
  <c r="F49" i="2"/>
  <c r="E49" i="2"/>
  <c r="D49" i="2"/>
  <c r="G48" i="2"/>
  <c r="F48" i="2"/>
  <c r="E48" i="2"/>
  <c r="D48" i="2"/>
  <c r="G47" i="2"/>
  <c r="F47" i="2"/>
  <c r="E47" i="2"/>
  <c r="D47" i="2"/>
  <c r="G43" i="2"/>
  <c r="F43" i="2"/>
  <c r="E43" i="2"/>
  <c r="D43" i="2"/>
  <c r="D33" i="2"/>
  <c r="G24" i="2"/>
  <c r="F24" i="2"/>
  <c r="E24" i="2"/>
  <c r="D24" i="2"/>
  <c r="G23" i="2"/>
  <c r="F23" i="2"/>
  <c r="E23" i="2"/>
  <c r="D23" i="2"/>
  <c r="G20" i="2"/>
  <c r="F20" i="2"/>
  <c r="E20" i="2"/>
  <c r="D20" i="2"/>
  <c r="G19" i="2"/>
  <c r="F19" i="2"/>
  <c r="E19" i="2"/>
  <c r="D19" i="2"/>
  <c r="G18" i="2"/>
  <c r="F18" i="2"/>
  <c r="E18" i="2"/>
  <c r="D18" i="2"/>
  <c r="G15" i="2"/>
  <c r="F15" i="2"/>
  <c r="E15" i="2"/>
  <c r="D15" i="2"/>
  <c r="G14" i="2"/>
  <c r="F14" i="2"/>
  <c r="E14" i="2"/>
  <c r="D14" i="2"/>
  <c r="G13" i="2"/>
  <c r="F13" i="2"/>
  <c r="E13" i="2"/>
  <c r="D13" i="2"/>
  <c r="G7" i="2"/>
  <c r="F7" i="2"/>
  <c r="E7" i="2"/>
  <c r="D7" i="2"/>
  <c r="G6" i="2"/>
  <c r="G10" i="2" s="1"/>
  <c r="F6" i="2"/>
  <c r="F10" i="2" s="1"/>
  <c r="E6" i="2"/>
  <c r="E10" i="2" s="1"/>
  <c r="D6" i="2"/>
  <c r="D10" i="2" s="1"/>
  <c r="AK79" i="21" l="1"/>
  <c r="C60" i="26"/>
  <c r="AB79" i="21"/>
  <c r="T79" i="21"/>
  <c r="AF79" i="21"/>
  <c r="D60" i="26"/>
  <c r="AH79" i="21"/>
  <c r="AI79" i="21"/>
  <c r="D27" i="25"/>
  <c r="D28" i="25"/>
  <c r="D29" i="25"/>
  <c r="D30" i="25"/>
  <c r="D31" i="25"/>
  <c r="D32" i="25"/>
  <c r="D26" i="25"/>
  <c r="D18" i="25"/>
  <c r="D19" i="25"/>
  <c r="D20" i="25"/>
  <c r="D21" i="25"/>
  <c r="D22" i="25"/>
  <c r="D23" i="25"/>
  <c r="D17" i="25"/>
  <c r="D244" i="2"/>
  <c r="D239" i="2"/>
  <c r="D31" i="2"/>
  <c r="D28" i="2"/>
  <c r="E244" i="2"/>
  <c r="E239" i="2"/>
  <c r="E31" i="2"/>
  <c r="E28" i="2"/>
  <c r="F244" i="2"/>
  <c r="F239" i="2"/>
  <c r="F31" i="2"/>
  <c r="F28" i="2"/>
  <c r="G244" i="2"/>
  <c r="G239" i="2"/>
  <c r="G31" i="2"/>
  <c r="G28" i="2"/>
  <c r="D240" i="2"/>
  <c r="D32" i="2"/>
  <c r="D40" i="2" s="1"/>
  <c r="E240" i="2"/>
  <c r="E32" i="2"/>
  <c r="E40" i="2" s="1"/>
  <c r="F240" i="2"/>
  <c r="F32" i="2"/>
  <c r="F40" i="2" s="1"/>
  <c r="G240" i="2"/>
  <c r="G32" i="2"/>
  <c r="G40" i="2" s="1"/>
  <c r="D288" i="2"/>
  <c r="D276" i="2"/>
  <c r="D54" i="2"/>
  <c r="E288" i="2"/>
  <c r="E276" i="2"/>
  <c r="E54" i="2"/>
  <c r="F288" i="2"/>
  <c r="F276" i="2"/>
  <c r="F54" i="2"/>
  <c r="G288" i="2"/>
  <c r="G276" i="2"/>
  <c r="G54" i="2"/>
  <c r="D289" i="2"/>
  <c r="D277" i="2"/>
  <c r="E289" i="2"/>
  <c r="E277" i="2"/>
  <c r="F289" i="2"/>
  <c r="F277" i="2"/>
  <c r="G289" i="2"/>
  <c r="G277" i="2"/>
  <c r="D290" i="2"/>
  <c r="D278" i="2"/>
  <c r="E290" i="2"/>
  <c r="E278" i="2"/>
  <c r="F290" i="2"/>
  <c r="F278" i="2"/>
  <c r="G290" i="2"/>
  <c r="G278" i="2"/>
  <c r="D291" i="2"/>
  <c r="D279" i="2"/>
  <c r="E291" i="2"/>
  <c r="E279" i="2"/>
  <c r="F291" i="2"/>
  <c r="F279" i="2"/>
  <c r="G291" i="2"/>
  <c r="G279" i="2"/>
  <c r="F292" i="2"/>
  <c r="F280" i="2"/>
  <c r="D293" i="2"/>
  <c r="D281" i="2"/>
  <c r="E293" i="2"/>
  <c r="E281" i="2"/>
  <c r="F293" i="2"/>
  <c r="F281" i="2"/>
  <c r="G293" i="2"/>
  <c r="G281" i="2"/>
  <c r="D300" i="2"/>
  <c r="D252" i="2"/>
  <c r="D84" i="2"/>
  <c r="D117" i="2" s="1"/>
  <c r="E300" i="2"/>
  <c r="E252" i="2"/>
  <c r="E84" i="2"/>
  <c r="E117" i="2" s="1"/>
  <c r="E121" i="2" s="1"/>
  <c r="F300" i="2"/>
  <c r="F252" i="2"/>
  <c r="F84" i="2"/>
  <c r="F117" i="2" s="1"/>
  <c r="F121" i="2" s="1"/>
  <c r="G300" i="2"/>
  <c r="G252" i="2"/>
  <c r="G84" i="2"/>
  <c r="G117" i="2" s="1"/>
  <c r="G121" i="2" s="1"/>
  <c r="D301" i="2"/>
  <c r="F313" i="2" s="1"/>
  <c r="D253" i="2"/>
  <c r="E301" i="2"/>
  <c r="E253" i="2"/>
  <c r="F301" i="2"/>
  <c r="F253" i="2"/>
  <c r="G301" i="2"/>
  <c r="G253" i="2"/>
  <c r="D302" i="2"/>
  <c r="F317" i="2" s="1"/>
  <c r="D254" i="2"/>
  <c r="E302" i="2"/>
  <c r="E254" i="2"/>
  <c r="F302" i="2"/>
  <c r="F254" i="2"/>
  <c r="G302" i="2"/>
  <c r="G254" i="2"/>
  <c r="D303" i="2"/>
  <c r="F316" i="2" s="1"/>
  <c r="D255" i="2"/>
  <c r="E303" i="2"/>
  <c r="E255" i="2"/>
  <c r="F303" i="2"/>
  <c r="F255" i="2"/>
  <c r="G303" i="2"/>
  <c r="G255" i="2"/>
  <c r="D304" i="2"/>
  <c r="F314" i="2" s="1"/>
  <c r="D256" i="2"/>
  <c r="E304" i="2"/>
  <c r="E256" i="2"/>
  <c r="F304" i="2"/>
  <c r="F256" i="2"/>
  <c r="G304" i="2"/>
  <c r="G256" i="2"/>
  <c r="D306" i="2"/>
  <c r="D258" i="2"/>
  <c r="E306" i="2"/>
  <c r="E258" i="2"/>
  <c r="F306" i="2"/>
  <c r="F258" i="2"/>
  <c r="G306" i="2"/>
  <c r="G258" i="2"/>
  <c r="D307" i="2"/>
  <c r="D310" i="2" s="1"/>
  <c r="D259" i="2"/>
  <c r="E307" i="2"/>
  <c r="E310" i="2" s="1"/>
  <c r="E259" i="2"/>
  <c r="F307" i="2"/>
  <c r="F310" i="2" s="1"/>
  <c r="F259" i="2"/>
  <c r="G307" i="2"/>
  <c r="G310" i="2" s="1"/>
  <c r="G259" i="2"/>
  <c r="D305" i="2"/>
  <c r="D257" i="2"/>
  <c r="E305" i="2"/>
  <c r="E257" i="2"/>
  <c r="F305" i="2"/>
  <c r="F257" i="2"/>
  <c r="G305" i="2"/>
  <c r="G257" i="2"/>
  <c r="G142" i="2"/>
  <c r="F142" i="2"/>
  <c r="E142" i="2"/>
  <c r="D142" i="2"/>
  <c r="H142" i="2" s="1"/>
  <c r="G141" i="2"/>
  <c r="F141" i="2"/>
  <c r="E141" i="2"/>
  <c r="D141" i="2"/>
  <c r="H141" i="2" s="1"/>
  <c r="G140" i="2"/>
  <c r="F140" i="2"/>
  <c r="E140" i="2"/>
  <c r="D140" i="2"/>
  <c r="H140" i="2" s="1"/>
  <c r="D213" i="2"/>
  <c r="D193" i="2"/>
  <c r="E213" i="2"/>
  <c r="E193" i="2"/>
  <c r="F213" i="2"/>
  <c r="F193" i="2"/>
  <c r="D283" i="2"/>
  <c r="D297" i="2" s="1"/>
  <c r="E283" i="2"/>
  <c r="F283" i="2"/>
  <c r="G283" i="2"/>
  <c r="D295" i="2"/>
  <c r="E295" i="2"/>
  <c r="F295" i="2"/>
  <c r="G295" i="2"/>
  <c r="G313" i="2"/>
  <c r="E32" i="10" s="1"/>
  <c r="F32" i="10" s="1"/>
  <c r="G32" i="10" s="1"/>
  <c r="H32" i="10" s="1"/>
  <c r="G314" i="2"/>
  <c r="E33" i="10" s="1"/>
  <c r="F33" i="10" s="1"/>
  <c r="G33" i="10" s="1"/>
  <c r="H33" i="10" s="1"/>
  <c r="G316" i="2"/>
  <c r="E35" i="10" s="1"/>
  <c r="F35" i="10" s="1"/>
  <c r="G35" i="10" s="1"/>
  <c r="H35" i="10" s="1"/>
  <c r="G317" i="2"/>
  <c r="E36" i="10" s="1"/>
  <c r="F36" i="10" s="1"/>
  <c r="G36" i="10" s="1"/>
  <c r="H36" i="10" s="1"/>
  <c r="E7" i="4"/>
  <c r="E36" i="4" s="1"/>
  <c r="E46" i="3"/>
  <c r="F7" i="4"/>
  <c r="F36" i="4" s="1"/>
  <c r="F46" i="3"/>
  <c r="G7" i="4"/>
  <c r="G36" i="4" s="1"/>
  <c r="G46" i="3"/>
  <c r="H7" i="4"/>
  <c r="H36" i="4" s="1"/>
  <c r="H46" i="3"/>
  <c r="G198" i="4"/>
  <c r="H166" i="4"/>
  <c r="G172" i="4"/>
  <c r="H140" i="4"/>
  <c r="G179" i="4"/>
  <c r="H147" i="4"/>
  <c r="E62" i="4"/>
  <c r="F62" i="4"/>
  <c r="G62" i="4"/>
  <c r="H62" i="4"/>
  <c r="E65" i="4"/>
  <c r="F65" i="4"/>
  <c r="G65" i="4"/>
  <c r="H65" i="4"/>
  <c r="H199" i="4"/>
  <c r="I167" i="4"/>
  <c r="G231" i="3"/>
  <c r="J222" i="3" s="1"/>
  <c r="F231" i="3"/>
  <c r="J215" i="3" s="1"/>
  <c r="G235" i="3"/>
  <c r="J226" i="3" s="1"/>
  <c r="F235" i="3"/>
  <c r="J219" i="3" s="1"/>
  <c r="G236" i="3"/>
  <c r="J227" i="3" s="1"/>
  <c r="F236" i="3"/>
  <c r="J220" i="3" s="1"/>
  <c r="E205" i="4"/>
  <c r="E349" i="3"/>
  <c r="E515" i="3" s="1"/>
  <c r="E334" i="3"/>
  <c r="E290" i="3"/>
  <c r="F205" i="4"/>
  <c r="F349" i="3"/>
  <c r="F515" i="3" s="1"/>
  <c r="F334" i="3"/>
  <c r="F290" i="3"/>
  <c r="G205" i="4"/>
  <c r="G349" i="3"/>
  <c r="G515" i="3" s="1"/>
  <c r="G334" i="3"/>
  <c r="G290" i="3"/>
  <c r="H205" i="4"/>
  <c r="H349" i="3"/>
  <c r="H515" i="3" s="1"/>
  <c r="H334" i="3"/>
  <c r="H290" i="3"/>
  <c r="H245" i="4" s="1"/>
  <c r="E207" i="4"/>
  <c r="E351" i="3"/>
  <c r="E517" i="3" s="1"/>
  <c r="F207" i="4"/>
  <c r="F351" i="3"/>
  <c r="F517" i="3" s="1"/>
  <c r="G207" i="4"/>
  <c r="G351" i="3"/>
  <c r="G517" i="3" s="1"/>
  <c r="H207" i="4"/>
  <c r="H351" i="3"/>
  <c r="H517" i="3" s="1"/>
  <c r="E208" i="4"/>
  <c r="E352" i="3"/>
  <c r="E518" i="3" s="1"/>
  <c r="E335" i="3"/>
  <c r="F208" i="4"/>
  <c r="F352" i="3"/>
  <c r="F518" i="3" s="1"/>
  <c r="F335" i="3"/>
  <c r="G208" i="4"/>
  <c r="G352" i="3"/>
  <c r="G518" i="3" s="1"/>
  <c r="G335" i="3"/>
  <c r="H208" i="4"/>
  <c r="H352" i="3"/>
  <c r="H518" i="3" s="1"/>
  <c r="H335" i="3"/>
  <c r="H377" i="4" s="1"/>
  <c r="E209" i="4"/>
  <c r="E353" i="3"/>
  <c r="E519" i="3" s="1"/>
  <c r="F209" i="4"/>
  <c r="F353" i="3"/>
  <c r="F519" i="3" s="1"/>
  <c r="G209" i="4"/>
  <c r="G353" i="3"/>
  <c r="G519" i="3" s="1"/>
  <c r="H209" i="4"/>
  <c r="H353" i="3"/>
  <c r="H519" i="3" s="1"/>
  <c r="E210" i="4"/>
  <c r="E354" i="3"/>
  <c r="E520" i="3" s="1"/>
  <c r="E337" i="3"/>
  <c r="F210" i="4"/>
  <c r="F354" i="3"/>
  <c r="F520" i="3" s="1"/>
  <c r="F337" i="3"/>
  <c r="G210" i="4"/>
  <c r="G354" i="3"/>
  <c r="G520" i="3" s="1"/>
  <c r="G337" i="3"/>
  <c r="H210" i="4"/>
  <c r="H354" i="3"/>
  <c r="H520" i="3" s="1"/>
  <c r="H337" i="3"/>
  <c r="E211" i="4"/>
  <c r="E355" i="3"/>
  <c r="E521" i="3" s="1"/>
  <c r="F211" i="4"/>
  <c r="F355" i="3"/>
  <c r="F521" i="3" s="1"/>
  <c r="G211" i="4"/>
  <c r="G355" i="3"/>
  <c r="G521" i="3" s="1"/>
  <c r="H211" i="4"/>
  <c r="H355" i="3"/>
  <c r="H521" i="3" s="1"/>
  <c r="E212" i="4"/>
  <c r="E356" i="3"/>
  <c r="E522" i="3" s="1"/>
  <c r="F212" i="4"/>
  <c r="F356" i="3"/>
  <c r="F522" i="3" s="1"/>
  <c r="G212" i="4"/>
  <c r="G356" i="3"/>
  <c r="G522" i="3" s="1"/>
  <c r="H212" i="4"/>
  <c r="H356" i="3"/>
  <c r="H522" i="3" s="1"/>
  <c r="E213" i="4"/>
  <c r="E357" i="3"/>
  <c r="E523" i="3" s="1"/>
  <c r="E338" i="3"/>
  <c r="F213" i="4"/>
  <c r="F357" i="3"/>
  <c r="F523" i="3" s="1"/>
  <c r="F338" i="3"/>
  <c r="G213" i="4"/>
  <c r="G357" i="3"/>
  <c r="G523" i="3" s="1"/>
  <c r="G338" i="3"/>
  <c r="H213" i="4"/>
  <c r="H357" i="3"/>
  <c r="H523" i="3" s="1"/>
  <c r="H338" i="3"/>
  <c r="H380" i="4" s="1"/>
  <c r="E214" i="4"/>
  <c r="E358" i="3"/>
  <c r="E524" i="3" s="1"/>
  <c r="F214" i="4"/>
  <c r="F358" i="3"/>
  <c r="F524" i="3" s="1"/>
  <c r="G214" i="4"/>
  <c r="G358" i="3"/>
  <c r="G524" i="3" s="1"/>
  <c r="H214" i="4"/>
  <c r="H358" i="3"/>
  <c r="H524" i="3" s="1"/>
  <c r="E215" i="4"/>
  <c r="E359" i="3"/>
  <c r="E525" i="3" s="1"/>
  <c r="F215" i="4"/>
  <c r="F359" i="3"/>
  <c r="F525" i="3" s="1"/>
  <c r="G215" i="4"/>
  <c r="G359" i="3"/>
  <c r="G525" i="3" s="1"/>
  <c r="H215" i="4"/>
  <c r="H359" i="3"/>
  <c r="H525" i="3" s="1"/>
  <c r="E216" i="4"/>
  <c r="E360" i="3"/>
  <c r="E526" i="3" s="1"/>
  <c r="E339" i="3"/>
  <c r="F216" i="4"/>
  <c r="F360" i="3"/>
  <c r="F526" i="3" s="1"/>
  <c r="F339" i="3"/>
  <c r="G216" i="4"/>
  <c r="G360" i="3"/>
  <c r="G526" i="3" s="1"/>
  <c r="G339" i="3"/>
  <c r="H216" i="4"/>
  <c r="H360" i="3"/>
  <c r="H526" i="3" s="1"/>
  <c r="H339" i="3"/>
  <c r="H381" i="4" s="1"/>
  <c r="E217" i="4"/>
  <c r="E361" i="3"/>
  <c r="E527" i="3" s="1"/>
  <c r="F217" i="4"/>
  <c r="F361" i="3"/>
  <c r="F527" i="3" s="1"/>
  <c r="G217" i="4"/>
  <c r="G361" i="3"/>
  <c r="G527" i="3" s="1"/>
  <c r="H217" i="4"/>
  <c r="H361" i="3"/>
  <c r="H527" i="3" s="1"/>
  <c r="E218" i="4"/>
  <c r="E362" i="3"/>
  <c r="E528" i="3" s="1"/>
  <c r="E341" i="3"/>
  <c r="F218" i="4"/>
  <c r="F362" i="3"/>
  <c r="F528" i="3" s="1"/>
  <c r="F341" i="3"/>
  <c r="G218" i="4"/>
  <c r="G362" i="3"/>
  <c r="G528" i="3" s="1"/>
  <c r="G341" i="3"/>
  <c r="H218" i="4"/>
  <c r="H362" i="3"/>
  <c r="H528" i="3" s="1"/>
  <c r="H341" i="3"/>
  <c r="E219" i="4"/>
  <c r="E363" i="3"/>
  <c r="E529" i="3" s="1"/>
  <c r="F219" i="4"/>
  <c r="F363" i="3"/>
  <c r="F529" i="3" s="1"/>
  <c r="G219" i="4"/>
  <c r="G363" i="3"/>
  <c r="G529" i="3" s="1"/>
  <c r="H219" i="4"/>
  <c r="H363" i="3"/>
  <c r="H529" i="3" s="1"/>
  <c r="E220" i="4"/>
  <c r="E364" i="3"/>
  <c r="E530" i="3" s="1"/>
  <c r="F220" i="4"/>
  <c r="F364" i="3"/>
  <c r="F530" i="3" s="1"/>
  <c r="G220" i="4"/>
  <c r="G364" i="3"/>
  <c r="G530" i="3" s="1"/>
  <c r="H220" i="4"/>
  <c r="H364" i="3"/>
  <c r="H530" i="3" s="1"/>
  <c r="E221" i="4"/>
  <c r="E365" i="3"/>
  <c r="E531" i="3" s="1"/>
  <c r="F221" i="4"/>
  <c r="F365" i="3"/>
  <c r="F531" i="3" s="1"/>
  <c r="G221" i="4"/>
  <c r="G365" i="3"/>
  <c r="G531" i="3" s="1"/>
  <c r="H221" i="4"/>
  <c r="H365" i="3"/>
  <c r="H531" i="3" s="1"/>
  <c r="E222" i="4"/>
  <c r="E366" i="3"/>
  <c r="E532" i="3" s="1"/>
  <c r="F222" i="4"/>
  <c r="F366" i="3"/>
  <c r="F532" i="3" s="1"/>
  <c r="G222" i="4"/>
  <c r="G366" i="3"/>
  <c r="G532" i="3" s="1"/>
  <c r="H222" i="4"/>
  <c r="H366" i="3"/>
  <c r="H532" i="3" s="1"/>
  <c r="E223" i="4"/>
  <c r="E367" i="3"/>
  <c r="E533" i="3" s="1"/>
  <c r="E342" i="3"/>
  <c r="F223" i="4"/>
  <c r="F367" i="3"/>
  <c r="F533" i="3" s="1"/>
  <c r="F342" i="3"/>
  <c r="G223" i="4"/>
  <c r="G367" i="3"/>
  <c r="G533" i="3" s="1"/>
  <c r="G342" i="3"/>
  <c r="H223" i="4"/>
  <c r="H367" i="3"/>
  <c r="H533" i="3" s="1"/>
  <c r="H342" i="3"/>
  <c r="H384" i="4" s="1"/>
  <c r="E224" i="4"/>
  <c r="E368" i="3"/>
  <c r="E534" i="3" s="1"/>
  <c r="F224" i="4"/>
  <c r="F368" i="3"/>
  <c r="F534" i="3" s="1"/>
  <c r="G224" i="4"/>
  <c r="G368" i="3"/>
  <c r="G534" i="3" s="1"/>
  <c r="H224" i="4"/>
  <c r="H368" i="3"/>
  <c r="H534" i="3" s="1"/>
  <c r="E225" i="4"/>
  <c r="E369" i="3"/>
  <c r="E535" i="3" s="1"/>
  <c r="F225" i="4"/>
  <c r="F369" i="3"/>
  <c r="F535" i="3" s="1"/>
  <c r="G225" i="4"/>
  <c r="G369" i="3"/>
  <c r="G535" i="3" s="1"/>
  <c r="H225" i="4"/>
  <c r="H369" i="3"/>
  <c r="H535" i="3" s="1"/>
  <c r="E226" i="4"/>
  <c r="E370" i="3"/>
  <c r="E536" i="3" s="1"/>
  <c r="E343" i="3"/>
  <c r="F226" i="4"/>
  <c r="F370" i="3"/>
  <c r="F536" i="3" s="1"/>
  <c r="F343" i="3"/>
  <c r="G226" i="4"/>
  <c r="G370" i="3"/>
  <c r="G536" i="3" s="1"/>
  <c r="G343" i="3"/>
  <c r="H226" i="4"/>
  <c r="H370" i="3"/>
  <c r="H536" i="3" s="1"/>
  <c r="H343" i="3"/>
  <c r="H385" i="4" s="1"/>
  <c r="E227" i="4"/>
  <c r="E371" i="3"/>
  <c r="E537" i="3" s="1"/>
  <c r="F227" i="4"/>
  <c r="F371" i="3"/>
  <c r="F537" i="3" s="1"/>
  <c r="G227" i="4"/>
  <c r="G371" i="3"/>
  <c r="G537" i="3" s="1"/>
  <c r="H227" i="4"/>
  <c r="H371" i="3"/>
  <c r="H537" i="3" s="1"/>
  <c r="E228" i="4"/>
  <c r="E372" i="3"/>
  <c r="E538" i="3" s="1"/>
  <c r="E344" i="3"/>
  <c r="F228" i="4"/>
  <c r="F372" i="3"/>
  <c r="F538" i="3" s="1"/>
  <c r="F344" i="3"/>
  <c r="G228" i="4"/>
  <c r="G372" i="3"/>
  <c r="G538" i="3" s="1"/>
  <c r="G344" i="3"/>
  <c r="H228" i="4"/>
  <c r="H372" i="3"/>
  <c r="H538" i="3" s="1"/>
  <c r="H344" i="3"/>
  <c r="H386" i="4" s="1"/>
  <c r="E230" i="4"/>
  <c r="E374" i="3"/>
  <c r="E540" i="3" s="1"/>
  <c r="F230" i="4"/>
  <c r="F374" i="3"/>
  <c r="F540" i="3" s="1"/>
  <c r="G230" i="4"/>
  <c r="G374" i="3"/>
  <c r="G540" i="3" s="1"/>
  <c r="H230" i="4"/>
  <c r="H374" i="3"/>
  <c r="H540" i="3" s="1"/>
  <c r="E232" i="4"/>
  <c r="E376" i="3"/>
  <c r="E542" i="3" s="1"/>
  <c r="F232" i="4"/>
  <c r="F376" i="3"/>
  <c r="F542" i="3" s="1"/>
  <c r="G232" i="4"/>
  <c r="G376" i="3"/>
  <c r="G542" i="3" s="1"/>
  <c r="H232" i="4"/>
  <c r="H376" i="3"/>
  <c r="H542" i="3" s="1"/>
  <c r="E233" i="4"/>
  <c r="E377" i="3"/>
  <c r="E543" i="3" s="1"/>
  <c r="F233" i="4"/>
  <c r="F377" i="3"/>
  <c r="F543" i="3" s="1"/>
  <c r="G233" i="4"/>
  <c r="G377" i="3"/>
  <c r="G543" i="3" s="1"/>
  <c r="H233" i="4"/>
  <c r="H377" i="3"/>
  <c r="H543" i="3" s="1"/>
  <c r="E236" i="4"/>
  <c r="E380" i="3"/>
  <c r="E546" i="3" s="1"/>
  <c r="F236" i="4"/>
  <c r="F380" i="3"/>
  <c r="F546" i="3" s="1"/>
  <c r="G236" i="4"/>
  <c r="G380" i="3"/>
  <c r="G546" i="3" s="1"/>
  <c r="H236" i="4"/>
  <c r="H380" i="3"/>
  <c r="H546" i="3" s="1"/>
  <c r="E237" i="4"/>
  <c r="E381" i="3"/>
  <c r="E547" i="3" s="1"/>
  <c r="F237" i="4"/>
  <c r="F381" i="3"/>
  <c r="F547" i="3" s="1"/>
  <c r="G237" i="4"/>
  <c r="G381" i="3"/>
  <c r="G547" i="3" s="1"/>
  <c r="H237" i="4"/>
  <c r="H381" i="3"/>
  <c r="H547" i="3" s="1"/>
  <c r="E239" i="4"/>
  <c r="E383" i="3"/>
  <c r="E549" i="3" s="1"/>
  <c r="F239" i="4"/>
  <c r="F383" i="3"/>
  <c r="F549" i="3" s="1"/>
  <c r="G239" i="4"/>
  <c r="G383" i="3"/>
  <c r="G549" i="3" s="1"/>
  <c r="H239" i="4"/>
  <c r="H383" i="3"/>
  <c r="H549" i="3" s="1"/>
  <c r="E240" i="4"/>
  <c r="E384" i="3"/>
  <c r="E550" i="3" s="1"/>
  <c r="F240" i="4"/>
  <c r="F384" i="3"/>
  <c r="F550" i="3" s="1"/>
  <c r="G240" i="4"/>
  <c r="G384" i="3"/>
  <c r="G550" i="3" s="1"/>
  <c r="H240" i="4"/>
  <c r="H384" i="3"/>
  <c r="E242" i="4"/>
  <c r="E386" i="3"/>
  <c r="E552" i="3" s="1"/>
  <c r="F242" i="4"/>
  <c r="F386" i="3"/>
  <c r="F552" i="3" s="1"/>
  <c r="G242" i="4"/>
  <c r="G386" i="3"/>
  <c r="G552" i="3" s="1"/>
  <c r="H242" i="4"/>
  <c r="H386" i="3"/>
  <c r="H552" i="3" s="1"/>
  <c r="E243" i="4"/>
  <c r="E387" i="3"/>
  <c r="E553" i="3" s="1"/>
  <c r="F243" i="4"/>
  <c r="F387" i="3"/>
  <c r="F553" i="3" s="1"/>
  <c r="G243" i="4"/>
  <c r="G387" i="3"/>
  <c r="G553" i="3" s="1"/>
  <c r="H243" i="4"/>
  <c r="H387" i="3"/>
  <c r="H553" i="3" s="1"/>
  <c r="E244" i="4"/>
  <c r="E388" i="3"/>
  <c r="E554" i="3" s="1"/>
  <c r="F244" i="4"/>
  <c r="F388" i="3"/>
  <c r="F554" i="3" s="1"/>
  <c r="G244" i="4"/>
  <c r="G388" i="3"/>
  <c r="G554" i="3" s="1"/>
  <c r="H244" i="4"/>
  <c r="H388" i="3"/>
  <c r="H554" i="3" s="1"/>
  <c r="E249" i="4"/>
  <c r="E392" i="3"/>
  <c r="E559" i="3" s="1"/>
  <c r="E331" i="3"/>
  <c r="F249" i="4"/>
  <c r="F392" i="3"/>
  <c r="F559" i="3" s="1"/>
  <c r="F331" i="3"/>
  <c r="G249" i="4"/>
  <c r="G392" i="3"/>
  <c r="G559" i="3" s="1"/>
  <c r="G331" i="3"/>
  <c r="H249" i="4"/>
  <c r="H392" i="3"/>
  <c r="H559" i="3" s="1"/>
  <c r="H331" i="3"/>
  <c r="E250" i="4"/>
  <c r="E393" i="3"/>
  <c r="E560" i="3" s="1"/>
  <c r="F250" i="4"/>
  <c r="F393" i="3"/>
  <c r="F560" i="3" s="1"/>
  <c r="G250" i="4"/>
  <c r="G393" i="3"/>
  <c r="G560" i="3" s="1"/>
  <c r="H250" i="4"/>
  <c r="H393" i="3"/>
  <c r="H560" i="3" s="1"/>
  <c r="E251" i="4"/>
  <c r="E394" i="3"/>
  <c r="E561" i="3" s="1"/>
  <c r="F251" i="4"/>
  <c r="F394" i="3"/>
  <c r="F561" i="3" s="1"/>
  <c r="G251" i="4"/>
  <c r="G394" i="3"/>
  <c r="G561" i="3" s="1"/>
  <c r="H251" i="4"/>
  <c r="H394" i="3"/>
  <c r="H561" i="3" s="1"/>
  <c r="E252" i="4"/>
  <c r="E395" i="3"/>
  <c r="E562" i="3" s="1"/>
  <c r="F252" i="4"/>
  <c r="F395" i="3"/>
  <c r="F562" i="3" s="1"/>
  <c r="G252" i="4"/>
  <c r="G395" i="3"/>
  <c r="G562" i="3" s="1"/>
  <c r="H252" i="4"/>
  <c r="H395" i="3"/>
  <c r="H562" i="3" s="1"/>
  <c r="E254" i="4"/>
  <c r="E397" i="3"/>
  <c r="E564" i="3" s="1"/>
  <c r="F254" i="4"/>
  <c r="F397" i="3"/>
  <c r="F564" i="3" s="1"/>
  <c r="G254" i="4"/>
  <c r="G397" i="3"/>
  <c r="G564" i="3" s="1"/>
  <c r="H254" i="4"/>
  <c r="H397" i="3"/>
  <c r="H564" i="3" s="1"/>
  <c r="E255" i="4"/>
  <c r="E398" i="3"/>
  <c r="E565" i="3" s="1"/>
  <c r="F255" i="4"/>
  <c r="F398" i="3"/>
  <c r="F565" i="3" s="1"/>
  <c r="G255" i="4"/>
  <c r="G398" i="3"/>
  <c r="G565" i="3" s="1"/>
  <c r="H255" i="4"/>
  <c r="H398" i="3"/>
  <c r="H565" i="3" s="1"/>
  <c r="E257" i="4"/>
  <c r="E400" i="3"/>
  <c r="E567" i="3" s="1"/>
  <c r="F257" i="4"/>
  <c r="F400" i="3"/>
  <c r="F567" i="3" s="1"/>
  <c r="G257" i="4"/>
  <c r="G400" i="3"/>
  <c r="G567" i="3" s="1"/>
  <c r="H257" i="4"/>
  <c r="H400" i="3"/>
  <c r="H567" i="3" s="1"/>
  <c r="E258" i="4"/>
  <c r="E401" i="3"/>
  <c r="E568" i="3" s="1"/>
  <c r="F258" i="4"/>
  <c r="F401" i="3"/>
  <c r="F568" i="3" s="1"/>
  <c r="G258" i="4"/>
  <c r="G401" i="3"/>
  <c r="G568" i="3" s="1"/>
  <c r="H258" i="4"/>
  <c r="H401" i="3"/>
  <c r="H568" i="3" s="1"/>
  <c r="E259" i="4"/>
  <c r="E402" i="3"/>
  <c r="E569" i="3" s="1"/>
  <c r="F259" i="4"/>
  <c r="F402" i="3"/>
  <c r="F569" i="3" s="1"/>
  <c r="G259" i="4"/>
  <c r="G402" i="3"/>
  <c r="G569" i="3" s="1"/>
  <c r="H259" i="4"/>
  <c r="H402" i="3"/>
  <c r="H569" i="3" s="1"/>
  <c r="E260" i="4"/>
  <c r="E403" i="3"/>
  <c r="E570" i="3" s="1"/>
  <c r="F260" i="4"/>
  <c r="F403" i="3"/>
  <c r="F570" i="3" s="1"/>
  <c r="G260" i="4"/>
  <c r="G403" i="3"/>
  <c r="G570" i="3" s="1"/>
  <c r="H260" i="4"/>
  <c r="H403" i="3"/>
  <c r="H570" i="3" s="1"/>
  <c r="E261" i="4"/>
  <c r="E404" i="3"/>
  <c r="E571" i="3" s="1"/>
  <c r="F261" i="4"/>
  <c r="F404" i="3"/>
  <c r="F571" i="3" s="1"/>
  <c r="G261" i="4"/>
  <c r="G404" i="3"/>
  <c r="G571" i="3" s="1"/>
  <c r="H261" i="4"/>
  <c r="H404" i="3"/>
  <c r="H571" i="3" s="1"/>
  <c r="E262" i="4"/>
  <c r="E405" i="3"/>
  <c r="E572" i="3" s="1"/>
  <c r="F262" i="4"/>
  <c r="F405" i="3"/>
  <c r="F572" i="3" s="1"/>
  <c r="G262" i="4"/>
  <c r="G405" i="3"/>
  <c r="G572" i="3" s="1"/>
  <c r="H262" i="4"/>
  <c r="H405" i="3"/>
  <c r="H572" i="3" s="1"/>
  <c r="E263" i="4"/>
  <c r="E406" i="3"/>
  <c r="E573" i="3" s="1"/>
  <c r="F263" i="4"/>
  <c r="F406" i="3"/>
  <c r="F573" i="3" s="1"/>
  <c r="G263" i="4"/>
  <c r="G406" i="3"/>
  <c r="G573" i="3" s="1"/>
  <c r="H263" i="4"/>
  <c r="H406" i="3"/>
  <c r="H573" i="3" s="1"/>
  <c r="E265" i="4"/>
  <c r="E408" i="3"/>
  <c r="E575" i="3" s="1"/>
  <c r="F265" i="4"/>
  <c r="F408" i="3"/>
  <c r="F575" i="3" s="1"/>
  <c r="G265" i="4"/>
  <c r="G408" i="3"/>
  <c r="G575" i="3" s="1"/>
  <c r="H265" i="4"/>
  <c r="H408" i="3"/>
  <c r="H575" i="3" s="1"/>
  <c r="E267" i="4"/>
  <c r="E410" i="3"/>
  <c r="E577" i="3" s="1"/>
  <c r="F267" i="4"/>
  <c r="F410" i="3"/>
  <c r="F577" i="3" s="1"/>
  <c r="G267" i="4"/>
  <c r="G410" i="3"/>
  <c r="G577" i="3" s="1"/>
  <c r="H267" i="4"/>
  <c r="H410" i="3"/>
  <c r="H577" i="3" s="1"/>
  <c r="E269" i="4"/>
  <c r="E412" i="3"/>
  <c r="E579" i="3" s="1"/>
  <c r="F269" i="4"/>
  <c r="F412" i="3"/>
  <c r="F579" i="3" s="1"/>
  <c r="G269" i="4"/>
  <c r="G412" i="3"/>
  <c r="G579" i="3" s="1"/>
  <c r="H269" i="4"/>
  <c r="H412" i="3"/>
  <c r="H579" i="3" s="1"/>
  <c r="E270" i="4"/>
  <c r="E413" i="3"/>
  <c r="F270" i="4"/>
  <c r="F413" i="3"/>
  <c r="G270" i="4"/>
  <c r="G413" i="3"/>
  <c r="H270" i="4"/>
  <c r="H413" i="3"/>
  <c r="E271" i="4"/>
  <c r="E414" i="3"/>
  <c r="E581" i="3" s="1"/>
  <c r="F271" i="4"/>
  <c r="F414" i="3"/>
  <c r="F581" i="3" s="1"/>
  <c r="G271" i="4"/>
  <c r="G414" i="3"/>
  <c r="G581" i="3" s="1"/>
  <c r="H271" i="4"/>
  <c r="H414" i="3"/>
  <c r="H581" i="3" s="1"/>
  <c r="E272" i="4"/>
  <c r="E415" i="3"/>
  <c r="E582" i="3" s="1"/>
  <c r="F272" i="4"/>
  <c r="F415" i="3"/>
  <c r="F582" i="3" s="1"/>
  <c r="G272" i="4"/>
  <c r="G415" i="3"/>
  <c r="G582" i="3" s="1"/>
  <c r="H272" i="4"/>
  <c r="H415" i="3"/>
  <c r="H582" i="3" s="1"/>
  <c r="E273" i="4"/>
  <c r="E416" i="3"/>
  <c r="E583" i="3" s="1"/>
  <c r="F273" i="4"/>
  <c r="F416" i="3"/>
  <c r="F583" i="3" s="1"/>
  <c r="G273" i="4"/>
  <c r="G416" i="3"/>
  <c r="G583" i="3" s="1"/>
  <c r="H273" i="4"/>
  <c r="H416" i="3"/>
  <c r="H583" i="3" s="1"/>
  <c r="E275" i="4"/>
  <c r="E418" i="3"/>
  <c r="E585" i="3" s="1"/>
  <c r="F275" i="4"/>
  <c r="F418" i="3"/>
  <c r="F585" i="3" s="1"/>
  <c r="G275" i="4"/>
  <c r="G418" i="3"/>
  <c r="G585" i="3" s="1"/>
  <c r="H275" i="4"/>
  <c r="H418" i="3"/>
  <c r="H585" i="3" s="1"/>
  <c r="E276" i="4"/>
  <c r="E419" i="3"/>
  <c r="E586" i="3" s="1"/>
  <c r="F276" i="4"/>
  <c r="F419" i="3"/>
  <c r="F586" i="3" s="1"/>
  <c r="G276" i="4"/>
  <c r="G419" i="3"/>
  <c r="G586" i="3" s="1"/>
  <c r="H276" i="4"/>
  <c r="H419" i="3"/>
  <c r="H586" i="3" s="1"/>
  <c r="E277" i="4"/>
  <c r="E420" i="3"/>
  <c r="E587" i="3" s="1"/>
  <c r="F277" i="4"/>
  <c r="F420" i="3"/>
  <c r="F587" i="3" s="1"/>
  <c r="G277" i="4"/>
  <c r="G420" i="3"/>
  <c r="G587" i="3" s="1"/>
  <c r="H277" i="4"/>
  <c r="H420" i="3"/>
  <c r="H587" i="3" s="1"/>
  <c r="E278" i="4"/>
  <c r="E421" i="3"/>
  <c r="E588" i="3" s="1"/>
  <c r="F278" i="4"/>
  <c r="F421" i="3"/>
  <c r="F588" i="3" s="1"/>
  <c r="G278" i="4"/>
  <c r="G421" i="3"/>
  <c r="G588" i="3" s="1"/>
  <c r="H278" i="4"/>
  <c r="H421" i="3"/>
  <c r="H588" i="3" s="1"/>
  <c r="E280" i="4"/>
  <c r="E423" i="3"/>
  <c r="E590" i="3" s="1"/>
  <c r="F280" i="4"/>
  <c r="F423" i="3"/>
  <c r="F590" i="3" s="1"/>
  <c r="G280" i="4"/>
  <c r="G423" i="3"/>
  <c r="G590" i="3" s="1"/>
  <c r="H280" i="4"/>
  <c r="H423" i="3"/>
  <c r="H590" i="3" s="1"/>
  <c r="E282" i="4"/>
  <c r="E425" i="3"/>
  <c r="E592" i="3" s="1"/>
  <c r="F282" i="4"/>
  <c r="F425" i="3"/>
  <c r="F592" i="3" s="1"/>
  <c r="G282" i="4"/>
  <c r="G425" i="3"/>
  <c r="G592" i="3" s="1"/>
  <c r="H282" i="4"/>
  <c r="H425" i="3"/>
  <c r="H592" i="3" s="1"/>
  <c r="E284" i="4"/>
  <c r="E427" i="3"/>
  <c r="E594" i="3" s="1"/>
  <c r="F284" i="4"/>
  <c r="F427" i="3"/>
  <c r="F594" i="3" s="1"/>
  <c r="G284" i="4"/>
  <c r="G427" i="3"/>
  <c r="G594" i="3" s="1"/>
  <c r="H284" i="4"/>
  <c r="H427" i="3"/>
  <c r="H594" i="3" s="1"/>
  <c r="E465" i="3"/>
  <c r="E468" i="3" s="1"/>
  <c r="E463" i="3"/>
  <c r="F465" i="3"/>
  <c r="F468" i="3" s="1"/>
  <c r="F463" i="3"/>
  <c r="G465" i="3"/>
  <c r="G468" i="3" s="1"/>
  <c r="G463" i="3"/>
  <c r="H465" i="3"/>
  <c r="H468" i="3" s="1"/>
  <c r="H463" i="3"/>
  <c r="E502" i="3"/>
  <c r="F502" i="3"/>
  <c r="G502" i="3"/>
  <c r="H502" i="3"/>
  <c r="I503" i="3"/>
  <c r="I502" i="3"/>
  <c r="J503" i="3"/>
  <c r="J502" i="3"/>
  <c r="K503" i="3"/>
  <c r="K502" i="3"/>
  <c r="L503" i="3"/>
  <c r="L502" i="3"/>
  <c r="M503" i="3"/>
  <c r="M502" i="3"/>
  <c r="N503" i="3"/>
  <c r="N502" i="3"/>
  <c r="O503" i="3"/>
  <c r="O502" i="3"/>
  <c r="P503" i="3"/>
  <c r="P502" i="3"/>
  <c r="Q503" i="3"/>
  <c r="Q502" i="3"/>
  <c r="R503" i="3"/>
  <c r="R502" i="3"/>
  <c r="S503" i="3"/>
  <c r="S502" i="3"/>
  <c r="T503" i="3"/>
  <c r="T502" i="3"/>
  <c r="U503" i="3"/>
  <c r="U502" i="3"/>
  <c r="V503" i="3"/>
  <c r="V502" i="3"/>
  <c r="W503" i="3"/>
  <c r="W502" i="3"/>
  <c r="X503" i="3"/>
  <c r="X502" i="3"/>
  <c r="Y503" i="3"/>
  <c r="Y502" i="3"/>
  <c r="Z503" i="3"/>
  <c r="Z502" i="3"/>
  <c r="AA503" i="3"/>
  <c r="AA502" i="3"/>
  <c r="AB503" i="3"/>
  <c r="AB502" i="3"/>
  <c r="AC503" i="3"/>
  <c r="AC502" i="3"/>
  <c r="AD503" i="3"/>
  <c r="AD502" i="3"/>
  <c r="AE503" i="3"/>
  <c r="AE502" i="3"/>
  <c r="AF503" i="3"/>
  <c r="AF502" i="3"/>
  <c r="AG503" i="3"/>
  <c r="AG502" i="3"/>
  <c r="AH503" i="3"/>
  <c r="AH502" i="3"/>
  <c r="AI503" i="3"/>
  <c r="AI502" i="3"/>
  <c r="AJ503" i="3"/>
  <c r="AJ502" i="3"/>
  <c r="AK503" i="3"/>
  <c r="AK502" i="3"/>
  <c r="E138" i="4"/>
  <c r="E170" i="4" s="1"/>
  <c r="E135" i="4"/>
  <c r="F138" i="4"/>
  <c r="F170" i="4" s="1"/>
  <c r="F135" i="4"/>
  <c r="G138" i="4"/>
  <c r="G135" i="4"/>
  <c r="E139" i="4"/>
  <c r="E171" i="4" s="1"/>
  <c r="F139" i="4"/>
  <c r="F171" i="4" s="1"/>
  <c r="G139" i="4"/>
  <c r="E141" i="4"/>
  <c r="E173" i="4" s="1"/>
  <c r="F141" i="4"/>
  <c r="F173" i="4" s="1"/>
  <c r="G141" i="4"/>
  <c r="E142" i="4"/>
  <c r="E174" i="4" s="1"/>
  <c r="F142" i="4"/>
  <c r="F174" i="4" s="1"/>
  <c r="G142" i="4"/>
  <c r="E143" i="4"/>
  <c r="E175" i="4" s="1"/>
  <c r="F143" i="4"/>
  <c r="F175" i="4" s="1"/>
  <c r="G143" i="4"/>
  <c r="E144" i="4"/>
  <c r="E176" i="4" s="1"/>
  <c r="F144" i="4"/>
  <c r="F176" i="4" s="1"/>
  <c r="G144" i="4"/>
  <c r="E145" i="4"/>
  <c r="E177" i="4" s="1"/>
  <c r="F145" i="4"/>
  <c r="F177" i="4" s="1"/>
  <c r="G145" i="4"/>
  <c r="E146" i="4"/>
  <c r="E178" i="4" s="1"/>
  <c r="F146" i="4"/>
  <c r="F178" i="4" s="1"/>
  <c r="G146" i="4"/>
  <c r="E148" i="4"/>
  <c r="E180" i="4" s="1"/>
  <c r="F148" i="4"/>
  <c r="F180" i="4" s="1"/>
  <c r="G148" i="4"/>
  <c r="E149" i="4"/>
  <c r="E181" i="4" s="1"/>
  <c r="F149" i="4"/>
  <c r="F181" i="4" s="1"/>
  <c r="G149" i="4"/>
  <c r="E150" i="4"/>
  <c r="E182" i="4" s="1"/>
  <c r="F150" i="4"/>
  <c r="F182" i="4" s="1"/>
  <c r="G150" i="4"/>
  <c r="E151" i="4"/>
  <c r="E183" i="4" s="1"/>
  <c r="F151" i="4"/>
  <c r="F183" i="4" s="1"/>
  <c r="G151" i="4"/>
  <c r="E152" i="4"/>
  <c r="E184" i="4" s="1"/>
  <c r="F152" i="4"/>
  <c r="F184" i="4" s="1"/>
  <c r="G152" i="4"/>
  <c r="E153" i="4"/>
  <c r="E185" i="4" s="1"/>
  <c r="F153" i="4"/>
  <c r="F185" i="4" s="1"/>
  <c r="G153" i="4"/>
  <c r="G186" i="4"/>
  <c r="H154" i="4"/>
  <c r="E163" i="4"/>
  <c r="E195" i="4" s="1"/>
  <c r="F163" i="4"/>
  <c r="F195" i="4" s="1"/>
  <c r="G163" i="4"/>
  <c r="G195" i="4" s="1"/>
  <c r="I187" i="4"/>
  <c r="J155" i="4"/>
  <c r="I188" i="4"/>
  <c r="J156" i="4"/>
  <c r="I189" i="4"/>
  <c r="J157" i="4"/>
  <c r="I190" i="4"/>
  <c r="J158" i="4"/>
  <c r="I191" i="4"/>
  <c r="J159" i="4"/>
  <c r="I192" i="4"/>
  <c r="J160" i="4"/>
  <c r="I193" i="4"/>
  <c r="J161" i="4"/>
  <c r="I194" i="4"/>
  <c r="J162" i="4"/>
  <c r="I195" i="4"/>
  <c r="J163" i="4"/>
  <c r="I196" i="4"/>
  <c r="J164" i="4"/>
  <c r="I197" i="4"/>
  <c r="J165" i="4"/>
  <c r="E400" i="4"/>
  <c r="F400" i="4"/>
  <c r="G400" i="4"/>
  <c r="H400" i="4"/>
  <c r="H293" i="4"/>
  <c r="E423" i="4"/>
  <c r="F423" i="4"/>
  <c r="G423" i="4"/>
  <c r="H423" i="4"/>
  <c r="H316" i="4"/>
  <c r="E428" i="4"/>
  <c r="F428" i="4"/>
  <c r="G428" i="4"/>
  <c r="H428" i="4"/>
  <c r="P320" i="4"/>
  <c r="S428" i="4"/>
  <c r="T234" i="4"/>
  <c r="E429" i="4"/>
  <c r="E322" i="4"/>
  <c r="F429" i="4"/>
  <c r="F322" i="4"/>
  <c r="G429" i="4"/>
  <c r="G322" i="4"/>
  <c r="H429" i="4"/>
  <c r="H322" i="4"/>
  <c r="P321" i="4"/>
  <c r="E432" i="4"/>
  <c r="F432" i="4"/>
  <c r="G432" i="4"/>
  <c r="H432" i="4"/>
  <c r="P324" i="4"/>
  <c r="E435" i="4"/>
  <c r="F435" i="4"/>
  <c r="G435" i="4"/>
  <c r="H435" i="4"/>
  <c r="P327" i="4"/>
  <c r="E442" i="4"/>
  <c r="F442" i="4"/>
  <c r="G442" i="4"/>
  <c r="H442" i="4"/>
  <c r="E447" i="4"/>
  <c r="F447" i="4"/>
  <c r="G447" i="4"/>
  <c r="H447" i="4"/>
  <c r="E450" i="4"/>
  <c r="F450" i="4"/>
  <c r="G450" i="4"/>
  <c r="H450" i="4"/>
  <c r="E458" i="4"/>
  <c r="F458" i="4"/>
  <c r="G458" i="4"/>
  <c r="H458" i="4"/>
  <c r="E460" i="4"/>
  <c r="F460" i="4"/>
  <c r="G460" i="4"/>
  <c r="H460" i="4"/>
  <c r="E462" i="4"/>
  <c r="F462" i="4"/>
  <c r="G462" i="4"/>
  <c r="H462" i="4"/>
  <c r="E468" i="4"/>
  <c r="F468" i="4"/>
  <c r="G468" i="4"/>
  <c r="H468" i="4"/>
  <c r="E473" i="4"/>
  <c r="F473" i="4"/>
  <c r="G473" i="4"/>
  <c r="H473" i="4"/>
  <c r="E475" i="4"/>
  <c r="F475" i="4"/>
  <c r="G475" i="4"/>
  <c r="H475" i="4"/>
  <c r="E477" i="4"/>
  <c r="F477" i="4"/>
  <c r="G477" i="4"/>
  <c r="H477" i="4"/>
  <c r="E479" i="4"/>
  <c r="F479" i="4"/>
  <c r="G479" i="4"/>
  <c r="H479" i="4"/>
  <c r="G13" i="6"/>
  <c r="H6" i="6"/>
  <c r="H7" i="6"/>
  <c r="H8" i="6"/>
  <c r="H9" i="6"/>
  <c r="H10" i="6"/>
  <c r="E54" i="7"/>
  <c r="E51" i="7"/>
  <c r="F54" i="7"/>
  <c r="F51" i="7"/>
  <c r="G54" i="7"/>
  <c r="G51" i="7"/>
  <c r="H54" i="7"/>
  <c r="H51" i="7"/>
  <c r="I54" i="7"/>
  <c r="I51" i="7"/>
  <c r="J54" i="7"/>
  <c r="J51" i="7"/>
  <c r="K54" i="7"/>
  <c r="K51" i="7"/>
  <c r="L54" i="7"/>
  <c r="L51" i="7"/>
  <c r="M54" i="7"/>
  <c r="M51" i="7"/>
  <c r="N54" i="7"/>
  <c r="N51" i="7"/>
  <c r="O54" i="7"/>
  <c r="O51" i="7"/>
  <c r="P54" i="7"/>
  <c r="P51" i="7"/>
  <c r="Q54" i="7"/>
  <c r="Q51" i="7"/>
  <c r="R54" i="7"/>
  <c r="R51" i="7"/>
  <c r="S54" i="7"/>
  <c r="S51" i="7"/>
  <c r="T54" i="7"/>
  <c r="T51" i="7"/>
  <c r="U54" i="7"/>
  <c r="U51" i="7"/>
  <c r="V54" i="7"/>
  <c r="V51" i="7"/>
  <c r="W54" i="7"/>
  <c r="W51" i="7"/>
  <c r="X54" i="7"/>
  <c r="X51" i="7"/>
  <c r="Y54" i="7"/>
  <c r="Y51" i="7"/>
  <c r="Z54" i="7"/>
  <c r="Z51" i="7"/>
  <c r="AA54" i="7"/>
  <c r="AA51" i="7"/>
  <c r="AB54" i="7"/>
  <c r="AB51" i="7"/>
  <c r="AC54" i="7"/>
  <c r="AC51" i="7"/>
  <c r="AD54" i="7"/>
  <c r="AD51" i="7"/>
  <c r="AE54" i="7"/>
  <c r="AE51" i="7"/>
  <c r="AF54" i="7"/>
  <c r="AF51" i="7"/>
  <c r="AG54" i="7"/>
  <c r="AG51" i="7"/>
  <c r="AH54" i="7"/>
  <c r="AH51" i="7"/>
  <c r="AI54" i="7"/>
  <c r="AI51" i="7"/>
  <c r="AJ54" i="7"/>
  <c r="AJ51" i="7"/>
  <c r="AK54" i="7"/>
  <c r="AL54" i="7" s="1"/>
  <c r="AM54" i="7" s="1"/>
  <c r="AN54" i="7" s="1"/>
  <c r="AO54" i="7" s="1"/>
  <c r="AP54" i="7" s="1"/>
  <c r="AQ54" i="7" s="1"/>
  <c r="AR54" i="7" s="1"/>
  <c r="AS54" i="7" s="1"/>
  <c r="AT54" i="7" s="1"/>
  <c r="AU54" i="7" s="1"/>
  <c r="AV54" i="7" s="1"/>
  <c r="AW54" i="7" s="1"/>
  <c r="AX54" i="7" s="1"/>
  <c r="AY54" i="7" s="1"/>
  <c r="AZ54" i="7" s="1"/>
  <c r="BA54" i="7" s="1"/>
  <c r="BB54" i="7" s="1"/>
  <c r="BC54" i="7" s="1"/>
  <c r="BD54" i="7" s="1"/>
  <c r="BE54" i="7" s="1"/>
  <c r="AK51" i="7"/>
  <c r="AL51" i="7" s="1"/>
  <c r="AM51" i="7" s="1"/>
  <c r="AN51" i="7" s="1"/>
  <c r="AO51" i="7" s="1"/>
  <c r="AP51" i="7" s="1"/>
  <c r="AQ51" i="7" s="1"/>
  <c r="AR51" i="7" s="1"/>
  <c r="AS51" i="7" s="1"/>
  <c r="AT51" i="7" s="1"/>
  <c r="AU51" i="7" s="1"/>
  <c r="AV51" i="7" s="1"/>
  <c r="AW51" i="7" s="1"/>
  <c r="AX51" i="7" s="1"/>
  <c r="AY51" i="7" s="1"/>
  <c r="AZ51" i="7" s="1"/>
  <c r="BA51" i="7" s="1"/>
  <c r="BB51" i="7" s="1"/>
  <c r="BC51" i="7" s="1"/>
  <c r="BD51" i="7" s="1"/>
  <c r="BE51" i="7" s="1"/>
  <c r="AL24" i="7"/>
  <c r="AM24" i="7" s="1"/>
  <c r="AN24" i="7" s="1"/>
  <c r="AO24" i="7" s="1"/>
  <c r="AP24" i="7" s="1"/>
  <c r="AQ24" i="7" s="1"/>
  <c r="AR24" i="7" s="1"/>
  <c r="AS24" i="7" s="1"/>
  <c r="AT24" i="7" s="1"/>
  <c r="AU24" i="7" s="1"/>
  <c r="AV24" i="7" s="1"/>
  <c r="AW24" i="7" s="1"/>
  <c r="AX24" i="7" s="1"/>
  <c r="AY24" i="7" s="1"/>
  <c r="AZ24" i="7" s="1"/>
  <c r="BA24" i="7" s="1"/>
  <c r="BB24" i="7" s="1"/>
  <c r="BC24" i="7" s="1"/>
  <c r="BD24" i="7" s="1"/>
  <c r="BE24" i="7" s="1"/>
  <c r="E55" i="7"/>
  <c r="E52" i="7"/>
  <c r="F55" i="7"/>
  <c r="F52" i="7"/>
  <c r="G55" i="7"/>
  <c r="G52" i="7"/>
  <c r="H55" i="7"/>
  <c r="H52" i="7"/>
  <c r="I55" i="7"/>
  <c r="I52" i="7"/>
  <c r="J55" i="7"/>
  <c r="J52" i="7"/>
  <c r="K55" i="7"/>
  <c r="K52" i="7"/>
  <c r="L55" i="7"/>
  <c r="L52" i="7"/>
  <c r="M55" i="7"/>
  <c r="M52" i="7"/>
  <c r="N55" i="7"/>
  <c r="N52" i="7"/>
  <c r="O55" i="7"/>
  <c r="O52" i="7"/>
  <c r="P55" i="7"/>
  <c r="P52" i="7"/>
  <c r="Q55" i="7"/>
  <c r="Q52" i="7"/>
  <c r="R55" i="7"/>
  <c r="R52" i="7"/>
  <c r="S55" i="7"/>
  <c r="S52" i="7"/>
  <c r="T55" i="7"/>
  <c r="T52" i="7"/>
  <c r="U55" i="7"/>
  <c r="U52" i="7"/>
  <c r="V55" i="7"/>
  <c r="V52" i="7"/>
  <c r="W55" i="7"/>
  <c r="W52" i="7"/>
  <c r="X55" i="7"/>
  <c r="X52" i="7"/>
  <c r="Y55" i="7"/>
  <c r="Y52" i="7"/>
  <c r="Z55" i="7"/>
  <c r="Z52" i="7"/>
  <c r="AA55" i="7"/>
  <c r="AA52" i="7"/>
  <c r="AB55" i="7"/>
  <c r="AB52" i="7"/>
  <c r="AC55" i="7"/>
  <c r="AC52" i="7"/>
  <c r="AD55" i="7"/>
  <c r="AD52" i="7"/>
  <c r="AE55" i="7"/>
  <c r="AE52" i="7"/>
  <c r="AF55" i="7"/>
  <c r="AF52" i="7"/>
  <c r="AG55" i="7"/>
  <c r="AG52" i="7"/>
  <c r="AH55" i="7"/>
  <c r="AH52" i="7"/>
  <c r="AI55" i="7"/>
  <c r="AI52" i="7"/>
  <c r="AJ55" i="7"/>
  <c r="AJ52" i="7"/>
  <c r="AK55" i="7"/>
  <c r="AL55" i="7" s="1"/>
  <c r="AM55" i="7" s="1"/>
  <c r="AN55" i="7" s="1"/>
  <c r="AO55" i="7" s="1"/>
  <c r="AP55" i="7" s="1"/>
  <c r="AQ55" i="7" s="1"/>
  <c r="AR55" i="7" s="1"/>
  <c r="AS55" i="7" s="1"/>
  <c r="AT55" i="7" s="1"/>
  <c r="AU55" i="7" s="1"/>
  <c r="AV55" i="7" s="1"/>
  <c r="AW55" i="7" s="1"/>
  <c r="AX55" i="7" s="1"/>
  <c r="AY55" i="7" s="1"/>
  <c r="AZ55" i="7" s="1"/>
  <c r="BA55" i="7" s="1"/>
  <c r="BB55" i="7" s="1"/>
  <c r="BC55" i="7" s="1"/>
  <c r="BD55" i="7" s="1"/>
  <c r="BE55" i="7" s="1"/>
  <c r="AK52" i="7"/>
  <c r="AL52" i="7" s="1"/>
  <c r="AM52" i="7" s="1"/>
  <c r="AN52" i="7" s="1"/>
  <c r="AO52" i="7" s="1"/>
  <c r="AP52" i="7" s="1"/>
  <c r="AQ52" i="7" s="1"/>
  <c r="AR52" i="7" s="1"/>
  <c r="AS52" i="7" s="1"/>
  <c r="AT52" i="7" s="1"/>
  <c r="AU52" i="7" s="1"/>
  <c r="AV52" i="7" s="1"/>
  <c r="AW52" i="7" s="1"/>
  <c r="AX52" i="7" s="1"/>
  <c r="AY52" i="7" s="1"/>
  <c r="AZ52" i="7" s="1"/>
  <c r="BA52" i="7" s="1"/>
  <c r="BB52" i="7" s="1"/>
  <c r="BC52" i="7" s="1"/>
  <c r="BD52" i="7" s="1"/>
  <c r="BE52" i="7" s="1"/>
  <c r="AL27" i="7"/>
  <c r="AM27" i="7" s="1"/>
  <c r="AN27" i="7" s="1"/>
  <c r="AO27" i="7" s="1"/>
  <c r="AP27" i="7" s="1"/>
  <c r="AQ27" i="7" s="1"/>
  <c r="AR27" i="7" s="1"/>
  <c r="AS27" i="7" s="1"/>
  <c r="AT27" i="7" s="1"/>
  <c r="AU27" i="7" s="1"/>
  <c r="AV27" i="7" s="1"/>
  <c r="AW27" i="7" s="1"/>
  <c r="AX27" i="7" s="1"/>
  <c r="AY27" i="7" s="1"/>
  <c r="AZ27" i="7" s="1"/>
  <c r="BA27" i="7" s="1"/>
  <c r="BB27" i="7" s="1"/>
  <c r="BC27" i="7" s="1"/>
  <c r="BD27" i="7" s="1"/>
  <c r="BE27" i="7" s="1"/>
  <c r="AK58" i="7"/>
  <c r="AL58" i="7" s="1"/>
  <c r="AM58" i="7" s="1"/>
  <c r="AN58" i="7" s="1"/>
  <c r="AO58" i="7" s="1"/>
  <c r="AP58" i="7" s="1"/>
  <c r="AQ58" i="7" s="1"/>
  <c r="AR58" i="7" s="1"/>
  <c r="AS58" i="7" s="1"/>
  <c r="AT58" i="7" s="1"/>
  <c r="AU58" i="7" s="1"/>
  <c r="AV58" i="7" s="1"/>
  <c r="AW58" i="7" s="1"/>
  <c r="AX58" i="7" s="1"/>
  <c r="AY58" i="7" s="1"/>
  <c r="AZ58" i="7" s="1"/>
  <c r="BA58" i="7" s="1"/>
  <c r="BB58" i="7" s="1"/>
  <c r="BC58" i="7" s="1"/>
  <c r="BD58" i="7" s="1"/>
  <c r="BE58" i="7" s="1"/>
  <c r="AL30" i="7"/>
  <c r="AM30" i="7" s="1"/>
  <c r="AN30" i="7" s="1"/>
  <c r="AO30" i="7" s="1"/>
  <c r="AP30" i="7" s="1"/>
  <c r="AQ30" i="7" s="1"/>
  <c r="AR30" i="7" s="1"/>
  <c r="AS30" i="7" s="1"/>
  <c r="AT30" i="7" s="1"/>
  <c r="AU30" i="7" s="1"/>
  <c r="AV30" i="7" s="1"/>
  <c r="AW30" i="7" s="1"/>
  <c r="AX30" i="7" s="1"/>
  <c r="AY30" i="7" s="1"/>
  <c r="AZ30" i="7" s="1"/>
  <c r="BA30" i="7" s="1"/>
  <c r="BB30" i="7" s="1"/>
  <c r="BC30" i="7" s="1"/>
  <c r="BD30" i="7" s="1"/>
  <c r="BE30" i="7" s="1"/>
  <c r="E67" i="7"/>
  <c r="E62" i="7"/>
  <c r="F67" i="7"/>
  <c r="F62" i="7"/>
  <c r="G67" i="7"/>
  <c r="G62" i="7"/>
  <c r="H67" i="7"/>
  <c r="H62" i="7"/>
  <c r="I67" i="7"/>
  <c r="I62" i="7"/>
  <c r="J67" i="7"/>
  <c r="J62" i="7"/>
  <c r="K67" i="7"/>
  <c r="K62" i="7"/>
  <c r="L67" i="7"/>
  <c r="L62" i="7"/>
  <c r="M67" i="7"/>
  <c r="M62" i="7"/>
  <c r="N67" i="7"/>
  <c r="N62" i="7"/>
  <c r="O67" i="7"/>
  <c r="O62" i="7"/>
  <c r="P67" i="7"/>
  <c r="P62" i="7"/>
  <c r="Q67" i="7"/>
  <c r="Q62" i="7"/>
  <c r="R67" i="7"/>
  <c r="R62" i="7"/>
  <c r="S67" i="7"/>
  <c r="S62" i="7"/>
  <c r="T67" i="7"/>
  <c r="T62" i="7"/>
  <c r="U67" i="7"/>
  <c r="U62" i="7"/>
  <c r="V67" i="7"/>
  <c r="V62" i="7"/>
  <c r="W67" i="7"/>
  <c r="W62" i="7"/>
  <c r="X67" i="7"/>
  <c r="X62" i="7"/>
  <c r="Y67" i="7"/>
  <c r="Y62" i="7"/>
  <c r="Z67" i="7"/>
  <c r="Z62" i="7"/>
  <c r="AA67" i="7"/>
  <c r="AA62" i="7"/>
  <c r="AB67" i="7"/>
  <c r="AB62" i="7"/>
  <c r="AC67" i="7"/>
  <c r="AC62" i="7"/>
  <c r="AD67" i="7"/>
  <c r="AD62" i="7"/>
  <c r="AE67" i="7"/>
  <c r="AE62" i="7"/>
  <c r="AF67" i="7"/>
  <c r="AF62" i="7"/>
  <c r="AG67" i="7"/>
  <c r="AG62" i="7"/>
  <c r="AH67" i="7"/>
  <c r="AH62" i="7"/>
  <c r="AI67" i="7"/>
  <c r="AI62" i="7"/>
  <c r="AJ67" i="7"/>
  <c r="AJ62" i="7"/>
  <c r="AK67" i="7"/>
  <c r="AL67" i="7" s="1"/>
  <c r="AM67" i="7" s="1"/>
  <c r="AN67" i="7" s="1"/>
  <c r="AO67" i="7" s="1"/>
  <c r="AP67" i="7" s="1"/>
  <c r="AQ67" i="7" s="1"/>
  <c r="AR67" i="7" s="1"/>
  <c r="AS67" i="7" s="1"/>
  <c r="AT67" i="7" s="1"/>
  <c r="AU67" i="7" s="1"/>
  <c r="AV67" i="7" s="1"/>
  <c r="AW67" i="7" s="1"/>
  <c r="AX67" i="7" s="1"/>
  <c r="AY67" i="7" s="1"/>
  <c r="AZ67" i="7" s="1"/>
  <c r="BA67" i="7" s="1"/>
  <c r="BB67" i="7" s="1"/>
  <c r="BC67" i="7" s="1"/>
  <c r="BD67" i="7" s="1"/>
  <c r="BE67" i="7" s="1"/>
  <c r="AK62" i="7"/>
  <c r="AL62" i="7" s="1"/>
  <c r="AM62" i="7" s="1"/>
  <c r="AN62" i="7" s="1"/>
  <c r="AO62" i="7" s="1"/>
  <c r="AP62" i="7" s="1"/>
  <c r="AQ62" i="7" s="1"/>
  <c r="AR62" i="7" s="1"/>
  <c r="AS62" i="7" s="1"/>
  <c r="AT62" i="7" s="1"/>
  <c r="AU62" i="7" s="1"/>
  <c r="AV62" i="7" s="1"/>
  <c r="AW62" i="7" s="1"/>
  <c r="AX62" i="7" s="1"/>
  <c r="AY62" i="7" s="1"/>
  <c r="AZ62" i="7" s="1"/>
  <c r="BA62" i="7" s="1"/>
  <c r="BB62" i="7" s="1"/>
  <c r="BC62" i="7" s="1"/>
  <c r="BD62" i="7" s="1"/>
  <c r="BE62" i="7" s="1"/>
  <c r="AL33" i="7"/>
  <c r="AM33" i="7" s="1"/>
  <c r="AN33" i="7" s="1"/>
  <c r="AO33" i="7" s="1"/>
  <c r="AP33" i="7" s="1"/>
  <c r="AQ33" i="7" s="1"/>
  <c r="AR33" i="7" s="1"/>
  <c r="AS33" i="7" s="1"/>
  <c r="AT33" i="7" s="1"/>
  <c r="AU33" i="7" s="1"/>
  <c r="AV33" i="7" s="1"/>
  <c r="AW33" i="7" s="1"/>
  <c r="AX33" i="7" s="1"/>
  <c r="AY33" i="7" s="1"/>
  <c r="AZ33" i="7" s="1"/>
  <c r="BA33" i="7" s="1"/>
  <c r="BB33" i="7" s="1"/>
  <c r="BC33" i="7" s="1"/>
  <c r="BD33" i="7" s="1"/>
  <c r="BE33" i="7" s="1"/>
  <c r="E68" i="7"/>
  <c r="E35" i="7"/>
  <c r="F68" i="7"/>
  <c r="F35" i="7"/>
  <c r="G68" i="7"/>
  <c r="G35" i="7"/>
  <c r="H68" i="7"/>
  <c r="H35" i="7"/>
  <c r="I68" i="7"/>
  <c r="I35" i="7"/>
  <c r="J68" i="7"/>
  <c r="J35" i="7"/>
  <c r="K68" i="7"/>
  <c r="K35" i="7"/>
  <c r="L68" i="7"/>
  <c r="L35" i="7"/>
  <c r="M68" i="7"/>
  <c r="M35" i="7"/>
  <c r="N68" i="7"/>
  <c r="N35" i="7"/>
  <c r="O68" i="7"/>
  <c r="O35" i="7"/>
  <c r="P68" i="7"/>
  <c r="P35" i="7"/>
  <c r="Q68" i="7"/>
  <c r="Q35" i="7"/>
  <c r="R68" i="7"/>
  <c r="R35" i="7"/>
  <c r="S68" i="7"/>
  <c r="S35" i="7"/>
  <c r="T68" i="7"/>
  <c r="T35" i="7"/>
  <c r="U68" i="7"/>
  <c r="U35" i="7"/>
  <c r="V68" i="7"/>
  <c r="V35" i="7"/>
  <c r="W68" i="7"/>
  <c r="W35" i="7"/>
  <c r="X68" i="7"/>
  <c r="X35" i="7"/>
  <c r="Y68" i="7"/>
  <c r="Y35" i="7"/>
  <c r="Z68" i="7"/>
  <c r="Z35" i="7"/>
  <c r="AA68" i="7"/>
  <c r="AA35" i="7"/>
  <c r="AB68" i="7"/>
  <c r="AB35" i="7"/>
  <c r="AC68" i="7"/>
  <c r="AC35" i="7"/>
  <c r="AD68" i="7"/>
  <c r="AD35" i="7"/>
  <c r="AE68" i="7"/>
  <c r="AE35" i="7"/>
  <c r="AF68" i="7"/>
  <c r="AF35" i="7"/>
  <c r="AG68" i="7"/>
  <c r="AG35" i="7"/>
  <c r="AH68" i="7"/>
  <c r="AH35" i="7"/>
  <c r="AI68" i="7"/>
  <c r="AI35" i="7"/>
  <c r="AJ68" i="7"/>
  <c r="AJ35" i="7"/>
  <c r="AK68" i="7"/>
  <c r="AL68" i="7" s="1"/>
  <c r="AM68" i="7" s="1"/>
  <c r="AN68" i="7" s="1"/>
  <c r="AO68" i="7" s="1"/>
  <c r="AP68" i="7" s="1"/>
  <c r="AQ68" i="7" s="1"/>
  <c r="AR68" i="7" s="1"/>
  <c r="AS68" i="7" s="1"/>
  <c r="AT68" i="7" s="1"/>
  <c r="AU68" i="7" s="1"/>
  <c r="AV68" i="7" s="1"/>
  <c r="AW68" i="7" s="1"/>
  <c r="AX68" i="7" s="1"/>
  <c r="AY68" i="7" s="1"/>
  <c r="AZ68" i="7" s="1"/>
  <c r="BA68" i="7" s="1"/>
  <c r="BB68" i="7" s="1"/>
  <c r="BC68" i="7" s="1"/>
  <c r="BD68" i="7" s="1"/>
  <c r="BE68" i="7" s="1"/>
  <c r="AK35" i="7"/>
  <c r="AL35" i="7" s="1"/>
  <c r="AM35" i="7" s="1"/>
  <c r="AN35" i="7" s="1"/>
  <c r="AO35" i="7" s="1"/>
  <c r="AP35" i="7" s="1"/>
  <c r="AQ35" i="7" s="1"/>
  <c r="AR35" i="7" s="1"/>
  <c r="AS35" i="7" s="1"/>
  <c r="AT35" i="7" s="1"/>
  <c r="AU35" i="7" s="1"/>
  <c r="AV35" i="7" s="1"/>
  <c r="AW35" i="7" s="1"/>
  <c r="AX35" i="7" s="1"/>
  <c r="AY35" i="7" s="1"/>
  <c r="AZ35" i="7" s="1"/>
  <c r="BA35" i="7" s="1"/>
  <c r="BB35" i="7" s="1"/>
  <c r="BC35" i="7" s="1"/>
  <c r="BD35" i="7" s="1"/>
  <c r="BE35" i="7" s="1"/>
  <c r="AL34" i="7"/>
  <c r="AM34" i="7" s="1"/>
  <c r="AN34" i="7" s="1"/>
  <c r="AO34" i="7" s="1"/>
  <c r="AP34" i="7" s="1"/>
  <c r="AQ34" i="7" s="1"/>
  <c r="AR34" i="7" s="1"/>
  <c r="AS34" i="7" s="1"/>
  <c r="AT34" i="7" s="1"/>
  <c r="AU34" i="7" s="1"/>
  <c r="AV34" i="7" s="1"/>
  <c r="AW34" i="7" s="1"/>
  <c r="AX34" i="7" s="1"/>
  <c r="AY34" i="7" s="1"/>
  <c r="AZ34" i="7" s="1"/>
  <c r="BA34" i="7" s="1"/>
  <c r="BB34" i="7" s="1"/>
  <c r="BC34" i="7" s="1"/>
  <c r="BD34" i="7" s="1"/>
  <c r="BE34" i="7" s="1"/>
  <c r="AK73" i="7"/>
  <c r="AL73" i="7" s="1"/>
  <c r="AM73" i="7" s="1"/>
  <c r="AN73" i="7" s="1"/>
  <c r="AO73" i="7" s="1"/>
  <c r="AP73" i="7" s="1"/>
  <c r="AQ73" i="7" s="1"/>
  <c r="AR73" i="7" s="1"/>
  <c r="AS73" i="7" s="1"/>
  <c r="AT73" i="7" s="1"/>
  <c r="AU73" i="7" s="1"/>
  <c r="AV73" i="7" s="1"/>
  <c r="AW73" i="7" s="1"/>
  <c r="AX73" i="7" s="1"/>
  <c r="AY73" i="7" s="1"/>
  <c r="AZ73" i="7" s="1"/>
  <c r="BA73" i="7" s="1"/>
  <c r="BB73" i="7" s="1"/>
  <c r="BC73" i="7" s="1"/>
  <c r="BD73" i="7" s="1"/>
  <c r="BE73" i="7" s="1"/>
  <c r="AL39" i="7"/>
  <c r="AM39" i="7" s="1"/>
  <c r="AN39" i="7" s="1"/>
  <c r="AO39" i="7" s="1"/>
  <c r="AP39" i="7" s="1"/>
  <c r="AQ39" i="7" s="1"/>
  <c r="AR39" i="7" s="1"/>
  <c r="AS39" i="7" s="1"/>
  <c r="AT39" i="7" s="1"/>
  <c r="AU39" i="7" s="1"/>
  <c r="AV39" i="7" s="1"/>
  <c r="AW39" i="7" s="1"/>
  <c r="AX39" i="7" s="1"/>
  <c r="AY39" i="7" s="1"/>
  <c r="AZ39" i="7" s="1"/>
  <c r="BA39" i="7" s="1"/>
  <c r="BB39" i="7" s="1"/>
  <c r="BC39" i="7" s="1"/>
  <c r="BD39" i="7" s="1"/>
  <c r="BE39" i="7" s="1"/>
  <c r="AK79" i="7"/>
  <c r="AL79" i="7" s="1"/>
  <c r="AM79" i="7" s="1"/>
  <c r="AN79" i="7" s="1"/>
  <c r="AO79" i="7" s="1"/>
  <c r="AP79" i="7" s="1"/>
  <c r="AQ79" i="7" s="1"/>
  <c r="AR79" i="7" s="1"/>
  <c r="AS79" i="7" s="1"/>
  <c r="AT79" i="7" s="1"/>
  <c r="AU79" i="7" s="1"/>
  <c r="AV79" i="7" s="1"/>
  <c r="AW79" i="7" s="1"/>
  <c r="AX79" i="7" s="1"/>
  <c r="AY79" i="7" s="1"/>
  <c r="AZ79" i="7" s="1"/>
  <c r="BA79" i="7" s="1"/>
  <c r="BB79" i="7" s="1"/>
  <c r="BC79" i="7" s="1"/>
  <c r="BD79" i="7" s="1"/>
  <c r="BE79" i="7" s="1"/>
  <c r="AL77" i="7"/>
  <c r="AM77" i="7" s="1"/>
  <c r="AN77" i="7" s="1"/>
  <c r="AO77" i="7" s="1"/>
  <c r="AP77" i="7" s="1"/>
  <c r="AQ77" i="7" s="1"/>
  <c r="AR77" i="7" s="1"/>
  <c r="AS77" i="7" s="1"/>
  <c r="AT77" i="7" s="1"/>
  <c r="AU77" i="7" s="1"/>
  <c r="AV77" i="7" s="1"/>
  <c r="AW77" i="7" s="1"/>
  <c r="AX77" i="7" s="1"/>
  <c r="AY77" i="7" s="1"/>
  <c r="AZ77" i="7" s="1"/>
  <c r="BA77" i="7" s="1"/>
  <c r="BB77" i="7" s="1"/>
  <c r="BC77" i="7" s="1"/>
  <c r="BD77" i="7" s="1"/>
  <c r="BE77" i="7" s="1"/>
  <c r="E134" i="7"/>
  <c r="E131" i="7"/>
  <c r="F134" i="7"/>
  <c r="F131" i="7"/>
  <c r="G134" i="7"/>
  <c r="G131" i="7"/>
  <c r="H134" i="7"/>
  <c r="H131" i="7"/>
  <c r="I134" i="7"/>
  <c r="I131" i="7"/>
  <c r="J134" i="7"/>
  <c r="J131" i="7"/>
  <c r="K134" i="7"/>
  <c r="K131" i="7"/>
  <c r="L134" i="7"/>
  <c r="L131" i="7"/>
  <c r="M134" i="7"/>
  <c r="M131" i="7"/>
  <c r="N134" i="7"/>
  <c r="N131" i="7"/>
  <c r="O134" i="7"/>
  <c r="O131" i="7"/>
  <c r="P134" i="7"/>
  <c r="P131" i="7"/>
  <c r="Q134" i="7"/>
  <c r="Q131" i="7"/>
  <c r="R134" i="7"/>
  <c r="R131" i="7"/>
  <c r="S134" i="7"/>
  <c r="S131" i="7"/>
  <c r="T134" i="7"/>
  <c r="T131" i="7"/>
  <c r="U134" i="7"/>
  <c r="U131" i="7"/>
  <c r="V134" i="7"/>
  <c r="V131" i="7"/>
  <c r="W134" i="7"/>
  <c r="W131" i="7"/>
  <c r="X134" i="7"/>
  <c r="X131" i="7"/>
  <c r="Y134" i="7"/>
  <c r="Y131" i="7"/>
  <c r="Z134" i="7"/>
  <c r="Z131" i="7"/>
  <c r="AA134" i="7"/>
  <c r="AA131" i="7"/>
  <c r="AB134" i="7"/>
  <c r="AB131" i="7"/>
  <c r="AC134" i="7"/>
  <c r="AC131" i="7"/>
  <c r="AD134" i="7"/>
  <c r="AD131" i="7"/>
  <c r="AE134" i="7"/>
  <c r="AE131" i="7"/>
  <c r="AF134" i="7"/>
  <c r="AF131" i="7"/>
  <c r="AG134" i="7"/>
  <c r="AG131" i="7"/>
  <c r="AH134" i="7"/>
  <c r="AH131" i="7"/>
  <c r="AI134" i="7"/>
  <c r="AI131" i="7"/>
  <c r="AJ134" i="7"/>
  <c r="AJ131" i="7"/>
  <c r="AK134" i="7"/>
  <c r="AL134" i="7" s="1"/>
  <c r="AM134" i="7" s="1"/>
  <c r="AN134" i="7" s="1"/>
  <c r="AO134" i="7" s="1"/>
  <c r="AP134" i="7" s="1"/>
  <c r="AQ134" i="7" s="1"/>
  <c r="AR134" i="7" s="1"/>
  <c r="AS134" i="7" s="1"/>
  <c r="AT134" i="7" s="1"/>
  <c r="AU134" i="7" s="1"/>
  <c r="AV134" i="7" s="1"/>
  <c r="AW134" i="7" s="1"/>
  <c r="AX134" i="7" s="1"/>
  <c r="AY134" i="7" s="1"/>
  <c r="AZ134" i="7" s="1"/>
  <c r="BA134" i="7" s="1"/>
  <c r="BB134" i="7" s="1"/>
  <c r="BC134" i="7" s="1"/>
  <c r="BD134" i="7" s="1"/>
  <c r="BE134" i="7" s="1"/>
  <c r="AK131" i="7"/>
  <c r="AL131" i="7" s="1"/>
  <c r="AM131" i="7" s="1"/>
  <c r="AN131" i="7" s="1"/>
  <c r="AO131" i="7" s="1"/>
  <c r="AP131" i="7" s="1"/>
  <c r="AQ131" i="7" s="1"/>
  <c r="AR131" i="7" s="1"/>
  <c r="AS131" i="7" s="1"/>
  <c r="AT131" i="7" s="1"/>
  <c r="AU131" i="7" s="1"/>
  <c r="AV131" i="7" s="1"/>
  <c r="AW131" i="7" s="1"/>
  <c r="AX131" i="7" s="1"/>
  <c r="AY131" i="7" s="1"/>
  <c r="AZ131" i="7" s="1"/>
  <c r="BA131" i="7" s="1"/>
  <c r="BB131" i="7" s="1"/>
  <c r="BC131" i="7" s="1"/>
  <c r="BD131" i="7" s="1"/>
  <c r="BE131" i="7" s="1"/>
  <c r="AL104" i="7"/>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E135" i="7"/>
  <c r="E132" i="7"/>
  <c r="F135" i="7"/>
  <c r="F132" i="7"/>
  <c r="G135" i="7"/>
  <c r="G132" i="7"/>
  <c r="H135" i="7"/>
  <c r="H132" i="7"/>
  <c r="I135" i="7"/>
  <c r="I132" i="7"/>
  <c r="J135" i="7"/>
  <c r="J132" i="7"/>
  <c r="K135" i="7"/>
  <c r="K132" i="7"/>
  <c r="L135" i="7"/>
  <c r="L132" i="7"/>
  <c r="M135" i="7"/>
  <c r="M132" i="7"/>
  <c r="N135" i="7"/>
  <c r="N132" i="7"/>
  <c r="O135" i="7"/>
  <c r="O132" i="7"/>
  <c r="P135" i="7"/>
  <c r="P132" i="7"/>
  <c r="Q135" i="7"/>
  <c r="Q132" i="7"/>
  <c r="R135" i="7"/>
  <c r="R132" i="7"/>
  <c r="S135" i="7"/>
  <c r="S132" i="7"/>
  <c r="T135" i="7"/>
  <c r="T132" i="7"/>
  <c r="U135" i="7"/>
  <c r="U132" i="7"/>
  <c r="V135" i="7"/>
  <c r="V132" i="7"/>
  <c r="W135" i="7"/>
  <c r="W132" i="7"/>
  <c r="X135" i="7"/>
  <c r="X132" i="7"/>
  <c r="Y135" i="7"/>
  <c r="Y132" i="7"/>
  <c r="Z135" i="7"/>
  <c r="Z132" i="7"/>
  <c r="AA135" i="7"/>
  <c r="AA132" i="7"/>
  <c r="AB135" i="7"/>
  <c r="AB132" i="7"/>
  <c r="AC135" i="7"/>
  <c r="AC132" i="7"/>
  <c r="AD135" i="7"/>
  <c r="AD132" i="7"/>
  <c r="AE135" i="7"/>
  <c r="AE132" i="7"/>
  <c r="AF135" i="7"/>
  <c r="AF132" i="7"/>
  <c r="AG135" i="7"/>
  <c r="AG132" i="7"/>
  <c r="AH135" i="7"/>
  <c r="AH132" i="7"/>
  <c r="AI135" i="7"/>
  <c r="AI132" i="7"/>
  <c r="AJ135" i="7"/>
  <c r="AJ132" i="7"/>
  <c r="AK135" i="7"/>
  <c r="AL135" i="7" s="1"/>
  <c r="AM135" i="7" s="1"/>
  <c r="AN135" i="7" s="1"/>
  <c r="AO135" i="7" s="1"/>
  <c r="AP135" i="7" s="1"/>
  <c r="AQ135" i="7" s="1"/>
  <c r="AR135" i="7" s="1"/>
  <c r="AS135" i="7" s="1"/>
  <c r="AT135" i="7" s="1"/>
  <c r="AU135" i="7" s="1"/>
  <c r="AV135" i="7" s="1"/>
  <c r="AW135" i="7" s="1"/>
  <c r="AX135" i="7" s="1"/>
  <c r="AY135" i="7" s="1"/>
  <c r="AZ135" i="7" s="1"/>
  <c r="BA135" i="7" s="1"/>
  <c r="BB135" i="7" s="1"/>
  <c r="BC135" i="7" s="1"/>
  <c r="BD135" i="7" s="1"/>
  <c r="BE135" i="7" s="1"/>
  <c r="AK132" i="7"/>
  <c r="AL132" i="7" s="1"/>
  <c r="AM132" i="7" s="1"/>
  <c r="AN132" i="7" s="1"/>
  <c r="AO132" i="7" s="1"/>
  <c r="AP132" i="7" s="1"/>
  <c r="AQ132" i="7" s="1"/>
  <c r="AR132" i="7" s="1"/>
  <c r="AS132" i="7" s="1"/>
  <c r="AT132" i="7" s="1"/>
  <c r="AU132" i="7" s="1"/>
  <c r="AV132" i="7" s="1"/>
  <c r="AW132" i="7" s="1"/>
  <c r="AX132" i="7" s="1"/>
  <c r="AY132" i="7" s="1"/>
  <c r="AZ132" i="7" s="1"/>
  <c r="BA132" i="7" s="1"/>
  <c r="BB132" i="7" s="1"/>
  <c r="BC132" i="7" s="1"/>
  <c r="BD132" i="7" s="1"/>
  <c r="BE132" i="7" s="1"/>
  <c r="AL107" i="7"/>
  <c r="AM107" i="7" s="1"/>
  <c r="AN107" i="7" s="1"/>
  <c r="AO107" i="7" s="1"/>
  <c r="AP107" i="7" s="1"/>
  <c r="AQ107" i="7" s="1"/>
  <c r="AR107" i="7" s="1"/>
  <c r="AS107" i="7" s="1"/>
  <c r="AT107" i="7" s="1"/>
  <c r="AU107" i="7" s="1"/>
  <c r="AV107" i="7" s="1"/>
  <c r="AW107" i="7" s="1"/>
  <c r="AX107" i="7" s="1"/>
  <c r="AY107" i="7" s="1"/>
  <c r="AZ107" i="7" s="1"/>
  <c r="BA107" i="7" s="1"/>
  <c r="BB107" i="7" s="1"/>
  <c r="BC107" i="7" s="1"/>
  <c r="BD107" i="7" s="1"/>
  <c r="BE107" i="7" s="1"/>
  <c r="AK138" i="7"/>
  <c r="AL138" i="7" s="1"/>
  <c r="AM138" i="7" s="1"/>
  <c r="AN138" i="7" s="1"/>
  <c r="AO138" i="7" s="1"/>
  <c r="AP138" i="7" s="1"/>
  <c r="AQ138" i="7" s="1"/>
  <c r="AR138" i="7" s="1"/>
  <c r="AS138" i="7" s="1"/>
  <c r="AT138" i="7" s="1"/>
  <c r="AU138" i="7" s="1"/>
  <c r="AV138" i="7" s="1"/>
  <c r="AW138" i="7" s="1"/>
  <c r="AX138" i="7" s="1"/>
  <c r="AY138" i="7" s="1"/>
  <c r="AZ138" i="7" s="1"/>
  <c r="BA138" i="7" s="1"/>
  <c r="BB138" i="7" s="1"/>
  <c r="BC138" i="7" s="1"/>
  <c r="BD138" i="7" s="1"/>
  <c r="BE138" i="7" s="1"/>
  <c r="AL110" i="7"/>
  <c r="AM110" i="7" s="1"/>
  <c r="AN110" i="7" s="1"/>
  <c r="AO110" i="7" s="1"/>
  <c r="AP110" i="7" s="1"/>
  <c r="AQ110" i="7" s="1"/>
  <c r="AR110" i="7" s="1"/>
  <c r="AS110" i="7" s="1"/>
  <c r="AT110" i="7" s="1"/>
  <c r="AU110" i="7" s="1"/>
  <c r="AV110" i="7" s="1"/>
  <c r="AW110" i="7" s="1"/>
  <c r="AX110" i="7" s="1"/>
  <c r="AY110" i="7" s="1"/>
  <c r="AZ110" i="7" s="1"/>
  <c r="BA110" i="7" s="1"/>
  <c r="BB110" i="7" s="1"/>
  <c r="BC110" i="7" s="1"/>
  <c r="BD110" i="7" s="1"/>
  <c r="BE110" i="7" s="1"/>
  <c r="E147" i="7"/>
  <c r="E142" i="7"/>
  <c r="F147" i="7"/>
  <c r="F142" i="7"/>
  <c r="G147" i="7"/>
  <c r="G142" i="7"/>
  <c r="H147" i="7"/>
  <c r="H142" i="7"/>
  <c r="I147" i="7"/>
  <c r="I142" i="7"/>
  <c r="J147" i="7"/>
  <c r="J142" i="7"/>
  <c r="K147" i="7"/>
  <c r="K142" i="7"/>
  <c r="L147" i="7"/>
  <c r="L142" i="7"/>
  <c r="M147" i="7"/>
  <c r="M142" i="7"/>
  <c r="N147" i="7"/>
  <c r="N142" i="7"/>
  <c r="O147" i="7"/>
  <c r="O142" i="7"/>
  <c r="P147" i="7"/>
  <c r="P142" i="7"/>
  <c r="Q147" i="7"/>
  <c r="Q142" i="7"/>
  <c r="R147" i="7"/>
  <c r="R142" i="7"/>
  <c r="S147" i="7"/>
  <c r="S142" i="7"/>
  <c r="T147" i="7"/>
  <c r="T142" i="7"/>
  <c r="U147" i="7"/>
  <c r="U142" i="7"/>
  <c r="V147" i="7"/>
  <c r="V142" i="7"/>
  <c r="W147" i="7"/>
  <c r="W142" i="7"/>
  <c r="X147" i="7"/>
  <c r="X142" i="7"/>
  <c r="Y147" i="7"/>
  <c r="Y142" i="7"/>
  <c r="Z147" i="7"/>
  <c r="Z142" i="7"/>
  <c r="AA147" i="7"/>
  <c r="AA142" i="7"/>
  <c r="AB147" i="7"/>
  <c r="AB142" i="7"/>
  <c r="AC147" i="7"/>
  <c r="AC142" i="7"/>
  <c r="AD147" i="7"/>
  <c r="AD142" i="7"/>
  <c r="AE147" i="7"/>
  <c r="AE142" i="7"/>
  <c r="AF147" i="7"/>
  <c r="AF142" i="7"/>
  <c r="AG147" i="7"/>
  <c r="AG142" i="7"/>
  <c r="AH147" i="7"/>
  <c r="AH142" i="7"/>
  <c r="AI147" i="7"/>
  <c r="AI142" i="7"/>
  <c r="AJ147" i="7"/>
  <c r="AJ142" i="7"/>
  <c r="AK147" i="7"/>
  <c r="AL147" i="7" s="1"/>
  <c r="AM147" i="7" s="1"/>
  <c r="AN147" i="7" s="1"/>
  <c r="AO147" i="7" s="1"/>
  <c r="AP147" i="7" s="1"/>
  <c r="AQ147" i="7" s="1"/>
  <c r="AR147" i="7" s="1"/>
  <c r="AS147" i="7" s="1"/>
  <c r="AT147" i="7" s="1"/>
  <c r="AU147" i="7" s="1"/>
  <c r="AV147" i="7" s="1"/>
  <c r="AW147" i="7" s="1"/>
  <c r="AX147" i="7" s="1"/>
  <c r="AY147" i="7" s="1"/>
  <c r="AZ147" i="7" s="1"/>
  <c r="BA147" i="7" s="1"/>
  <c r="BB147" i="7" s="1"/>
  <c r="BC147" i="7" s="1"/>
  <c r="BD147" i="7" s="1"/>
  <c r="BE147" i="7" s="1"/>
  <c r="AK142" i="7"/>
  <c r="AL142" i="7" s="1"/>
  <c r="AM142" i="7" s="1"/>
  <c r="AN142" i="7" s="1"/>
  <c r="AO142" i="7" s="1"/>
  <c r="AP142" i="7" s="1"/>
  <c r="AQ142" i="7" s="1"/>
  <c r="AR142" i="7" s="1"/>
  <c r="AS142" i="7" s="1"/>
  <c r="AT142" i="7" s="1"/>
  <c r="AU142" i="7" s="1"/>
  <c r="AV142" i="7" s="1"/>
  <c r="AW142" i="7" s="1"/>
  <c r="AX142" i="7" s="1"/>
  <c r="AY142" i="7" s="1"/>
  <c r="AZ142" i="7" s="1"/>
  <c r="BA142" i="7" s="1"/>
  <c r="BB142" i="7" s="1"/>
  <c r="BC142" i="7" s="1"/>
  <c r="BD142" i="7" s="1"/>
  <c r="BE142" i="7" s="1"/>
  <c r="AL113" i="7"/>
  <c r="AM113" i="7" s="1"/>
  <c r="AN113" i="7" s="1"/>
  <c r="AO113" i="7" s="1"/>
  <c r="AP113" i="7" s="1"/>
  <c r="AQ113" i="7" s="1"/>
  <c r="AR113" i="7" s="1"/>
  <c r="AS113" i="7" s="1"/>
  <c r="AT113" i="7" s="1"/>
  <c r="AU113" i="7" s="1"/>
  <c r="AV113" i="7" s="1"/>
  <c r="AW113" i="7" s="1"/>
  <c r="AX113" i="7" s="1"/>
  <c r="AY113" i="7" s="1"/>
  <c r="AZ113" i="7" s="1"/>
  <c r="BA113" i="7" s="1"/>
  <c r="BB113" i="7" s="1"/>
  <c r="BC113" i="7" s="1"/>
  <c r="BD113" i="7" s="1"/>
  <c r="BE113" i="7" s="1"/>
  <c r="E148" i="7"/>
  <c r="E115" i="7"/>
  <c r="F148" i="7"/>
  <c r="F115" i="7"/>
  <c r="G148" i="7"/>
  <c r="G115" i="7"/>
  <c r="H148" i="7"/>
  <c r="H115" i="7"/>
  <c r="I148" i="7"/>
  <c r="I115" i="7"/>
  <c r="J148" i="7"/>
  <c r="J115" i="7"/>
  <c r="K148" i="7"/>
  <c r="K115" i="7"/>
  <c r="L148" i="7"/>
  <c r="L115" i="7"/>
  <c r="M148" i="7"/>
  <c r="M115" i="7"/>
  <c r="N148" i="7"/>
  <c r="N115" i="7"/>
  <c r="O148" i="7"/>
  <c r="O115" i="7"/>
  <c r="P148" i="7"/>
  <c r="P115" i="7"/>
  <c r="Q148" i="7"/>
  <c r="Q115" i="7"/>
  <c r="R148" i="7"/>
  <c r="R115" i="7"/>
  <c r="S148" i="7"/>
  <c r="S115" i="7"/>
  <c r="T148" i="7"/>
  <c r="T115" i="7"/>
  <c r="U148" i="7"/>
  <c r="U115" i="7"/>
  <c r="V148" i="7"/>
  <c r="V115" i="7"/>
  <c r="W148" i="7"/>
  <c r="W115" i="7"/>
  <c r="X148" i="7"/>
  <c r="X115" i="7"/>
  <c r="Y148" i="7"/>
  <c r="Y115" i="7"/>
  <c r="Z148" i="7"/>
  <c r="Z115" i="7"/>
  <c r="AA148" i="7"/>
  <c r="AA115" i="7"/>
  <c r="AB148" i="7"/>
  <c r="AB115" i="7"/>
  <c r="AC148" i="7"/>
  <c r="AC115" i="7"/>
  <c r="AD148" i="7"/>
  <c r="AD115" i="7"/>
  <c r="AE148" i="7"/>
  <c r="AE115" i="7"/>
  <c r="AF148" i="7"/>
  <c r="AF115" i="7"/>
  <c r="AG148" i="7"/>
  <c r="AG115" i="7"/>
  <c r="AH148" i="7"/>
  <c r="AH115" i="7"/>
  <c r="AI148" i="7"/>
  <c r="AI115" i="7"/>
  <c r="AJ148" i="7"/>
  <c r="AJ115" i="7"/>
  <c r="AK148" i="7"/>
  <c r="AL148" i="7" s="1"/>
  <c r="AM148" i="7" s="1"/>
  <c r="AN148" i="7" s="1"/>
  <c r="AO148" i="7" s="1"/>
  <c r="AP148" i="7" s="1"/>
  <c r="AQ148" i="7" s="1"/>
  <c r="AR148" i="7" s="1"/>
  <c r="AS148" i="7" s="1"/>
  <c r="AT148" i="7" s="1"/>
  <c r="AU148" i="7" s="1"/>
  <c r="AV148" i="7" s="1"/>
  <c r="AW148" i="7" s="1"/>
  <c r="AX148" i="7" s="1"/>
  <c r="AY148" i="7" s="1"/>
  <c r="AZ148" i="7" s="1"/>
  <c r="BA148" i="7" s="1"/>
  <c r="BB148" i="7" s="1"/>
  <c r="BC148" i="7" s="1"/>
  <c r="BD148" i="7" s="1"/>
  <c r="BE148" i="7" s="1"/>
  <c r="AK115" i="7"/>
  <c r="AL115" i="7" s="1"/>
  <c r="AM115" i="7" s="1"/>
  <c r="AN115" i="7" s="1"/>
  <c r="AO115" i="7" s="1"/>
  <c r="AP115" i="7" s="1"/>
  <c r="AQ115" i="7" s="1"/>
  <c r="AR115" i="7" s="1"/>
  <c r="AS115" i="7" s="1"/>
  <c r="AT115" i="7" s="1"/>
  <c r="AU115" i="7" s="1"/>
  <c r="AV115" i="7" s="1"/>
  <c r="AW115" i="7" s="1"/>
  <c r="AX115" i="7" s="1"/>
  <c r="AY115" i="7" s="1"/>
  <c r="AZ115" i="7" s="1"/>
  <c r="BA115" i="7" s="1"/>
  <c r="BB115" i="7" s="1"/>
  <c r="BC115" i="7" s="1"/>
  <c r="BD115" i="7" s="1"/>
  <c r="BE115" i="7" s="1"/>
  <c r="AL114" i="7"/>
  <c r="AM114" i="7" s="1"/>
  <c r="AN114" i="7" s="1"/>
  <c r="AO114" i="7" s="1"/>
  <c r="AP114" i="7" s="1"/>
  <c r="AQ114" i="7" s="1"/>
  <c r="AR114" i="7" s="1"/>
  <c r="AS114" i="7" s="1"/>
  <c r="AT114" i="7" s="1"/>
  <c r="AU114" i="7" s="1"/>
  <c r="AV114" i="7" s="1"/>
  <c r="AW114" i="7" s="1"/>
  <c r="AX114" i="7" s="1"/>
  <c r="AY114" i="7" s="1"/>
  <c r="AZ114" i="7" s="1"/>
  <c r="BA114" i="7" s="1"/>
  <c r="BB114" i="7" s="1"/>
  <c r="BC114" i="7" s="1"/>
  <c r="BD114" i="7" s="1"/>
  <c r="BE114" i="7" s="1"/>
  <c r="AK153" i="7"/>
  <c r="AL153" i="7" s="1"/>
  <c r="AM153" i="7" s="1"/>
  <c r="AN153" i="7" s="1"/>
  <c r="AO153" i="7" s="1"/>
  <c r="AP153" i="7" s="1"/>
  <c r="AQ153" i="7" s="1"/>
  <c r="AR153" i="7" s="1"/>
  <c r="AS153" i="7" s="1"/>
  <c r="AT153" i="7" s="1"/>
  <c r="AU153" i="7" s="1"/>
  <c r="AV153" i="7" s="1"/>
  <c r="AW153" i="7" s="1"/>
  <c r="AX153" i="7" s="1"/>
  <c r="AY153" i="7" s="1"/>
  <c r="AZ153" i="7" s="1"/>
  <c r="BA153" i="7" s="1"/>
  <c r="BB153" i="7" s="1"/>
  <c r="BC153" i="7" s="1"/>
  <c r="BD153" i="7" s="1"/>
  <c r="BE153" i="7" s="1"/>
  <c r="AL119" i="7"/>
  <c r="AM119" i="7" s="1"/>
  <c r="AN119" i="7" s="1"/>
  <c r="AO119" i="7" s="1"/>
  <c r="AP119" i="7" s="1"/>
  <c r="AQ119" i="7" s="1"/>
  <c r="AR119" i="7" s="1"/>
  <c r="AS119" i="7" s="1"/>
  <c r="AT119" i="7" s="1"/>
  <c r="AU119" i="7" s="1"/>
  <c r="AV119" i="7" s="1"/>
  <c r="AW119" i="7" s="1"/>
  <c r="AX119" i="7" s="1"/>
  <c r="AY119" i="7" s="1"/>
  <c r="AZ119" i="7" s="1"/>
  <c r="BA119" i="7" s="1"/>
  <c r="BB119" i="7" s="1"/>
  <c r="BC119" i="7" s="1"/>
  <c r="BD119" i="7" s="1"/>
  <c r="BE119" i="7" s="1"/>
  <c r="E214" i="7"/>
  <c r="E211" i="7"/>
  <c r="F214" i="7"/>
  <c r="F211" i="7"/>
  <c r="G214" i="7"/>
  <c r="G211" i="7"/>
  <c r="H214" i="7"/>
  <c r="H211" i="7"/>
  <c r="I214" i="7"/>
  <c r="I211" i="7"/>
  <c r="J214" i="7"/>
  <c r="J211" i="7"/>
  <c r="K214" i="7"/>
  <c r="K211" i="7"/>
  <c r="L214" i="7"/>
  <c r="L211" i="7"/>
  <c r="M214" i="7"/>
  <c r="M211" i="7"/>
  <c r="N214" i="7"/>
  <c r="N211" i="7"/>
  <c r="O214" i="7"/>
  <c r="O211" i="7"/>
  <c r="P214" i="7"/>
  <c r="P211" i="7"/>
  <c r="Q214" i="7"/>
  <c r="Q211" i="7"/>
  <c r="R214" i="7"/>
  <c r="R211" i="7"/>
  <c r="S214" i="7"/>
  <c r="S211" i="7"/>
  <c r="T214" i="7"/>
  <c r="T211" i="7"/>
  <c r="U214" i="7"/>
  <c r="U211" i="7"/>
  <c r="V214" i="7"/>
  <c r="V211" i="7"/>
  <c r="W214" i="7"/>
  <c r="W211" i="7"/>
  <c r="X214" i="7"/>
  <c r="X211" i="7"/>
  <c r="Y214" i="7"/>
  <c r="Y211" i="7"/>
  <c r="Z214" i="7"/>
  <c r="Z211" i="7"/>
  <c r="AA214" i="7"/>
  <c r="AA211" i="7"/>
  <c r="AB214" i="7"/>
  <c r="AB211" i="7"/>
  <c r="AC214" i="7"/>
  <c r="AC211" i="7"/>
  <c r="AD214" i="7"/>
  <c r="AD211" i="7"/>
  <c r="AE214" i="7"/>
  <c r="AE211" i="7"/>
  <c r="AF214" i="7"/>
  <c r="AF211" i="7"/>
  <c r="AG214" i="7"/>
  <c r="AG211" i="7"/>
  <c r="AH214" i="7"/>
  <c r="AH211" i="7"/>
  <c r="AI214" i="7"/>
  <c r="AI211" i="7"/>
  <c r="AJ214" i="7"/>
  <c r="AJ211" i="7"/>
  <c r="AK214" i="7"/>
  <c r="AL214" i="7" s="1"/>
  <c r="AM214" i="7" s="1"/>
  <c r="AN214" i="7" s="1"/>
  <c r="AO214" i="7" s="1"/>
  <c r="AP214" i="7" s="1"/>
  <c r="AQ214" i="7" s="1"/>
  <c r="AR214" i="7" s="1"/>
  <c r="AS214" i="7" s="1"/>
  <c r="AT214" i="7" s="1"/>
  <c r="AU214" i="7" s="1"/>
  <c r="AV214" i="7" s="1"/>
  <c r="AW214" i="7" s="1"/>
  <c r="AX214" i="7" s="1"/>
  <c r="AY214" i="7" s="1"/>
  <c r="AZ214" i="7" s="1"/>
  <c r="BA214" i="7" s="1"/>
  <c r="BB214" i="7" s="1"/>
  <c r="BC214" i="7" s="1"/>
  <c r="BD214" i="7" s="1"/>
  <c r="BE214" i="7" s="1"/>
  <c r="AK211" i="7"/>
  <c r="AL211" i="7" s="1"/>
  <c r="AM211" i="7" s="1"/>
  <c r="AN211" i="7" s="1"/>
  <c r="AO211" i="7" s="1"/>
  <c r="AP211" i="7" s="1"/>
  <c r="AQ211" i="7" s="1"/>
  <c r="AR211" i="7" s="1"/>
  <c r="AS211" i="7" s="1"/>
  <c r="AT211" i="7" s="1"/>
  <c r="AU211" i="7" s="1"/>
  <c r="AV211" i="7" s="1"/>
  <c r="AW211" i="7" s="1"/>
  <c r="AX211" i="7" s="1"/>
  <c r="AY211" i="7" s="1"/>
  <c r="AZ211" i="7" s="1"/>
  <c r="BA211" i="7" s="1"/>
  <c r="BB211" i="7" s="1"/>
  <c r="BC211" i="7" s="1"/>
  <c r="BD211" i="7" s="1"/>
  <c r="BE211" i="7" s="1"/>
  <c r="AL184" i="7"/>
  <c r="AM184" i="7" s="1"/>
  <c r="AN184" i="7" s="1"/>
  <c r="AO184" i="7" s="1"/>
  <c r="AP184" i="7" s="1"/>
  <c r="AQ184" i="7" s="1"/>
  <c r="AR184" i="7" s="1"/>
  <c r="AS184" i="7" s="1"/>
  <c r="AT184" i="7" s="1"/>
  <c r="AU184" i="7" s="1"/>
  <c r="AV184" i="7" s="1"/>
  <c r="AW184" i="7" s="1"/>
  <c r="AX184" i="7" s="1"/>
  <c r="AY184" i="7" s="1"/>
  <c r="AZ184" i="7" s="1"/>
  <c r="BA184" i="7" s="1"/>
  <c r="BB184" i="7" s="1"/>
  <c r="BC184" i="7" s="1"/>
  <c r="BD184" i="7" s="1"/>
  <c r="BE184" i="7" s="1"/>
  <c r="E215" i="7"/>
  <c r="E212" i="7"/>
  <c r="F215" i="7"/>
  <c r="F212" i="7"/>
  <c r="G215" i="7"/>
  <c r="G212" i="7"/>
  <c r="H215" i="7"/>
  <c r="H212" i="7"/>
  <c r="I215" i="7"/>
  <c r="I212" i="7"/>
  <c r="J215" i="7"/>
  <c r="J212" i="7"/>
  <c r="K215" i="7"/>
  <c r="K212" i="7"/>
  <c r="L215" i="7"/>
  <c r="L212" i="7"/>
  <c r="M215" i="7"/>
  <c r="M212" i="7"/>
  <c r="N215" i="7"/>
  <c r="N212" i="7"/>
  <c r="O215" i="7"/>
  <c r="O212" i="7"/>
  <c r="P215" i="7"/>
  <c r="P212" i="7"/>
  <c r="Q215" i="7"/>
  <c r="Q212" i="7"/>
  <c r="R215" i="7"/>
  <c r="R212" i="7"/>
  <c r="S215" i="7"/>
  <c r="S212" i="7"/>
  <c r="T215" i="7"/>
  <c r="T212" i="7"/>
  <c r="U215" i="7"/>
  <c r="U212" i="7"/>
  <c r="V215" i="7"/>
  <c r="V212" i="7"/>
  <c r="W215" i="7"/>
  <c r="W212" i="7"/>
  <c r="X215" i="7"/>
  <c r="X212" i="7"/>
  <c r="Y215" i="7"/>
  <c r="Y212" i="7"/>
  <c r="Z215" i="7"/>
  <c r="Z212" i="7"/>
  <c r="AA215" i="7"/>
  <c r="AA212" i="7"/>
  <c r="AB215" i="7"/>
  <c r="AB212" i="7"/>
  <c r="AC215" i="7"/>
  <c r="AC212" i="7"/>
  <c r="AD215" i="7"/>
  <c r="AD212" i="7"/>
  <c r="AE215" i="7"/>
  <c r="AE212" i="7"/>
  <c r="AF215" i="7"/>
  <c r="AF212" i="7"/>
  <c r="AG215" i="7"/>
  <c r="AG212" i="7"/>
  <c r="AH215" i="7"/>
  <c r="AH212" i="7"/>
  <c r="AI215" i="7"/>
  <c r="AI212" i="7"/>
  <c r="AJ215" i="7"/>
  <c r="AJ212" i="7"/>
  <c r="AK215" i="7"/>
  <c r="AL215" i="7" s="1"/>
  <c r="AM215" i="7" s="1"/>
  <c r="AN215" i="7" s="1"/>
  <c r="AO215" i="7" s="1"/>
  <c r="AP215" i="7" s="1"/>
  <c r="AQ215" i="7" s="1"/>
  <c r="AR215" i="7" s="1"/>
  <c r="AS215" i="7" s="1"/>
  <c r="AT215" i="7" s="1"/>
  <c r="AU215" i="7" s="1"/>
  <c r="AV215" i="7" s="1"/>
  <c r="AW215" i="7" s="1"/>
  <c r="AX215" i="7" s="1"/>
  <c r="AY215" i="7" s="1"/>
  <c r="AZ215" i="7" s="1"/>
  <c r="BA215" i="7" s="1"/>
  <c r="BB215" i="7" s="1"/>
  <c r="BC215" i="7" s="1"/>
  <c r="BD215" i="7" s="1"/>
  <c r="BE215" i="7" s="1"/>
  <c r="AK212" i="7"/>
  <c r="AL212" i="7" s="1"/>
  <c r="AM212" i="7" s="1"/>
  <c r="AN212" i="7" s="1"/>
  <c r="AO212" i="7" s="1"/>
  <c r="AP212" i="7" s="1"/>
  <c r="AQ212" i="7" s="1"/>
  <c r="AR212" i="7" s="1"/>
  <c r="AS212" i="7" s="1"/>
  <c r="AT212" i="7" s="1"/>
  <c r="AU212" i="7" s="1"/>
  <c r="AV212" i="7" s="1"/>
  <c r="AW212" i="7" s="1"/>
  <c r="AX212" i="7" s="1"/>
  <c r="AY212" i="7" s="1"/>
  <c r="AZ212" i="7" s="1"/>
  <c r="BA212" i="7" s="1"/>
  <c r="BB212" i="7" s="1"/>
  <c r="BC212" i="7" s="1"/>
  <c r="BD212" i="7" s="1"/>
  <c r="BE212" i="7" s="1"/>
  <c r="AL187" i="7"/>
  <c r="AM187" i="7" s="1"/>
  <c r="AN187" i="7" s="1"/>
  <c r="AO187" i="7" s="1"/>
  <c r="AP187" i="7" s="1"/>
  <c r="AQ187" i="7" s="1"/>
  <c r="AR187" i="7" s="1"/>
  <c r="AS187" i="7" s="1"/>
  <c r="AT187" i="7" s="1"/>
  <c r="AU187" i="7" s="1"/>
  <c r="AV187" i="7" s="1"/>
  <c r="AW187" i="7" s="1"/>
  <c r="AX187" i="7" s="1"/>
  <c r="AY187" i="7" s="1"/>
  <c r="AZ187" i="7" s="1"/>
  <c r="BA187" i="7" s="1"/>
  <c r="BB187" i="7" s="1"/>
  <c r="BC187" i="7" s="1"/>
  <c r="BD187" i="7" s="1"/>
  <c r="BE187" i="7" s="1"/>
  <c r="E227" i="7"/>
  <c r="E222" i="7"/>
  <c r="F227" i="7"/>
  <c r="F222" i="7"/>
  <c r="G227" i="7"/>
  <c r="G222" i="7"/>
  <c r="H227" i="7"/>
  <c r="H222" i="7"/>
  <c r="I227" i="7"/>
  <c r="I222" i="7"/>
  <c r="J227" i="7"/>
  <c r="J222" i="7"/>
  <c r="K227" i="7"/>
  <c r="K222" i="7"/>
  <c r="L227" i="7"/>
  <c r="L222" i="7"/>
  <c r="M227" i="7"/>
  <c r="M222" i="7"/>
  <c r="N227" i="7"/>
  <c r="N222" i="7"/>
  <c r="O227" i="7"/>
  <c r="O222" i="7"/>
  <c r="P227" i="7"/>
  <c r="P222" i="7"/>
  <c r="Q227" i="7"/>
  <c r="Q222" i="7"/>
  <c r="R227" i="7"/>
  <c r="R222" i="7"/>
  <c r="S227" i="7"/>
  <c r="S222" i="7"/>
  <c r="T227" i="7"/>
  <c r="T222" i="7"/>
  <c r="U227" i="7"/>
  <c r="U222" i="7"/>
  <c r="V227" i="7"/>
  <c r="V222" i="7"/>
  <c r="W227" i="7"/>
  <c r="W222" i="7"/>
  <c r="X227" i="7"/>
  <c r="X222" i="7"/>
  <c r="Y227" i="7"/>
  <c r="Y222" i="7"/>
  <c r="Z227" i="7"/>
  <c r="Z222" i="7"/>
  <c r="AA227" i="7"/>
  <c r="AA222" i="7"/>
  <c r="AB227" i="7"/>
  <c r="AB222" i="7"/>
  <c r="AC227" i="7"/>
  <c r="AC222" i="7"/>
  <c r="AD227" i="7"/>
  <c r="AD222" i="7"/>
  <c r="AE227" i="7"/>
  <c r="AE222" i="7"/>
  <c r="AF227" i="7"/>
  <c r="AF222" i="7"/>
  <c r="AG227" i="7"/>
  <c r="AG222" i="7"/>
  <c r="AH227" i="7"/>
  <c r="AH222" i="7"/>
  <c r="AI227" i="7"/>
  <c r="AI222" i="7"/>
  <c r="AJ227" i="7"/>
  <c r="AJ222" i="7"/>
  <c r="AK227" i="7"/>
  <c r="AL227" i="7" s="1"/>
  <c r="AM227" i="7" s="1"/>
  <c r="AN227" i="7" s="1"/>
  <c r="AO227" i="7" s="1"/>
  <c r="AP227" i="7" s="1"/>
  <c r="AQ227" i="7" s="1"/>
  <c r="AR227" i="7" s="1"/>
  <c r="AS227" i="7" s="1"/>
  <c r="AT227" i="7" s="1"/>
  <c r="AU227" i="7" s="1"/>
  <c r="AV227" i="7" s="1"/>
  <c r="AW227" i="7" s="1"/>
  <c r="AX227" i="7" s="1"/>
  <c r="AY227" i="7" s="1"/>
  <c r="AZ227" i="7" s="1"/>
  <c r="BA227" i="7" s="1"/>
  <c r="BB227" i="7" s="1"/>
  <c r="BC227" i="7" s="1"/>
  <c r="BD227" i="7" s="1"/>
  <c r="BE227" i="7" s="1"/>
  <c r="AK222" i="7"/>
  <c r="AL222" i="7" s="1"/>
  <c r="AM222" i="7" s="1"/>
  <c r="AN222" i="7" s="1"/>
  <c r="AO222" i="7" s="1"/>
  <c r="AP222" i="7" s="1"/>
  <c r="AQ222" i="7" s="1"/>
  <c r="AR222" i="7" s="1"/>
  <c r="AS222" i="7" s="1"/>
  <c r="AT222" i="7" s="1"/>
  <c r="AU222" i="7" s="1"/>
  <c r="AV222" i="7" s="1"/>
  <c r="AW222" i="7" s="1"/>
  <c r="AX222" i="7" s="1"/>
  <c r="AY222" i="7" s="1"/>
  <c r="AZ222" i="7" s="1"/>
  <c r="BA222" i="7" s="1"/>
  <c r="BB222" i="7" s="1"/>
  <c r="BC222" i="7" s="1"/>
  <c r="BD222" i="7" s="1"/>
  <c r="BE222" i="7" s="1"/>
  <c r="AL193" i="7"/>
  <c r="AM193" i="7" s="1"/>
  <c r="AN193" i="7" s="1"/>
  <c r="AO193" i="7" s="1"/>
  <c r="AP193" i="7" s="1"/>
  <c r="AQ193" i="7" s="1"/>
  <c r="AR193" i="7" s="1"/>
  <c r="AS193" i="7" s="1"/>
  <c r="AT193" i="7" s="1"/>
  <c r="AU193" i="7" s="1"/>
  <c r="AV193" i="7" s="1"/>
  <c r="AW193" i="7" s="1"/>
  <c r="AX193" i="7" s="1"/>
  <c r="AY193" i="7" s="1"/>
  <c r="AZ193" i="7" s="1"/>
  <c r="BA193" i="7" s="1"/>
  <c r="BB193" i="7" s="1"/>
  <c r="BC193" i="7" s="1"/>
  <c r="BD193" i="7" s="1"/>
  <c r="BE193" i="7" s="1"/>
  <c r="E228" i="7"/>
  <c r="E195" i="7"/>
  <c r="F228" i="7"/>
  <c r="F195" i="7"/>
  <c r="G228" i="7"/>
  <c r="G195" i="7"/>
  <c r="H228" i="7"/>
  <c r="H195" i="7"/>
  <c r="I228" i="7"/>
  <c r="I195" i="7"/>
  <c r="J228" i="7"/>
  <c r="J195" i="7"/>
  <c r="K228" i="7"/>
  <c r="K195" i="7"/>
  <c r="L228" i="7"/>
  <c r="L195" i="7"/>
  <c r="M228" i="7"/>
  <c r="M195" i="7"/>
  <c r="N228" i="7"/>
  <c r="N195" i="7"/>
  <c r="O228" i="7"/>
  <c r="O195" i="7"/>
  <c r="P228" i="7"/>
  <c r="P195" i="7"/>
  <c r="Q228" i="7"/>
  <c r="Q195" i="7"/>
  <c r="R228" i="7"/>
  <c r="R195" i="7"/>
  <c r="S228" i="7"/>
  <c r="S195" i="7"/>
  <c r="T228" i="7"/>
  <c r="T195" i="7"/>
  <c r="U228" i="7"/>
  <c r="U195" i="7"/>
  <c r="V228" i="7"/>
  <c r="V195" i="7"/>
  <c r="W228" i="7"/>
  <c r="W195" i="7"/>
  <c r="X228" i="7"/>
  <c r="X195" i="7"/>
  <c r="Y228" i="7"/>
  <c r="Y195" i="7"/>
  <c r="Z228" i="7"/>
  <c r="Z195" i="7"/>
  <c r="AA228" i="7"/>
  <c r="AA195" i="7"/>
  <c r="AB228" i="7"/>
  <c r="AB195" i="7"/>
  <c r="AC228" i="7"/>
  <c r="AC195" i="7"/>
  <c r="AD228" i="7"/>
  <c r="AD195" i="7"/>
  <c r="AE228" i="7"/>
  <c r="AE195" i="7"/>
  <c r="AF228" i="7"/>
  <c r="AF195" i="7"/>
  <c r="AG228" i="7"/>
  <c r="AG195" i="7"/>
  <c r="AH228" i="7"/>
  <c r="AH195" i="7"/>
  <c r="AI228" i="7"/>
  <c r="AI195" i="7"/>
  <c r="AJ228" i="7"/>
  <c r="AJ195" i="7"/>
  <c r="AK228" i="7"/>
  <c r="AL228" i="7" s="1"/>
  <c r="AM228" i="7" s="1"/>
  <c r="AN228" i="7" s="1"/>
  <c r="AO228" i="7" s="1"/>
  <c r="AP228" i="7" s="1"/>
  <c r="AQ228" i="7" s="1"/>
  <c r="AR228" i="7" s="1"/>
  <c r="AS228" i="7" s="1"/>
  <c r="AT228" i="7" s="1"/>
  <c r="AU228" i="7" s="1"/>
  <c r="AV228" i="7" s="1"/>
  <c r="AW228" i="7" s="1"/>
  <c r="AX228" i="7" s="1"/>
  <c r="AY228" i="7" s="1"/>
  <c r="AZ228" i="7" s="1"/>
  <c r="BA228" i="7" s="1"/>
  <c r="BB228" i="7" s="1"/>
  <c r="BC228" i="7" s="1"/>
  <c r="BD228" i="7" s="1"/>
  <c r="BE228" i="7" s="1"/>
  <c r="AK195" i="7"/>
  <c r="AL195" i="7" s="1"/>
  <c r="AM195" i="7" s="1"/>
  <c r="AN195" i="7" s="1"/>
  <c r="AO195" i="7" s="1"/>
  <c r="AP195" i="7" s="1"/>
  <c r="AQ195" i="7" s="1"/>
  <c r="AR195" i="7" s="1"/>
  <c r="AS195" i="7" s="1"/>
  <c r="AT195" i="7" s="1"/>
  <c r="AU195" i="7" s="1"/>
  <c r="AV195" i="7" s="1"/>
  <c r="AW195" i="7" s="1"/>
  <c r="AX195" i="7" s="1"/>
  <c r="AY195" i="7" s="1"/>
  <c r="AZ195" i="7" s="1"/>
  <c r="BA195" i="7" s="1"/>
  <c r="BB195" i="7" s="1"/>
  <c r="BC195" i="7" s="1"/>
  <c r="BD195" i="7" s="1"/>
  <c r="BE195" i="7" s="1"/>
  <c r="AL194" i="7"/>
  <c r="AM194" i="7" s="1"/>
  <c r="AN194" i="7" s="1"/>
  <c r="AO194" i="7" s="1"/>
  <c r="AP194" i="7" s="1"/>
  <c r="AQ194" i="7" s="1"/>
  <c r="AR194" i="7" s="1"/>
  <c r="AS194" i="7" s="1"/>
  <c r="AT194" i="7" s="1"/>
  <c r="AU194" i="7" s="1"/>
  <c r="AV194" i="7" s="1"/>
  <c r="AW194" i="7" s="1"/>
  <c r="AX194" i="7" s="1"/>
  <c r="AY194" i="7" s="1"/>
  <c r="AZ194" i="7" s="1"/>
  <c r="BA194" i="7" s="1"/>
  <c r="BB194" i="7" s="1"/>
  <c r="BC194" i="7" s="1"/>
  <c r="BD194" i="7" s="1"/>
  <c r="BE194" i="7" s="1"/>
  <c r="AK232" i="7"/>
  <c r="AL232" i="7" s="1"/>
  <c r="AM232" i="7" s="1"/>
  <c r="AN232" i="7" s="1"/>
  <c r="AO232" i="7" s="1"/>
  <c r="AP232" i="7" s="1"/>
  <c r="AQ232" i="7" s="1"/>
  <c r="AR232" i="7" s="1"/>
  <c r="AS232" i="7" s="1"/>
  <c r="AT232" i="7" s="1"/>
  <c r="AU232" i="7" s="1"/>
  <c r="AV232" i="7" s="1"/>
  <c r="AW232" i="7" s="1"/>
  <c r="AX232" i="7" s="1"/>
  <c r="AY232" i="7" s="1"/>
  <c r="AZ232" i="7" s="1"/>
  <c r="BA232" i="7" s="1"/>
  <c r="BB232" i="7" s="1"/>
  <c r="BC232" i="7" s="1"/>
  <c r="BD232" i="7" s="1"/>
  <c r="BE232" i="7" s="1"/>
  <c r="AL198" i="7"/>
  <c r="AM198" i="7" s="1"/>
  <c r="AN198" i="7" s="1"/>
  <c r="AO198" i="7" s="1"/>
  <c r="AP198" i="7" s="1"/>
  <c r="AQ198" i="7" s="1"/>
  <c r="AR198" i="7" s="1"/>
  <c r="AS198" i="7" s="1"/>
  <c r="AT198" i="7" s="1"/>
  <c r="AU198" i="7" s="1"/>
  <c r="AV198" i="7" s="1"/>
  <c r="AW198" i="7" s="1"/>
  <c r="AX198" i="7" s="1"/>
  <c r="AY198" i="7" s="1"/>
  <c r="AZ198" i="7" s="1"/>
  <c r="BA198" i="7" s="1"/>
  <c r="BB198" i="7" s="1"/>
  <c r="BC198" i="7" s="1"/>
  <c r="BD198" i="7" s="1"/>
  <c r="BE198" i="7" s="1"/>
  <c r="AK233" i="7"/>
  <c r="AL233" i="7" s="1"/>
  <c r="AM233" i="7" s="1"/>
  <c r="AN233" i="7" s="1"/>
  <c r="AO233" i="7" s="1"/>
  <c r="AP233" i="7" s="1"/>
  <c r="AQ233" i="7" s="1"/>
  <c r="AR233" i="7" s="1"/>
  <c r="AS233" i="7" s="1"/>
  <c r="AT233" i="7" s="1"/>
  <c r="AU233" i="7" s="1"/>
  <c r="AV233" i="7" s="1"/>
  <c r="AW233" i="7" s="1"/>
  <c r="AX233" i="7" s="1"/>
  <c r="AY233" i="7" s="1"/>
  <c r="AZ233" i="7" s="1"/>
  <c r="BA233" i="7" s="1"/>
  <c r="BB233" i="7" s="1"/>
  <c r="BC233" i="7" s="1"/>
  <c r="BD233" i="7" s="1"/>
  <c r="BE233" i="7" s="1"/>
  <c r="AL199" i="7"/>
  <c r="AM199" i="7" s="1"/>
  <c r="AN199" i="7" s="1"/>
  <c r="AO199" i="7" s="1"/>
  <c r="AP199" i="7" s="1"/>
  <c r="AQ199" i="7" s="1"/>
  <c r="AR199" i="7" s="1"/>
  <c r="AS199" i="7" s="1"/>
  <c r="AT199" i="7" s="1"/>
  <c r="AU199" i="7" s="1"/>
  <c r="AV199" i="7" s="1"/>
  <c r="AW199" i="7" s="1"/>
  <c r="AX199" i="7" s="1"/>
  <c r="AY199" i="7" s="1"/>
  <c r="AZ199" i="7" s="1"/>
  <c r="BA199" i="7" s="1"/>
  <c r="BB199" i="7" s="1"/>
  <c r="BC199" i="7" s="1"/>
  <c r="BD199" i="7" s="1"/>
  <c r="BE199" i="7" s="1"/>
  <c r="H11" i="10"/>
  <c r="E7" i="10"/>
  <c r="H14" i="10"/>
  <c r="E14" i="10"/>
  <c r="E44" i="10"/>
  <c r="F45" i="10" s="1"/>
  <c r="D121" i="10"/>
  <c r="D78" i="10"/>
  <c r="E121" i="10"/>
  <c r="E78" i="10"/>
  <c r="F121" i="10"/>
  <c r="F78" i="10"/>
  <c r="G121" i="10"/>
  <c r="G78" i="10"/>
  <c r="D115" i="10"/>
  <c r="E115" i="10"/>
  <c r="F115" i="10"/>
  <c r="G115" i="10"/>
  <c r="D164" i="14"/>
  <c r="I6" i="16"/>
  <c r="G16" i="16"/>
  <c r="H7" i="16"/>
  <c r="I19" i="16"/>
  <c r="G29" i="16"/>
  <c r="H20" i="16"/>
  <c r="G42" i="16"/>
  <c r="H32" i="16"/>
  <c r="I45" i="16"/>
  <c r="G55" i="16"/>
  <c r="H48" i="16"/>
  <c r="I58" i="16"/>
  <c r="G68" i="16"/>
  <c r="H59" i="16"/>
  <c r="G73" i="16"/>
  <c r="H71" i="16"/>
  <c r="G78" i="16"/>
  <c r="H76" i="16"/>
  <c r="H107" i="16"/>
  <c r="I97" i="16"/>
  <c r="D91" i="18"/>
  <c r="D47" i="18"/>
  <c r="E91" i="18"/>
  <c r="E47" i="18"/>
  <c r="F91" i="18"/>
  <c r="F47" i="18"/>
  <c r="G91" i="18"/>
  <c r="G47" i="18"/>
  <c r="D92" i="18"/>
  <c r="E91" i="3" s="1"/>
  <c r="D88" i="18"/>
  <c r="E92" i="18"/>
  <c r="F91" i="3" s="1"/>
  <c r="E88" i="18"/>
  <c r="F92" i="18"/>
  <c r="G91" i="3" s="1"/>
  <c r="F88" i="18"/>
  <c r="G92" i="18"/>
  <c r="H91" i="3" s="1"/>
  <c r="G88" i="18"/>
  <c r="D294" i="18"/>
  <c r="D250" i="18"/>
  <c r="E294" i="18"/>
  <c r="E250" i="18"/>
  <c r="F294" i="18"/>
  <c r="F250" i="18"/>
  <c r="G294" i="18"/>
  <c r="G250" i="18"/>
  <c r="D295" i="18"/>
  <c r="D291" i="18"/>
  <c r="E295" i="18"/>
  <c r="E291" i="18"/>
  <c r="F295" i="18"/>
  <c r="F291" i="18"/>
  <c r="G295" i="18"/>
  <c r="G291" i="18"/>
  <c r="D115" i="20"/>
  <c r="E115" i="20"/>
  <c r="F115" i="20"/>
  <c r="G115" i="20"/>
  <c r="I28" i="21"/>
  <c r="J22" i="21"/>
  <c r="J23" i="21"/>
  <c r="J24" i="21"/>
  <c r="J25" i="21"/>
  <c r="H130" i="21"/>
  <c r="H129" i="21"/>
  <c r="H128" i="21"/>
  <c r="H127" i="21"/>
  <c r="B33" i="22"/>
  <c r="B32" i="22"/>
  <c r="B38" i="22"/>
  <c r="B37" i="22"/>
  <c r="A47" i="24"/>
  <c r="K25" i="21" l="1"/>
  <c r="K24" i="21"/>
  <c r="K23" i="21"/>
  <c r="K22" i="21"/>
  <c r="J28" i="21"/>
  <c r="K21" i="21"/>
  <c r="G305" i="18"/>
  <c r="F305" i="18"/>
  <c r="E305" i="18"/>
  <c r="D305" i="18"/>
  <c r="G102" i="18"/>
  <c r="H90" i="3"/>
  <c r="H101" i="3" s="1"/>
  <c r="F102" i="18"/>
  <c r="G90" i="3"/>
  <c r="G101" i="3" s="1"/>
  <c r="E102" i="18"/>
  <c r="F90" i="3"/>
  <c r="F101" i="3" s="1"/>
  <c r="D102" i="18"/>
  <c r="E90" i="3"/>
  <c r="E101" i="3" s="1"/>
  <c r="I107" i="16"/>
  <c r="J97" i="16"/>
  <c r="H78" i="16"/>
  <c r="I76" i="16"/>
  <c r="H73" i="16"/>
  <c r="I71" i="16"/>
  <c r="I59" i="16"/>
  <c r="J59" i="16" s="1"/>
  <c r="K59" i="16" s="1"/>
  <c r="L59" i="16" s="1"/>
  <c r="M59" i="16" s="1"/>
  <c r="N59" i="16" s="1"/>
  <c r="O59" i="16" s="1"/>
  <c r="P59" i="16" s="1"/>
  <c r="Q59" i="16" s="1"/>
  <c r="R59" i="16" s="1"/>
  <c r="S59" i="16" s="1"/>
  <c r="T59" i="16" s="1"/>
  <c r="U59" i="16" s="1"/>
  <c r="V59" i="16" s="1"/>
  <c r="W59" i="16" s="1"/>
  <c r="X59" i="16" s="1"/>
  <c r="Y59" i="16" s="1"/>
  <c r="Z59" i="16" s="1"/>
  <c r="AA59" i="16" s="1"/>
  <c r="AB59" i="16" s="1"/>
  <c r="AC59" i="16" s="1"/>
  <c r="AD59" i="16" s="1"/>
  <c r="AE59" i="16" s="1"/>
  <c r="AF59" i="16" s="1"/>
  <c r="AG59" i="16" s="1"/>
  <c r="AH59" i="16" s="1"/>
  <c r="AI59" i="16" s="1"/>
  <c r="AJ59" i="16" s="1"/>
  <c r="H68" i="16"/>
  <c r="I68" i="16"/>
  <c r="J58" i="16"/>
  <c r="I48" i="16"/>
  <c r="J48" i="16" s="1"/>
  <c r="K48" i="16" s="1"/>
  <c r="L48" i="16" s="1"/>
  <c r="M48" i="16" s="1"/>
  <c r="N48" i="16" s="1"/>
  <c r="O48" i="16" s="1"/>
  <c r="P48" i="16" s="1"/>
  <c r="Q48" i="16" s="1"/>
  <c r="R48" i="16" s="1"/>
  <c r="S48" i="16" s="1"/>
  <c r="T48" i="16" s="1"/>
  <c r="U48" i="16" s="1"/>
  <c r="V48" i="16" s="1"/>
  <c r="W48" i="16" s="1"/>
  <c r="X48" i="16" s="1"/>
  <c r="Y48" i="16" s="1"/>
  <c r="Z48" i="16" s="1"/>
  <c r="AA48" i="16" s="1"/>
  <c r="AB48" i="16" s="1"/>
  <c r="AC48" i="16" s="1"/>
  <c r="AD48" i="16" s="1"/>
  <c r="AE48" i="16" s="1"/>
  <c r="AF48" i="16" s="1"/>
  <c r="AG48" i="16" s="1"/>
  <c r="AH48" i="16" s="1"/>
  <c r="AI48" i="16" s="1"/>
  <c r="AJ48" i="16" s="1"/>
  <c r="H55" i="16"/>
  <c r="I55" i="16"/>
  <c r="J45" i="16"/>
  <c r="H42" i="16"/>
  <c r="I32" i="16"/>
  <c r="I20" i="16"/>
  <c r="J20" i="16" s="1"/>
  <c r="K20" i="16" s="1"/>
  <c r="L20" i="16" s="1"/>
  <c r="M20" i="16" s="1"/>
  <c r="N20" i="16" s="1"/>
  <c r="O20" i="16" s="1"/>
  <c r="P20" i="16" s="1"/>
  <c r="Q20" i="16" s="1"/>
  <c r="R20" i="16" s="1"/>
  <c r="S20" i="16" s="1"/>
  <c r="T20" i="16" s="1"/>
  <c r="U20" i="16" s="1"/>
  <c r="V20" i="16" s="1"/>
  <c r="W20" i="16" s="1"/>
  <c r="X20" i="16" s="1"/>
  <c r="Y20" i="16" s="1"/>
  <c r="Z20" i="16" s="1"/>
  <c r="AA20" i="16" s="1"/>
  <c r="AB20" i="16" s="1"/>
  <c r="AC20" i="16" s="1"/>
  <c r="AD20" i="16" s="1"/>
  <c r="AE20" i="16" s="1"/>
  <c r="AF20" i="16" s="1"/>
  <c r="AG20" i="16" s="1"/>
  <c r="AH20" i="16" s="1"/>
  <c r="AI20" i="16" s="1"/>
  <c r="AJ20" i="16" s="1"/>
  <c r="H29" i="16"/>
  <c r="I29" i="16"/>
  <c r="J19" i="16"/>
  <c r="I7" i="16"/>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AI7" i="16" s="1"/>
  <c r="AJ7" i="16" s="1"/>
  <c r="H16" i="16"/>
  <c r="I16" i="16"/>
  <c r="J6" i="16"/>
  <c r="I10" i="6"/>
  <c r="I9" i="6"/>
  <c r="I8" i="6"/>
  <c r="I7" i="6"/>
  <c r="H13" i="6"/>
  <c r="I6" i="6"/>
  <c r="I322" i="4"/>
  <c r="T428" i="4"/>
  <c r="U234" i="4"/>
  <c r="J197" i="4"/>
  <c r="K165" i="4"/>
  <c r="J196" i="4"/>
  <c r="K164" i="4"/>
  <c r="J195" i="4"/>
  <c r="K163" i="4"/>
  <c r="J194" i="4"/>
  <c r="K162" i="4"/>
  <c r="J193" i="4"/>
  <c r="K161" i="4"/>
  <c r="J192" i="4"/>
  <c r="K160" i="4"/>
  <c r="J191" i="4"/>
  <c r="K159" i="4"/>
  <c r="J190" i="4"/>
  <c r="K158" i="4"/>
  <c r="J189" i="4"/>
  <c r="K157" i="4"/>
  <c r="J188" i="4"/>
  <c r="K156" i="4"/>
  <c r="J187" i="4"/>
  <c r="K155" i="4"/>
  <c r="H186" i="4"/>
  <c r="I154" i="4"/>
  <c r="G185" i="4"/>
  <c r="H153" i="4"/>
  <c r="G184" i="4"/>
  <c r="H152" i="4"/>
  <c r="G183" i="4"/>
  <c r="H151" i="4"/>
  <c r="G182" i="4"/>
  <c r="H150" i="4"/>
  <c r="G181" i="4"/>
  <c r="H149" i="4"/>
  <c r="G180" i="4"/>
  <c r="H148" i="4"/>
  <c r="G178" i="4"/>
  <c r="H146" i="4"/>
  <c r="G177" i="4"/>
  <c r="H145" i="4"/>
  <c r="G176" i="4"/>
  <c r="H144" i="4"/>
  <c r="G175" i="4"/>
  <c r="H143" i="4"/>
  <c r="G174" i="4"/>
  <c r="H142" i="4"/>
  <c r="G173" i="4"/>
  <c r="H141" i="4"/>
  <c r="G171" i="4"/>
  <c r="H139" i="4"/>
  <c r="G170" i="4"/>
  <c r="H138" i="4"/>
  <c r="H472" i="3"/>
  <c r="H473" i="3" s="1"/>
  <c r="H470" i="3"/>
  <c r="G472" i="3"/>
  <c r="G473" i="3" s="1"/>
  <c r="G470" i="3"/>
  <c r="F472" i="3"/>
  <c r="F473" i="3" s="1"/>
  <c r="F470" i="3"/>
  <c r="E472" i="3"/>
  <c r="E473" i="3" s="1"/>
  <c r="E470" i="3"/>
  <c r="H478" i="4"/>
  <c r="G478" i="4"/>
  <c r="F478" i="4"/>
  <c r="E478" i="4"/>
  <c r="H476" i="4"/>
  <c r="G476" i="4"/>
  <c r="F476" i="4"/>
  <c r="E476" i="4"/>
  <c r="H474" i="4"/>
  <c r="G474" i="4"/>
  <c r="F474" i="4"/>
  <c r="E474" i="4"/>
  <c r="H472" i="4"/>
  <c r="G472" i="4"/>
  <c r="F472" i="4"/>
  <c r="E472" i="4"/>
  <c r="H471" i="4"/>
  <c r="G471" i="4"/>
  <c r="F471" i="4"/>
  <c r="E471" i="4"/>
  <c r="H470" i="4"/>
  <c r="G470" i="4"/>
  <c r="F470" i="4"/>
  <c r="E470" i="4"/>
  <c r="H469" i="4"/>
  <c r="G469" i="4"/>
  <c r="F469" i="4"/>
  <c r="E469" i="4"/>
  <c r="H467" i="4"/>
  <c r="G467" i="4"/>
  <c r="F467" i="4"/>
  <c r="E467" i="4"/>
  <c r="H466" i="4"/>
  <c r="G466" i="4"/>
  <c r="F466" i="4"/>
  <c r="E466" i="4"/>
  <c r="H465" i="4"/>
  <c r="G465" i="4"/>
  <c r="F465" i="4"/>
  <c r="E465" i="4"/>
  <c r="H580" i="3"/>
  <c r="H464" i="4"/>
  <c r="I270" i="4"/>
  <c r="G580" i="3"/>
  <c r="G464" i="4"/>
  <c r="F580" i="3"/>
  <c r="F464" i="4"/>
  <c r="E580" i="3"/>
  <c r="I413" i="3"/>
  <c r="E464"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2" i="4"/>
  <c r="G452" i="4"/>
  <c r="F452" i="4"/>
  <c r="E452" i="4"/>
  <c r="H451" i="4"/>
  <c r="G451" i="4"/>
  <c r="F451" i="4"/>
  <c r="E451" i="4"/>
  <c r="H449" i="4"/>
  <c r="G449" i="4"/>
  <c r="F449" i="4"/>
  <c r="E449" i="4"/>
  <c r="H448" i="4"/>
  <c r="G448" i="4"/>
  <c r="F448" i="4"/>
  <c r="E448" i="4"/>
  <c r="H446" i="4"/>
  <c r="G446" i="4"/>
  <c r="F446" i="4"/>
  <c r="E446" i="4"/>
  <c r="H445" i="4"/>
  <c r="G445" i="4"/>
  <c r="F445" i="4"/>
  <c r="E445" i="4"/>
  <c r="H444" i="4"/>
  <c r="H480" i="4" s="1"/>
  <c r="H286" i="4"/>
  <c r="G444" i="4"/>
  <c r="G480" i="4" s="1"/>
  <c r="G286" i="4"/>
  <c r="F444" i="4"/>
  <c r="F480" i="4" s="1"/>
  <c r="F286" i="4"/>
  <c r="E444" i="4"/>
  <c r="E480" i="4" s="1"/>
  <c r="E286" i="4"/>
  <c r="H443" i="4"/>
  <c r="H336" i="4"/>
  <c r="G443" i="4"/>
  <c r="G336" i="4"/>
  <c r="F443" i="4"/>
  <c r="F336" i="4"/>
  <c r="E443" i="4"/>
  <c r="E336" i="4"/>
  <c r="H438" i="4"/>
  <c r="H331" i="4"/>
  <c r="P330" i="4"/>
  <c r="G438" i="4"/>
  <c r="G331" i="4"/>
  <c r="F438" i="4"/>
  <c r="F331" i="4"/>
  <c r="E438" i="4"/>
  <c r="E331" i="4"/>
  <c r="I331" i="4" s="1"/>
  <c r="H437" i="4"/>
  <c r="H330" i="4"/>
  <c r="P329" i="4"/>
  <c r="G437" i="4"/>
  <c r="G330" i="4"/>
  <c r="F437" i="4"/>
  <c r="F330" i="4"/>
  <c r="E437" i="4"/>
  <c r="E330" i="4"/>
  <c r="I330" i="4" s="1"/>
  <c r="H436" i="4"/>
  <c r="H329" i="4"/>
  <c r="P328" i="4"/>
  <c r="G436" i="4"/>
  <c r="G329" i="4"/>
  <c r="F436" i="4"/>
  <c r="F329" i="4"/>
  <c r="E436" i="4"/>
  <c r="E329" i="4"/>
  <c r="I329" i="4" s="1"/>
  <c r="H550" i="3"/>
  <c r="I384" i="3"/>
  <c r="J384" i="3" s="1"/>
  <c r="K384" i="3" s="1"/>
  <c r="L384" i="3" s="1"/>
  <c r="M384" i="3" s="1"/>
  <c r="N384" i="3" s="1"/>
  <c r="O384" i="3" s="1"/>
  <c r="P384" i="3" s="1"/>
  <c r="Q384" i="3" s="1"/>
  <c r="R384" i="3" s="1"/>
  <c r="S384" i="3" s="1"/>
  <c r="T384" i="3" s="1"/>
  <c r="U384" i="3" s="1"/>
  <c r="V384" i="3" s="1"/>
  <c r="W384" i="3" s="1"/>
  <c r="X384" i="3" s="1"/>
  <c r="Y384" i="3" s="1"/>
  <c r="Z384" i="3" s="1"/>
  <c r="AA384" i="3" s="1"/>
  <c r="AB384" i="3" s="1"/>
  <c r="AC384" i="3" s="1"/>
  <c r="AD384" i="3" s="1"/>
  <c r="AE384" i="3" s="1"/>
  <c r="AF384" i="3" s="1"/>
  <c r="AG384" i="3" s="1"/>
  <c r="AH384" i="3" s="1"/>
  <c r="AI384" i="3" s="1"/>
  <c r="AJ384" i="3" s="1"/>
  <c r="AK384" i="3" s="1"/>
  <c r="H434" i="4"/>
  <c r="P326" i="4"/>
  <c r="G434" i="4"/>
  <c r="F434" i="4"/>
  <c r="E434" i="4"/>
  <c r="H433" i="4"/>
  <c r="H326" i="4"/>
  <c r="G433" i="4"/>
  <c r="G326" i="4"/>
  <c r="F433" i="4"/>
  <c r="F326" i="4"/>
  <c r="E433" i="4"/>
  <c r="E326" i="4"/>
  <c r="H431" i="4"/>
  <c r="H324" i="4"/>
  <c r="P323" i="4"/>
  <c r="G431" i="4"/>
  <c r="G324" i="4"/>
  <c r="F431" i="4"/>
  <c r="F324" i="4"/>
  <c r="E431" i="4"/>
  <c r="E324" i="4"/>
  <c r="I324" i="4" s="1"/>
  <c r="H430" i="4"/>
  <c r="H323" i="4"/>
  <c r="P322" i="4"/>
  <c r="G430" i="4"/>
  <c r="G323" i="4"/>
  <c r="F430" i="4"/>
  <c r="F323" i="4"/>
  <c r="E430" i="4"/>
  <c r="E323" i="4"/>
  <c r="I323" i="4" s="1"/>
  <c r="H427" i="4"/>
  <c r="P319" i="4"/>
  <c r="G427" i="4"/>
  <c r="F427" i="4"/>
  <c r="E427" i="4"/>
  <c r="H426" i="4"/>
  <c r="H319" i="4"/>
  <c r="G426" i="4"/>
  <c r="G319" i="4"/>
  <c r="F426" i="4"/>
  <c r="F319" i="4"/>
  <c r="E426" i="4"/>
  <c r="E319" i="4"/>
  <c r="H424" i="4"/>
  <c r="H317" i="4"/>
  <c r="G424" i="4"/>
  <c r="F424" i="4"/>
  <c r="E424" i="4"/>
  <c r="H422" i="4"/>
  <c r="H315" i="4"/>
  <c r="G422" i="4"/>
  <c r="F422" i="4"/>
  <c r="E422" i="4"/>
  <c r="H421" i="4"/>
  <c r="H314" i="4"/>
  <c r="G421" i="4"/>
  <c r="F421" i="4"/>
  <c r="E421" i="4"/>
  <c r="H420" i="4"/>
  <c r="H313" i="4"/>
  <c r="G420" i="4"/>
  <c r="F420" i="4"/>
  <c r="E420" i="4"/>
  <c r="H419" i="4"/>
  <c r="H312" i="4"/>
  <c r="G419" i="4"/>
  <c r="F419" i="4"/>
  <c r="E419" i="4"/>
  <c r="H418" i="4"/>
  <c r="H311" i="4"/>
  <c r="G418" i="4"/>
  <c r="F418" i="4"/>
  <c r="E418" i="4"/>
  <c r="H417" i="4"/>
  <c r="H310" i="4"/>
  <c r="G417" i="4"/>
  <c r="F417" i="4"/>
  <c r="E417" i="4"/>
  <c r="H416" i="4"/>
  <c r="H309" i="4"/>
  <c r="G416" i="4"/>
  <c r="F416" i="4"/>
  <c r="E416" i="4"/>
  <c r="H415" i="4"/>
  <c r="H308" i="4"/>
  <c r="G415" i="4"/>
  <c r="F415" i="4"/>
  <c r="E415" i="4"/>
  <c r="H414" i="4"/>
  <c r="H307" i="4"/>
  <c r="G414" i="4"/>
  <c r="F414" i="4"/>
  <c r="E414" i="4"/>
  <c r="H413" i="4"/>
  <c r="H306" i="4"/>
  <c r="G413" i="4"/>
  <c r="F413" i="4"/>
  <c r="E413" i="4"/>
  <c r="H383" i="4"/>
  <c r="H340" i="3"/>
  <c r="H382" i="4" s="1"/>
  <c r="H412" i="4"/>
  <c r="H305" i="4"/>
  <c r="G340" i="3"/>
  <c r="G412" i="4"/>
  <c r="F340" i="3"/>
  <c r="F412" i="4"/>
  <c r="E340" i="3"/>
  <c r="E412" i="4"/>
  <c r="H411" i="4"/>
  <c r="H304" i="4"/>
  <c r="G411" i="4"/>
  <c r="F411" i="4"/>
  <c r="E411" i="4"/>
  <c r="H410" i="4"/>
  <c r="H303" i="4"/>
  <c r="G410" i="4"/>
  <c r="F410" i="4"/>
  <c r="E410" i="4"/>
  <c r="H409" i="4"/>
  <c r="H302" i="4"/>
  <c r="G409" i="4"/>
  <c r="F409" i="4"/>
  <c r="E409" i="4"/>
  <c r="H408" i="4"/>
  <c r="H301" i="4"/>
  <c r="G408" i="4"/>
  <c r="F408" i="4"/>
  <c r="E408" i="4"/>
  <c r="H407" i="4"/>
  <c r="H300" i="4"/>
  <c r="G407" i="4"/>
  <c r="F407" i="4"/>
  <c r="E407" i="4"/>
  <c r="H406" i="4"/>
  <c r="H299" i="4"/>
  <c r="G406" i="4"/>
  <c r="F406" i="4"/>
  <c r="E406" i="4"/>
  <c r="H405" i="4"/>
  <c r="H298" i="4"/>
  <c r="G405" i="4"/>
  <c r="F405" i="4"/>
  <c r="E405" i="4"/>
  <c r="H379" i="4"/>
  <c r="H336" i="3"/>
  <c r="H378" i="4" s="1"/>
  <c r="H404" i="4"/>
  <c r="H297" i="4"/>
  <c r="G336" i="3"/>
  <c r="G404" i="4"/>
  <c r="F336" i="3"/>
  <c r="F404" i="4"/>
  <c r="E336" i="3"/>
  <c r="E404" i="4"/>
  <c r="H403" i="4"/>
  <c r="H332" i="4"/>
  <c r="H296" i="4"/>
  <c r="G403" i="4"/>
  <c r="G332" i="4"/>
  <c r="F403" i="4"/>
  <c r="F332" i="4"/>
  <c r="E403" i="4"/>
  <c r="E332" i="4"/>
  <c r="H402" i="4"/>
  <c r="H295" i="4"/>
  <c r="G402" i="4"/>
  <c r="F402" i="4"/>
  <c r="E402" i="4"/>
  <c r="H401" i="4"/>
  <c r="H294" i="4"/>
  <c r="G401" i="4"/>
  <c r="F401" i="4"/>
  <c r="E401" i="4"/>
  <c r="H376" i="4"/>
  <c r="H345" i="3"/>
  <c r="H555" i="3"/>
  <c r="H399" i="4"/>
  <c r="H292" i="4"/>
  <c r="G345" i="3"/>
  <c r="G555" i="3"/>
  <c r="G399" i="4"/>
  <c r="G245" i="4"/>
  <c r="F345" i="3"/>
  <c r="F555" i="3"/>
  <c r="F399" i="4"/>
  <c r="F245" i="4"/>
  <c r="E345" i="3"/>
  <c r="E555" i="3"/>
  <c r="E399" i="4"/>
  <c r="E245" i="4"/>
  <c r="I199" i="4"/>
  <c r="J167" i="4"/>
  <c r="H70" i="4"/>
  <c r="G70" i="4"/>
  <c r="F70" i="4"/>
  <c r="E70" i="4"/>
  <c r="H179" i="4"/>
  <c r="I147" i="4"/>
  <c r="H172" i="4"/>
  <c r="I140" i="4"/>
  <c r="H198" i="4"/>
  <c r="I166" i="4"/>
  <c r="G213" i="2"/>
  <c r="G260" i="2"/>
  <c r="G308" i="2"/>
  <c r="F260" i="2"/>
  <c r="F308" i="2"/>
  <c r="E260" i="2"/>
  <c r="E308" i="2"/>
  <c r="D121" i="2"/>
  <c r="H117" i="2"/>
  <c r="D263" i="2"/>
  <c r="D260" i="2"/>
  <c r="F315" i="2"/>
  <c r="G315" i="2" s="1"/>
  <c r="E34" i="10" s="1"/>
  <c r="F34" i="10" s="1"/>
  <c r="G34" i="10" s="1"/>
  <c r="H34" i="10" s="1"/>
  <c r="D308" i="2"/>
  <c r="H40" i="2"/>
  <c r="G36" i="2"/>
  <c r="G39" i="2"/>
  <c r="F36" i="2"/>
  <c r="F39" i="2"/>
  <c r="E36" i="2"/>
  <c r="E39" i="2"/>
  <c r="D36" i="2"/>
  <c r="D39" i="2"/>
  <c r="H39" i="2" s="1"/>
  <c r="H121" i="2" l="1"/>
  <c r="G268" i="2"/>
  <c r="F268" i="2"/>
  <c r="E268" i="2"/>
  <c r="D268" i="2"/>
  <c r="G270" i="2"/>
  <c r="F270" i="2"/>
  <c r="E270" i="2"/>
  <c r="D270" i="2"/>
  <c r="G269" i="2"/>
  <c r="F269" i="2"/>
  <c r="E269" i="2"/>
  <c r="D269" i="2"/>
  <c r="G267" i="2"/>
  <c r="F267" i="2"/>
  <c r="E267" i="2"/>
  <c r="D267" i="2"/>
  <c r="G266" i="2"/>
  <c r="F266" i="2"/>
  <c r="E266" i="2"/>
  <c r="D266" i="2"/>
  <c r="G265" i="2"/>
  <c r="F265" i="2"/>
  <c r="E265" i="2"/>
  <c r="D265" i="2"/>
  <c r="G264" i="2"/>
  <c r="F264" i="2"/>
  <c r="E264" i="2"/>
  <c r="D264" i="2"/>
  <c r="D271" i="2" s="1"/>
  <c r="G263" i="2"/>
  <c r="G271" i="2" s="1"/>
  <c r="F263" i="2"/>
  <c r="F271" i="2" s="1"/>
  <c r="E263" i="2"/>
  <c r="E271" i="2" s="1"/>
  <c r="I198" i="4"/>
  <c r="J166" i="4"/>
  <c r="I172" i="4"/>
  <c r="J140" i="4"/>
  <c r="I179" i="4"/>
  <c r="J147" i="4"/>
  <c r="J199" i="4"/>
  <c r="K167" i="4"/>
  <c r="E293" i="4"/>
  <c r="E316" i="4"/>
  <c r="M320" i="4"/>
  <c r="M321" i="4"/>
  <c r="M324" i="4"/>
  <c r="M327" i="4"/>
  <c r="M330" i="4"/>
  <c r="M329" i="4"/>
  <c r="M328" i="4"/>
  <c r="M326" i="4"/>
  <c r="M323" i="4"/>
  <c r="M322" i="4"/>
  <c r="M319" i="4"/>
  <c r="E317" i="4"/>
  <c r="E315" i="4"/>
  <c r="E314" i="4"/>
  <c r="E313" i="4"/>
  <c r="E312" i="4"/>
  <c r="E311" i="4"/>
  <c r="E310" i="4"/>
  <c r="E309" i="4"/>
  <c r="E308" i="4"/>
  <c r="E307" i="4"/>
  <c r="E306" i="4"/>
  <c r="E305" i="4"/>
  <c r="E304" i="4"/>
  <c r="E303" i="4"/>
  <c r="E302" i="4"/>
  <c r="E301" i="4"/>
  <c r="E300" i="4"/>
  <c r="E299" i="4"/>
  <c r="E298" i="4"/>
  <c r="E297" i="4"/>
  <c r="E296" i="4"/>
  <c r="E295" i="4"/>
  <c r="E294" i="4"/>
  <c r="E292" i="4"/>
  <c r="E488" i="3"/>
  <c r="E476" i="3"/>
  <c r="F293" i="4"/>
  <c r="F316" i="4"/>
  <c r="N320" i="4"/>
  <c r="N321" i="4"/>
  <c r="N324" i="4"/>
  <c r="N327" i="4"/>
  <c r="N330" i="4"/>
  <c r="N329" i="4"/>
  <c r="N328" i="4"/>
  <c r="N326" i="4"/>
  <c r="N323" i="4"/>
  <c r="N322" i="4"/>
  <c r="N319" i="4"/>
  <c r="F317" i="4"/>
  <c r="F315" i="4"/>
  <c r="F314" i="4"/>
  <c r="F313" i="4"/>
  <c r="F312" i="4"/>
  <c r="F311" i="4"/>
  <c r="F310" i="4"/>
  <c r="F309" i="4"/>
  <c r="F308" i="4"/>
  <c r="F307" i="4"/>
  <c r="F306" i="4"/>
  <c r="F305" i="4"/>
  <c r="F304" i="4"/>
  <c r="F303" i="4"/>
  <c r="F302" i="4"/>
  <c r="F301" i="4"/>
  <c r="F300" i="4"/>
  <c r="F299" i="4"/>
  <c r="F298" i="4"/>
  <c r="F297" i="4"/>
  <c r="F296" i="4"/>
  <c r="F295" i="4"/>
  <c r="F294" i="4"/>
  <c r="F292" i="4"/>
  <c r="F488" i="3"/>
  <c r="F476" i="3"/>
  <c r="G293" i="4"/>
  <c r="G316" i="4"/>
  <c r="O320" i="4"/>
  <c r="O321" i="4"/>
  <c r="O324" i="4"/>
  <c r="O327" i="4"/>
  <c r="O330" i="4"/>
  <c r="O329" i="4"/>
  <c r="O328" i="4"/>
  <c r="O326" i="4"/>
  <c r="O323" i="4"/>
  <c r="O322" i="4"/>
  <c r="O319" i="4"/>
  <c r="G317" i="4"/>
  <c r="G315" i="4"/>
  <c r="G314" i="4"/>
  <c r="G313" i="4"/>
  <c r="G312" i="4"/>
  <c r="G311" i="4"/>
  <c r="G310" i="4"/>
  <c r="G309" i="4"/>
  <c r="G308" i="4"/>
  <c r="G307" i="4"/>
  <c r="G306" i="4"/>
  <c r="G305" i="4"/>
  <c r="G304" i="4"/>
  <c r="G303" i="4"/>
  <c r="G302" i="4"/>
  <c r="G301" i="4"/>
  <c r="G300" i="4"/>
  <c r="G299" i="4"/>
  <c r="G298" i="4"/>
  <c r="G297" i="4"/>
  <c r="G296" i="4"/>
  <c r="G295" i="4"/>
  <c r="G294" i="4"/>
  <c r="G292" i="4"/>
  <c r="G488" i="3"/>
  <c r="G476" i="3"/>
  <c r="H387" i="4"/>
  <c r="H488" i="3"/>
  <c r="H476" i="3"/>
  <c r="E439" i="4"/>
  <c r="E483" i="4" s="1"/>
  <c r="E485" i="4" s="1"/>
  <c r="F439" i="4"/>
  <c r="F483" i="4" s="1"/>
  <c r="F485" i="4" s="1"/>
  <c r="G439" i="4"/>
  <c r="G483" i="4" s="1"/>
  <c r="G485" i="4" s="1"/>
  <c r="H439" i="4"/>
  <c r="H483" i="4" s="1"/>
  <c r="H485" i="4" s="1"/>
  <c r="I319" i="4"/>
  <c r="E318" i="4"/>
  <c r="I430" i="4"/>
  <c r="J430" i="4" s="1"/>
  <c r="K430" i="4" s="1"/>
  <c r="I431" i="4"/>
  <c r="J431" i="4" s="1"/>
  <c r="K431" i="4" s="1"/>
  <c r="I326" i="4"/>
  <c r="E325" i="4"/>
  <c r="I436" i="4"/>
  <c r="J436" i="4"/>
  <c r="K436" i="4"/>
  <c r="I437" i="4"/>
  <c r="J437" i="4"/>
  <c r="K437" i="4"/>
  <c r="J438" i="4"/>
  <c r="K438" i="4"/>
  <c r="E391" i="4"/>
  <c r="E392" i="4" s="1"/>
  <c r="E373" i="4"/>
  <c r="E335" i="4"/>
  <c r="E340" i="4"/>
  <c r="E343" i="4"/>
  <c r="E351" i="4"/>
  <c r="E353" i="4"/>
  <c r="E355" i="4"/>
  <c r="E361" i="4"/>
  <c r="E366" i="4"/>
  <c r="E368" i="4"/>
  <c r="E370" i="4"/>
  <c r="E372" i="4"/>
  <c r="E371" i="4"/>
  <c r="E369" i="4"/>
  <c r="E367" i="4"/>
  <c r="E365" i="4"/>
  <c r="E364" i="4"/>
  <c r="E363" i="4"/>
  <c r="E362" i="4"/>
  <c r="E360" i="4"/>
  <c r="E359" i="4"/>
  <c r="E358" i="4"/>
  <c r="E357" i="4"/>
  <c r="E356" i="4"/>
  <c r="E354" i="4"/>
  <c r="E352" i="4"/>
  <c r="E350" i="4"/>
  <c r="E349" i="4"/>
  <c r="E348" i="4"/>
  <c r="E347" i="4"/>
  <c r="E346" i="4"/>
  <c r="E345" i="4"/>
  <c r="E344" i="4"/>
  <c r="E342" i="4"/>
  <c r="E341" i="4"/>
  <c r="E339" i="4"/>
  <c r="E338" i="4"/>
  <c r="E337" i="4"/>
  <c r="F391" i="4"/>
  <c r="F392" i="4" s="1"/>
  <c r="F373" i="4"/>
  <c r="F335" i="4"/>
  <c r="F340" i="4"/>
  <c r="F343" i="4"/>
  <c r="F351" i="4"/>
  <c r="F353" i="4"/>
  <c r="F355" i="4"/>
  <c r="F361" i="4"/>
  <c r="F366" i="4"/>
  <c r="F368" i="4"/>
  <c r="F370" i="4"/>
  <c r="F372" i="4"/>
  <c r="F371" i="4"/>
  <c r="F369" i="4"/>
  <c r="F367" i="4"/>
  <c r="F365" i="4"/>
  <c r="F364" i="4"/>
  <c r="F363" i="4"/>
  <c r="F362" i="4"/>
  <c r="F360" i="4"/>
  <c r="F359" i="4"/>
  <c r="F358" i="4"/>
  <c r="F357" i="4"/>
  <c r="F356" i="4"/>
  <c r="F354" i="4"/>
  <c r="F352" i="4"/>
  <c r="F350" i="4"/>
  <c r="F349" i="4"/>
  <c r="F348" i="4"/>
  <c r="F347" i="4"/>
  <c r="F346" i="4"/>
  <c r="F345" i="4"/>
  <c r="F344" i="4"/>
  <c r="F342" i="4"/>
  <c r="F341" i="4"/>
  <c r="F339" i="4"/>
  <c r="F338" i="4"/>
  <c r="F337" i="4"/>
  <c r="G391" i="4"/>
  <c r="G392" i="4" s="1"/>
  <c r="G373" i="4"/>
  <c r="G335" i="4"/>
  <c r="G340" i="4"/>
  <c r="G343" i="4"/>
  <c r="G351" i="4"/>
  <c r="G353" i="4"/>
  <c r="G355" i="4"/>
  <c r="G361" i="4"/>
  <c r="G366" i="4"/>
  <c r="G368" i="4"/>
  <c r="G370" i="4"/>
  <c r="G372" i="4"/>
  <c r="G371" i="4"/>
  <c r="G369" i="4"/>
  <c r="G367" i="4"/>
  <c r="G365" i="4"/>
  <c r="G364" i="4"/>
  <c r="G363" i="4"/>
  <c r="G362" i="4"/>
  <c r="G360" i="4"/>
  <c r="G359" i="4"/>
  <c r="G358" i="4"/>
  <c r="G357" i="4"/>
  <c r="G356" i="4"/>
  <c r="G354" i="4"/>
  <c r="G352" i="4"/>
  <c r="G350" i="4"/>
  <c r="G349" i="4"/>
  <c r="G348" i="4"/>
  <c r="G347" i="4"/>
  <c r="G346" i="4"/>
  <c r="G345" i="4"/>
  <c r="G344" i="4"/>
  <c r="G342" i="4"/>
  <c r="G341" i="4"/>
  <c r="G339" i="4"/>
  <c r="G338" i="4"/>
  <c r="G337" i="4"/>
  <c r="H391" i="4"/>
  <c r="H392" i="4" s="1"/>
  <c r="H373" i="4"/>
  <c r="H335" i="4"/>
  <c r="H340" i="4"/>
  <c r="H343" i="4"/>
  <c r="H351" i="4"/>
  <c r="H353" i="4"/>
  <c r="H355" i="4"/>
  <c r="H361" i="4"/>
  <c r="H366" i="4"/>
  <c r="H368" i="4"/>
  <c r="H370" i="4"/>
  <c r="H372" i="4"/>
  <c r="H371" i="4"/>
  <c r="H369" i="4"/>
  <c r="H367" i="4"/>
  <c r="H365" i="4"/>
  <c r="H364" i="4"/>
  <c r="H363" i="4"/>
  <c r="H362" i="4"/>
  <c r="H360" i="4"/>
  <c r="H359" i="4"/>
  <c r="H358" i="4"/>
  <c r="H357" i="4"/>
  <c r="H356" i="4"/>
  <c r="H354" i="4"/>
  <c r="H352" i="4"/>
  <c r="H350" i="4"/>
  <c r="H349" i="4"/>
  <c r="H348" i="4"/>
  <c r="H347" i="4"/>
  <c r="H346" i="4"/>
  <c r="H345" i="4"/>
  <c r="H344" i="4"/>
  <c r="H342" i="4"/>
  <c r="H341" i="4"/>
  <c r="H339" i="4"/>
  <c r="H338" i="4"/>
  <c r="H337" i="4"/>
  <c r="J413" i="3"/>
  <c r="I464" i="4"/>
  <c r="I480" i="4" s="1"/>
  <c r="I286" i="4"/>
  <c r="J270" i="4"/>
  <c r="I263" i="4"/>
  <c r="H170" i="4"/>
  <c r="I138" i="4"/>
  <c r="H171" i="4"/>
  <c r="I139" i="4"/>
  <c r="H173" i="4"/>
  <c r="I141" i="4"/>
  <c r="H174" i="4"/>
  <c r="I142" i="4"/>
  <c r="H175" i="4"/>
  <c r="I143" i="4"/>
  <c r="H176" i="4"/>
  <c r="I144" i="4"/>
  <c r="H177" i="4"/>
  <c r="I145" i="4"/>
  <c r="H178" i="4"/>
  <c r="I146" i="4"/>
  <c r="H180" i="4"/>
  <c r="I148" i="4"/>
  <c r="H181" i="4"/>
  <c r="I149" i="4"/>
  <c r="H182" i="4"/>
  <c r="I150" i="4"/>
  <c r="H183" i="4"/>
  <c r="I151" i="4"/>
  <c r="H184" i="4"/>
  <c r="I152" i="4"/>
  <c r="H185" i="4"/>
  <c r="I153" i="4"/>
  <c r="I186" i="4"/>
  <c r="J154" i="4"/>
  <c r="K187" i="4"/>
  <c r="L155" i="4"/>
  <c r="K188" i="4"/>
  <c r="L156" i="4"/>
  <c r="K189" i="4"/>
  <c r="L157" i="4"/>
  <c r="K190" i="4"/>
  <c r="L158" i="4"/>
  <c r="K191" i="4"/>
  <c r="L159" i="4"/>
  <c r="K192" i="4"/>
  <c r="L160" i="4"/>
  <c r="K193" i="4"/>
  <c r="L161" i="4"/>
  <c r="K194" i="4"/>
  <c r="L162" i="4"/>
  <c r="K195" i="4"/>
  <c r="L163" i="4"/>
  <c r="K196" i="4"/>
  <c r="L164" i="4"/>
  <c r="K197" i="4"/>
  <c r="L165" i="4"/>
  <c r="U428" i="4"/>
  <c r="V234" i="4"/>
  <c r="I429" i="4"/>
  <c r="J429" i="4" s="1"/>
  <c r="K429" i="4" s="1"/>
  <c r="I13" i="6"/>
  <c r="J6" i="6"/>
  <c r="J7" i="6"/>
  <c r="J8" i="6"/>
  <c r="J9" i="6"/>
  <c r="J10" i="6"/>
  <c r="J16" i="16"/>
  <c r="K6" i="16"/>
  <c r="J29" i="16"/>
  <c r="K19" i="16"/>
  <c r="I42" i="16"/>
  <c r="J32" i="16"/>
  <c r="J55" i="16"/>
  <c r="K45" i="16"/>
  <c r="J68" i="16"/>
  <c r="K58" i="16"/>
  <c r="I73" i="16"/>
  <c r="J71" i="16"/>
  <c r="I78" i="16"/>
  <c r="J76" i="16"/>
  <c r="J107" i="16"/>
  <c r="K97" i="16"/>
  <c r="K28" i="21"/>
  <c r="L21" i="21"/>
  <c r="L22" i="21"/>
  <c r="L23" i="21"/>
  <c r="L24" i="21"/>
  <c r="L25" i="21"/>
  <c r="M25" i="21" l="1"/>
  <c r="M24" i="21"/>
  <c r="M23" i="21"/>
  <c r="M22" i="21"/>
  <c r="L28" i="21"/>
  <c r="M21" i="21"/>
  <c r="K107" i="16"/>
  <c r="L97" i="16"/>
  <c r="J78" i="16"/>
  <c r="K76" i="16"/>
  <c r="J73" i="16"/>
  <c r="K71" i="16"/>
  <c r="K68" i="16"/>
  <c r="L58" i="16"/>
  <c r="K55" i="16"/>
  <c r="L45" i="16"/>
  <c r="J42" i="16"/>
  <c r="K32" i="16"/>
  <c r="K29" i="16"/>
  <c r="L19" i="16"/>
  <c r="K16" i="16"/>
  <c r="L6" i="16"/>
  <c r="K10" i="6"/>
  <c r="K9" i="6"/>
  <c r="K8" i="6"/>
  <c r="K7" i="6"/>
  <c r="J13" i="6"/>
  <c r="K6" i="6"/>
  <c r="V428" i="4"/>
  <c r="W234" i="4"/>
  <c r="L197" i="4"/>
  <c r="M165" i="4"/>
  <c r="L196" i="4"/>
  <c r="M164" i="4"/>
  <c r="L195" i="4"/>
  <c r="M163" i="4"/>
  <c r="L194" i="4"/>
  <c r="M162" i="4"/>
  <c r="L193" i="4"/>
  <c r="M161" i="4"/>
  <c r="L192" i="4"/>
  <c r="M160" i="4"/>
  <c r="L191" i="4"/>
  <c r="M159" i="4"/>
  <c r="L190" i="4"/>
  <c r="M158" i="4"/>
  <c r="L189" i="4"/>
  <c r="M157" i="4"/>
  <c r="L188" i="4"/>
  <c r="M156" i="4"/>
  <c r="L187" i="4"/>
  <c r="M155" i="4"/>
  <c r="J186" i="4"/>
  <c r="K154" i="4"/>
  <c r="I185" i="4"/>
  <c r="J153" i="4"/>
  <c r="I184" i="4"/>
  <c r="J152" i="4"/>
  <c r="I183" i="4"/>
  <c r="J151" i="4"/>
  <c r="I241" i="4"/>
  <c r="I435" i="4" s="1"/>
  <c r="I182" i="4"/>
  <c r="J150" i="4"/>
  <c r="I240" i="4"/>
  <c r="I434" i="4" s="1"/>
  <c r="I181" i="4"/>
  <c r="J149" i="4"/>
  <c r="I180" i="4"/>
  <c r="J148" i="4"/>
  <c r="I178" i="4"/>
  <c r="J146" i="4"/>
  <c r="I177" i="4"/>
  <c r="J145" i="4"/>
  <c r="I235" i="4"/>
  <c r="I176" i="4"/>
  <c r="J144" i="4"/>
  <c r="I234" i="4"/>
  <c r="I428" i="4" s="1"/>
  <c r="I175" i="4"/>
  <c r="J143" i="4"/>
  <c r="I233" i="4"/>
  <c r="I427" i="4" s="1"/>
  <c r="I174" i="4"/>
  <c r="J142" i="4"/>
  <c r="I173" i="4"/>
  <c r="J141" i="4"/>
  <c r="I171" i="4"/>
  <c r="J139" i="4"/>
  <c r="I170" i="4"/>
  <c r="J138" i="4"/>
  <c r="J464" i="4"/>
  <c r="J480" i="4" s="1"/>
  <c r="J286" i="4"/>
  <c r="K270" i="4"/>
  <c r="J263" i="4"/>
  <c r="I391" i="4"/>
  <c r="K413" i="3"/>
  <c r="I433" i="4"/>
  <c r="J433" i="4"/>
  <c r="K433" i="4"/>
  <c r="I426" i="4"/>
  <c r="J426" i="4" s="1"/>
  <c r="K426" i="4" s="1"/>
  <c r="H480" i="3"/>
  <c r="H477" i="3"/>
  <c r="H482" i="3" s="1"/>
  <c r="G480" i="3"/>
  <c r="G477" i="3"/>
  <c r="G482" i="3" s="1"/>
  <c r="F480" i="3"/>
  <c r="F477" i="3"/>
  <c r="F482" i="3" s="1"/>
  <c r="E480" i="3"/>
  <c r="E477" i="3"/>
  <c r="E482" i="3" s="1"/>
  <c r="I292" i="4"/>
  <c r="I294" i="4"/>
  <c r="I295" i="4"/>
  <c r="I296" i="4"/>
  <c r="I297" i="4"/>
  <c r="I298" i="4"/>
  <c r="I299" i="4"/>
  <c r="I300" i="4"/>
  <c r="I301" i="4"/>
  <c r="I302" i="4"/>
  <c r="I303" i="4"/>
  <c r="I304" i="4"/>
  <c r="I305" i="4"/>
  <c r="I306" i="4"/>
  <c r="I307" i="4"/>
  <c r="I308" i="4"/>
  <c r="I309" i="4"/>
  <c r="I310" i="4"/>
  <c r="I311" i="4"/>
  <c r="I312" i="4"/>
  <c r="I313" i="4"/>
  <c r="I314" i="4"/>
  <c r="I315" i="4"/>
  <c r="I317" i="4"/>
  <c r="Q319" i="4"/>
  <c r="Q322" i="4"/>
  <c r="Q323" i="4"/>
  <c r="Q326" i="4"/>
  <c r="Q328" i="4"/>
  <c r="Q329" i="4"/>
  <c r="Q330" i="4"/>
  <c r="Q327" i="4"/>
  <c r="Q324" i="4"/>
  <c r="Q321" i="4"/>
  <c r="Q320" i="4"/>
  <c r="I316" i="4"/>
  <c r="I293" i="4"/>
  <c r="K199" i="4"/>
  <c r="L167" i="4"/>
  <c r="J179" i="4"/>
  <c r="K147" i="4"/>
  <c r="J172" i="4"/>
  <c r="K140" i="4"/>
  <c r="J198" i="4"/>
  <c r="K166" i="4"/>
  <c r="K198" i="4" l="1"/>
  <c r="L166" i="4"/>
  <c r="K172" i="4"/>
  <c r="L140" i="4"/>
  <c r="K179" i="4"/>
  <c r="L147" i="4"/>
  <c r="L199" i="4"/>
  <c r="M167" i="4"/>
  <c r="R318" i="4"/>
  <c r="E483" i="3"/>
  <c r="E503" i="3" s="1"/>
  <c r="F483" i="3"/>
  <c r="F503" i="3" s="1"/>
  <c r="G483" i="3"/>
  <c r="G503" i="3" s="1"/>
  <c r="H483" i="3"/>
  <c r="H503" i="3" s="1"/>
  <c r="L413" i="3"/>
  <c r="I424" i="4"/>
  <c r="I421" i="4"/>
  <c r="I419" i="4"/>
  <c r="I418" i="4"/>
  <c r="I416" i="4"/>
  <c r="I414" i="4"/>
  <c r="I413" i="4"/>
  <c r="I410" i="4"/>
  <c r="I402" i="4"/>
  <c r="I401" i="4"/>
  <c r="I392" i="4"/>
  <c r="K464" i="4"/>
  <c r="K480" i="4" s="1"/>
  <c r="K286" i="4"/>
  <c r="L270" i="4"/>
  <c r="K263" i="4"/>
  <c r="J170" i="4"/>
  <c r="K138" i="4"/>
  <c r="J171" i="4"/>
  <c r="K139" i="4"/>
  <c r="J173" i="4"/>
  <c r="K141" i="4"/>
  <c r="J233" i="4"/>
  <c r="J174" i="4"/>
  <c r="K142" i="4"/>
  <c r="J234" i="4"/>
  <c r="J428" i="4" s="1"/>
  <c r="J175" i="4"/>
  <c r="K143" i="4"/>
  <c r="J235" i="4"/>
  <c r="J176" i="4"/>
  <c r="K144" i="4"/>
  <c r="J177" i="4"/>
  <c r="K145" i="4"/>
  <c r="J178" i="4"/>
  <c r="K146" i="4"/>
  <c r="J180" i="4"/>
  <c r="K148" i="4"/>
  <c r="J240" i="4"/>
  <c r="J434" i="4" s="1"/>
  <c r="J181" i="4"/>
  <c r="K149" i="4"/>
  <c r="J241" i="4"/>
  <c r="J435" i="4" s="1"/>
  <c r="J182" i="4"/>
  <c r="K150" i="4"/>
  <c r="J183" i="4"/>
  <c r="K151" i="4"/>
  <c r="J184" i="4"/>
  <c r="K152" i="4"/>
  <c r="J185" i="4"/>
  <c r="K153" i="4"/>
  <c r="K186" i="4"/>
  <c r="L154" i="4"/>
  <c r="M187" i="4"/>
  <c r="N155" i="4"/>
  <c r="M188" i="4"/>
  <c r="N156" i="4"/>
  <c r="M189" i="4"/>
  <c r="N157" i="4"/>
  <c r="M190" i="4"/>
  <c r="N158" i="4"/>
  <c r="M191" i="4"/>
  <c r="N159" i="4"/>
  <c r="M192" i="4"/>
  <c r="N160" i="4"/>
  <c r="M193" i="4"/>
  <c r="N161" i="4"/>
  <c r="M194" i="4"/>
  <c r="N162" i="4"/>
  <c r="M195" i="4"/>
  <c r="N163" i="4"/>
  <c r="M196" i="4"/>
  <c r="N164" i="4"/>
  <c r="M197" i="4"/>
  <c r="N165" i="4"/>
  <c r="W428" i="4"/>
  <c r="X234" i="4"/>
  <c r="K13" i="6"/>
  <c r="L6" i="6"/>
  <c r="L7" i="6"/>
  <c r="L8" i="6"/>
  <c r="L9" i="6"/>
  <c r="L10" i="6"/>
  <c r="L16" i="16"/>
  <c r="M6" i="16"/>
  <c r="L29" i="16"/>
  <c r="M19" i="16"/>
  <c r="K42" i="16"/>
  <c r="L32" i="16"/>
  <c r="L55" i="16"/>
  <c r="M45" i="16"/>
  <c r="L68" i="16"/>
  <c r="M58" i="16"/>
  <c r="K73" i="16"/>
  <c r="L71" i="16"/>
  <c r="K78" i="16"/>
  <c r="L76" i="16"/>
  <c r="L107" i="16"/>
  <c r="M97" i="16"/>
  <c r="M28" i="21"/>
  <c r="N21" i="21"/>
  <c r="N22" i="21"/>
  <c r="N23" i="21"/>
  <c r="N24" i="21"/>
  <c r="N25" i="21"/>
  <c r="O25" i="21" l="1"/>
  <c r="O24" i="21"/>
  <c r="O23" i="21"/>
  <c r="O22" i="21"/>
  <c r="N28" i="21"/>
  <c r="O21" i="21"/>
  <c r="M107" i="16"/>
  <c r="N97" i="16"/>
  <c r="L78" i="16"/>
  <c r="M76" i="16"/>
  <c r="L73" i="16"/>
  <c r="M71" i="16"/>
  <c r="M68" i="16"/>
  <c r="N58" i="16"/>
  <c r="M55" i="16"/>
  <c r="N45" i="16"/>
  <c r="L42" i="16"/>
  <c r="M32" i="16"/>
  <c r="M29" i="16"/>
  <c r="N19" i="16"/>
  <c r="M16" i="16"/>
  <c r="N6" i="16"/>
  <c r="M10" i="6"/>
  <c r="M9" i="6"/>
  <c r="M8" i="6"/>
  <c r="M7" i="6"/>
  <c r="L13" i="6"/>
  <c r="M6" i="6"/>
  <c r="X428" i="4"/>
  <c r="Y234" i="4"/>
  <c r="N197" i="4"/>
  <c r="O165" i="4"/>
  <c r="N196" i="4"/>
  <c r="O164" i="4"/>
  <c r="N195" i="4"/>
  <c r="O163" i="4"/>
  <c r="N194" i="4"/>
  <c r="O162" i="4"/>
  <c r="N193" i="4"/>
  <c r="O161" i="4"/>
  <c r="N192" i="4"/>
  <c r="O160" i="4"/>
  <c r="N191" i="4"/>
  <c r="O159" i="4"/>
  <c r="N190" i="4"/>
  <c r="O158" i="4"/>
  <c r="N189" i="4"/>
  <c r="O157" i="4"/>
  <c r="N188" i="4"/>
  <c r="O156" i="4"/>
  <c r="N187" i="4"/>
  <c r="O155" i="4"/>
  <c r="L186" i="4"/>
  <c r="M154" i="4"/>
  <c r="K185" i="4"/>
  <c r="L153" i="4"/>
  <c r="K184" i="4"/>
  <c r="L152" i="4"/>
  <c r="K183" i="4"/>
  <c r="L151" i="4"/>
  <c r="K241" i="4"/>
  <c r="K435" i="4" s="1"/>
  <c r="K182" i="4"/>
  <c r="L150" i="4"/>
  <c r="K240" i="4"/>
  <c r="K434" i="4" s="1"/>
  <c r="K181" i="4"/>
  <c r="L149" i="4"/>
  <c r="K180" i="4"/>
  <c r="L148" i="4"/>
  <c r="K178" i="4"/>
  <c r="L146" i="4"/>
  <c r="K177" i="4"/>
  <c r="L145" i="4"/>
  <c r="K235" i="4"/>
  <c r="K176" i="4"/>
  <c r="L144" i="4"/>
  <c r="K234" i="4"/>
  <c r="K428" i="4" s="1"/>
  <c r="K175" i="4"/>
  <c r="L143" i="4"/>
  <c r="K233" i="4"/>
  <c r="K427" i="4" s="1"/>
  <c r="K174" i="4"/>
  <c r="L142" i="4"/>
  <c r="J427" i="4"/>
  <c r="J391" i="4"/>
  <c r="K173" i="4"/>
  <c r="L141" i="4"/>
  <c r="K171" i="4"/>
  <c r="L139" i="4"/>
  <c r="K170" i="4"/>
  <c r="L138" i="4"/>
  <c r="L464" i="4"/>
  <c r="L480" i="4" s="1"/>
  <c r="L286" i="4"/>
  <c r="M270" i="4"/>
  <c r="L263" i="4"/>
  <c r="K391" i="4"/>
  <c r="I439" i="4"/>
  <c r="I483" i="4" s="1"/>
  <c r="I485" i="4" s="1"/>
  <c r="M413" i="3"/>
  <c r="M199" i="4"/>
  <c r="N167" i="4"/>
  <c r="L179" i="4"/>
  <c r="M147" i="4"/>
  <c r="L172" i="4"/>
  <c r="M140" i="4"/>
  <c r="L198" i="4"/>
  <c r="M166" i="4"/>
  <c r="M198" i="4" l="1"/>
  <c r="N166" i="4"/>
  <c r="M172" i="4"/>
  <c r="N140" i="4"/>
  <c r="M179" i="4"/>
  <c r="N147" i="4"/>
  <c r="N199" i="4"/>
  <c r="O167" i="4"/>
  <c r="N413" i="3"/>
  <c r="K424" i="4"/>
  <c r="K421" i="4"/>
  <c r="K419" i="4"/>
  <c r="K418" i="4"/>
  <c r="K416" i="4"/>
  <c r="K414" i="4"/>
  <c r="K413" i="4"/>
  <c r="K410" i="4"/>
  <c r="K402" i="4"/>
  <c r="K401" i="4"/>
  <c r="K392" i="4"/>
  <c r="M464" i="4"/>
  <c r="M480" i="4" s="1"/>
  <c r="M286" i="4"/>
  <c r="N270" i="4"/>
  <c r="M263" i="4"/>
  <c r="L170" i="4"/>
  <c r="M138" i="4"/>
  <c r="L171" i="4"/>
  <c r="M139" i="4"/>
  <c r="L173" i="4"/>
  <c r="M141" i="4"/>
  <c r="J424" i="4"/>
  <c r="J421" i="4"/>
  <c r="J419" i="4"/>
  <c r="J418" i="4"/>
  <c r="J416" i="4"/>
  <c r="J414" i="4"/>
  <c r="J413" i="4"/>
  <c r="J410" i="4"/>
  <c r="J402" i="4"/>
  <c r="J401" i="4"/>
  <c r="J392" i="4"/>
  <c r="L233" i="4"/>
  <c r="L174" i="4"/>
  <c r="M142" i="4"/>
  <c r="L234" i="4"/>
  <c r="L428" i="4" s="1"/>
  <c r="L175" i="4"/>
  <c r="M143" i="4"/>
  <c r="L235" i="4"/>
  <c r="L176" i="4"/>
  <c r="M144" i="4"/>
  <c r="L177" i="4"/>
  <c r="M145" i="4"/>
  <c r="L178" i="4"/>
  <c r="M146" i="4"/>
  <c r="L180" i="4"/>
  <c r="M148" i="4"/>
  <c r="L240" i="4"/>
  <c r="L434" i="4" s="1"/>
  <c r="L181" i="4"/>
  <c r="M149" i="4"/>
  <c r="L241" i="4"/>
  <c r="L435" i="4" s="1"/>
  <c r="L182" i="4"/>
  <c r="M150" i="4"/>
  <c r="L183" i="4"/>
  <c r="M151" i="4"/>
  <c r="L184" i="4"/>
  <c r="M152" i="4"/>
  <c r="L185" i="4"/>
  <c r="M153" i="4"/>
  <c r="M186" i="4"/>
  <c r="N154" i="4"/>
  <c r="O187" i="4"/>
  <c r="P155" i="4"/>
  <c r="O188" i="4"/>
  <c r="P156" i="4"/>
  <c r="O189" i="4"/>
  <c r="P157" i="4"/>
  <c r="O190" i="4"/>
  <c r="P158" i="4"/>
  <c r="O191" i="4"/>
  <c r="P159" i="4"/>
  <c r="O192" i="4"/>
  <c r="P160" i="4"/>
  <c r="O193" i="4"/>
  <c r="P161" i="4"/>
  <c r="O194" i="4"/>
  <c r="P162" i="4"/>
  <c r="O195" i="4"/>
  <c r="P163" i="4"/>
  <c r="O196" i="4"/>
  <c r="P164" i="4"/>
  <c r="O197" i="4"/>
  <c r="P165" i="4"/>
  <c r="Y428" i="4"/>
  <c r="Z234" i="4"/>
  <c r="M13" i="6"/>
  <c r="N6" i="6"/>
  <c r="N7" i="6"/>
  <c r="N8" i="6"/>
  <c r="N9" i="6"/>
  <c r="N10" i="6"/>
  <c r="N16" i="16"/>
  <c r="O6" i="16"/>
  <c r="N29" i="16"/>
  <c r="O19" i="16"/>
  <c r="M42" i="16"/>
  <c r="N32" i="16"/>
  <c r="N55" i="16"/>
  <c r="O45" i="16"/>
  <c r="N68" i="16"/>
  <c r="O58" i="16"/>
  <c r="M73" i="16"/>
  <c r="N71" i="16"/>
  <c r="M78" i="16"/>
  <c r="N76" i="16"/>
  <c r="N107" i="16"/>
  <c r="O97" i="16"/>
  <c r="O28" i="21"/>
  <c r="P21" i="21"/>
  <c r="P22" i="21"/>
  <c r="P23" i="21"/>
  <c r="P24" i="21"/>
  <c r="P25" i="21"/>
  <c r="Q25" i="21" l="1"/>
  <c r="Q24" i="21"/>
  <c r="Q23" i="21"/>
  <c r="Q22" i="21"/>
  <c r="P28" i="21"/>
  <c r="Q21" i="21"/>
  <c r="O107" i="16"/>
  <c r="P97" i="16"/>
  <c r="N78" i="16"/>
  <c r="O76" i="16"/>
  <c r="N73" i="16"/>
  <c r="O71" i="16"/>
  <c r="O68" i="16"/>
  <c r="P58" i="16"/>
  <c r="O55" i="16"/>
  <c r="P45" i="16"/>
  <c r="N42" i="16"/>
  <c r="O32" i="16"/>
  <c r="O29" i="16"/>
  <c r="P19" i="16"/>
  <c r="O16" i="16"/>
  <c r="P6" i="16"/>
  <c r="O10" i="6"/>
  <c r="O9" i="6"/>
  <c r="O8" i="6"/>
  <c r="O7" i="6"/>
  <c r="N13" i="6"/>
  <c r="O6" i="6"/>
  <c r="Z428" i="4"/>
  <c r="AA234" i="4"/>
  <c r="P197" i="4"/>
  <c r="Q165" i="4"/>
  <c r="P196" i="4"/>
  <c r="Q164" i="4"/>
  <c r="P195" i="4"/>
  <c r="Q163" i="4"/>
  <c r="P194" i="4"/>
  <c r="Q162" i="4"/>
  <c r="P193" i="4"/>
  <c r="Q161" i="4"/>
  <c r="P192" i="4"/>
  <c r="Q160" i="4"/>
  <c r="P191" i="4"/>
  <c r="Q159" i="4"/>
  <c r="P190" i="4"/>
  <c r="Q158" i="4"/>
  <c r="P189" i="4"/>
  <c r="Q157" i="4"/>
  <c r="P188" i="4"/>
  <c r="Q156" i="4"/>
  <c r="P187" i="4"/>
  <c r="Q155" i="4"/>
  <c r="N186" i="4"/>
  <c r="O154" i="4"/>
  <c r="M185" i="4"/>
  <c r="N153" i="4"/>
  <c r="M184" i="4"/>
  <c r="N152" i="4"/>
  <c r="M183" i="4"/>
  <c r="N151" i="4"/>
  <c r="M241" i="4"/>
  <c r="M435" i="4" s="1"/>
  <c r="M182" i="4"/>
  <c r="N150" i="4"/>
  <c r="M240" i="4"/>
  <c r="M434" i="4" s="1"/>
  <c r="M181" i="4"/>
  <c r="N149" i="4"/>
  <c r="M180" i="4"/>
  <c r="N148" i="4"/>
  <c r="M178" i="4"/>
  <c r="N146" i="4"/>
  <c r="M177" i="4"/>
  <c r="N145" i="4"/>
  <c r="M235" i="4"/>
  <c r="M176" i="4"/>
  <c r="N144" i="4"/>
  <c r="M234" i="4"/>
  <c r="M428" i="4" s="1"/>
  <c r="M175" i="4"/>
  <c r="N143" i="4"/>
  <c r="M233" i="4"/>
  <c r="M427" i="4" s="1"/>
  <c r="M174" i="4"/>
  <c r="N142" i="4"/>
  <c r="L427" i="4"/>
  <c r="L391" i="4"/>
  <c r="J439" i="4"/>
  <c r="J483" i="4" s="1"/>
  <c r="J485" i="4" s="1"/>
  <c r="M173" i="4"/>
  <c r="N141" i="4"/>
  <c r="M171" i="4"/>
  <c r="N139" i="4"/>
  <c r="M170" i="4"/>
  <c r="N138" i="4"/>
  <c r="N464" i="4"/>
  <c r="N480" i="4" s="1"/>
  <c r="N286" i="4"/>
  <c r="O270" i="4"/>
  <c r="N263" i="4"/>
  <c r="M391" i="4"/>
  <c r="K439" i="4"/>
  <c r="K483" i="4" s="1"/>
  <c r="K485" i="4" s="1"/>
  <c r="O413" i="3"/>
  <c r="O199" i="4"/>
  <c r="P167" i="4"/>
  <c r="N179" i="4"/>
  <c r="O147" i="4"/>
  <c r="N172" i="4"/>
  <c r="O140" i="4"/>
  <c r="N198" i="4"/>
  <c r="O166" i="4"/>
  <c r="O198" i="4" l="1"/>
  <c r="P166" i="4"/>
  <c r="O172" i="4"/>
  <c r="P140" i="4"/>
  <c r="O179" i="4"/>
  <c r="P147" i="4"/>
  <c r="P199" i="4"/>
  <c r="Q167" i="4"/>
  <c r="P413" i="3"/>
  <c r="M424" i="4"/>
  <c r="M421" i="4"/>
  <c r="M419" i="4"/>
  <c r="M418" i="4"/>
  <c r="M416" i="4"/>
  <c r="M414" i="4"/>
  <c r="M413" i="4"/>
  <c r="M410" i="4"/>
  <c r="M402" i="4"/>
  <c r="M401" i="4"/>
  <c r="M392" i="4"/>
  <c r="O464" i="4"/>
  <c r="O480" i="4" s="1"/>
  <c r="O286" i="4"/>
  <c r="P270" i="4"/>
  <c r="O263" i="4"/>
  <c r="N170" i="4"/>
  <c r="O138" i="4"/>
  <c r="N171" i="4"/>
  <c r="O139" i="4"/>
  <c r="N173" i="4"/>
  <c r="O141" i="4"/>
  <c r="L424" i="4"/>
  <c r="L421" i="4"/>
  <c r="L419" i="4"/>
  <c r="L418" i="4"/>
  <c r="L416" i="4"/>
  <c r="L414" i="4"/>
  <c r="L413" i="4"/>
  <c r="L410" i="4"/>
  <c r="L402" i="4"/>
  <c r="L401" i="4"/>
  <c r="L392" i="4"/>
  <c r="L393" i="4" s="1"/>
  <c r="N233" i="4"/>
  <c r="N174" i="4"/>
  <c r="O142" i="4"/>
  <c r="N234" i="4"/>
  <c r="N428" i="4" s="1"/>
  <c r="N175" i="4"/>
  <c r="O143" i="4"/>
  <c r="N235" i="4"/>
  <c r="N176" i="4"/>
  <c r="O144" i="4"/>
  <c r="N177" i="4"/>
  <c r="O145" i="4"/>
  <c r="N178" i="4"/>
  <c r="O146" i="4"/>
  <c r="N180" i="4"/>
  <c r="O148" i="4"/>
  <c r="N240" i="4"/>
  <c r="N434" i="4" s="1"/>
  <c r="N181" i="4"/>
  <c r="O149" i="4"/>
  <c r="N241" i="4"/>
  <c r="N435" i="4" s="1"/>
  <c r="N182" i="4"/>
  <c r="O150" i="4"/>
  <c r="N183" i="4"/>
  <c r="O151" i="4"/>
  <c r="N184" i="4"/>
  <c r="O152" i="4"/>
  <c r="N185" i="4"/>
  <c r="O153" i="4"/>
  <c r="O186" i="4"/>
  <c r="P154" i="4"/>
  <c r="Q187" i="4"/>
  <c r="R155" i="4"/>
  <c r="R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AA428" i="4"/>
  <c r="AB234" i="4"/>
  <c r="O13" i="6"/>
  <c r="P6" i="6"/>
  <c r="P7" i="6"/>
  <c r="P8" i="6"/>
  <c r="P9" i="6"/>
  <c r="P10" i="6"/>
  <c r="P16" i="16"/>
  <c r="Q6" i="16"/>
  <c r="P29" i="16"/>
  <c r="Q19" i="16"/>
  <c r="O42" i="16"/>
  <c r="P32" i="16"/>
  <c r="P55" i="16"/>
  <c r="Q45" i="16"/>
  <c r="P68" i="16"/>
  <c r="Q58" i="16"/>
  <c r="O73" i="16"/>
  <c r="P71" i="16"/>
  <c r="O78" i="16"/>
  <c r="P76" i="16"/>
  <c r="P107" i="16"/>
  <c r="Q97" i="16"/>
  <c r="Q28" i="21"/>
  <c r="R21" i="21"/>
  <c r="R22" i="21"/>
  <c r="R23" i="21"/>
  <c r="R24" i="21"/>
  <c r="R25" i="21"/>
  <c r="S25" i="21" l="1"/>
  <c r="S24" i="21"/>
  <c r="S23" i="21"/>
  <c r="S22" i="21"/>
  <c r="R28" i="21"/>
  <c r="S21" i="21"/>
  <c r="Q107" i="16"/>
  <c r="R97" i="16"/>
  <c r="P78" i="16"/>
  <c r="Q76" i="16"/>
  <c r="P73" i="16"/>
  <c r="Q71" i="16"/>
  <c r="Q68" i="16"/>
  <c r="R58" i="16"/>
  <c r="Q55" i="16"/>
  <c r="R45" i="16"/>
  <c r="P42" i="16"/>
  <c r="Q32" i="16"/>
  <c r="Q29" i="16"/>
  <c r="R19" i="16"/>
  <c r="Q16" i="16"/>
  <c r="R6" i="16"/>
  <c r="Q10" i="6"/>
  <c r="Q9" i="6"/>
  <c r="Q8" i="6"/>
  <c r="Q7" i="6"/>
  <c r="P13" i="6"/>
  <c r="Q6" i="6"/>
  <c r="AB428" i="4"/>
  <c r="AC234" i="4"/>
  <c r="P186" i="4"/>
  <c r="Q154" i="4"/>
  <c r="O185" i="4"/>
  <c r="P153" i="4"/>
  <c r="O184" i="4"/>
  <c r="P152" i="4"/>
  <c r="O183" i="4"/>
  <c r="P151" i="4"/>
  <c r="O241" i="4"/>
  <c r="O435" i="4" s="1"/>
  <c r="O182" i="4"/>
  <c r="P150" i="4"/>
  <c r="O240" i="4"/>
  <c r="O434" i="4" s="1"/>
  <c r="O181" i="4"/>
  <c r="P149" i="4"/>
  <c r="O180" i="4"/>
  <c r="P148" i="4"/>
  <c r="O178" i="4"/>
  <c r="P146" i="4"/>
  <c r="O177" i="4"/>
  <c r="P145" i="4"/>
  <c r="O235" i="4"/>
  <c r="O176" i="4"/>
  <c r="P144" i="4"/>
  <c r="O234" i="4"/>
  <c r="O428" i="4" s="1"/>
  <c r="O175" i="4"/>
  <c r="P143" i="4"/>
  <c r="O233" i="4"/>
  <c r="O427" i="4" s="1"/>
  <c r="O174" i="4"/>
  <c r="P142" i="4"/>
  <c r="N427" i="4"/>
  <c r="N391" i="4"/>
  <c r="L395" i="4"/>
  <c r="L394" i="4"/>
  <c r="O173" i="4"/>
  <c r="P141" i="4"/>
  <c r="O171" i="4"/>
  <c r="P139" i="4"/>
  <c r="O170" i="4"/>
  <c r="P138" i="4"/>
  <c r="P464" i="4"/>
  <c r="P480" i="4" s="1"/>
  <c r="P286" i="4"/>
  <c r="Q270" i="4"/>
  <c r="P263" i="4"/>
  <c r="O391" i="4"/>
  <c r="M393" i="4"/>
  <c r="Q413" i="3"/>
  <c r="Q199" i="4"/>
  <c r="R167" i="4"/>
  <c r="R199" i="4" s="1"/>
  <c r="P179" i="4"/>
  <c r="Q147" i="4"/>
  <c r="P172" i="4"/>
  <c r="Q140" i="4"/>
  <c r="P198" i="4"/>
  <c r="Q166" i="4"/>
  <c r="Q198" i="4" l="1"/>
  <c r="R166" i="4"/>
  <c r="R198" i="4" s="1"/>
  <c r="Q172" i="4"/>
  <c r="R140" i="4"/>
  <c r="R172" i="4" s="1"/>
  <c r="Q179" i="4"/>
  <c r="R147" i="4"/>
  <c r="R179" i="4" s="1"/>
  <c r="R413" i="3"/>
  <c r="M395" i="4"/>
  <c r="M394" i="4"/>
  <c r="O424" i="4"/>
  <c r="O421" i="4"/>
  <c r="O419" i="4"/>
  <c r="O418" i="4"/>
  <c r="O416" i="4"/>
  <c r="O414" i="4"/>
  <c r="O413" i="4"/>
  <c r="O410" i="4"/>
  <c r="O402" i="4"/>
  <c r="O401" i="4"/>
  <c r="O392" i="4"/>
  <c r="Q464" i="4"/>
  <c r="Q480" i="4" s="1"/>
  <c r="Q286" i="4"/>
  <c r="R270" i="4"/>
  <c r="Q263" i="4"/>
  <c r="P170" i="4"/>
  <c r="Q138" i="4"/>
  <c r="P171" i="4"/>
  <c r="Q139" i="4"/>
  <c r="P173" i="4"/>
  <c r="Q141" i="4"/>
  <c r="L431" i="4"/>
  <c r="L430" i="4"/>
  <c r="L429" i="4"/>
  <c r="L426" i="4"/>
  <c r="L438" i="4"/>
  <c r="L437" i="4"/>
  <c r="L436" i="4"/>
  <c r="L433" i="4"/>
  <c r="N424" i="4"/>
  <c r="N421" i="4"/>
  <c r="N419" i="4"/>
  <c r="N418" i="4"/>
  <c r="N416" i="4"/>
  <c r="N414" i="4"/>
  <c r="N413" i="4"/>
  <c r="N410" i="4"/>
  <c r="N402" i="4"/>
  <c r="N401" i="4"/>
  <c r="N392" i="4"/>
  <c r="N393" i="4" s="1"/>
  <c r="P233" i="4"/>
  <c r="P174" i="4"/>
  <c r="Q142" i="4"/>
  <c r="P234" i="4"/>
  <c r="P428" i="4" s="1"/>
  <c r="P175" i="4"/>
  <c r="Q143" i="4"/>
  <c r="P235" i="4"/>
  <c r="P176" i="4"/>
  <c r="Q144" i="4"/>
  <c r="P177" i="4"/>
  <c r="Q145" i="4"/>
  <c r="P178" i="4"/>
  <c r="Q146" i="4"/>
  <c r="P180" i="4"/>
  <c r="Q148" i="4"/>
  <c r="P240" i="4"/>
  <c r="P434" i="4" s="1"/>
  <c r="P181" i="4"/>
  <c r="Q149" i="4"/>
  <c r="P241" i="4"/>
  <c r="P435" i="4" s="1"/>
  <c r="P182" i="4"/>
  <c r="Q150" i="4"/>
  <c r="P183" i="4"/>
  <c r="Q151" i="4"/>
  <c r="P184" i="4"/>
  <c r="Q152" i="4"/>
  <c r="P185" i="4"/>
  <c r="Q153" i="4"/>
  <c r="Q186" i="4"/>
  <c r="R154" i="4"/>
  <c r="R186" i="4" s="1"/>
  <c r="AC428" i="4"/>
  <c r="AD234" i="4"/>
  <c r="Q13" i="6"/>
  <c r="R6" i="6"/>
  <c r="R7" i="6"/>
  <c r="R8" i="6"/>
  <c r="R9" i="6"/>
  <c r="R10" i="6"/>
  <c r="R16" i="16"/>
  <c r="S6" i="16"/>
  <c r="R29" i="16"/>
  <c r="S19" i="16"/>
  <c r="Q42" i="16"/>
  <c r="R32" i="16"/>
  <c r="R55" i="16"/>
  <c r="S45" i="16"/>
  <c r="R68" i="16"/>
  <c r="S58" i="16"/>
  <c r="Q73" i="16"/>
  <c r="R71" i="16"/>
  <c r="Q78" i="16"/>
  <c r="R76" i="16"/>
  <c r="R107" i="16"/>
  <c r="S97" i="16"/>
  <c r="S28" i="21"/>
  <c r="T21" i="21"/>
  <c r="T22" i="21"/>
  <c r="T23" i="21"/>
  <c r="T24" i="21"/>
  <c r="T25" i="21"/>
  <c r="U25" i="21" l="1"/>
  <c r="U24" i="21"/>
  <c r="U23" i="21"/>
  <c r="U22" i="21"/>
  <c r="T28" i="21"/>
  <c r="U21" i="21"/>
  <c r="S107" i="16"/>
  <c r="T97" i="16"/>
  <c r="R78" i="16"/>
  <c r="S76" i="16"/>
  <c r="R73" i="16"/>
  <c r="S71" i="16"/>
  <c r="S68" i="16"/>
  <c r="T58" i="16"/>
  <c r="S55" i="16"/>
  <c r="T45" i="16"/>
  <c r="R42" i="16"/>
  <c r="S32" i="16"/>
  <c r="S29" i="16"/>
  <c r="T19" i="16"/>
  <c r="S16" i="16"/>
  <c r="T6" i="16"/>
  <c r="S10" i="6"/>
  <c r="S9" i="6"/>
  <c r="S8" i="6"/>
  <c r="S7" i="6"/>
  <c r="R13" i="6"/>
  <c r="S6" i="6"/>
  <c r="AD428" i="4"/>
  <c r="AE234" i="4"/>
  <c r="Q185" i="4"/>
  <c r="R153" i="4"/>
  <c r="R185" i="4" s="1"/>
  <c r="Q184" i="4"/>
  <c r="R152" i="4"/>
  <c r="R184" i="4" s="1"/>
  <c r="Q183" i="4"/>
  <c r="R151" i="4"/>
  <c r="R183" i="4" s="1"/>
  <c r="Q241" i="4"/>
  <c r="Q435" i="4" s="1"/>
  <c r="Q182" i="4"/>
  <c r="R150" i="4"/>
  <c r="Q240" i="4"/>
  <c r="Q434" i="4" s="1"/>
  <c r="Q181" i="4"/>
  <c r="R149" i="4"/>
  <c r="Q180" i="4"/>
  <c r="R148" i="4"/>
  <c r="R180" i="4" s="1"/>
  <c r="Q178" i="4"/>
  <c r="R146" i="4"/>
  <c r="R178" i="4" s="1"/>
  <c r="Q177" i="4"/>
  <c r="R145" i="4"/>
  <c r="R177" i="4" s="1"/>
  <c r="Q235" i="4"/>
  <c r="Q176" i="4"/>
  <c r="R144" i="4"/>
  <c r="Q234" i="4"/>
  <c r="Q428" i="4" s="1"/>
  <c r="Q175" i="4"/>
  <c r="R143" i="4"/>
  <c r="Q233" i="4"/>
  <c r="Q427" i="4" s="1"/>
  <c r="Q174" i="4"/>
  <c r="R142" i="4"/>
  <c r="P427" i="4"/>
  <c r="P391" i="4"/>
  <c r="N395" i="4"/>
  <c r="N394" i="4"/>
  <c r="L439" i="4"/>
  <c r="L483" i="4" s="1"/>
  <c r="L485" i="4" s="1"/>
  <c r="Q173" i="4"/>
  <c r="R141" i="4"/>
  <c r="R173" i="4" s="1"/>
  <c r="Q171" i="4"/>
  <c r="R139" i="4"/>
  <c r="R171" i="4" s="1"/>
  <c r="Q170" i="4"/>
  <c r="R138" i="4"/>
  <c r="R170" i="4" s="1"/>
  <c r="R464" i="4"/>
  <c r="R480" i="4" s="1"/>
  <c r="R286" i="4"/>
  <c r="S270" i="4"/>
  <c r="R263" i="4"/>
  <c r="Q391" i="4"/>
  <c r="M431" i="4"/>
  <c r="M430" i="4"/>
  <c r="M429" i="4"/>
  <c r="M426" i="4"/>
  <c r="M438" i="4"/>
  <c r="M437" i="4"/>
  <c r="M436" i="4"/>
  <c r="M433" i="4"/>
  <c r="S413" i="3"/>
  <c r="T413" i="3" l="1"/>
  <c r="M439" i="4"/>
  <c r="M483" i="4" s="1"/>
  <c r="M485" i="4" s="1"/>
  <c r="Q424" i="4"/>
  <c r="Q421" i="4"/>
  <c r="Q419" i="4"/>
  <c r="Q418" i="4"/>
  <c r="Q416" i="4"/>
  <c r="Q414" i="4"/>
  <c r="Q413" i="4"/>
  <c r="Q410" i="4"/>
  <c r="Q402" i="4"/>
  <c r="Q401" i="4"/>
  <c r="Q392" i="4"/>
  <c r="S464" i="4"/>
  <c r="S480" i="4" s="1"/>
  <c r="S286" i="4"/>
  <c r="T270" i="4"/>
  <c r="S263" i="4"/>
  <c r="N431" i="4"/>
  <c r="O431" i="4" s="1"/>
  <c r="N430" i="4"/>
  <c r="O430" i="4" s="1"/>
  <c r="N429" i="4"/>
  <c r="O429" i="4" s="1"/>
  <c r="N426" i="4"/>
  <c r="N438" i="4"/>
  <c r="O438" i="4" s="1"/>
  <c r="N437" i="4"/>
  <c r="O437" i="4" s="1"/>
  <c r="N436" i="4"/>
  <c r="O436" i="4" s="1"/>
  <c r="N433" i="4"/>
  <c r="O433" i="4" s="1"/>
  <c r="P424" i="4"/>
  <c r="P421" i="4"/>
  <c r="P419" i="4"/>
  <c r="P418" i="4"/>
  <c r="P416" i="4"/>
  <c r="P414" i="4"/>
  <c r="P413" i="4"/>
  <c r="P410" i="4"/>
  <c r="P402" i="4"/>
  <c r="P401" i="4"/>
  <c r="P392" i="4"/>
  <c r="P393" i="4" s="1"/>
  <c r="R233" i="4"/>
  <c r="R174" i="4"/>
  <c r="R234" i="4"/>
  <c r="R428" i="4" s="1"/>
  <c r="R175" i="4"/>
  <c r="R235" i="4"/>
  <c r="R176" i="4"/>
  <c r="R240" i="4"/>
  <c r="R181" i="4"/>
  <c r="R241" i="4"/>
  <c r="R182" i="4"/>
  <c r="AE428" i="4"/>
  <c r="AF234" i="4"/>
  <c r="S13" i="6"/>
  <c r="T6" i="6"/>
  <c r="T7" i="6"/>
  <c r="T8" i="6"/>
  <c r="T9" i="6"/>
  <c r="T10" i="6"/>
  <c r="T16" i="16"/>
  <c r="U6" i="16"/>
  <c r="T29" i="16"/>
  <c r="U19" i="16"/>
  <c r="S42" i="16"/>
  <c r="T32" i="16"/>
  <c r="T55" i="16"/>
  <c r="U45" i="16"/>
  <c r="T68" i="16"/>
  <c r="U58" i="16"/>
  <c r="S73" i="16"/>
  <c r="T71" i="16"/>
  <c r="S78" i="16"/>
  <c r="T76" i="16"/>
  <c r="T107" i="16"/>
  <c r="U97" i="16"/>
  <c r="U28" i="21"/>
  <c r="V21" i="21"/>
  <c r="V22" i="21"/>
  <c r="V23" i="21"/>
  <c r="V24" i="21"/>
  <c r="V25" i="21"/>
  <c r="W25" i="21" l="1"/>
  <c r="W24" i="21"/>
  <c r="W23" i="21"/>
  <c r="W22" i="21"/>
  <c r="V28" i="21"/>
  <c r="W21" i="21"/>
  <c r="U107" i="16"/>
  <c r="V97" i="16"/>
  <c r="T78" i="16"/>
  <c r="U76" i="16"/>
  <c r="T73" i="16"/>
  <c r="U71" i="16"/>
  <c r="U68" i="16"/>
  <c r="V58" i="16"/>
  <c r="U55" i="16"/>
  <c r="V45" i="16"/>
  <c r="T42" i="16"/>
  <c r="U32" i="16"/>
  <c r="U29" i="16"/>
  <c r="V19" i="16"/>
  <c r="U16" i="16"/>
  <c r="V6" i="16"/>
  <c r="U10" i="6"/>
  <c r="U9" i="6"/>
  <c r="U8" i="6"/>
  <c r="U7" i="6"/>
  <c r="T13" i="6"/>
  <c r="U6" i="6"/>
  <c r="AF428" i="4"/>
  <c r="AG234" i="4"/>
  <c r="R435" i="4"/>
  <c r="S241" i="4"/>
  <c r="R434" i="4"/>
  <c r="S240" i="4"/>
  <c r="R427" i="4"/>
  <c r="S233" i="4"/>
  <c r="R391" i="4"/>
  <c r="P395" i="4"/>
  <c r="P394" i="4"/>
  <c r="O426" i="4"/>
  <c r="O439" i="4" s="1"/>
  <c r="O483" i="4" s="1"/>
  <c r="O485" i="4" s="1"/>
  <c r="N439" i="4"/>
  <c r="N483" i="4" s="1"/>
  <c r="N485" i="4" s="1"/>
  <c r="T464" i="4"/>
  <c r="T480" i="4" s="1"/>
  <c r="T286" i="4"/>
  <c r="U270" i="4"/>
  <c r="T263" i="4"/>
  <c r="S391" i="4"/>
  <c r="Q393" i="4"/>
  <c r="U413" i="3"/>
  <c r="V413" i="3" l="1"/>
  <c r="Q395" i="4"/>
  <c r="Q394" i="4"/>
  <c r="S424" i="4"/>
  <c r="S421" i="4"/>
  <c r="S419" i="4"/>
  <c r="S418" i="4"/>
  <c r="S416" i="4"/>
  <c r="S414" i="4"/>
  <c r="S413" i="4"/>
  <c r="S410" i="4"/>
  <c r="S402" i="4"/>
  <c r="S401" i="4"/>
  <c r="S392" i="4"/>
  <c r="U464" i="4"/>
  <c r="U480" i="4" s="1"/>
  <c r="U286" i="4"/>
  <c r="V270" i="4"/>
  <c r="U263" i="4"/>
  <c r="P431" i="4"/>
  <c r="P430" i="4"/>
  <c r="P429" i="4"/>
  <c r="P426" i="4"/>
  <c r="P438" i="4"/>
  <c r="P437" i="4"/>
  <c r="P436" i="4"/>
  <c r="P433" i="4"/>
  <c r="R424" i="4"/>
  <c r="R421" i="4"/>
  <c r="R419" i="4"/>
  <c r="R418" i="4"/>
  <c r="R416" i="4"/>
  <c r="R414" i="4"/>
  <c r="R413" i="4"/>
  <c r="R410" i="4"/>
  <c r="R402" i="4"/>
  <c r="R401" i="4"/>
  <c r="R392" i="4"/>
  <c r="R393" i="4" s="1"/>
  <c r="S427" i="4"/>
  <c r="T233" i="4"/>
  <c r="S434" i="4"/>
  <c r="T240" i="4"/>
  <c r="S435" i="4"/>
  <c r="T241" i="4"/>
  <c r="AG428" i="4"/>
  <c r="AH234" i="4"/>
  <c r="U13" i="6"/>
  <c r="V6" i="6"/>
  <c r="V7" i="6"/>
  <c r="V8" i="6"/>
  <c r="V9" i="6"/>
  <c r="V10" i="6"/>
  <c r="V16" i="16"/>
  <c r="W6" i="16"/>
  <c r="V29" i="16"/>
  <c r="W19" i="16"/>
  <c r="U42" i="16"/>
  <c r="V32" i="16"/>
  <c r="V55" i="16"/>
  <c r="W45" i="16"/>
  <c r="V68" i="16"/>
  <c r="W58" i="16"/>
  <c r="U73" i="16"/>
  <c r="V71" i="16"/>
  <c r="U78" i="16"/>
  <c r="V76" i="16"/>
  <c r="V107" i="16"/>
  <c r="W97" i="16"/>
  <c r="W28" i="21"/>
  <c r="X21" i="21"/>
  <c r="X22" i="21"/>
  <c r="X23" i="21"/>
  <c r="X24" i="21"/>
  <c r="X25" i="21"/>
  <c r="Y25" i="21" l="1"/>
  <c r="Y24" i="21"/>
  <c r="Y23" i="21"/>
  <c r="Y22" i="21"/>
  <c r="X28" i="21"/>
  <c r="Y21" i="21"/>
  <c r="W107" i="16"/>
  <c r="X97" i="16"/>
  <c r="V78" i="16"/>
  <c r="W76" i="16"/>
  <c r="V73" i="16"/>
  <c r="W71" i="16"/>
  <c r="W68" i="16"/>
  <c r="X58" i="16"/>
  <c r="W55" i="16"/>
  <c r="X45" i="16"/>
  <c r="V42" i="16"/>
  <c r="W32" i="16"/>
  <c r="W29" i="16"/>
  <c r="X19" i="16"/>
  <c r="W16" i="16"/>
  <c r="X6" i="16"/>
  <c r="W10" i="6"/>
  <c r="W9" i="6"/>
  <c r="W8" i="6"/>
  <c r="W7" i="6"/>
  <c r="V13" i="6"/>
  <c r="W6" i="6"/>
  <c r="AH428" i="4"/>
  <c r="AI234" i="4"/>
  <c r="T435" i="4"/>
  <c r="U241" i="4"/>
  <c r="T434" i="4"/>
  <c r="U240" i="4"/>
  <c r="T427" i="4"/>
  <c r="U233" i="4"/>
  <c r="T391" i="4"/>
  <c r="R395" i="4"/>
  <c r="R394" i="4"/>
  <c r="P439" i="4"/>
  <c r="P483" i="4" s="1"/>
  <c r="P485" i="4" s="1"/>
  <c r="V464" i="4"/>
  <c r="V480" i="4" s="1"/>
  <c r="V286" i="4"/>
  <c r="W270" i="4"/>
  <c r="V263" i="4"/>
  <c r="U391" i="4"/>
  <c r="S393" i="4"/>
  <c r="Q431" i="4"/>
  <c r="Q430" i="4"/>
  <c r="Q429" i="4"/>
  <c r="Q426" i="4"/>
  <c r="Q438" i="4"/>
  <c r="Q437" i="4"/>
  <c r="Q436" i="4"/>
  <c r="Q433" i="4"/>
  <c r="W413" i="3"/>
  <c r="X413" i="3" l="1"/>
  <c r="Q439" i="4"/>
  <c r="Q483" i="4" s="1"/>
  <c r="Q485" i="4" s="1"/>
  <c r="S395" i="4"/>
  <c r="S394" i="4"/>
  <c r="U424" i="4"/>
  <c r="U421" i="4"/>
  <c r="U419" i="4"/>
  <c r="U418" i="4"/>
  <c r="U416" i="4"/>
  <c r="U414" i="4"/>
  <c r="U413" i="4"/>
  <c r="U410" i="4"/>
  <c r="U402" i="4"/>
  <c r="U401" i="4"/>
  <c r="U392" i="4"/>
  <c r="W464" i="4"/>
  <c r="W480" i="4" s="1"/>
  <c r="W286" i="4"/>
  <c r="X270" i="4"/>
  <c r="W263" i="4"/>
  <c r="R431" i="4"/>
  <c r="R430" i="4"/>
  <c r="R429" i="4"/>
  <c r="R426" i="4"/>
  <c r="R438" i="4"/>
  <c r="R437" i="4"/>
  <c r="R436" i="4"/>
  <c r="R433" i="4"/>
  <c r="T424" i="4"/>
  <c r="T421" i="4"/>
  <c r="T419" i="4"/>
  <c r="T418" i="4"/>
  <c r="T416" i="4"/>
  <c r="T414" i="4"/>
  <c r="T413" i="4"/>
  <c r="T410" i="4"/>
  <c r="T402" i="4"/>
  <c r="T401" i="4"/>
  <c r="T392" i="4"/>
  <c r="T393" i="4" s="1"/>
  <c r="U427" i="4"/>
  <c r="V233" i="4"/>
  <c r="U434" i="4"/>
  <c r="V240" i="4"/>
  <c r="U435" i="4"/>
  <c r="V241" i="4"/>
  <c r="AI428" i="4"/>
  <c r="AJ234" i="4"/>
  <c r="W13" i="6"/>
  <c r="X6" i="6"/>
  <c r="X7" i="6"/>
  <c r="X8" i="6"/>
  <c r="X9" i="6"/>
  <c r="X10" i="6"/>
  <c r="X16" i="16"/>
  <c r="Y6" i="16"/>
  <c r="X29" i="16"/>
  <c r="Y19" i="16"/>
  <c r="W42" i="16"/>
  <c r="X32" i="16"/>
  <c r="X55" i="16"/>
  <c r="Y45" i="16"/>
  <c r="X68" i="16"/>
  <c r="Y58" i="16"/>
  <c r="W73" i="16"/>
  <c r="X71" i="16"/>
  <c r="W78" i="16"/>
  <c r="X76" i="16"/>
  <c r="X107" i="16"/>
  <c r="Y97" i="16"/>
  <c r="Y28" i="21"/>
  <c r="Z21" i="21"/>
  <c r="Z22" i="21"/>
  <c r="Z23" i="21"/>
  <c r="Z24" i="21"/>
  <c r="Z25" i="21"/>
  <c r="AA25" i="21" l="1"/>
  <c r="AA24" i="21"/>
  <c r="AA23" i="21"/>
  <c r="AA22" i="21"/>
  <c r="Z28" i="21"/>
  <c r="AA21" i="21"/>
  <c r="Y107" i="16"/>
  <c r="Z97" i="16"/>
  <c r="X78" i="16"/>
  <c r="Y76" i="16"/>
  <c r="X73" i="16"/>
  <c r="Y71" i="16"/>
  <c r="Y68" i="16"/>
  <c r="Z58" i="16"/>
  <c r="Y55" i="16"/>
  <c r="Z45" i="16"/>
  <c r="X42" i="16"/>
  <c r="Y32" i="16"/>
  <c r="Y29" i="16"/>
  <c r="Z19" i="16"/>
  <c r="Y16" i="16"/>
  <c r="Z6" i="16"/>
  <c r="Y10" i="6"/>
  <c r="Y9" i="6"/>
  <c r="Y8" i="6"/>
  <c r="Y7" i="6"/>
  <c r="X13" i="6"/>
  <c r="Y6" i="6"/>
  <c r="AJ428" i="4"/>
  <c r="AK234" i="4"/>
  <c r="AK428" i="4" s="1"/>
  <c r="V435" i="4"/>
  <c r="W241" i="4"/>
  <c r="V434" i="4"/>
  <c r="W240" i="4"/>
  <c r="V427" i="4"/>
  <c r="W233" i="4"/>
  <c r="V391" i="4"/>
  <c r="T395" i="4"/>
  <c r="T394" i="4"/>
  <c r="R439" i="4"/>
  <c r="R483" i="4" s="1"/>
  <c r="R485" i="4" s="1"/>
  <c r="X464" i="4"/>
  <c r="X480" i="4" s="1"/>
  <c r="X286" i="4"/>
  <c r="Y270" i="4"/>
  <c r="X263" i="4"/>
  <c r="W391" i="4"/>
  <c r="U393" i="4"/>
  <c r="S431" i="4"/>
  <c r="S430" i="4"/>
  <c r="S429" i="4"/>
  <c r="S426" i="4"/>
  <c r="S438" i="4"/>
  <c r="S437" i="4"/>
  <c r="S436" i="4"/>
  <c r="S433" i="4"/>
  <c r="Y413" i="3"/>
  <c r="Z413" i="3" l="1"/>
  <c r="S439" i="4"/>
  <c r="S483" i="4" s="1"/>
  <c r="S485" i="4" s="1"/>
  <c r="U395" i="4"/>
  <c r="U394" i="4"/>
  <c r="W424" i="4"/>
  <c r="W421" i="4"/>
  <c r="W419" i="4"/>
  <c r="W418" i="4"/>
  <c r="W416" i="4"/>
  <c r="W414" i="4"/>
  <c r="W413" i="4"/>
  <c r="W410" i="4"/>
  <c r="W402" i="4"/>
  <c r="W401" i="4"/>
  <c r="W392" i="4"/>
  <c r="Y464" i="4"/>
  <c r="Y480" i="4" s="1"/>
  <c r="Y286" i="4"/>
  <c r="Z270" i="4"/>
  <c r="Y263" i="4"/>
  <c r="T431" i="4"/>
  <c r="T430" i="4"/>
  <c r="T429" i="4"/>
  <c r="T426" i="4"/>
  <c r="T438" i="4"/>
  <c r="T437" i="4"/>
  <c r="T436" i="4"/>
  <c r="T433" i="4"/>
  <c r="V424" i="4"/>
  <c r="V421" i="4"/>
  <c r="V419" i="4"/>
  <c r="V418" i="4"/>
  <c r="V416" i="4"/>
  <c r="V414" i="4"/>
  <c r="V413" i="4"/>
  <c r="V410" i="4"/>
  <c r="V402" i="4"/>
  <c r="V401" i="4"/>
  <c r="V392" i="4"/>
  <c r="V393" i="4" s="1"/>
  <c r="W427" i="4"/>
  <c r="X233" i="4"/>
  <c r="W434" i="4"/>
  <c r="X240" i="4"/>
  <c r="W435" i="4"/>
  <c r="X241" i="4"/>
  <c r="Y13" i="6"/>
  <c r="Z6" i="6"/>
  <c r="Z7" i="6"/>
  <c r="Z8" i="6"/>
  <c r="Z9" i="6"/>
  <c r="Z10" i="6"/>
  <c r="Z16" i="16"/>
  <c r="AA6" i="16"/>
  <c r="Z29" i="16"/>
  <c r="AA19" i="16"/>
  <c r="Y42" i="16"/>
  <c r="Z32" i="16"/>
  <c r="Z55" i="16"/>
  <c r="AA45" i="16"/>
  <c r="Z68" i="16"/>
  <c r="AA58" i="16"/>
  <c r="Y73" i="16"/>
  <c r="Z71" i="16"/>
  <c r="Y78" i="16"/>
  <c r="Z76" i="16"/>
  <c r="Z107" i="16"/>
  <c r="AA97" i="16"/>
  <c r="AA28" i="21"/>
  <c r="AB21" i="21"/>
  <c r="AB22" i="21"/>
  <c r="AB23" i="21"/>
  <c r="AB24" i="21"/>
  <c r="AB25" i="21"/>
  <c r="AC25" i="21" l="1"/>
  <c r="AC24" i="21"/>
  <c r="AC23" i="21"/>
  <c r="AC22" i="21"/>
  <c r="AB28" i="21"/>
  <c r="AC21" i="21"/>
  <c r="AA107" i="16"/>
  <c r="AB97" i="16"/>
  <c r="Z78" i="16"/>
  <c r="AA76" i="16"/>
  <c r="Z73" i="16"/>
  <c r="AA71" i="16"/>
  <c r="AA68" i="16"/>
  <c r="AB58" i="16"/>
  <c r="AA55" i="16"/>
  <c r="AB45" i="16"/>
  <c r="Z42" i="16"/>
  <c r="AA32" i="16"/>
  <c r="AA29" i="16"/>
  <c r="AB19" i="16"/>
  <c r="AA16" i="16"/>
  <c r="AB6" i="16"/>
  <c r="AA10" i="6"/>
  <c r="AA9" i="6"/>
  <c r="AA8" i="6"/>
  <c r="AA7" i="6"/>
  <c r="Z13" i="6"/>
  <c r="AA6" i="6"/>
  <c r="X435" i="4"/>
  <c r="Y241" i="4"/>
  <c r="X434" i="4"/>
  <c r="Y240" i="4"/>
  <c r="X427" i="4"/>
  <c r="Y233" i="4"/>
  <c r="X391" i="4"/>
  <c r="V395" i="4"/>
  <c r="V394" i="4"/>
  <c r="T439" i="4"/>
  <c r="T483" i="4" s="1"/>
  <c r="T485" i="4" s="1"/>
  <c r="Z464" i="4"/>
  <c r="Z480" i="4" s="1"/>
  <c r="Z286" i="4"/>
  <c r="AA270" i="4"/>
  <c r="Z263" i="4"/>
  <c r="Y391" i="4"/>
  <c r="W393" i="4"/>
  <c r="U431" i="4"/>
  <c r="U430" i="4"/>
  <c r="U429" i="4"/>
  <c r="U426" i="4"/>
  <c r="U438" i="4"/>
  <c r="U437" i="4"/>
  <c r="U436" i="4"/>
  <c r="U433" i="4"/>
  <c r="AA413" i="3"/>
  <c r="AB413" i="3" l="1"/>
  <c r="U439" i="4"/>
  <c r="U483" i="4" s="1"/>
  <c r="U485" i="4" s="1"/>
  <c r="W395" i="4"/>
  <c r="W394" i="4"/>
  <c r="Y424" i="4"/>
  <c r="Y421" i="4"/>
  <c r="Y419" i="4"/>
  <c r="Y418" i="4"/>
  <c r="Y416" i="4"/>
  <c r="Y414" i="4"/>
  <c r="Y413" i="4"/>
  <c r="Y410" i="4"/>
  <c r="Y402" i="4"/>
  <c r="Y401" i="4"/>
  <c r="Y392" i="4"/>
  <c r="AA464" i="4"/>
  <c r="AA480" i="4" s="1"/>
  <c r="AA286" i="4"/>
  <c r="AB270" i="4"/>
  <c r="AA263" i="4"/>
  <c r="V431" i="4"/>
  <c r="V430" i="4"/>
  <c r="V429" i="4"/>
  <c r="V426" i="4"/>
  <c r="V438" i="4"/>
  <c r="V437" i="4"/>
  <c r="V436" i="4"/>
  <c r="V433" i="4"/>
  <c r="X424" i="4"/>
  <c r="X421" i="4"/>
  <c r="X419" i="4"/>
  <c r="X418" i="4"/>
  <c r="X416" i="4"/>
  <c r="X414" i="4"/>
  <c r="X413" i="4"/>
  <c r="X410" i="4"/>
  <c r="X402" i="4"/>
  <c r="X401" i="4"/>
  <c r="X392" i="4"/>
  <c r="X393" i="4" s="1"/>
  <c r="Y427" i="4"/>
  <c r="Z233" i="4"/>
  <c r="Y434" i="4"/>
  <c r="Z240" i="4"/>
  <c r="Y435" i="4"/>
  <c r="Z241" i="4"/>
  <c r="AA13" i="6"/>
  <c r="AB6" i="6"/>
  <c r="AB7" i="6"/>
  <c r="AB8" i="6"/>
  <c r="AB9" i="6"/>
  <c r="AB10" i="6"/>
  <c r="AB16" i="16"/>
  <c r="AC6" i="16"/>
  <c r="AB29" i="16"/>
  <c r="AC19" i="16"/>
  <c r="AA42" i="16"/>
  <c r="AB32" i="16"/>
  <c r="AB55" i="16"/>
  <c r="AC45" i="16"/>
  <c r="AB68" i="16"/>
  <c r="AC58" i="16"/>
  <c r="AA73" i="16"/>
  <c r="AB71" i="16"/>
  <c r="AA78" i="16"/>
  <c r="AB76" i="16"/>
  <c r="AB107" i="16"/>
  <c r="AC97" i="16"/>
  <c r="AC28" i="21"/>
  <c r="AD21" i="21"/>
  <c r="AD22" i="21"/>
  <c r="AD23" i="21"/>
  <c r="AD24" i="21"/>
  <c r="AD25" i="21"/>
  <c r="AE25" i="21" l="1"/>
  <c r="AE24" i="21"/>
  <c r="AE23" i="21"/>
  <c r="AE22" i="21"/>
  <c r="AD28" i="21"/>
  <c r="AE21" i="21"/>
  <c r="AC107" i="16"/>
  <c r="AD97" i="16"/>
  <c r="AB78" i="16"/>
  <c r="AC76" i="16"/>
  <c r="AB73" i="16"/>
  <c r="AC71" i="16"/>
  <c r="AC68" i="16"/>
  <c r="AD58" i="16"/>
  <c r="AC55" i="16"/>
  <c r="AD45" i="16"/>
  <c r="AB42" i="16"/>
  <c r="AC32" i="16"/>
  <c r="AC29" i="16"/>
  <c r="AD19" i="16"/>
  <c r="AC16" i="16"/>
  <c r="AD6" i="16"/>
  <c r="AC10" i="6"/>
  <c r="AC9" i="6"/>
  <c r="AC8" i="6"/>
  <c r="AC7" i="6"/>
  <c r="AB13" i="6"/>
  <c r="AC6" i="6"/>
  <c r="Z435" i="4"/>
  <c r="AA241" i="4"/>
  <c r="Z434" i="4"/>
  <c r="AA240" i="4"/>
  <c r="Z427" i="4"/>
  <c r="AA233" i="4"/>
  <c r="Z391" i="4"/>
  <c r="X395" i="4"/>
  <c r="X394" i="4"/>
  <c r="V439" i="4"/>
  <c r="V483" i="4" s="1"/>
  <c r="V485" i="4" s="1"/>
  <c r="AB464" i="4"/>
  <c r="AB480" i="4" s="1"/>
  <c r="AB286" i="4"/>
  <c r="AC270" i="4"/>
  <c r="AB263" i="4"/>
  <c r="AA391" i="4"/>
  <c r="Y393" i="4"/>
  <c r="W431" i="4"/>
  <c r="W430" i="4"/>
  <c r="W429" i="4"/>
  <c r="W426" i="4"/>
  <c r="W438" i="4"/>
  <c r="W437" i="4"/>
  <c r="W436" i="4"/>
  <c r="W433" i="4"/>
  <c r="AC413" i="3"/>
  <c r="AD413" i="3" l="1"/>
  <c r="W439" i="4"/>
  <c r="W483" i="4" s="1"/>
  <c r="W485" i="4" s="1"/>
  <c r="Y395" i="4"/>
  <c r="Y394" i="4"/>
  <c r="AA424" i="4"/>
  <c r="AA421" i="4"/>
  <c r="AA419" i="4"/>
  <c r="AA418" i="4"/>
  <c r="AA416" i="4"/>
  <c r="AA414" i="4"/>
  <c r="AA413" i="4"/>
  <c r="AA410" i="4"/>
  <c r="AA402" i="4"/>
  <c r="AA401" i="4"/>
  <c r="AA392" i="4"/>
  <c r="AC464" i="4"/>
  <c r="AC480" i="4" s="1"/>
  <c r="AC286" i="4"/>
  <c r="AD270" i="4"/>
  <c r="AC263" i="4"/>
  <c r="X431" i="4"/>
  <c r="X430" i="4"/>
  <c r="X429" i="4"/>
  <c r="X426" i="4"/>
  <c r="X438" i="4"/>
  <c r="X437" i="4"/>
  <c r="X436" i="4"/>
  <c r="X433" i="4"/>
  <c r="Z424" i="4"/>
  <c r="Z421" i="4"/>
  <c r="Z419" i="4"/>
  <c r="Z418" i="4"/>
  <c r="Z416" i="4"/>
  <c r="Z414" i="4"/>
  <c r="Z413" i="4"/>
  <c r="Z410" i="4"/>
  <c r="Z402" i="4"/>
  <c r="Z401" i="4"/>
  <c r="Z392" i="4"/>
  <c r="Z393" i="4" s="1"/>
  <c r="AA427" i="4"/>
  <c r="AB233" i="4"/>
  <c r="AA434" i="4"/>
  <c r="AB240" i="4"/>
  <c r="AA435" i="4"/>
  <c r="AB241" i="4"/>
  <c r="AC13" i="6"/>
  <c r="AD6" i="6"/>
  <c r="AD7" i="6"/>
  <c r="AD8" i="6"/>
  <c r="AD9" i="6"/>
  <c r="AD10" i="6"/>
  <c r="AD16" i="16"/>
  <c r="AE6" i="16"/>
  <c r="AD29" i="16"/>
  <c r="AE19" i="16"/>
  <c r="AC42" i="16"/>
  <c r="AD32" i="16"/>
  <c r="AD55" i="16"/>
  <c r="AE45" i="16"/>
  <c r="AD68" i="16"/>
  <c r="AE58" i="16"/>
  <c r="AC73" i="16"/>
  <c r="AD71" i="16"/>
  <c r="AC78" i="16"/>
  <c r="AD76" i="16"/>
  <c r="AD107" i="16"/>
  <c r="AE97" i="16"/>
  <c r="AE28" i="21"/>
  <c r="AF21" i="21"/>
  <c r="AF22" i="21"/>
  <c r="AF23" i="21"/>
  <c r="AF24" i="21"/>
  <c r="AF25" i="21"/>
  <c r="AG25" i="21" l="1"/>
  <c r="AG24" i="21"/>
  <c r="AG23" i="21"/>
  <c r="AG22" i="21"/>
  <c r="AF28" i="21"/>
  <c r="AG21" i="21"/>
  <c r="AE107" i="16"/>
  <c r="AF97" i="16"/>
  <c r="AD78" i="16"/>
  <c r="AE76" i="16"/>
  <c r="AD73" i="16"/>
  <c r="AE71" i="16"/>
  <c r="AE68" i="16"/>
  <c r="AF58" i="16"/>
  <c r="AE55" i="16"/>
  <c r="AF45" i="16"/>
  <c r="AD42" i="16"/>
  <c r="AE32" i="16"/>
  <c r="AE29" i="16"/>
  <c r="AF19" i="16"/>
  <c r="AE16" i="16"/>
  <c r="AF6" i="16"/>
  <c r="AE10" i="6"/>
  <c r="AE9" i="6"/>
  <c r="AE8" i="6"/>
  <c r="AE7" i="6"/>
  <c r="AD13" i="6"/>
  <c r="AE6" i="6"/>
  <c r="AB435" i="4"/>
  <c r="AC241" i="4"/>
  <c r="AB434" i="4"/>
  <c r="AC240" i="4"/>
  <c r="AB427" i="4"/>
  <c r="AC233" i="4"/>
  <c r="AB391" i="4"/>
  <c r="Z395" i="4"/>
  <c r="Z394" i="4"/>
  <c r="X439" i="4"/>
  <c r="X483" i="4" s="1"/>
  <c r="X485" i="4" s="1"/>
  <c r="AD464" i="4"/>
  <c r="AD480" i="4" s="1"/>
  <c r="AD286" i="4"/>
  <c r="AE270" i="4"/>
  <c r="AD263" i="4"/>
  <c r="AC391" i="4"/>
  <c r="AA393" i="4"/>
  <c r="Y431" i="4"/>
  <c r="Y430" i="4"/>
  <c r="Y429" i="4"/>
  <c r="Y426" i="4"/>
  <c r="Y438" i="4"/>
  <c r="Y437" i="4"/>
  <c r="Y436" i="4"/>
  <c r="Y433" i="4"/>
  <c r="AE413" i="3"/>
  <c r="AF413" i="3" l="1"/>
  <c r="Y439" i="4"/>
  <c r="Y483" i="4" s="1"/>
  <c r="Y485" i="4" s="1"/>
  <c r="AA395" i="4"/>
  <c r="AA394" i="4"/>
  <c r="AC424" i="4"/>
  <c r="AC421" i="4"/>
  <c r="AC419" i="4"/>
  <c r="AC418" i="4"/>
  <c r="AC416" i="4"/>
  <c r="AC414" i="4"/>
  <c r="AC413" i="4"/>
  <c r="AC410" i="4"/>
  <c r="AC402" i="4"/>
  <c r="AC401" i="4"/>
  <c r="AC392" i="4"/>
  <c r="AE464" i="4"/>
  <c r="AE480" i="4" s="1"/>
  <c r="AE286" i="4"/>
  <c r="AF270" i="4"/>
  <c r="AE263" i="4"/>
  <c r="Z431" i="4"/>
  <c r="Z430" i="4"/>
  <c r="Z429" i="4"/>
  <c r="Z426" i="4"/>
  <c r="Z438" i="4"/>
  <c r="Z437" i="4"/>
  <c r="Z436" i="4"/>
  <c r="Z433" i="4"/>
  <c r="AB424" i="4"/>
  <c r="AB421" i="4"/>
  <c r="AB419" i="4"/>
  <c r="AB418" i="4"/>
  <c r="AB416" i="4"/>
  <c r="AB414" i="4"/>
  <c r="AB413" i="4"/>
  <c r="AB410" i="4"/>
  <c r="AB402" i="4"/>
  <c r="AB401" i="4"/>
  <c r="AB392" i="4"/>
  <c r="AB393" i="4" s="1"/>
  <c r="AC427" i="4"/>
  <c r="AD233" i="4"/>
  <c r="AC434" i="4"/>
  <c r="AD240" i="4"/>
  <c r="AC435" i="4"/>
  <c r="AD241" i="4"/>
  <c r="AE13" i="6"/>
  <c r="AF6" i="6"/>
  <c r="AF7" i="6"/>
  <c r="AF8" i="6"/>
  <c r="AF9" i="6"/>
  <c r="AF10" i="6"/>
  <c r="AF16" i="16"/>
  <c r="AG6" i="16"/>
  <c r="AF29" i="16"/>
  <c r="AG19" i="16"/>
  <c r="AE42" i="16"/>
  <c r="AF32" i="16"/>
  <c r="AF55" i="16"/>
  <c r="AG45" i="16"/>
  <c r="AF68" i="16"/>
  <c r="AG58" i="16"/>
  <c r="AE73" i="16"/>
  <c r="AF71" i="16"/>
  <c r="AE78" i="16"/>
  <c r="AF76" i="16"/>
  <c r="AF107" i="16"/>
  <c r="AG97" i="16"/>
  <c r="AG28" i="21"/>
  <c r="AH21" i="21"/>
  <c r="AH22" i="21"/>
  <c r="AH23" i="21"/>
  <c r="AH24" i="21"/>
  <c r="AH25" i="21"/>
  <c r="AI25" i="21" l="1"/>
  <c r="AI24" i="21"/>
  <c r="AI23" i="21"/>
  <c r="AI22" i="21"/>
  <c r="AH28" i="21"/>
  <c r="AI21" i="21"/>
  <c r="AG107" i="16"/>
  <c r="AH97" i="16"/>
  <c r="AF78" i="16"/>
  <c r="AG76" i="16"/>
  <c r="AF73" i="16"/>
  <c r="AG71" i="16"/>
  <c r="AG68" i="16"/>
  <c r="AH58" i="16"/>
  <c r="AG55" i="16"/>
  <c r="AH45" i="16"/>
  <c r="AF42" i="16"/>
  <c r="AG32" i="16"/>
  <c r="AG29" i="16"/>
  <c r="AH19" i="16"/>
  <c r="AG16" i="16"/>
  <c r="AH6" i="16"/>
  <c r="AG10" i="6"/>
  <c r="AG9" i="6"/>
  <c r="AG8" i="6"/>
  <c r="AG7" i="6"/>
  <c r="AF13" i="6"/>
  <c r="AG6" i="6"/>
  <c r="AD435" i="4"/>
  <c r="AE241" i="4"/>
  <c r="AD434" i="4"/>
  <c r="AE240" i="4"/>
  <c r="AD427" i="4"/>
  <c r="AE233" i="4"/>
  <c r="AD391" i="4"/>
  <c r="AB395" i="4"/>
  <c r="AB394" i="4"/>
  <c r="Z439" i="4"/>
  <c r="Z483" i="4" s="1"/>
  <c r="Z485" i="4" s="1"/>
  <c r="AF464" i="4"/>
  <c r="AF480" i="4" s="1"/>
  <c r="AF286" i="4"/>
  <c r="AG270" i="4"/>
  <c r="AF263" i="4"/>
  <c r="AE391" i="4"/>
  <c r="AC393" i="4"/>
  <c r="AA431" i="4"/>
  <c r="AA430" i="4"/>
  <c r="AA429" i="4"/>
  <c r="AA426" i="4"/>
  <c r="AA438" i="4"/>
  <c r="AA437" i="4"/>
  <c r="AA436" i="4"/>
  <c r="AA433" i="4"/>
  <c r="AG413" i="3"/>
  <c r="AH413" i="3" l="1"/>
  <c r="AA439" i="4"/>
  <c r="AA483" i="4" s="1"/>
  <c r="AA485" i="4" s="1"/>
  <c r="AC395" i="4"/>
  <c r="AC394" i="4"/>
  <c r="AE424" i="4"/>
  <c r="AE421" i="4"/>
  <c r="AE419" i="4"/>
  <c r="AE418" i="4"/>
  <c r="AE416" i="4"/>
  <c r="AE414" i="4"/>
  <c r="AE413" i="4"/>
  <c r="AE410" i="4"/>
  <c r="AE402" i="4"/>
  <c r="AE401" i="4"/>
  <c r="AE392" i="4"/>
  <c r="AG464" i="4"/>
  <c r="AG480" i="4" s="1"/>
  <c r="AG286" i="4"/>
  <c r="AH270" i="4"/>
  <c r="AG263" i="4"/>
  <c r="AB431" i="4"/>
  <c r="AB430" i="4"/>
  <c r="AB429" i="4"/>
  <c r="AB426" i="4"/>
  <c r="AB438" i="4"/>
  <c r="AB437" i="4"/>
  <c r="AB436" i="4"/>
  <c r="AB433" i="4"/>
  <c r="AD424" i="4"/>
  <c r="AD421" i="4"/>
  <c r="AD419" i="4"/>
  <c r="AD418" i="4"/>
  <c r="AD416" i="4"/>
  <c r="AD414" i="4"/>
  <c r="AD413" i="4"/>
  <c r="AD410" i="4"/>
  <c r="AD402" i="4"/>
  <c r="AD401" i="4"/>
  <c r="AD392" i="4"/>
  <c r="AD393" i="4" s="1"/>
  <c r="AE427" i="4"/>
  <c r="AF233" i="4"/>
  <c r="AE434" i="4"/>
  <c r="AF240" i="4"/>
  <c r="AE435" i="4"/>
  <c r="AF241" i="4"/>
  <c r="AG13" i="6"/>
  <c r="AH6" i="6"/>
  <c r="AH7" i="6"/>
  <c r="AH8" i="6"/>
  <c r="AH9" i="6"/>
  <c r="AH10" i="6"/>
  <c r="AH16" i="16"/>
  <c r="AI6" i="16"/>
  <c r="AH29" i="16"/>
  <c r="AI19" i="16"/>
  <c r="AG42" i="16"/>
  <c r="AH32" i="16"/>
  <c r="AH55" i="16"/>
  <c r="AI45" i="16"/>
  <c r="AH68" i="16"/>
  <c r="AI58" i="16"/>
  <c r="AG73" i="16"/>
  <c r="AH71" i="16"/>
  <c r="AG78" i="16"/>
  <c r="AH76" i="16"/>
  <c r="AH107" i="16"/>
  <c r="AI97" i="16"/>
  <c r="AI28" i="21"/>
  <c r="AJ21" i="21"/>
  <c r="AJ22" i="21"/>
  <c r="AJ23" i="21"/>
  <c r="AJ24" i="21"/>
  <c r="AJ25" i="21"/>
  <c r="AK25" i="21" l="1"/>
  <c r="AL25" i="21" s="1"/>
  <c r="AK24" i="21"/>
  <c r="AL24" i="21" s="1"/>
  <c r="AK23" i="21"/>
  <c r="AL23" i="21" s="1"/>
  <c r="AK22" i="21"/>
  <c r="AL22" i="21" s="1"/>
  <c r="AJ28" i="21"/>
  <c r="AK21" i="21"/>
  <c r="AI107" i="16"/>
  <c r="AJ97" i="16"/>
  <c r="AJ107" i="16" s="1"/>
  <c r="AH78" i="16"/>
  <c r="AI76" i="16"/>
  <c r="AH73" i="16"/>
  <c r="AI71" i="16"/>
  <c r="AI68" i="16"/>
  <c r="AJ58" i="16"/>
  <c r="AJ68" i="16" s="1"/>
  <c r="AI55" i="16"/>
  <c r="AJ45" i="16"/>
  <c r="AJ55" i="16" s="1"/>
  <c r="AH42" i="16"/>
  <c r="AI32" i="16"/>
  <c r="AI29" i="16"/>
  <c r="AJ19" i="16"/>
  <c r="AJ29" i="16" s="1"/>
  <c r="AI16" i="16"/>
  <c r="AJ6" i="16"/>
  <c r="AJ16" i="16" s="1"/>
  <c r="AI10" i="6"/>
  <c r="AJ10" i="6" s="1"/>
  <c r="AI9" i="6"/>
  <c r="AJ9" i="6" s="1"/>
  <c r="AI8" i="6"/>
  <c r="AJ8" i="6" s="1"/>
  <c r="AI7" i="6"/>
  <c r="AJ7" i="6" s="1"/>
  <c r="AH13" i="6"/>
  <c r="AI6" i="6"/>
  <c r="AF435" i="4"/>
  <c r="AG241" i="4"/>
  <c r="AF434" i="4"/>
  <c r="AG240" i="4"/>
  <c r="AF427" i="4"/>
  <c r="AG233" i="4"/>
  <c r="AF391" i="4"/>
  <c r="AD395" i="4"/>
  <c r="AD394" i="4"/>
  <c r="AB439" i="4"/>
  <c r="AB483" i="4" s="1"/>
  <c r="AB485" i="4" s="1"/>
  <c r="AH464" i="4"/>
  <c r="AH480" i="4" s="1"/>
  <c r="AH286" i="4"/>
  <c r="AI270" i="4"/>
  <c r="AH263" i="4"/>
  <c r="AG391" i="4"/>
  <c r="AE393" i="4"/>
  <c r="AC431" i="4"/>
  <c r="AC430" i="4"/>
  <c r="AC429" i="4"/>
  <c r="AC426" i="4"/>
  <c r="AC438" i="4"/>
  <c r="AC437" i="4"/>
  <c r="AC436" i="4"/>
  <c r="AC433" i="4"/>
  <c r="AI413" i="3"/>
  <c r="AJ413" i="3" l="1"/>
  <c r="AK413" i="3" s="1"/>
  <c r="AC439" i="4"/>
  <c r="AC483" i="4" s="1"/>
  <c r="AC485" i="4" s="1"/>
  <c r="AE395" i="4"/>
  <c r="AE394" i="4"/>
  <c r="AG424" i="4"/>
  <c r="AG421" i="4"/>
  <c r="AG419" i="4"/>
  <c r="AG418" i="4"/>
  <c r="AG416" i="4"/>
  <c r="AG414" i="4"/>
  <c r="AG413" i="4"/>
  <c r="AG410" i="4"/>
  <c r="AG402" i="4"/>
  <c r="AG401" i="4"/>
  <c r="AG392" i="4"/>
  <c r="AI464" i="4"/>
  <c r="AI480" i="4" s="1"/>
  <c r="AI286" i="4"/>
  <c r="AJ270" i="4"/>
  <c r="AI263" i="4"/>
  <c r="AD431" i="4"/>
  <c r="AD430" i="4"/>
  <c r="AD429" i="4"/>
  <c r="AD426" i="4"/>
  <c r="AD438" i="4"/>
  <c r="AD437" i="4"/>
  <c r="AD436" i="4"/>
  <c r="AD433" i="4"/>
  <c r="AF424" i="4"/>
  <c r="AF421" i="4"/>
  <c r="AF419" i="4"/>
  <c r="AF418" i="4"/>
  <c r="AF416" i="4"/>
  <c r="AF414" i="4"/>
  <c r="AF413" i="4"/>
  <c r="AF410" i="4"/>
  <c r="AF402" i="4"/>
  <c r="AF401" i="4"/>
  <c r="AF392" i="4"/>
  <c r="AF393" i="4" s="1"/>
  <c r="AG427" i="4"/>
  <c r="AH233" i="4"/>
  <c r="AG434" i="4"/>
  <c r="AH240" i="4"/>
  <c r="AG435" i="4"/>
  <c r="AH241" i="4"/>
  <c r="AI13" i="6"/>
  <c r="AJ6" i="6"/>
  <c r="AJ13" i="6" s="1"/>
  <c r="AI42" i="16"/>
  <c r="AJ32" i="16"/>
  <c r="AJ42" i="16" s="1"/>
  <c r="AI73" i="16"/>
  <c r="AJ71" i="16"/>
  <c r="AJ73" i="16" s="1"/>
  <c r="AI78" i="16"/>
  <c r="AJ76" i="16"/>
  <c r="AJ78" i="16" s="1"/>
  <c r="AK28" i="21"/>
  <c r="AL21" i="21"/>
  <c r="AL28" i="21" s="1"/>
  <c r="AH435" i="4" l="1"/>
  <c r="AI241" i="4"/>
  <c r="AH434" i="4"/>
  <c r="AI240" i="4"/>
  <c r="AH427" i="4"/>
  <c r="AI233" i="4"/>
  <c r="AH391" i="4"/>
  <c r="AF395" i="4"/>
  <c r="AF394" i="4"/>
  <c r="AD439" i="4"/>
  <c r="AD483" i="4" s="1"/>
  <c r="AD485" i="4" s="1"/>
  <c r="AJ464" i="4"/>
  <c r="AJ480" i="4" s="1"/>
  <c r="AJ286" i="4"/>
  <c r="AK270" i="4"/>
  <c r="AJ263" i="4"/>
  <c r="AI391" i="4"/>
  <c r="AG393" i="4"/>
  <c r="AE431" i="4"/>
  <c r="AE430" i="4"/>
  <c r="AE429" i="4"/>
  <c r="AE426" i="4"/>
  <c r="AE438" i="4"/>
  <c r="AE437" i="4"/>
  <c r="AE436" i="4"/>
  <c r="AE433" i="4"/>
  <c r="AE439" i="4" l="1"/>
  <c r="AE483" i="4" s="1"/>
  <c r="AE485" i="4" s="1"/>
  <c r="AG395" i="4"/>
  <c r="AG394" i="4"/>
  <c r="AI424" i="4"/>
  <c r="AI421" i="4"/>
  <c r="AI419" i="4"/>
  <c r="AI418" i="4"/>
  <c r="AI416" i="4"/>
  <c r="AI414" i="4"/>
  <c r="AI413" i="4"/>
  <c r="AI410" i="4"/>
  <c r="AI402" i="4"/>
  <c r="AI401" i="4"/>
  <c r="AI392" i="4"/>
  <c r="AK464" i="4"/>
  <c r="AK480" i="4" s="1"/>
  <c r="AK286" i="4"/>
  <c r="AK263" i="4"/>
  <c r="AF431" i="4"/>
  <c r="AF430" i="4"/>
  <c r="AF429" i="4"/>
  <c r="AF426" i="4"/>
  <c r="AF438" i="4"/>
  <c r="AF437" i="4"/>
  <c r="AF436" i="4"/>
  <c r="AF433" i="4"/>
  <c r="AH424" i="4"/>
  <c r="AH421" i="4"/>
  <c r="AH419" i="4"/>
  <c r="AH418" i="4"/>
  <c r="AH416" i="4"/>
  <c r="AH414" i="4"/>
  <c r="AH413" i="4"/>
  <c r="AH410" i="4"/>
  <c r="AH402" i="4"/>
  <c r="AH401" i="4"/>
  <c r="AH392" i="4"/>
  <c r="AH393" i="4" s="1"/>
  <c r="AI427" i="4"/>
  <c r="AJ233" i="4"/>
  <c r="AI434" i="4"/>
  <c r="AJ240" i="4"/>
  <c r="AI435" i="4"/>
  <c r="AJ241" i="4"/>
  <c r="AJ435" i="4" l="1"/>
  <c r="AK241" i="4"/>
  <c r="AK435" i="4" s="1"/>
  <c r="AJ434" i="4"/>
  <c r="AK240" i="4"/>
  <c r="AK434" i="4" s="1"/>
  <c r="AJ427" i="4"/>
  <c r="AK233" i="4"/>
  <c r="AK427" i="4" s="1"/>
  <c r="AJ391" i="4"/>
  <c r="AH395" i="4"/>
  <c r="AH394" i="4"/>
  <c r="AF439" i="4"/>
  <c r="AF483" i="4" s="1"/>
  <c r="AF485" i="4" s="1"/>
  <c r="AK391" i="4"/>
  <c r="AI393" i="4"/>
  <c r="AG431" i="4"/>
  <c r="AG430" i="4"/>
  <c r="AG429" i="4"/>
  <c r="AG426" i="4"/>
  <c r="AG438" i="4"/>
  <c r="AG437" i="4"/>
  <c r="AG436" i="4"/>
  <c r="AG433" i="4"/>
  <c r="AG439" i="4" l="1"/>
  <c r="AG483" i="4" s="1"/>
  <c r="AG485" i="4" s="1"/>
  <c r="AI395" i="4"/>
  <c r="AI394" i="4"/>
  <c r="AK424" i="4"/>
  <c r="AK421" i="4"/>
  <c r="AK419" i="4"/>
  <c r="AK418" i="4"/>
  <c r="AK416" i="4"/>
  <c r="AK414" i="4"/>
  <c r="AK413" i="4"/>
  <c r="AK410" i="4"/>
  <c r="AK402" i="4"/>
  <c r="AK401" i="4"/>
  <c r="AK392" i="4"/>
  <c r="AH431" i="4"/>
  <c r="AH430" i="4"/>
  <c r="AH429" i="4"/>
  <c r="AH426" i="4"/>
  <c r="AH438" i="4"/>
  <c r="AH437" i="4"/>
  <c r="AH436" i="4"/>
  <c r="AH433" i="4"/>
  <c r="AJ424" i="4"/>
  <c r="AJ421" i="4"/>
  <c r="AJ419" i="4"/>
  <c r="AJ418" i="4"/>
  <c r="AJ416" i="4"/>
  <c r="AJ414" i="4"/>
  <c r="AJ413" i="4"/>
  <c r="AJ410" i="4"/>
  <c r="AJ402" i="4"/>
  <c r="AJ401" i="4"/>
  <c r="AJ392" i="4"/>
  <c r="AJ393" i="4" s="1"/>
  <c r="AJ395" i="4" l="1"/>
  <c r="AJ394" i="4"/>
  <c r="AH439" i="4"/>
  <c r="AH483" i="4" s="1"/>
  <c r="AH485" i="4" s="1"/>
  <c r="AK393" i="4"/>
  <c r="AI431" i="4"/>
  <c r="AI430" i="4"/>
  <c r="AI429" i="4"/>
  <c r="AI426" i="4"/>
  <c r="AI438" i="4"/>
  <c r="AI437" i="4"/>
  <c r="AI436" i="4"/>
  <c r="AI433" i="4"/>
  <c r="AI439" i="4" l="1"/>
  <c r="AI483" i="4" s="1"/>
  <c r="AI485" i="4" s="1"/>
  <c r="AK395" i="4"/>
  <c r="AK394" i="4"/>
  <c r="AJ431" i="4"/>
  <c r="AJ430" i="4"/>
  <c r="AJ429" i="4"/>
  <c r="AJ426" i="4"/>
  <c r="AJ438" i="4"/>
  <c r="AJ437" i="4"/>
  <c r="AJ436" i="4"/>
  <c r="AJ433" i="4"/>
  <c r="AJ439" i="4" l="1"/>
  <c r="AJ483" i="4" s="1"/>
  <c r="AJ485" i="4" s="1"/>
  <c r="AK431" i="4"/>
  <c r="AK430" i="4"/>
  <c r="AK429" i="4"/>
  <c r="AK426" i="4"/>
  <c r="AK438" i="4"/>
  <c r="AK437" i="4"/>
  <c r="AK436" i="4"/>
  <c r="AK433" i="4"/>
  <c r="AK439" i="4" l="1"/>
  <c r="AK483" i="4" s="1"/>
  <c r="AK48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9" authorId="0" shapeId="0" xr:uid="{00000000-0006-0000-0100-000001000000}">
      <text>
        <r>
          <rPr>
            <sz val="11"/>
            <color theme="1"/>
            <rFont val="Open Sans"/>
            <scheme val="minor"/>
          </rPr>
          <t>======
ID#AAAAkS6DWvg
ucr    (2022-11-23 02:14:51)
No se asumen pérdidas en el proceso de extracción</t>
        </r>
      </text>
    </comment>
    <comment ref="B237" authorId="0" shapeId="0" xr:uid="{00000000-0006-0000-0100-000002000000}">
      <text>
        <r>
          <rPr>
            <sz val="11"/>
            <color theme="1"/>
            <rFont val="Open Sans"/>
            <scheme val="minor"/>
          </rPr>
          <t>======
ID#AAAAkS6DWvc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extLst>
    <ext xmlns:r="http://schemas.openxmlformats.org/officeDocument/2006/relationships" uri="GoogleSheetsCustomDataVersion2">
      <go:sheetsCustomData xmlns:go="http://customooxmlschemas.google.com/" r:id="rId1" roundtripDataSignature="AMtx7mjvOTVrD5qjNVsSBMF1piBCHcGPa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8000000}">
      <text>
        <r>
          <rPr>
            <sz val="11"/>
            <color theme="1"/>
            <rFont val="Open Sans"/>
            <scheme val="minor"/>
          </rPr>
          <t>======
ID#AAAAgbo_QmM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3000000}">
      <text>
        <r>
          <rPr>
            <sz val="11"/>
            <color theme="1"/>
            <rFont val="Open Sans"/>
            <scheme val="minor"/>
          </rPr>
          <t>======
ID#AAAAkS6DWvY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C167" authorId="0" shapeId="0" xr:uid="{00000000-0006-0000-0200-000009000000}">
      <text>
        <r>
          <rPr>
            <sz val="11"/>
            <color theme="1"/>
            <rFont val="Open Sans"/>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7" authorId="0" shapeId="0" xr:uid="{00000000-0006-0000-0200-000002000000}">
      <text>
        <r>
          <rPr>
            <sz val="11"/>
            <color theme="1"/>
            <rFont val="Open Sans"/>
            <scheme val="minor"/>
          </rPr>
          <t>======
ID#AAAAkS6DWvk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6" authorId="0" shapeId="0" xr:uid="{00000000-0006-0000-0200-000001000000}">
      <text>
        <r>
          <rPr>
            <sz val="11"/>
            <color theme="1"/>
            <rFont val="Open Sans"/>
            <scheme val="minor"/>
          </rPr>
          <t>La planta que estaba categorizada con consumo de combustible "Otro" en realidad consume "Diesel" por lo que se debería agrupar bajo la categoría de Diesel.
======</t>
        </r>
      </text>
    </comment>
    <comment ref="C322" authorId="0" shapeId="0" xr:uid="{00000000-0006-0000-0200-000005000000}">
      <text>
        <r>
          <rPr>
            <sz val="11"/>
            <color theme="1"/>
            <rFont val="Open Sans"/>
            <scheme val="minor"/>
          </rPr>
          <t>======
ID#AAAAgbo_Qmc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0" authorId="0" shapeId="0" xr:uid="{00000000-0006-0000-0200-000007000000}">
      <text>
        <r>
          <rPr>
            <sz val="11"/>
            <color theme="1"/>
            <rFont val="Open Sans"/>
            <scheme val="minor"/>
          </rPr>
          <t>======
ID#AAAAgbo_QmQ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3" authorId="0" shapeId="0" xr:uid="{00000000-0006-0000-0200-00000A000000}">
      <text>
        <r>
          <rPr>
            <sz val="11"/>
            <color theme="1"/>
            <rFont val="Open Sans"/>
            <scheme val="minor"/>
          </rPr>
          <t>======
ID#AAAAiBj5k6o
Lissete Dávila    (2022-09-20 01:05:50)
Ver "Copia de Electricidad" el por qué se utiliza las pérdidas en PJ en vez del %.</t>
        </r>
      </text>
    </comment>
    <comment ref="E470" authorId="0" shapeId="0" xr:uid="{00000000-0006-0000-0200-00000C000000}">
      <text>
        <r>
          <rPr>
            <sz val="11"/>
            <color theme="1"/>
            <rFont val="Open Sans"/>
            <scheme val="minor"/>
          </rPr>
          <t>======
ID#AAAAiBj5k7I
Lissete Dávila    (2022-09-20 01:04:50)
Ver "Copia de Electricidad" el por qué se utiliza las pérdidas en PJ en vez del %.</t>
        </r>
      </text>
    </comment>
    <comment ref="I477" authorId="0" shapeId="0" xr:uid="{00000000-0006-0000-0200-000004000000}">
      <text>
        <r>
          <rPr>
            <sz val="11"/>
            <color theme="1"/>
            <rFont val="Open Sans"/>
            <scheme val="minor"/>
          </rPr>
          <t>======
ID#AAAAkS6DWvU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79" authorId="0" shapeId="0" xr:uid="{00000000-0006-0000-0200-00000B000000}">
      <text>
        <r>
          <rPr>
            <sz val="11"/>
            <color theme="1"/>
            <rFont val="Open Sans"/>
            <scheme val="minor"/>
          </rPr>
          <t>======
ID#AAAAgbo_QmY
Lissete Dávila    (2022-09-20 01:05:50)
Ver "Copia de Electricidad" el por qué se utiliza las pérdidas en PJ en vez del %.</t>
        </r>
      </text>
    </comment>
    <comment ref="D485" authorId="0" shapeId="0" xr:uid="{00000000-0006-0000-0200-00000D000000}">
      <text>
        <r>
          <rPr>
            <sz val="11"/>
            <color theme="1"/>
            <rFont val="Open Sans"/>
            <scheme val="minor"/>
          </rPr>
          <t>======
ID#AAAAiBj5k60
Lissete Dávila    (2022-09-20 01:04:13)
En la plantilla original habían estos comentarios:
¿ELENA contempla importaciones y exportaciones de electricidad?
Reply:
¿Promedio anual o por timeslices?</t>
        </r>
      </text>
    </comment>
    <comment ref="C587" authorId="0" shapeId="0" xr:uid="{00000000-0006-0000-0200-000006000000}">
      <text>
        <r>
          <rPr>
            <sz val="11"/>
            <color theme="1"/>
            <rFont val="Open Sans"/>
            <scheme val="minor"/>
          </rPr>
          <t>======
ID#AAAAgbo_QmU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6OaIUxUsVMnEq6l1xQfrx8xAwH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7" authorId="0" shapeId="0" xr:uid="{00000000-0006-0000-0300-000002000000}">
      <text>
        <r>
          <rPr>
            <sz val="11"/>
            <color theme="1"/>
            <rFont val="Open Sans"/>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4" authorId="0" shapeId="0" xr:uid="{00000000-0006-0000-0300-000001000000}">
      <text>
        <r>
          <rPr>
            <sz val="11"/>
            <color theme="1"/>
            <rFont val="Open Sans"/>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1" authorId="0" shapeId="0" xr:uid="{00000000-0006-0000-0300-000003000000}">
      <text>
        <r>
          <rPr>
            <sz val="11"/>
            <color theme="1"/>
            <rFont val="Open Sans"/>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p+X9jaWga15/+8aPddVDk4oJeb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scheme val="minor"/>
          </rPr>
          <t>======
ID#AAAAiBj5k5U
Lissete Dávila    (2022-10-06 03:00:32)
No se están considerando costos de combustible</t>
        </r>
      </text>
    </comment>
  </commentList>
  <extLst>
    <ext xmlns:r="http://schemas.openxmlformats.org/officeDocument/2006/relationships" uri="GoogleSheetsCustomDataVersion2">
      <go:sheetsCustomData xmlns:go="http://customooxmlschemas.google.com/" r:id="rId1" roundtripDataSignature="AMtx7miP5LWaWGpuRP+kYdSZ4jbiLbIfQ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600-00001C000000}">
      <text>
        <r>
          <rPr>
            <sz val="11"/>
            <color theme="1"/>
            <rFont val="Open Sans"/>
            <scheme val="minor"/>
          </rPr>
          <t>======
ID#AAAAvt-jLFU
tc={3E5AF8CC-7094-41BF-902F-97912364C59A}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5" authorId="0" shapeId="0" xr:uid="{00000000-0006-0000-0600-00002C000000}">
      <text>
        <r>
          <rPr>
            <sz val="11"/>
            <color theme="1"/>
            <rFont val="Open Sans"/>
            <scheme val="minor"/>
          </rPr>
          <t>======
ID#AAAAvt-jLD0
tc={2689EF08-C4B8-4F54-9B3B-658778031F01}    (2023-05-01 16:27:56)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0" authorId="0" shapeId="0" xr:uid="{00000000-0006-0000-0600-000037000000}">
      <text>
        <r>
          <rPr>
            <sz val="11"/>
            <color theme="1"/>
            <rFont val="Open Sans"/>
            <scheme val="minor"/>
          </rPr>
          <t>======
ID#AAAAvt-jLCs
tc={1AFF2875-0456-4541-9E17-92380DF45555}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35" authorId="0" shapeId="0" xr:uid="{00000000-0006-0000-0600-00001B000000}">
      <text>
        <r>
          <rPr>
            <sz val="11"/>
            <color theme="1"/>
            <rFont val="Open Sans"/>
            <scheme val="minor"/>
          </rPr>
          <t>======
ID#AAAAvt-jLFk
tc={6FBB6646-D0D5-4F44-AD70-B046A6E7C118}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38" authorId="0" shapeId="0" xr:uid="{00000000-0006-0000-0600-00000B000000}">
      <text>
        <r>
          <rPr>
            <sz val="11"/>
            <color theme="1"/>
            <rFont val="Open Sans"/>
            <scheme val="minor"/>
          </rPr>
          <t>======
ID#AAAAvt-jLGw
tc={3E424A22-DC5F-4483-BBDB-9A75170655AC}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39" authorId="0" shapeId="0" xr:uid="{00000000-0006-0000-0600-000004000000}">
      <text>
        <r>
          <rPr>
            <sz val="11"/>
            <color theme="1"/>
            <rFont val="Open Sans"/>
            <scheme val="minor"/>
          </rPr>
          <t>======
ID#AAAAvt-jLHU
tc={46619BB6-CA5E-4B79-B6F5-F064C7280D27}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41" authorId="0" shapeId="0" xr:uid="{00000000-0006-0000-0600-00003A000000}">
      <text>
        <r>
          <rPr>
            <sz val="11"/>
            <color theme="1"/>
            <rFont val="Open Sans"/>
            <scheme val="minor"/>
          </rPr>
          <t>======
ID#AAAAvt-jLCg
tc={6DBB95B2-70D3-49E5-B270-2339CB941EB3}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47" authorId="0" shapeId="0" xr:uid="{00000000-0006-0000-0600-00003F000000}">
      <text>
        <r>
          <rPr>
            <sz val="11"/>
            <color theme="1"/>
            <rFont val="Open Sans"/>
            <scheme val="minor"/>
          </rPr>
          <t>======
ID#AAAAvt-jLCI
tc={D45DBF49-67AA-4BC2-BA1F-3DFA094896B1}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49" authorId="0" shapeId="0" xr:uid="{00000000-0006-0000-0600-000016000000}">
      <text>
        <r>
          <rPr>
            <sz val="11"/>
            <color theme="1"/>
            <rFont val="Open Sans"/>
            <scheme val="minor"/>
          </rPr>
          <t>======
ID#AAAAvt-jLF8
tc={CAC06CB8-89B4-459A-ABDB-A57149EAF30A}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56" authorId="0" shapeId="0" xr:uid="{00000000-0006-0000-0600-00002F000000}">
      <text>
        <r>
          <rPr>
            <sz val="11"/>
            <color theme="1"/>
            <rFont val="Open Sans"/>
            <scheme val="minor"/>
          </rPr>
          <t>======
ID#AAAAvt-jLDk
tc={1135E4D9-BAEB-4F5F-8627-CF99A876F5A9}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57" authorId="0" shapeId="0" xr:uid="{00000000-0006-0000-0600-000041000000}">
      <text>
        <r>
          <rPr>
            <sz val="11"/>
            <color theme="1"/>
            <rFont val="Open Sans"/>
            <scheme val="minor"/>
          </rPr>
          <t>======
ID#AAAAvt-jLB8
tc={2E8E159B-6D9D-4CF3-AE6E-22BB3DF0F3F1}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58" authorId="0" shapeId="0" xr:uid="{00000000-0006-0000-0600-00001D000000}">
      <text>
        <r>
          <rPr>
            <sz val="11"/>
            <color theme="1"/>
            <rFont val="Open Sans"/>
            <scheme val="minor"/>
          </rPr>
          <t>======
ID#AAAAvt-jLFQ
tc={E0EEB5D5-AFC6-4E19-9AC9-F1F6CF79A8A6}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2" authorId="0" shapeId="0" xr:uid="{00000000-0006-0000-0600-000034000000}">
      <text>
        <r>
          <rPr>
            <sz val="11"/>
            <color theme="1"/>
            <rFont val="Open Sans"/>
            <scheme val="minor"/>
          </rPr>
          <t>======
ID#AAAAvt-jLDA
tc={A1C218AD-8AD9-423B-AB8F-1C79C3BCDBF0}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6" authorId="0" shapeId="0" xr:uid="{00000000-0006-0000-0600-00000C000000}">
      <text>
        <r>
          <rPr>
            <sz val="11"/>
            <color theme="1"/>
            <rFont val="Open Sans"/>
            <scheme val="minor"/>
          </rPr>
          <t>======
ID#AAAAvt-jLGs
tc={2C2B605F-BE4D-4BB4-AB83-C2D6D50A953D}    (2023-05-01 16:27:56)
[Threaded comment]
Your version of Excel allows you to read this threaded comment; however, any edits to it will get removed if the file is opened in a newer version of Excel. Learn more: https://go.microsoft.com/fwlink/?linkid=870924
Comment:
    El costo capital de MCI-crudo fue considerado el mismo que del MCI-Fuel Oil.</t>
        </r>
      </text>
    </comment>
    <comment ref="D67" authorId="0" shapeId="0" xr:uid="{00000000-0006-0000-0600-00000A000000}">
      <text>
        <r>
          <rPr>
            <sz val="11"/>
            <color theme="1"/>
            <rFont val="Open Sans"/>
            <scheme val="minor"/>
          </rPr>
          <t>======
ID#AAAAvt-jLG0
tc={1C951AA2-414D-4EBC-B9BF-E3BAB6B515DB}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8" authorId="0" shapeId="0" xr:uid="{00000000-0006-0000-0600-000007000000}">
      <text>
        <r>
          <rPr>
            <sz val="11"/>
            <color theme="1"/>
            <rFont val="Open Sans"/>
            <scheme val="minor"/>
          </rPr>
          <t>======
ID#AAAAvt-jLHE
tc={D64646A4-3C25-484B-9410-102E45182DB2}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9" authorId="0" shapeId="0" xr:uid="{00000000-0006-0000-0600-000010000000}">
      <text>
        <r>
          <rPr>
            <sz val="11"/>
            <color theme="1"/>
            <rFont val="Open Sans"/>
            <scheme val="minor"/>
          </rPr>
          <t>======
ID#AAAAvt-jLGY
tc={CE6614E6-9A3E-441D-B790-197EF649AFFF}    (2023-05-01 16:27:56)
[Threaded comment]
Your version of Excel allows you to read this threaded comment; however, any edits to it will get removed if the file is opened in a newer version of Excel. Learn more: https://go.microsoft.com/fwlink/?linkid=870924
Comment:
    Los costos capitales de MCI-Gas Natural se asumieron iguales a los costos capitales de MCI-Diesel menos 7%.</t>
        </r>
      </text>
    </comment>
    <comment ref="D72" authorId="0" shapeId="0" xr:uid="{00000000-0006-0000-0600-00003E000000}">
      <text>
        <r>
          <rPr>
            <sz val="11"/>
            <color theme="1"/>
            <rFont val="Open Sans"/>
            <scheme val="minor"/>
          </rPr>
          <t>======
ID#AAAAvt-jLCM
tc={E4C22698-5040-4CB1-A896-BFCF4247A17F}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3" authorId="0" shapeId="0" xr:uid="{00000000-0006-0000-0600-000032000000}">
      <text>
        <r>
          <rPr>
            <sz val="11"/>
            <color theme="1"/>
            <rFont val="Open Sans"/>
            <scheme val="minor"/>
          </rPr>
          <t>======
ID#AAAAvt-jLDQ
tc={E0012DE8-9D93-4C9A-A3EA-98390F9A380B}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4" authorId="0" shapeId="0" xr:uid="{00000000-0006-0000-0600-000013000000}">
      <text>
        <r>
          <rPr>
            <sz val="11"/>
            <color theme="1"/>
            <rFont val="Open Sans"/>
            <scheme val="minor"/>
          </rPr>
          <t>======
ID#AAAAvt-jLGM
tc={7C942E6A-86C4-43EF-8910-5114DD0A9067}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81" authorId="0" shapeId="0" xr:uid="{00000000-0006-0000-0600-00001F000000}">
      <text>
        <r>
          <rPr>
            <sz val="11"/>
            <color theme="1"/>
            <rFont val="Open Sans"/>
            <scheme val="minor"/>
          </rPr>
          <t>======
ID#AAAAvt-jLFE
tc={4C00E811-6AC0-4564-A857-96866DB5393D}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97" authorId="0" shapeId="0" xr:uid="{00000000-0006-0000-0600-00003D000000}">
      <text>
        <r>
          <rPr>
            <sz val="11"/>
            <color theme="1"/>
            <rFont val="Open Sans"/>
            <scheme val="minor"/>
          </rPr>
          <t>======
ID#AAAAvt-jLCQ
tc={59F3CDAF-9D1B-48BF-A6F2-18F1F9AD29BF}    (2023-05-01 16:27:56)
[Threaded comment]
Your version of Excel allows you to read this threaded comment; however, any edits to it will get removed if the file is opened in a newer version of Excel. Learn more: https://go.microsoft.com/fwlink/?linkid=870924
Comment:
    Se consultó con Daniel estos valores pero me mencionó que tener hidros pequeñas de embalse no se consideran, es poco razonable tener un embalse para una instalación pequeña. Tampoco se debería tener hidros Pacífico (pequeñas) con embalse, por esta razón estos costos tampoco se encuentran expresados.</t>
        </r>
      </text>
    </comment>
    <comment ref="D100" authorId="0" shapeId="0" xr:uid="{00000000-0006-0000-0600-000024000000}">
      <text>
        <r>
          <rPr>
            <sz val="11"/>
            <color theme="1"/>
            <rFont val="Open Sans"/>
            <scheme val="minor"/>
          </rPr>
          <t>======
ID#AAAAvt-jLEY
tc={B70F8A7F-DFB4-4C2D-A65C-429AEDFA3E64}    (2023-05-01 16:27:56)
[Threaded comment]
Your version of Excel allows you to read this threaded comment; however, any edits to it will get removed if the file is opened in a newer version of Excel. Learn more: https://go.microsoft.com/fwlink/?linkid=870924
Comment:
    Ver comentario de la fila 97.</t>
        </r>
      </text>
    </comment>
    <comment ref="D110" authorId="0" shapeId="0" xr:uid="{00000000-0006-0000-0600-00002D000000}">
      <text>
        <r>
          <rPr>
            <sz val="11"/>
            <color theme="1"/>
            <rFont val="Open Sans"/>
            <scheme val="minor"/>
          </rPr>
          <t>======
ID#AAAAvt-jLDw
tc={A3D18498-D05F-4F97-8A5A-701CF4B20AB0}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15" authorId="0" shapeId="0" xr:uid="{00000000-0006-0000-0600-000028000000}">
      <text>
        <r>
          <rPr>
            <sz val="11"/>
            <color theme="1"/>
            <rFont val="Open Sans"/>
            <scheme val="minor"/>
          </rPr>
          <t>======
ID#AAAAvt-jLEI
tc={6AD31BB4-B5B0-4C0F-9F45-6EE4782D5738}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18" authorId="0" shapeId="0" xr:uid="{00000000-0006-0000-0600-000030000000}">
      <text>
        <r>
          <rPr>
            <sz val="11"/>
            <color theme="1"/>
            <rFont val="Open Sans"/>
            <scheme val="minor"/>
          </rPr>
          <t>======
ID#AAAAvt-jLDY
tc={F9CDFFBD-6913-4C29-9D50-ADA05538BCF2}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19" authorId="0" shapeId="0" xr:uid="{00000000-0006-0000-0600-000014000000}">
      <text>
        <r>
          <rPr>
            <sz val="11"/>
            <color theme="1"/>
            <rFont val="Open Sans"/>
            <scheme val="minor"/>
          </rPr>
          <t>======
ID#AAAAvt-jLGE
tc={AA33F765-B5D0-4737-9CA3-8FFB12D2D4D4}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121" authorId="0" shapeId="0" xr:uid="{00000000-0006-0000-0600-000020000000}">
      <text>
        <r>
          <rPr>
            <sz val="11"/>
            <color theme="1"/>
            <rFont val="Open Sans"/>
            <scheme val="minor"/>
          </rPr>
          <t>======
ID#AAAAvt-jLEw
tc={3371061C-F1AF-4CF7-BA23-F5F1009431D6}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127" authorId="0" shapeId="0" xr:uid="{00000000-0006-0000-0600-000005000000}">
      <text>
        <r>
          <rPr>
            <sz val="11"/>
            <color theme="1"/>
            <rFont val="Open Sans"/>
            <scheme val="minor"/>
          </rPr>
          <t>======
ID#AAAAvt-jLHQ
tc={98A96C79-A96A-44EA-8BA4-0CDBA2D36346}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129" authorId="0" shapeId="0" xr:uid="{00000000-0006-0000-0600-00002A000000}">
      <text>
        <r>
          <rPr>
            <sz val="11"/>
            <color theme="1"/>
            <rFont val="Open Sans"/>
            <scheme val="minor"/>
          </rPr>
          <t>======
ID#AAAAvt-jLEA
tc={3C569CF4-8178-464C-97F4-DA443470AD84}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136" authorId="0" shapeId="0" xr:uid="{00000000-0006-0000-0600-00002B000000}">
      <text>
        <r>
          <rPr>
            <sz val="11"/>
            <color theme="1"/>
            <rFont val="Open Sans"/>
            <scheme val="minor"/>
          </rPr>
          <t>======
ID#AAAAvt-jLD8
tc={884AF2EB-B8D1-403E-9573-FF9E01290D8C}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37" authorId="0" shapeId="0" xr:uid="{00000000-0006-0000-0600-000006000000}">
      <text>
        <r>
          <rPr>
            <sz val="11"/>
            <color theme="1"/>
            <rFont val="Open Sans"/>
            <scheme val="minor"/>
          </rPr>
          <t>======
ID#AAAAvt-jLHI
tc={D32062C7-2A1A-4460-8857-8A212E13AEEF}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138" authorId="0" shapeId="0" xr:uid="{00000000-0006-0000-0600-00001E000000}">
      <text>
        <r>
          <rPr>
            <sz val="11"/>
            <color theme="1"/>
            <rFont val="Open Sans"/>
            <scheme val="minor"/>
          </rPr>
          <t>======
ID#AAAAvt-jLFM
tc={F0B23154-4FEC-461F-A5C7-1E0237D9181E}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2" authorId="0" shapeId="0" xr:uid="{00000000-0006-0000-0600-000001000000}">
      <text>
        <r>
          <rPr>
            <sz val="11"/>
            <color theme="1"/>
            <rFont val="Open Sans"/>
            <scheme val="minor"/>
          </rPr>
          <t>======
ID#AAAAvt-jLHo
tc={487AB841-4788-4A50-AA89-ED6D8DD5784E}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6" authorId="0" shapeId="0" xr:uid="{00000000-0006-0000-0600-000002000000}">
      <text>
        <r>
          <rPr>
            <sz val="11"/>
            <color theme="1"/>
            <rFont val="Open Sans"/>
            <scheme val="minor"/>
          </rPr>
          <t>======
ID#AAAAvt-jLHc
tc={9A0F06EA-569B-43D9-99F1-DE2371210734}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47" authorId="0" shapeId="0" xr:uid="{00000000-0006-0000-0600-00000D000000}">
      <text>
        <r>
          <rPr>
            <sz val="11"/>
            <color theme="1"/>
            <rFont val="Open Sans"/>
            <scheme val="minor"/>
          </rPr>
          <t>======
ID#AAAAvt-jLGo
tc={2CECC95F-CA47-4C98-812E-EC6B5695B1D5}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8" authorId="0" shapeId="0" xr:uid="{00000000-0006-0000-0600-00000E000000}">
      <text>
        <r>
          <rPr>
            <sz val="11"/>
            <color theme="1"/>
            <rFont val="Open Sans"/>
            <scheme val="minor"/>
          </rPr>
          <t>======
ID#AAAAvt-jLGk
tc={3FE7A76D-E364-4FEF-8ED1-F2C6B9A27258}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9" authorId="0" shapeId="0" xr:uid="{00000000-0006-0000-0600-000011000000}">
      <text>
        <r>
          <rPr>
            <sz val="11"/>
            <color theme="1"/>
            <rFont val="Open Sans"/>
            <scheme val="minor"/>
          </rPr>
          <t>======
ID#AAAAvt-jLGU
tc={EC27A3E7-33F0-416E-B76C-0C865DDB822F}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52" authorId="0" shapeId="0" xr:uid="{00000000-0006-0000-0600-000015000000}">
      <text>
        <r>
          <rPr>
            <sz val="11"/>
            <color theme="1"/>
            <rFont val="Open Sans"/>
            <scheme val="minor"/>
          </rPr>
          <t>======
ID#AAAAvt-jLGA
tc={7B3ABA6F-2DD0-4EDC-B52B-3A5227C61AE8}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3" authorId="0" shapeId="0" xr:uid="{00000000-0006-0000-0600-000036000000}">
      <text>
        <r>
          <rPr>
            <sz val="11"/>
            <color theme="1"/>
            <rFont val="Open Sans"/>
            <scheme val="minor"/>
          </rPr>
          <t>======
ID#AAAAvt-jLC0
tc={EBD6DA7B-DFFF-49BB-9D0E-4B2C081057AC}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4" authorId="0" shapeId="0" xr:uid="{00000000-0006-0000-0600-00001A000000}">
      <text>
        <r>
          <rPr>
            <sz val="11"/>
            <color theme="1"/>
            <rFont val="Open Sans"/>
            <scheme val="minor"/>
          </rPr>
          <t>======
ID#AAAAvt-jLFo
tc={2D0598F3-2042-4BC0-BECE-CFD831A9E978}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61" authorId="0" shapeId="0" xr:uid="{00000000-0006-0000-0600-000023000000}">
      <text>
        <r>
          <rPr>
            <sz val="11"/>
            <color theme="1"/>
            <rFont val="Open Sans"/>
            <scheme val="minor"/>
          </rPr>
          <t>======
ID#AAAAvt-jLEk
tc={5CFF0725-9E23-409F-9607-C74AED260E40}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74" authorId="0" shapeId="0" xr:uid="{00000000-0006-0000-0600-000026000000}">
      <text>
        <r>
          <rPr>
            <sz val="11"/>
            <color theme="1"/>
            <rFont val="Open Sans"/>
            <scheme val="minor"/>
          </rPr>
          <t>======
ID#AAAAvt-jLEQ
tc={14CCA770-F366-490E-8B4C-9C403C8606C5}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190" authorId="0" shapeId="0" xr:uid="{00000000-0006-0000-0600-00002E000000}">
      <text>
        <r>
          <rPr>
            <sz val="11"/>
            <color theme="1"/>
            <rFont val="Open Sans"/>
            <scheme val="minor"/>
          </rPr>
          <t>======
ID#AAAAvt-jLDs
tc={79E05A51-AAE8-4E43-B90F-46E4A0E04DFE}    (2023-05-01 16:27:56)
[Threaded comment]
Your version of Excel allows you to read this threaded comment; however, any edits to it will get removed if the file is opened in a newer version of Excel. Learn more: https://go.microsoft.com/fwlink/?linkid=870924
Comment:
    Se considera solar FV
Reply:
    No hay costos variables en centrales de generación solar ya que estos costos dependen de los combustibles que se usan en generación pero en estas centrales el recurso es gratuito.</t>
        </r>
      </text>
    </comment>
    <comment ref="D193" authorId="0" shapeId="0" xr:uid="{00000000-0006-0000-0600-00000F000000}">
      <text>
        <r>
          <rPr>
            <sz val="11"/>
            <color theme="1"/>
            <rFont val="Open Sans"/>
            <scheme val="minor"/>
          </rPr>
          <t>======
ID#AAAAvt-jLGc
tc={F53476C6-3F47-4CD0-A573-56BC331B8BD7}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4" authorId="0" shapeId="0" xr:uid="{00000000-0006-0000-0600-00003C000000}">
      <text>
        <r>
          <rPr>
            <sz val="11"/>
            <color theme="1"/>
            <rFont val="Open Sans"/>
            <scheme val="minor"/>
          </rPr>
          <t>======
ID#AAAAvt-jLCY
tc={A9300883-531A-4587-8319-64FA926C13B4}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600-000039000000}">
      <text>
        <r>
          <rPr>
            <sz val="11"/>
            <color theme="1"/>
            <rFont val="Open Sans"/>
            <scheme val="minor"/>
          </rPr>
          <t>======
ID#AAAAvt-jLCk
tc={36F92790-0703-4DED-8C7C-A829B585FFFE}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96" authorId="0" shapeId="0" xr:uid="{00000000-0006-0000-0600-000029000000}">
      <text>
        <r>
          <rPr>
            <sz val="11"/>
            <color theme="1"/>
            <rFont val="Open Sans"/>
            <scheme val="minor"/>
          </rPr>
          <t>======
ID#AAAAvt-jLEE
tc={C5B6C70C-7F94-449D-8866-87E5222F77AD}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de biogás a partir de residuos ya que estos costos dependen de los combustibles que se usan en generación pero en estas centrales el recurso es gratuito.
Reply:
    Esta afirmación se confirma en el siguiente documento https://www.iea.org/reports/outlook-for-biogas-and-biomethane-prospects-for-organic-growth/sustainable-supply-potential-and-costs</t>
        </r>
      </text>
    </comment>
    <comment ref="D198" authorId="0" shapeId="0" xr:uid="{00000000-0006-0000-0600-000027000000}">
      <text>
        <r>
          <rPr>
            <sz val="11"/>
            <color theme="1"/>
            <rFont val="Open Sans"/>
            <scheme val="minor"/>
          </rPr>
          <t>======
ID#AAAAvt-jLEM
tc={A5B00CEA-B9F4-496C-A994-034D384832E7}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Y para los valores de los años 2018 y 2019 se asumió que estos fueron iguales a los del 2020.</t>
        </r>
      </text>
    </comment>
    <comment ref="D199" authorId="0" shapeId="0" xr:uid="{00000000-0006-0000-0600-000019000000}">
      <text>
        <r>
          <rPr>
            <sz val="11"/>
            <color theme="1"/>
            <rFont val="Open Sans"/>
            <scheme val="minor"/>
          </rPr>
          <t>======
ID#AAAAvt-jLFs
tc={B376AEEA-FEB2-4ED9-A3CE-D7ADB1833143}    (2023-05-01 16:27:56)
[Threaded comment]
Your version of Excel allows you to read this threaded comment; however, any edits to it will get removed if the file is opened in a newer version of Excel. Learn more: https://go.microsoft.com/fwlink/?linkid=870924
Comment:
    Se está considerando Combined Cycle</t>
        </r>
      </text>
    </comment>
    <comment ref="D201" authorId="0" shapeId="0" xr:uid="{00000000-0006-0000-0600-000017000000}">
      <text>
        <r>
          <rPr>
            <sz val="11"/>
            <color theme="1"/>
            <rFont val="Open Sans"/>
            <scheme val="minor"/>
          </rPr>
          <t>======
ID#AAAAvt-jLF4
tc={BDF5569E-C4E1-47AD-8A29-8FB6FC758C41}    (2023-05-01 16:27:56)
[Threaded comment]
Your version of Excel allows you to read this threaded comment; however, any edits to it will get removed if the file is opened in a newer version of Excel. Learn more: https://go.microsoft.com/fwlink/?linkid=870924
Comment:
    Se considera Rankine Cycle.</t>
        </r>
      </text>
    </comment>
    <comment ref="D202" authorId="0" shapeId="0" xr:uid="{00000000-0006-0000-0600-000025000000}">
      <text>
        <r>
          <rPr>
            <sz val="11"/>
            <color theme="1"/>
            <rFont val="Open Sans"/>
            <scheme val="minor"/>
          </rPr>
          <t>======
ID#AAAAvt-jLEU
tc={DB8DDF07-3996-4F87-BE9B-362B4C485DFF}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 Para los años 2018-2027 se asume que se tiene valores constantes iguales al valor del 2028.</t>
        </r>
      </text>
    </comment>
    <comment ref="D207" authorId="0" shapeId="0" xr:uid="{00000000-0006-0000-0600-00003B000000}">
      <text>
        <r>
          <rPr>
            <sz val="11"/>
            <color theme="1"/>
            <rFont val="Open Sans"/>
            <scheme val="minor"/>
          </rPr>
          <t>======
ID#AAAAvt-jLCc
tc={15D3798C-596A-4166-9C91-19F3E6EADB7A}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209" authorId="0" shapeId="0" xr:uid="{00000000-0006-0000-0600-000038000000}">
      <text>
        <r>
          <rPr>
            <sz val="11"/>
            <color theme="1"/>
            <rFont val="Open Sans"/>
            <scheme val="minor"/>
          </rPr>
          <t>======
ID#AAAAvt-jLCo
tc={967F40A8-DF0A-47E4-AD62-2308E3616CD0}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216" authorId="0" shapeId="0" xr:uid="{00000000-0006-0000-0600-000012000000}">
      <text>
        <r>
          <rPr>
            <sz val="11"/>
            <color theme="1"/>
            <rFont val="Open Sans"/>
            <scheme val="minor"/>
          </rPr>
          <t>======
ID#AAAAvt-jLGQ
tc={E272C620-06EA-48AF-93FE-12CFDD6E73F3}    (2023-05-01 16:27:56)
[Threaded comment]
Your version of Excel allows you to read this threaded comment; however, any edits to it will get removed if the file is opened in a newer version of Excel. Learn more: https://go.microsoft.com/fwlink/?linkid=870924
Comment:
    Considera precios de Solar FV
Reply:
    No hay costos variables en centrales de generación solar ya que estos costos dependen de los combustibles que se usan en generación pero en estas centrales el recurso es gratuito.</t>
        </r>
      </text>
    </comment>
    <comment ref="D218" authorId="0" shapeId="0" xr:uid="{00000000-0006-0000-0600-000042000000}">
      <text>
        <r>
          <rPr>
            <sz val="11"/>
            <color theme="1"/>
            <rFont val="Open Sans"/>
            <scheme val="minor"/>
          </rPr>
          <t>======
ID#AAAAvt-jLB0
tc={32073829-1FE1-470C-A5CF-82B3A58FD04A}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2" authorId="0" shapeId="0" xr:uid="{00000000-0006-0000-0600-000031000000}">
      <text>
        <r>
          <rPr>
            <sz val="11"/>
            <color theme="1"/>
            <rFont val="Open Sans"/>
            <scheme val="minor"/>
          </rPr>
          <t>======
ID#AAAAvt-jLDU
tc={F88AF8FB-68DD-4FD3-8E02-AEF424078966}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4" authorId="0" shapeId="0" xr:uid="{00000000-0006-0000-0600-000021000000}">
      <text>
        <r>
          <rPr>
            <sz val="11"/>
            <color theme="1"/>
            <rFont val="Open Sans"/>
            <scheme val="minor"/>
          </rPr>
          <t>======
ID#AAAAvt-jLEs
tc={82DFD9F2-1CE5-47E3-873D-8DBA774CC7AA}    (2023-05-01 16:27:56)
[Threaded comment]
Your version of Excel allows you to read this threaded comment; however, any edits to it will get removed if the file is opened in a newer version of Excel. Learn more: https://go.microsoft.com/fwlink/?linkid=870924
Comment:
    Se utilizó la transformación de unidades que está en el documento 2.</t>
        </r>
      </text>
    </comment>
    <comment ref="D226" authorId="0" shapeId="0" xr:uid="{00000000-0006-0000-0600-000003000000}">
      <text>
        <r>
          <rPr>
            <sz val="11"/>
            <color theme="1"/>
            <rFont val="Open Sans"/>
            <scheme val="minor"/>
          </rPr>
          <t>======
ID#AAAAvt-jLHY
tc={24533696-6F4F-40AE-A96A-3236DF30991A}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27" authorId="0" shapeId="0" xr:uid="{00000000-0006-0000-0600-000035000000}">
      <text>
        <r>
          <rPr>
            <sz val="11"/>
            <color theme="1"/>
            <rFont val="Open Sans"/>
            <scheme val="minor"/>
          </rPr>
          <t>======
ID#AAAAvt-jLC4
tc={405730FB-6E60-4951-973E-C3C1BBB8771F}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8" authorId="0" shapeId="0" xr:uid="{00000000-0006-0000-0600-000009000000}">
      <text>
        <r>
          <rPr>
            <sz val="11"/>
            <color theme="1"/>
            <rFont val="Open Sans"/>
            <scheme val="minor"/>
          </rPr>
          <t>======
ID#AAAAvt-jLG4
tc={EB7E2A27-E9D1-4C87-A833-136BA12779EE}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9" authorId="0" shapeId="0" xr:uid="{00000000-0006-0000-0600-000022000000}">
      <text>
        <r>
          <rPr>
            <sz val="11"/>
            <color theme="1"/>
            <rFont val="Open Sans"/>
            <scheme val="minor"/>
          </rPr>
          <t>======
ID#AAAAvt-jLEo
tc={0342DD44-EF9F-47FD-A786-E3F2EA3E9DE0}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 Además, los costos variables de MCI-Gas Natural fueron asumidos como los costos variables de MCI-Crudo menos el 10%.</t>
        </r>
      </text>
    </comment>
    <comment ref="D232" authorId="0" shapeId="0" xr:uid="{00000000-0006-0000-0600-000040000000}">
      <text>
        <r>
          <rPr>
            <sz val="11"/>
            <color theme="1"/>
            <rFont val="Open Sans"/>
            <scheme val="minor"/>
          </rPr>
          <t>======
ID#AAAAvt-jLCA
tc={6C00F63A-2EB3-496C-8FD9-C820BA524EC5}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3" authorId="0" shapeId="0" xr:uid="{00000000-0006-0000-0600-000033000000}">
      <text>
        <r>
          <rPr>
            <sz val="11"/>
            <color theme="1"/>
            <rFont val="Open Sans"/>
            <scheme val="minor"/>
          </rPr>
          <t>======
ID#AAAAvt-jLDE
tc={7F5E99CE-AD23-432D-96BD-819A09A460BF}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4" authorId="0" shapeId="0" xr:uid="{00000000-0006-0000-0600-000018000000}">
      <text>
        <r>
          <rPr>
            <sz val="11"/>
            <color theme="1"/>
            <rFont val="Open Sans"/>
            <scheme val="minor"/>
          </rPr>
          <t>======
ID#AAAAvt-jLFw
tc={FE962EE0-231B-4466-B40B-91A1F46A3CF8}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41" authorId="0" shapeId="0" xr:uid="{00000000-0006-0000-0600-000008000000}">
      <text>
        <r>
          <rPr>
            <sz val="11"/>
            <color theme="1"/>
            <rFont val="Open Sans"/>
            <scheme val="minor"/>
          </rPr>
          <t>======
ID#AAAAvt-jLG8
tc={6CC73BF0-2F32-490B-9CD0-22E382A76B2D}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List>
  <extLst>
    <ext xmlns:r="http://schemas.openxmlformats.org/officeDocument/2006/relationships" uri="GoogleSheetsCustomDataVersion2">
      <go:sheetsCustomData xmlns:go="http://customooxmlschemas.google.com/" r:id="rId1" roundtripDataSignature="AMtx7mi7hYERsXpp7a7T5pEidFRPfqBPJ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700-000001000000}">
      <text>
        <r>
          <rPr>
            <sz val="11"/>
            <color theme="1"/>
            <rFont val="Open Sans"/>
            <scheme val="minor"/>
          </rPr>
          <t>======
ID#AAAAvt-jLHM
tc={588E84DF-7CF5-4621-9C1B-F264EED99BF5}    (2023-05-01 16:27:56)
[Threaded comment]
Your version of Excel allows you to read this threaded comment; however, any edits to it will get removed if the file is opened in a newer version of Excel. Learn more: https://go.microsoft.com/fwlink/?linkid=870924
Comment:
    Green: Included
Yellow: Pending</t>
        </r>
      </text>
    </comment>
    <comment ref="D11" authorId="0" shapeId="0" xr:uid="{00000000-0006-0000-0700-000002000000}">
      <text>
        <r>
          <rPr>
            <sz val="11"/>
            <color theme="1"/>
            <rFont val="Open Sans"/>
            <scheme val="minor"/>
          </rPr>
          <t>======
ID#AAAAvt-jLHA
tc={20DFC482-32A7-4080-91DB-E132084B8D1A}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6" authorId="0" shapeId="0" xr:uid="{00000000-0006-0000-0700-000017000000}">
      <text>
        <r>
          <rPr>
            <sz val="11"/>
            <color theme="1"/>
            <rFont val="Open Sans"/>
            <scheme val="minor"/>
          </rPr>
          <t>======
ID#AAAAkWFOBBw
Lissete Dávila    (2022-11-24 23:04:18)
Tomado del paper de ELENA, supplementary information</t>
        </r>
      </text>
    </comment>
    <comment ref="D18" authorId="0" shapeId="0" xr:uid="{00000000-0006-0000-0700-000006000000}">
      <text>
        <r>
          <rPr>
            <sz val="11"/>
            <color theme="1"/>
            <rFont val="Open Sans"/>
            <scheme val="minor"/>
          </rPr>
          <t>======
ID#AAAAvt-jLE8
tc={37AC7812-2EA3-4019-A14A-CAF6D2050774}    (2023-05-01 16:27:56)
[Threaded comment]
Your version of Excel allows you to read this threaded comment; however, any edits to it will get removed if the file is opened in a newer version of Excel. Learn more: https://go.microsoft.com/fwlink/?linkid=870924
Comment:
    Los valores de Elena son los de Loja porque Loja tiene más potencial eólico.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26" authorId="0" shapeId="0" xr:uid="{00000000-0006-0000-0700-000019000000}">
      <text>
        <r>
          <rPr>
            <sz val="11"/>
            <color theme="1"/>
            <rFont val="Open Sans"/>
            <scheme val="minor"/>
          </rPr>
          <t>======
ID#AAAAktNWUWw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4" authorId="0" shapeId="0" xr:uid="{00000000-0006-0000-0700-000018000000}">
      <text>
        <r>
          <rPr>
            <sz val="11"/>
            <color theme="1"/>
            <rFont val="Open Sans"/>
            <scheme val="minor"/>
          </rPr>
          <t>======
ID#AAAAktW7siw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E40" authorId="0" shapeId="0" xr:uid="{00000000-0006-0000-0700-000003000000}">
      <text>
        <r>
          <rPr>
            <sz val="11"/>
            <color theme="1"/>
            <rFont val="Open Sans"/>
            <scheme val="minor"/>
          </rPr>
          <t>======
ID#AAAAvt-jLGg
tc={9EFA6AAE-7F6C-4D30-B487-13A150EEA199}    (2023-05-01 16:27:56)
[Threaded comment]
Your version of Excel allows you to read this threaded comment; however, any edits to it will get removed if the file is opened in a newer version of Excel. Learn more: https://go.microsoft.com/fwlink/?linkid=870924
Comment:
    Considero que se mantiene constante?
Reply:
    Quedo atenta a esta actualización. 
Reply:
    Ya le estoy corrigiendo Mar. En base a datos de World Energy Outlook 2022.</t>
        </r>
      </text>
    </comment>
    <comment ref="D49" authorId="0" shapeId="0" xr:uid="{00000000-0006-0000-0700-00000D000000}">
      <text>
        <r>
          <rPr>
            <sz val="11"/>
            <color theme="1"/>
            <rFont val="Open Sans"/>
            <scheme val="minor"/>
          </rPr>
          <t>======
ID#AAAAvt-jLDc
tc={9ED7F08C-0776-4F50-BAD6-2EE5A893E803}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diésel.</t>
        </r>
      </text>
    </comment>
    <comment ref="D50" authorId="0" shapeId="0" xr:uid="{00000000-0006-0000-0700-000016000000}">
      <text>
        <r>
          <rPr>
            <sz val="11"/>
            <color theme="1"/>
            <rFont val="Open Sans"/>
            <scheme val="minor"/>
          </rPr>
          <t>======
ID#AAAAkWFOBB8
Lissete Dávila    (2022-11-24 23:09:19)
Fuente: Supplementary Information paper ELENA</t>
        </r>
      </text>
    </comment>
    <comment ref="D56" authorId="0" shapeId="0" xr:uid="{00000000-0006-0000-0700-00000A000000}">
      <text>
        <r>
          <rPr>
            <sz val="11"/>
            <color theme="1"/>
            <rFont val="Open Sans"/>
            <scheme val="minor"/>
          </rPr>
          <t>======
ID#AAAAvt-jLD4
tc={8A62F907-6FE7-417E-B948-B9E8D297F579}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gas natural.</t>
        </r>
      </text>
    </comment>
    <comment ref="D64" authorId="0" shapeId="0" xr:uid="{00000000-0006-0000-0700-000015000000}">
      <text>
        <r>
          <rPr>
            <sz val="11"/>
            <color theme="1"/>
            <rFont val="Open Sans"/>
            <scheme val="minor"/>
          </rPr>
          <t>======
ID#AAAAkWFOBCA
Lissete Dávila    (2022-11-24 23:10:26)
Fuente: Supplementary Information paper ELENA</t>
        </r>
      </text>
    </comment>
    <comment ref="D67" authorId="0" shapeId="0" xr:uid="{00000000-0006-0000-0700-000005000000}">
      <text>
        <r>
          <rPr>
            <sz val="11"/>
            <color theme="1"/>
            <rFont val="Open Sans"/>
            <scheme val="minor"/>
          </rPr>
          <t>======
ID#AAAAvt-jLFY
tc={6D958853-CE94-4E1E-873D-3F88E26125E4}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72" authorId="0" shapeId="0" xr:uid="{00000000-0006-0000-0700-000008000000}">
      <text>
        <r>
          <rPr>
            <sz val="11"/>
            <color theme="1"/>
            <rFont val="Open Sans"/>
            <scheme val="minor"/>
          </rPr>
          <t>======
ID#AAAAvt-jLE0
tc={1EE270A4-76BF-45C6-B149-13A636168D6A}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141" authorId="0" shapeId="0" xr:uid="{00000000-0006-0000-0700-000014000000}">
      <text>
        <r>
          <rPr>
            <sz val="11"/>
            <color theme="1"/>
            <rFont val="Open Sans"/>
            <scheme val="minor"/>
          </rPr>
          <t>======
ID#AAAAkX299LU
Lissete Dávila    (2022-11-25 13:08:44)
Costos variables no están considerando costos de combustible</t>
        </r>
      </text>
    </comment>
    <comment ref="D145" authorId="0" shapeId="0" xr:uid="{00000000-0006-0000-0700-000012000000}">
      <text>
        <r>
          <rPr>
            <sz val="11"/>
            <color theme="1"/>
            <rFont val="Open Sans"/>
            <scheme val="minor"/>
          </rPr>
          <t>======
ID#AAAAkX299Lc
Lissete Dávila    (2022-11-25 13:23:18)
Reportados como 0 en el Supplementary Information del paper ELENA</t>
        </r>
      </text>
    </comment>
    <comment ref="D148" authorId="0" shapeId="0" xr:uid="{00000000-0006-0000-0700-000013000000}">
      <text>
        <r>
          <rPr>
            <sz val="11"/>
            <color theme="1"/>
            <rFont val="Open Sans"/>
            <scheme val="minor"/>
          </rPr>
          <t>======
ID#AAAAkX299LY
Lissete Dávila    (2022-11-25 13:20:19)
Reportado como 0 en el Supplementary Information del paper</t>
        </r>
      </text>
    </comment>
    <comment ref="D181" authorId="0" shapeId="0" xr:uid="{00000000-0006-0000-0700-00000F000000}">
      <text>
        <r>
          <rPr>
            <sz val="11"/>
            <color theme="1"/>
            <rFont val="Open Sans"/>
            <scheme val="minor"/>
          </rPr>
          <t>======
ID#AAAAvt-jLCw
tc={E57128CB-1201-463D-A96F-2B05CC838D8A}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2" authorId="0" shapeId="0" xr:uid="{00000000-0006-0000-0700-000009000000}">
      <text>
        <r>
          <rPr>
            <sz val="11"/>
            <color theme="1"/>
            <rFont val="Open Sans"/>
            <scheme val="minor"/>
          </rPr>
          <t>======
ID#AAAAvt-jLEc
tc={4F735988-2ED6-4A08-A5D1-6F700702A910}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6" authorId="0" shapeId="0" xr:uid="{00000000-0006-0000-0700-000007000000}">
      <text>
        <r>
          <rPr>
            <sz val="11"/>
            <color theme="1"/>
            <rFont val="Open Sans"/>
            <scheme val="minor"/>
          </rPr>
          <t>======
ID#AAAAvt-jLE4
tc={22B44661-C4C0-46AA-897F-45D14017B290}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190" authorId="0" shapeId="0" xr:uid="{00000000-0006-0000-0700-00000E000000}">
      <text>
        <r>
          <rPr>
            <sz val="11"/>
            <color theme="1"/>
            <rFont val="Open Sans"/>
            <scheme val="minor"/>
          </rPr>
          <t>======
ID#AAAAvt-jLDM
tc={58D545C7-B863-45F3-97A4-CFC12B8645F3}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Reply:
    No han incluido costos capitales para esta tech.</t>
        </r>
      </text>
    </comment>
    <comment ref="D191" authorId="0" shapeId="0" xr:uid="{00000000-0006-0000-0700-000011000000}">
      <text>
        <r>
          <rPr>
            <sz val="11"/>
            <color theme="1"/>
            <rFont val="Open Sans"/>
            <scheme val="minor"/>
          </rPr>
          <t>======
ID#AAAAvt-jLB4
tc={83057E44-41F3-40B5-B686-5B6DE97468DF}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700-00000C000000}">
      <text>
        <r>
          <rPr>
            <sz val="11"/>
            <color theme="1"/>
            <rFont val="Open Sans"/>
            <scheme val="minor"/>
          </rPr>
          <t>======
ID#AAAAvt-jLDg
tc={DEB51C1E-E868-409F-BDD9-697467D4E217}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200" authorId="0" shapeId="0" xr:uid="{00000000-0006-0000-0700-00000B000000}">
      <text>
        <r>
          <rPr>
            <sz val="11"/>
            <color theme="1"/>
            <rFont val="Open Sans"/>
            <scheme val="minor"/>
          </rPr>
          <t>======
ID#AAAAvt-jLDo
tc={A15CA69E-52F8-4707-BCAD-F8DEA939796C}    (2023-05-01 16:27:56)
[Threaded comment]
Your version of Excel allows you to read this threaded comment; however, any edits to it will get removed if the file is opened in a newer version of Excel. Learn more: https://go.microsoft.com/fwlink/?linkid=870924
Comment:
    El documento #2 mostraba solo datos distintos de cero para el 2024-2036 por lo que solo se incluyeron los valores para estos años. Para el año 2037 en adelante se asume que el valor 2036 permanece constante.</t>
        </r>
      </text>
    </comment>
    <comment ref="D204" authorId="0" shapeId="0" xr:uid="{00000000-0006-0000-0700-000004000000}">
      <text>
        <r>
          <rPr>
            <sz val="11"/>
            <color theme="1"/>
            <rFont val="Open Sans"/>
            <scheme val="minor"/>
          </rPr>
          <t>======
ID#AAAAvt-jLGI
tc={71A674C0-7462-4387-A1CA-3A4C2E0D14AE}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t>
        </r>
      </text>
    </comment>
    <comment ref="D218" authorId="0" shapeId="0" xr:uid="{00000000-0006-0000-0700-000010000000}">
      <text>
        <r>
          <rPr>
            <sz val="11"/>
            <color theme="1"/>
            <rFont val="Open Sans"/>
            <scheme val="minor"/>
          </rPr>
          <t>======
ID#AAAAvt-jLCE
tc={044B2F44-A46D-43EE-B090-3BF63D849981}    (2023-05-01 16:27:56)
[Threaded comment]
Your version of Excel allows you to read this threaded comment; however, any edits to it will get removed if the file is opened in a newer version of Excel. Learn more: https://go.microsoft.com/fwlink/?linkid=870924
Comment:
    Los valores de este documento no fueron utilizados puesto que el documento solo cuenta con datos de 1 mes, además los valores reportados no guardan concordancia con la lógica de los valores de Elena y los del documento #2. Adicionalmente no se encuentra la mayoría de las centrales y no se especifica el tipo de tecnología.</t>
        </r>
      </text>
    </comment>
  </commentList>
  <extLst>
    <ext xmlns:r="http://schemas.openxmlformats.org/officeDocument/2006/relationships" uri="GoogleSheetsCustomDataVersion2">
      <go:sheetsCustomData xmlns:go="http://customooxmlschemas.google.com/" r:id="rId1" roundtripDataSignature="AMtx7mgWMMNiE1Iut9MQ51K9Hoecwi3E5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2000000}">
      <text>
        <r>
          <rPr>
            <sz val="11"/>
            <color theme="1"/>
            <rFont val="Open Sans"/>
            <scheme val="minor"/>
          </rPr>
          <t>======
ID#AAAAiBj5k6A
Lissete Dávila    (2022-09-10 01:19:21)
En esta columna está el número de referencia bibliográfica. El detalle de la referencia se encuentra al finalizar la tabla.</t>
        </r>
      </text>
    </comment>
    <comment ref="C6" authorId="0" shapeId="0" xr:uid="{00000000-0006-0000-1000-000005000000}">
      <text>
        <r>
          <rPr>
            <sz val="11"/>
            <color theme="1"/>
            <rFont val="Open Sans"/>
            <scheme val="minor"/>
          </rPr>
          <t>======
ID#AAAAiBj5k5s
Lissete Dávila    (2022-09-05 15:25:23)
Tomado del Potencial Hidrocarburífero</t>
        </r>
      </text>
    </comment>
    <comment ref="F6" authorId="0" shapeId="0" xr:uid="{00000000-0006-0000-1000-000003000000}">
      <text>
        <r>
          <rPr>
            <sz val="11"/>
            <color theme="1"/>
            <rFont val="Open Sans"/>
            <scheme val="minor"/>
          </rPr>
          <t>======
ID#AAAAiBj5k5w
Lissete Dávila    (2022-09-09 23:55:19)
Interesante que incremente el valor con relación al año 2019</t>
        </r>
      </text>
    </comment>
    <comment ref="F15" authorId="0" shapeId="0" xr:uid="{00000000-0006-0000-1000-000001000000}">
      <text>
        <r>
          <rPr>
            <sz val="11"/>
            <color theme="1"/>
            <rFont val="Open Sans"/>
            <scheme val="minor"/>
          </rPr>
          <t>======
ID#AAAAiBj5k6I
Lissete Dávila    (2022-09-10 01:21:09)
Interesante que incremente el valor con relación al año 2019</t>
        </r>
      </text>
    </comment>
    <comment ref="C22" authorId="0" shapeId="0" xr:uid="{00000000-0006-0000-1000-00000D000000}">
      <text>
        <r>
          <rPr>
            <sz val="11"/>
            <color theme="1"/>
            <rFont val="Open Sans"/>
            <scheme val="minor"/>
          </rPr>
          <t>======
ID#AAAAiBj5k7E
Lissete Dávila    (2022-09-05 14:17:00)
Para estos datos consideré lo que en el Balance Energético Nacional está como "Producción Anual"</t>
        </r>
      </text>
    </comment>
    <comment ref="C24" authorId="0" shapeId="0" xr:uid="{00000000-0006-0000-1000-00000C000000}">
      <text>
        <r>
          <rPr>
            <sz val="11"/>
            <color theme="1"/>
            <rFont val="Open Sans"/>
            <scheme val="minor"/>
          </rPr>
          <t>======
ID#AAAAiBj5k5c
Lissete Dávila    (2022-09-05 14:17:41)
En el BEN hay un rubro de "Líquidos de gas natural", le creo otra fila o le sumo tal vez dentro de la fila de gas natural?</t>
        </r>
      </text>
    </comment>
    <comment ref="C30" authorId="0" shapeId="0" xr:uid="{00000000-0006-0000-1000-00000F000000}">
      <text>
        <r>
          <rPr>
            <sz val="11"/>
            <color theme="1"/>
            <rFont val="Open Sans"/>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1000-00000E000000}">
      <text>
        <r>
          <rPr>
            <sz val="11"/>
            <color theme="1"/>
            <rFont val="Open Sans"/>
            <scheme val="minor"/>
          </rPr>
          <t>======
ID#AAAAiBj5k58
Lissete Dávila    (2022-09-05 14:07:32)
No hay registro de que se importe petróleo crudo según el Balance Energético Nacional</t>
        </r>
      </text>
    </comment>
    <comment ref="C68" authorId="0" shapeId="0" xr:uid="{00000000-0006-0000-1000-00000B000000}">
      <text>
        <r>
          <rPr>
            <sz val="11"/>
            <color theme="1"/>
            <rFont val="Open Sans"/>
            <scheme val="minor"/>
          </rPr>
          <t>======
ID#AAAAiBj5k6g
Lissete Dávila    (2022-09-05 14:21:43)
Se considera la Producción por Refinería del Balance Energético Nacional</t>
        </r>
      </text>
    </comment>
    <comment ref="C71" authorId="0" shapeId="0" xr:uid="{00000000-0006-0000-1000-00000A000000}">
      <text>
        <r>
          <rPr>
            <sz val="11"/>
            <color theme="1"/>
            <rFont val="Open Sans"/>
            <scheme val="minor"/>
          </rPr>
          <t>======
ID#AAAAiBj5k6s
Lissete Dávila    (2022-09-05 14:25:46)
Incluye Diésel Oil y Diésel Premium</t>
        </r>
      </text>
    </comment>
    <comment ref="C74" authorId="0" shapeId="0" xr:uid="{00000000-0006-0000-1000-000009000000}">
      <text>
        <r>
          <rPr>
            <sz val="11"/>
            <color theme="1"/>
            <rFont val="Open Sans"/>
            <scheme val="minor"/>
          </rPr>
          <t>======
ID#AAAAiBj5k6Q
Lissete Dávila    (2022-09-05 14:27:57)
Considera residuo de refinería más diluyente nacional</t>
        </r>
      </text>
    </comment>
    <comment ref="C80" authorId="0" shapeId="0" xr:uid="{00000000-0006-0000-1000-000008000000}">
      <text>
        <r>
          <rPr>
            <sz val="11"/>
            <color theme="1"/>
            <rFont val="Open Sans"/>
            <scheme val="minor"/>
          </rPr>
          <t>======
ID#AAAAiBj5k5Y
Lissete Dávila    (2022-09-05 14:31:19)
Incluye Diésel 1 (Kerosene) y Diésel 2</t>
        </r>
      </text>
    </comment>
    <comment ref="C88" authorId="0" shapeId="0" xr:uid="{00000000-0006-0000-1000-000007000000}">
      <text>
        <r>
          <rPr>
            <sz val="11"/>
            <color theme="1"/>
            <rFont val="Open Sans"/>
            <scheme val="minor"/>
          </rPr>
          <t>======
ID#AAAAiBj5k64
Lissete Dávila    (2022-09-05 14:35:24)
Incluye Diésel 1 (Kerosene) y Diésel 2</t>
        </r>
      </text>
    </comment>
    <comment ref="C96" authorId="0" shapeId="0" xr:uid="{00000000-0006-0000-1000-000006000000}">
      <text>
        <r>
          <rPr>
            <sz val="11"/>
            <color theme="1"/>
            <rFont val="Open Sans"/>
            <scheme val="minor"/>
          </rPr>
          <t>======
ID#AAAAiBj5k5g
Lissete Dávila    (2022-09-05 14:38:48)
Incluye Diésel 1 (Kerosene) y Diésel 2</t>
        </r>
      </text>
    </comment>
    <comment ref="C106" authorId="0" shapeId="0" xr:uid="{00000000-0006-0000-1000-000004000000}">
      <text>
        <r>
          <rPr>
            <sz val="11"/>
            <color theme="1"/>
            <rFont val="Open Sans"/>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extLst>
    <ext xmlns:r="http://schemas.openxmlformats.org/officeDocument/2006/relationships" uri="GoogleSheetsCustomDataVersion2">
      <go:sheetsCustomData xmlns:go="http://customooxmlschemas.google.com/" r:id="rId1" roundtripDataSignature="AMtx7mhwfyhG08riTSMdMQYmX8EjYFdmJ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04" authorId="0" shapeId="0" xr:uid="{00000000-0006-0000-1100-000001000000}">
      <text>
        <r>
          <rPr>
            <sz val="11"/>
            <color theme="1"/>
            <rFont val="Open Sans"/>
            <scheme val="minor"/>
          </rPr>
          <t>======
ID#AAAAiBj5k5I
Lissete Dávila    (2022-09-18 18:01:49)
Los valores desde el 2020 fueron tomados en base a la tabla que muestra el hipervinculo.</t>
        </r>
      </text>
    </comment>
    <comment ref="C137" authorId="0" shapeId="0" xr:uid="{00000000-0006-0000-1100-000008000000}">
      <text>
        <r>
          <rPr>
            <sz val="11"/>
            <color theme="1"/>
            <rFont val="Open Sans"/>
            <scheme val="minor"/>
          </rPr>
          <t>======
ID#AAAAiBj5k54
Lissete Dávila    (2022-09-07 00:19:46)
No se posee este tipo de información</t>
        </r>
      </text>
    </comment>
    <comment ref="B309" authorId="0" shapeId="0" xr:uid="{00000000-0006-0000-1100-000003000000}">
      <text>
        <r>
          <rPr>
            <sz val="11"/>
            <color theme="1"/>
            <rFont val="Open Sans"/>
            <scheme val="minor"/>
          </rPr>
          <t>======
ID#AAAAiBj5k6M
Lissete Dávila    (2022-09-10 02:12:51)
No se posee factores de capacidad por timeslices</t>
        </r>
      </text>
    </comment>
    <comment ref="C312" authorId="0" shapeId="0" xr:uid="{00000000-0006-0000-1100-000004000000}">
      <text>
        <r>
          <rPr>
            <sz val="11"/>
            <color theme="1"/>
            <rFont val="Open Sans"/>
            <scheme val="minor"/>
          </rPr>
          <t>======
ID#AAAAiBj5k68
Lissete Dávila    (2022-09-09 23:15:10)
Se hizo de referencia la presentación de Energía del modelo Elena</t>
        </r>
      </text>
    </comment>
    <comment ref="C339" authorId="0" shapeId="0" xr:uid="{00000000-0006-0000-1100-000007000000}">
      <text>
        <r>
          <rPr>
            <sz val="11"/>
            <color theme="1"/>
            <rFont val="Open Sans"/>
            <scheme val="minor"/>
          </rPr>
          <t>======
ID#AAAAiBj5k6k
Lissete Dávila    (2022-09-07 03:54:26)
Total Energía Entregada para Demanda Regulada y No Regulada</t>
        </r>
      </text>
    </comment>
    <comment ref="C341" authorId="0" shapeId="0" xr:uid="{00000000-0006-0000-1100-000005000000}">
      <text>
        <r>
          <rPr>
            <sz val="11"/>
            <color theme="1"/>
            <rFont val="Open Sans"/>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100-000006000000}">
      <text>
        <r>
          <rPr>
            <sz val="11"/>
            <color theme="1"/>
            <rFont val="Open Sans"/>
            <scheme val="minor"/>
          </rPr>
          <t>======
ID#AAAAiBj5k5M
Lissete Dávila    (2022-09-07 03:57:09)
Total Energía Disponible para Demanda Regulada y No Regulada</t>
        </r>
      </text>
    </comment>
    <comment ref="B357" authorId="0" shapeId="0" xr:uid="{00000000-0006-0000-1100-000002000000}">
      <text>
        <r>
          <rPr>
            <sz val="11"/>
            <color theme="1"/>
            <rFont val="Open Sans"/>
            <scheme val="minor"/>
          </rPr>
          <t>======
ID#AAAAiBj5k5o
Lissete Dávila    (2022-09-10 02:42:01)
No se tiene por timeslices</t>
        </r>
      </text>
    </comment>
  </commentList>
  <extLst>
    <ext xmlns:r="http://schemas.openxmlformats.org/officeDocument/2006/relationships" uri="GoogleSheetsCustomDataVersion2">
      <go:sheetsCustomData xmlns:go="http://customooxmlschemas.google.com/" r:id="rId1" roundtripDataSignature="AMtx7mjxkpwNWcQ7B7csI2okY7lUvfdpj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300-000002000000}">
      <text>
        <r>
          <rPr>
            <sz val="11"/>
            <color theme="1"/>
            <rFont val="Open Sans"/>
            <scheme val="minor"/>
          </rPr>
          <t>======
ID#AAAAiBj5k50
Lissete Dávila    (2022-09-14 03:03:09)
Datos tomados de la fila "Producción" en la pestaña "base_GEI"</t>
        </r>
      </text>
    </comment>
    <comment ref="C83" authorId="0" shapeId="0" xr:uid="{00000000-0006-0000-1300-000003000000}">
      <text>
        <r>
          <rPr>
            <sz val="11"/>
            <color theme="1"/>
            <rFont val="Open Sans"/>
            <scheme val="minor"/>
          </rPr>
          <t>======
ID#AAAAiBj5k5Q
Lissete Dávila    (2022-09-13 23:16:09)
Fila "consumo final" de la pestaña "base GEI"</t>
        </r>
      </text>
    </comment>
    <comment ref="A124" authorId="0" shapeId="0" xr:uid="{00000000-0006-0000-1300-000001000000}">
      <text>
        <r>
          <rPr>
            <sz val="11"/>
            <color theme="1"/>
            <rFont val="Open Sans"/>
            <scheme val="minor"/>
          </rPr>
          <t>======
ID#AAAAmTn69R4
Lissete Dávila    (2022-12-21 23:09:03)
Tabla 2.7 del Balance Energético Nacional 2021</t>
        </r>
      </text>
    </comment>
  </commentList>
  <extLst>
    <ext xmlns:r="http://schemas.openxmlformats.org/officeDocument/2006/relationships" uri="GoogleSheetsCustomDataVersion2">
      <go:sheetsCustomData xmlns:go="http://customooxmlschemas.google.com/" r:id="rId1" roundtripDataSignature="AMtx7mjNVLrtE16ewWsnYUztZHahyeLoX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tc={290FE1A2-CD99-4091-8B40-7B2EC2869A60}</author>
    <author>tc={A71F58C0-51CC-4283-8313-D94A5EFB0EDD}</author>
  </authors>
  <commentList>
    <comment ref="E26" authorId="0" shapeId="0" xr:uid="{00000000-0006-0000-1400-000008000000}">
      <text>
        <r>
          <rPr>
            <sz val="11"/>
            <color theme="1"/>
            <rFont val="Open Sans"/>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E52" authorId="0" shapeId="0" xr:uid="{00000000-0006-0000-1400-000004000000}">
      <text>
        <r>
          <rPr>
            <sz val="11"/>
            <color theme="1"/>
            <rFont val="Open Sans"/>
            <scheme val="minor"/>
          </rPr>
          <t>======
ID#AAAAxfM1fx8
tc={99EA83F6-89BA-43D3-AB88-D1504115EDF2}    (2023-05-18 23:48:46)
[Threaded comment]
Your version of Excel allows you to read this threaded comment; however, any edits to it will get removed if the file is opened in a newer version of Excel. Learn more: https://go.microsoft.com/fwlink/?linkid=870924
Comment:
    Faltan costos de importación de: crudo, fuel oil, keroseno, jet fuel y gas natural
Reply:
    Costos de importación de electricidad</t>
        </r>
      </text>
    </comment>
    <comment ref="E53" authorId="0" shapeId="0" xr:uid="{00000000-0006-0000-1400-00000C000000}">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4" authorId="0" shapeId="0" xr:uid="{00000000-0006-0000-1400-000007000000}">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5" authorId="0" shapeId="0" xr:uid="{00000000-0006-0000-1400-000003000000}">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6" authorId="0" shapeId="0" xr:uid="{56D236B4-627F-468B-BBA6-50604D4BE414}">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7" authorId="0" shapeId="0" xr:uid="{F08C2F6F-5E06-445E-B343-19346F3BF396}">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8" authorId="0" shapeId="0" xr:uid="{56AA4131-10BB-429C-8C87-688BB0D6CF53}">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9" authorId="0" shapeId="0" xr:uid="{00000000-0006-0000-1400-000001000000}">
      <text>
        <r>
          <rPr>
            <sz val="11"/>
            <color theme="1"/>
            <rFont val="Open Sans"/>
            <scheme val="minor"/>
          </rPr>
          <t>======
ID#AAAAxfM1fy8
Daniel Villamar    (2023-05-19 00:08:48)
Precio WTI a valor constante 2021 promedio sectorial</t>
        </r>
      </text>
    </comment>
    <comment ref="E68" authorId="0" shapeId="0" xr:uid="{00000000-0006-0000-1400-000005000000}">
      <text>
        <r>
          <rPr>
            <sz val="11"/>
            <color theme="1"/>
            <rFont val="Open Sans"/>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E71" authorId="0" shapeId="0" xr:uid="{00000000-0006-0000-1400-000006000000}">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E72" authorId="0" shapeId="0" xr:uid="{00000000-0006-0000-1400-000011000000}">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E73" authorId="0" shapeId="0" xr:uid="{00000000-0006-0000-1400-00000F000000}">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E74" authorId="0" shapeId="0" xr:uid="{00000000-0006-0000-1400-00000D000000}">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E75" authorId="0" shapeId="0" xr:uid="{00000000-0006-0000-1400-000010000000}">
      <text>
        <r>
          <rPr>
            <sz val="11"/>
            <color theme="1"/>
            <rFont val="Open Sans"/>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6" authorId="0" shapeId="0" xr:uid="{00000000-0006-0000-1400-000013000000}">
      <text>
        <r>
          <rPr>
            <sz val="11"/>
            <color theme="1"/>
            <rFont val="Open Sans"/>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7" authorId="0" shapeId="0" xr:uid="{00000000-0006-0000-1400-000014000000}">
      <text>
        <r>
          <rPr>
            <sz val="11"/>
            <color theme="1"/>
            <rFont val="Open Sans"/>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8" authorId="1" shapeId="0" xr:uid="{290FE1A2-CD99-4091-8B40-7B2EC2869A6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E82" authorId="2" shapeId="0" xr:uid="{A71F58C0-51CC-4283-8313-D94A5EFB0EDD}">
      <text>
        <t>[Threaded comment]
Your version of Excel allows you to read this threaded comment; however, any edits to it will get removed if the file is opened in a newer version of Excel. Learn more: https://go.microsoft.com/fwlink/?linkid=870924
Comment:
    En la fuente original el valor es de 0.08$/kg de Hidrógeno
Reply:
    El poder calorífico interior es de 120 MJ/kg https://energia.jcyl.es/web/es/biblioteca/combustible-hidrogeno.html</t>
      </text>
    </comment>
    <comment ref="E83" authorId="0" shapeId="0" xr:uid="{00000000-0006-0000-1400-000002000000}">
      <text>
        <r>
          <rPr>
            <sz val="11"/>
            <color theme="1"/>
            <rFont val="Open Sans"/>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E84" authorId="0" shapeId="0" xr:uid="{00000000-0006-0000-1400-000018000000}">
      <text>
        <r>
          <rPr>
            <sz val="11"/>
            <color theme="1"/>
            <rFont val="Open Sans"/>
            <scheme val="minor"/>
          </rPr>
          <t>======
ID#AAAAvt-jLF0
Lissete Dávila    (2022-11-28 00:50:46)
Costos CAPEX</t>
        </r>
      </text>
    </comment>
    <comment ref="E96" authorId="0" shapeId="0" xr:uid="{00000000-0006-0000-1400-000015000000}">
      <text>
        <r>
          <rPr>
            <sz val="11"/>
            <color theme="1"/>
            <rFont val="Open Sans"/>
            <scheme val="minor"/>
          </rPr>
          <t xml:space="preserve">======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
</t>
        </r>
      </text>
    </comment>
  </commentList>
  <extLst>
    <ext xmlns:r="http://schemas.openxmlformats.org/officeDocument/2006/relationships" uri="GoogleSheetsCustomDataVersion2">
      <go:sheetsCustomData xmlns:go="http://customooxmlschemas.google.com/" r:id="rId1" roundtripDataSignature="AMtx7miMBekQrIXbvOdFRxWAABa5AvbP+w=="/>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Lissete Davila</author>
    <author/>
    <author>tc={77F228F3-5120-4D3F-8E85-925F376AC3A1}</author>
    <author>tc={CFE20F0B-5636-4556-A1BF-004A661C05E0}</author>
  </authors>
  <commentList>
    <comment ref="C5" authorId="0" shapeId="0" xr:uid="{349440D0-9FD1-4B1E-A377-8DA9ABCDF347}">
      <text>
        <r>
          <rPr>
            <sz val="11"/>
            <color theme="1"/>
            <rFont val="Open Sans"/>
            <scheme val="minor"/>
          </rPr>
          <t>Lissete Davila:
Factor de conversión utilizado en la plantilla UCR de Energía</t>
        </r>
      </text>
    </comment>
    <comment ref="C12" authorId="0" shapeId="0" xr:uid="{53B3736F-32AD-4FEE-A089-CF74E006E91C}">
      <text>
        <r>
          <rPr>
            <sz val="11"/>
            <color theme="1"/>
            <rFont val="Open Sans"/>
            <scheme val="minor"/>
          </rPr>
          <t>Lissete Davila:
Factor de conversión utilizado en la plantilla UCR de Energía</t>
        </r>
      </text>
    </comment>
    <comment ref="B19" authorId="1" shapeId="0" xr:uid="{57430F24-1A21-40D2-AD35-F0E9B4C94C71}">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20" authorId="1" shapeId="0" xr:uid="{C7EB7BDB-448B-4DC0-871D-8DE9BDDFD001}">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1" authorId="1" shapeId="0" xr:uid="{E4AD45C7-363F-4961-8C9A-7836F44F653C}">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2" authorId="1" shapeId="0" xr:uid="{898D5681-F498-4FA9-BCA3-E947D5A8B239}">
      <text>
        <r>
          <rPr>
            <sz val="11"/>
            <color theme="1"/>
            <rFont val="Open Sans"/>
            <scheme val="minor"/>
          </rPr>
          <t>======
ID#AAAAxfM1fy8
Daniel Villamar    (2023-05-19 00:08:48)
Precio WTI a valor constante 2021 promedio sectorial</t>
        </r>
      </text>
    </comment>
    <comment ref="C32" authorId="0" shapeId="0" xr:uid="{866D4525-52D0-4BF6-A22F-F36B4DC87004}">
      <text>
        <r>
          <rPr>
            <sz val="11"/>
            <color theme="1"/>
            <rFont val="Open Sans"/>
            <scheme val="minor"/>
          </rPr>
          <t>Lissete Davila:
Factor de transformación obtenido del siguiente documento: https://biblioteca.olade.org/opac-tmpl/Documentos/old0331.pdf</t>
        </r>
      </text>
    </comment>
    <comment ref="B38" authorId="1" shapeId="0" xr:uid="{47E9D868-11FF-41B2-B591-DE5B36DFC99A}">
      <text>
        <r>
          <rPr>
            <sz val="11"/>
            <color theme="1"/>
            <rFont val="Open Sans"/>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39" authorId="1" shapeId="0" xr:uid="{D04B8FEC-812E-4ECC-B852-58C271E348E4}">
      <text>
        <r>
          <rPr>
            <sz val="11"/>
            <color theme="1"/>
            <rFont val="Open Sans"/>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0" authorId="1" shapeId="0" xr:uid="{086D469F-001D-4713-A2B5-C67FE67E45CB}">
      <text>
        <r>
          <rPr>
            <sz val="11"/>
            <color theme="1"/>
            <rFont val="Open Sans"/>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1" authorId="1" shapeId="0" xr:uid="{ED57C2EA-24CD-40CF-B249-D3A81030CC34}">
      <text>
        <r>
          <rPr>
            <sz val="11"/>
            <color theme="1"/>
            <rFont val="Open Sans"/>
            <scheme val="minor"/>
          </rPr>
          <t>======
ID#AAAAxfM1fy8
Daniel Villamar    (2023-05-19 00:08:48)
Precio WTI a valor constante 2021 promedio sectorial</t>
        </r>
      </text>
    </comment>
    <comment ref="C51" authorId="0" shapeId="0" xr:uid="{0BE7E018-CE6D-4B73-BD37-961AEBA015D4}">
      <text>
        <r>
          <rPr>
            <sz val="11"/>
            <color theme="1"/>
            <rFont val="Open Sans"/>
            <scheme val="minor"/>
          </rPr>
          <t>Lissete Davila:
Factor de conversión utilizado en la plantilla UCR de Energía</t>
        </r>
      </text>
    </comment>
    <comment ref="G52" authorId="0" shapeId="0" xr:uid="{A58909FF-6156-4C01-9693-1734BD915702}">
      <text>
        <r>
          <rPr>
            <sz val="11"/>
            <color theme="1"/>
            <rFont val="Open Sans"/>
            <scheme val="minor"/>
          </rPr>
          <t>Lissete Davila:
Factor de transformación obtenido del siguiente documento: https://biblioteca.olade.org/opac-tmpl/Documentos/old0331.pdf</t>
        </r>
      </text>
    </comment>
    <comment ref="B58" authorId="1" shapeId="0" xr:uid="{360BC88B-5B43-4FC4-936D-2CAD49A9BB4B}">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59" authorId="1" shapeId="0" xr:uid="{CE988A46-F5C8-4F52-BA37-8D8488249487}">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60" authorId="1" shapeId="0" xr:uid="{DC31F806-CE33-4B42-BD9E-AC29E220FA77}">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61" authorId="1" shapeId="0" xr:uid="{B25B2B2A-3EE3-4ED2-92B8-1800E87E4001}">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62" authorId="2" shapeId="0" xr:uid="{77F228F3-5120-4D3F-8E85-925F376AC3A1}">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G70" authorId="0" shapeId="0" xr:uid="{908BC80D-62EE-4355-97B8-BBD5DC5D68CE}">
      <text>
        <r>
          <rPr>
            <sz val="11"/>
            <color theme="1"/>
            <rFont val="Open Sans"/>
            <scheme val="minor"/>
          </rPr>
          <t>Lissete Davila:
Factor de transformación obtenido del siguiente documento: https://biblioteca.olade.org/opac-tmpl/Documentos/old0331.pdf</t>
        </r>
      </text>
    </comment>
    <comment ref="B74" authorId="1" shapeId="0" xr:uid="{52CB3C40-2D1E-442C-85CA-32BFABFBB97F}">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75" authorId="1" shapeId="0" xr:uid="{096E3C23-1490-4882-9B3C-A9849DD2EBB2}">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76" authorId="1" shapeId="0" xr:uid="{E3670D5C-D481-42B9-8668-C7F1A34EC38C}">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77" authorId="1" shapeId="0" xr:uid="{8230CBEE-394F-474B-AC22-EC2C234EF681}">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78" authorId="3" shapeId="0" xr:uid="{CFE20F0B-5636-4556-A1BF-004A661C05E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14" authorId="0" shapeId="0" xr:uid="{06A40FB2-00DD-4A41-8A95-4D0E5B24B362}">
      <text>
        <r>
          <rPr>
            <sz val="11"/>
            <color theme="1"/>
            <rFont val="Open Sans"/>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C36" authorId="0" shapeId="0" xr:uid="{D3D7074F-6CD8-4FDD-98D7-AA4CE7EE62B7}">
      <text>
        <r>
          <rPr>
            <sz val="11"/>
            <color theme="1"/>
            <rFont val="Open Sans"/>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C38" authorId="0" shapeId="0" xr:uid="{B8B80A73-1A4C-4BD6-A2AA-AD06A7314197}">
      <text>
        <r>
          <rPr>
            <sz val="11"/>
            <color theme="1"/>
            <rFont val="Open Sans"/>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C39" authorId="0" shapeId="0" xr:uid="{1A53345D-DC4E-4394-9F0C-97CF3B82B34B}">
      <text>
        <r>
          <rPr>
            <sz val="11"/>
            <color theme="1"/>
            <rFont val="Open Sans"/>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C40" authorId="0" shapeId="0" xr:uid="{1A115148-8B4D-4281-A848-EDF5BF542D7D}">
      <text>
        <r>
          <rPr>
            <sz val="11"/>
            <color theme="1"/>
            <rFont val="Open Sans"/>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C41" authorId="0" shapeId="0" xr:uid="{8140D845-820A-42BF-A63A-F4720BC14D3B}">
      <text>
        <r>
          <rPr>
            <sz val="11"/>
            <color theme="1"/>
            <rFont val="Open Sans"/>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C42" authorId="0" shapeId="0" xr:uid="{86636B36-DFED-465F-9D08-568508150441}">
      <text>
        <r>
          <rPr>
            <sz val="11"/>
            <color theme="1"/>
            <rFont val="Open Sans"/>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3" authorId="0" shapeId="0" xr:uid="{93CD36AB-38E2-419A-8BC0-867F3661B1B6}">
      <text>
        <r>
          <rPr>
            <sz val="11"/>
            <color theme="1"/>
            <rFont val="Open Sans"/>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4" authorId="0" shapeId="0" xr:uid="{46E2CD2F-EB3A-4E45-B4A0-8239D06C4222}">
      <text>
        <r>
          <rPr>
            <sz val="11"/>
            <color theme="1"/>
            <rFont val="Open Sans"/>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7" authorId="0" shapeId="0" xr:uid="{09CA59AE-8B5C-44A4-8D24-3B86815DB7D9}">
      <text>
        <r>
          <rPr>
            <sz val="11"/>
            <color theme="1"/>
            <rFont val="Open Sans"/>
            <scheme val="minor"/>
          </rPr>
          <t>======
ID#AAAAvt-jLC8
tc={603B03D6-3905-410E-B11C-98607C1806F0}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48" authorId="0" shapeId="0" xr:uid="{55BBF7F0-BFF1-4BD0-9E62-7B0C938015F8}">
      <text>
        <r>
          <rPr>
            <sz val="11"/>
            <color theme="1"/>
            <rFont val="Open Sans"/>
            <scheme val="minor"/>
          </rPr>
          <t>======
ID#AAAAvt-jLFI
tc={4B290EE2-D648-46B0-965F-1F3F0E328B01}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asumió que los costos fijos son la mitad de los costos variables para biomasa (bagazo de caña), en base a los documentos compartidos por Vero: 
Reply:
    https://drive.google.com/file/d/1gKU-7CqLZIk9SqhTpfdG-iTJ_k5ut7Md/view?usp=sharing</t>
        </r>
      </text>
    </comment>
    <comment ref="C49" authorId="0" shapeId="0" xr:uid="{97A2B9A1-A7FA-4C0F-AB00-7B5E0FB4431C}">
      <text>
        <r>
          <rPr>
            <sz val="11"/>
            <color theme="1"/>
            <rFont val="Open Sans"/>
            <scheme val="minor"/>
          </rPr>
          <t>======
ID#AAAAxfM1fxU
tc={19B66F1A-4FFA-4F93-9F70-2064B190DBA9}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10% 
Reply:
    Se considera constante desde el 2018 en adelante.</t>
        </r>
      </text>
    </comment>
    <comment ref="C50" authorId="0" shapeId="0" xr:uid="{1035ADC2-76AF-4330-96D8-2C5B3F83DE01}">
      <text>
        <r>
          <rPr>
            <sz val="11"/>
            <color theme="1"/>
            <rFont val="Open Sans"/>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C53" authorId="0" shapeId="0" xr:uid="{B8F702F3-8699-4355-9E83-D8FC30D81601}">
      <text>
        <r>
          <rPr>
            <sz val="11"/>
            <color theme="1"/>
            <rFont val="Open Sans"/>
            <scheme val="minor"/>
          </rPr>
          <t>======
ID#AAAAvt-jLCU
tc={308482A5-D869-4612-8765-B2DE7DD5B143}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54" authorId="0" shapeId="0" xr:uid="{A3CF73AF-E3C7-4BC2-ADD4-58F1D5B5B1DA}">
      <text>
        <r>
          <rPr>
            <sz val="11"/>
            <color theme="1"/>
            <rFont val="Open Sans"/>
            <scheme val="minor"/>
          </rPr>
          <t>======
ID#AAAAxfM1fxg
tc={A89C96F2-D3EE-4113-813C-59FFA268197D}    (2023-05-18 23:48:46)
[Threaded comment]
Your version of Excel allows you to read this threaded comment; however, any edits to it will get removed if the file is opened in a newer version of Excel. Learn more: https://go.microsoft.com/fwlink/?linkid=870924
Comment:
    Se asume un valor constante para todos los años.</t>
        </r>
      </text>
    </comment>
    <comment ref="C55" authorId="0" shapeId="0" xr:uid="{972DD93A-0BE0-4BF8-A802-C6384C2B0000}">
      <text>
        <r>
          <rPr>
            <sz val="11"/>
            <color theme="1"/>
            <rFont val="Open Sans"/>
            <scheme val="minor"/>
          </rPr>
          <t>======
ID#AAAAxfM1fxk
tc={02FF509A-DE3D-461E-985F-27A748D83033}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5% por ser un proceso poco tecnificado
Reply:
    Se asume constante desde el 2018 en adelante.</t>
        </r>
      </text>
    </comment>
    <comment ref="C56" authorId="0" shapeId="0" xr:uid="{2DDF4B54-0E65-4646-90E5-DA74935573E7}">
      <text>
        <r>
          <rPr>
            <sz val="11"/>
            <color theme="1"/>
            <rFont val="Open Sans"/>
            <scheme val="minor"/>
          </rPr>
          <t>======
ID#AAAAvt-jLF0
Lissete Dávila    (2022-11-28 00:50:46)
Costos CAPEX</t>
        </r>
      </text>
    </comment>
    <comment ref="C68" authorId="0" shapeId="0" xr:uid="{68B8E5DF-44B3-41CC-BCE5-13008F3C344B}">
      <text>
        <r>
          <rPr>
            <sz val="11"/>
            <color theme="1"/>
            <rFont val="Open Sans"/>
            <scheme val="minor"/>
          </rPr>
          <t>======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700-000001000000}">
      <text>
        <r>
          <rPr>
            <sz val="11"/>
            <color theme="1"/>
            <rFont val="Open Sans"/>
            <scheme val="minor"/>
          </rPr>
          <t>======
ID#AAAAvt-jLFc
tc={A24C9FFD-FFD2-40D5-9022-680BDF0FEBFC}    (2023-05-01 16:27:56)
[Threaded comment]
Your version of Excel allows you to read this threaded comment; however, any edits to it will get removed if the file is opened in a newer version of Excel. Learn more: https://go.microsoft.com/fwlink/?linkid=870924
Comment:
    Esto involucra costos tanto de SOTE como de OCP</t>
        </r>
      </text>
    </comment>
  </commentList>
  <extLst>
    <ext xmlns:r="http://schemas.openxmlformats.org/officeDocument/2006/relationships" uri="GoogleSheetsCustomDataVersion2">
      <go:sheetsCustomData xmlns:go="http://customooxmlschemas.google.com/" r:id="rId1" roundtripDataSignature="AMtx7miNZmGMS44b0tUZedIEhjzw8L8bcg=="/>
    </ext>
  </extLst>
</comments>
</file>

<file path=xl/sharedStrings.xml><?xml version="1.0" encoding="utf-8"?>
<sst xmlns="http://schemas.openxmlformats.org/spreadsheetml/2006/main" count="6041" uniqueCount="1195">
  <si>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</si>
  <si>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</si>
  <si>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</si>
  <si>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</si>
  <si>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</si>
  <si>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</si>
  <si>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Ecuador</t>
  </si>
  <si>
    <t>Combustibles fósiles</t>
  </si>
  <si>
    <t>Reservas probadas (puedeserunvalorparatodoelperiodo)</t>
  </si>
  <si>
    <t>Petróleo[PJ]</t>
  </si>
  <si>
    <t>Gas Natural [PJ]</t>
  </si>
  <si>
    <t>Carbón [PJ]</t>
  </si>
  <si>
    <t>...</t>
  </si>
  <si>
    <t>Total [PJ]</t>
  </si>
  <si>
    <t>Potencial Hidrocarburifero (Petróleo)</t>
  </si>
  <si>
    <t>Reservas totales (3P) [PJ]</t>
  </si>
  <si>
    <t>Recursos contingentes (3C) [PJ]</t>
  </si>
  <si>
    <t>Recursos prospectivos [PJ]</t>
  </si>
  <si>
    <t>Potencial Hidrocarburifero (Gas Natural)</t>
  </si>
  <si>
    <t>1,2</t>
  </si>
  <si>
    <t>Extracción anual</t>
  </si>
  <si>
    <t>Petróleo [PJ]</t>
  </si>
  <si>
    <t>..</t>
  </si>
  <si>
    <t>**Pérdidas por extracción anual</t>
  </si>
  <si>
    <t>Petróleo [PJ] Extrae + Importa - Entradas de refinación - Exportaciones</t>
  </si>
  <si>
    <t>2022-2070</t>
  </si>
  <si>
    <t>No aprovechado</t>
  </si>
  <si>
    <t>Importación</t>
  </si>
  <si>
    <t>Petróleo crudo [PJ]</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</si>
  <si>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</si>
  <si>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</si>
  <si>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</si>
  <si>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</si>
  <si>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</si>
  <si>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</si>
  <si>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</si>
  <si>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</si>
  <si>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</si>
  <si>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</si>
  <si>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</si>
  <si>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</si>
  <si>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</si>
  <si>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</si>
  <si>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</si>
  <si>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</si>
  <si>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</si>
  <si>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</si>
  <si>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</si>
  <si>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</si>
  <si>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</si>
  <si>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</si>
  <si>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</si>
  <si>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</si>
  <si>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</si>
  <si>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</si>
  <si>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</si>
  <si>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</si>
  <si>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</si>
  <si>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</si>
  <si>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</si>
  <si>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</si>
  <si>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</si>
  <si>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</si>
  <si>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</si>
  <si>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</si>
  <si>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</si>
  <si>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</si>
  <si>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</si>
  <si>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</si>
  <si>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</si>
  <si>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</si>
  <si>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para electricidad</t>
  </si>
  <si>
    <t>PETRÓLEO [PJ]</t>
  </si>
  <si>
    <t>GAS NATURAL [PJ]</t>
  </si>
  <si>
    <t>BAGAZO [PJ]</t>
  </si>
  <si>
    <t>GAS LICUADO [PJ]</t>
  </si>
  <si>
    <t>GASOLINAS [PJ]</t>
  </si>
  <si>
    <t>DIÉSEL OIL [PJ]</t>
  </si>
  <si>
    <t>FUEL OIL [PJ]</t>
  </si>
  <si>
    <t>CRUDO REDUCIDO [PJ]</t>
  </si>
  <si>
    <t>BIOGÁS [PJ]</t>
  </si>
  <si>
    <t>RESIDUOS</t>
  </si>
  <si>
    <t>Energía generada por combustible</t>
  </si>
  <si>
    <t>PJ/PJ</t>
  </si>
  <si>
    <t>2021-2050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</si>
  <si>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</si>
  <si>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</si>
  <si>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</si>
  <si>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</si>
  <si>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</si>
  <si>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</si>
  <si>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</si>
  <si>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</si>
  <si>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</si>
  <si>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</si>
  <si>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</si>
  <si>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</si>
  <si>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</si>
  <si>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</si>
  <si>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</si>
  <si>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</si>
  <si>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</si>
  <si>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</si>
  <si>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</si>
  <si>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</si>
  <si>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</si>
  <si>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</si>
  <si>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</si>
  <si>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</si>
  <si>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</si>
  <si>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</si>
  <si>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</si>
  <si>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</si>
  <si>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</si>
  <si>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TotalAnnualAcivityLowerLimit Refinación</t>
  </si>
  <si>
    <t>Crudo Reducido [PJ]</t>
  </si>
  <si>
    <t>Revisión Refinación</t>
  </si>
  <si>
    <t>Crudo Reducidol [PJ]</t>
  </si>
  <si>
    <t>TotalAnnualAcivityLowerLimit Refinación Importación</t>
  </si>
  <si>
    <t>TotalAnnualAcivityUpperrLimit Refinación Importación</t>
  </si>
  <si>
    <t>Demanda Refinación</t>
  </si>
  <si>
    <t>Consumo propio refinación</t>
  </si>
  <si>
    <t>Refinación total PJ</t>
  </si>
  <si>
    <t>Factores multiplicadores</t>
  </si>
  <si>
    <t>Gasolina para motores</t>
  </si>
  <si>
    <t>Queroseno para motor de reacción</t>
  </si>
  <si>
    <t>Gas / Diesel Oil</t>
  </si>
  <si>
    <t>Fuelóleo residual</t>
  </si>
  <si>
    <t>Gases licuados de petróleo</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</si>
  <si>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</si>
  <si>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</si>
  <si>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</si>
  <si>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</si>
  <si>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</si>
  <si>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</si>
  <si>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</si>
  <si>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</si>
  <si>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</si>
  <si>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</si>
  <si>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</si>
  <si>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</si>
  <si>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</si>
  <si>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</si>
  <si>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</si>
  <si>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</si>
  <si>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</si>
  <si>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</si>
  <si>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</si>
  <si>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</si>
  <si>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</si>
  <si>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</si>
  <si>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</si>
  <si>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</si>
  <si>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</si>
  <si>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</si>
  <si>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</si>
  <si>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</si>
  <si>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Gas Natural</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</si>
  <si>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</si>
  <si>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</si>
  <si>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</si>
  <si>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</si>
  <si>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</si>
  <si>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</si>
  <si>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</si>
  <si>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</si>
  <si>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</si>
  <si>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</si>
  <si>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</si>
  <si>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</si>
  <si>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</si>
  <si>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</si>
  <si>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</si>
  <si>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</si>
  <si>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</si>
  <si>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</si>
  <si>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</si>
  <si>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</si>
  <si>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</si>
  <si>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</si>
  <si>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</si>
  <si>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</si>
  <si>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</si>
  <si>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</si>
  <si>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</si>
  <si>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</si>
  <si>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</si>
  <si>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</si>
  <si>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</si>
  <si>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</si>
  <si>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</si>
  <si>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</si>
  <si>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</si>
  <si>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</si>
  <si>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</si>
  <si>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</si>
  <si>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</si>
  <si>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</si>
  <si>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</si>
  <si>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</si>
  <si>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</si>
  <si>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</si>
  <si>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</si>
  <si>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</si>
  <si>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</si>
  <si>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</si>
  <si>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</si>
  <si>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</si>
  <si>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</si>
  <si>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</si>
  <si>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</si>
  <si>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</si>
  <si>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</si>
  <si>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</si>
  <si>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</si>
  <si>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</si>
  <si>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</si>
  <si>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</si>
  <si>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</si>
  <si>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</si>
  <si>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</si>
  <si>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</si>
  <si>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</si>
  <si>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</si>
  <si>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</si>
  <si>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</si>
  <si>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</si>
  <si>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</si>
  <si>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</si>
  <si>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</si>
  <si>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</si>
  <si>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</si>
  <si>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</si>
  <si>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</si>
  <si>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</si>
  <si>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</si>
  <si>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</si>
  <si>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</si>
  <si>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</si>
  <si>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</si>
  <si>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</si>
  <si>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</si>
  <si>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</si>
  <si>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</si>
  <si>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</si>
  <si>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</si>
  <si>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</si>
  <si>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</si>
  <si>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</si>
  <si>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</si>
  <si>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</si>
  <si>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</si>
  <si>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</si>
  <si>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</si>
  <si>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</si>
  <si>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</si>
  <si>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</si>
  <si>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</si>
  <si>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</si>
  <si>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</si>
  <si>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</si>
  <si>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</si>
  <si>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</si>
  <si>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</si>
  <si>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</si>
  <si>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</si>
  <si>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</si>
  <si>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</si>
  <si>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</si>
  <si>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</si>
  <si>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</si>
  <si>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</si>
  <si>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</si>
  <si>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</si>
  <si>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</si>
  <si>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</si>
  <si>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</si>
  <si>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</si>
  <si>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</si>
  <si>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</si>
  <si>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</si>
  <si>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</si>
  <si>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</si>
  <si>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</si>
  <si>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</si>
  <si>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</si>
  <si>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t>
  </si>
  <si>
    <t>Filo de Agua</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</si>
  <si>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</si>
  <si>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</si>
  <si>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</si>
  <si>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</si>
  <si>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</si>
  <si>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</si>
  <si>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</si>
  <si>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</si>
  <si>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</si>
  <si>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</si>
  <si>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</si>
  <si>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</si>
  <si>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</si>
  <si>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</si>
  <si>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</si>
  <si>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</si>
  <si>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</si>
  <si>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</si>
  <si>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</si>
  <si>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</si>
  <si>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</si>
  <si>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</si>
  <si>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</si>
  <si>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</si>
  <si>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</si>
  <si>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</si>
  <si>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</si>
  <si>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</si>
  <si>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</si>
  <si>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</si>
  <si>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</si>
  <si>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</si>
  <si>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</si>
  <si>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</si>
  <si>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</si>
  <si>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</si>
  <si>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</si>
  <si>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</si>
  <si>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</si>
  <si>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</si>
  <si>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</si>
  <si>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</si>
  <si>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</si>
  <si>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</si>
  <si>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</si>
  <si>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</si>
  <si>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</si>
  <si>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</si>
  <si>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</si>
  <si>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</si>
  <si>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</si>
  <si>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</si>
  <si>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</si>
  <si>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</si>
  <si>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</si>
  <si>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</si>
  <si>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</si>
  <si>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</si>
  <si>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Consumos de electricidad</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</si>
  <si>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</si>
  <si>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</si>
  <si>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</si>
  <si>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</si>
  <si>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</si>
  <si>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</si>
  <si>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</si>
  <si>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</si>
  <si>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</si>
  <si>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</si>
  <si>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</si>
  <si>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</si>
  <si>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</si>
  <si>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</si>
  <si>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las celda estab marcada como NA por eso no fue actualizado.</t>
  </si>
  <si>
    <t xml:space="preserve">  Marítimo</t>
  </si>
  <si>
    <t xml:space="preserve">  Aéreo</t>
  </si>
  <si>
    <t>Total [PJ] Cosumo</t>
  </si>
  <si>
    <t>Consumo + Exportaciones</t>
  </si>
  <si>
    <t>Tiempo de vida promedio en años</t>
  </si>
  <si>
    <t>Hidroeléctricas de embalse</t>
  </si>
  <si>
    <t>Térmicas con Fuel Oil 6</t>
  </si>
  <si>
    <t>Térmicas con Diesel</t>
  </si>
  <si>
    <t>Térmicas con Fuel Oil 4</t>
  </si>
  <si>
    <t>Térmicas con Nafta</t>
  </si>
  <si>
    <t>TotalTechnologyAnnualActivityLowerLimit</t>
  </si>
  <si>
    <t>**Información no disponible en documentos oficiales</t>
  </si>
  <si>
    <t>(Electricidad)                                          1 GWh =</t>
  </si>
  <si>
    <t>GWh</t>
  </si>
  <si>
    <t>kWh</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</si>
  <si>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</si>
  <si>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</si>
  <si>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</si>
  <si>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</si>
  <si>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</si>
  <si>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</si>
  <si>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</si>
  <si>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</si>
  <si>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</si>
  <si>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</si>
  <si>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</si>
  <si>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</si>
  <si>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</si>
  <si>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</si>
  <si>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</si>
  <si>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</si>
  <si>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</si>
  <si>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</si>
  <si>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</si>
  <si>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</si>
  <si>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</si>
  <si>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</si>
  <si>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</si>
  <si>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</si>
  <si>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</si>
  <si>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</si>
  <si>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</si>
  <si>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Máxima</t>
  </si>
  <si>
    <t>Actividad Max-Aislados-Hidro fijas</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</si>
  <si>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</si>
  <si>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</si>
  <si>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</si>
  <si>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</si>
  <si>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</si>
  <si>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</si>
  <si>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</si>
  <si>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</si>
  <si>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</si>
  <si>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</si>
  <si>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</si>
  <si>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</si>
  <si>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</si>
  <si>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</si>
  <si>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</si>
  <si>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</si>
  <si>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</si>
  <si>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</si>
  <si>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</si>
  <si>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</si>
  <si>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</si>
  <si>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</si>
  <si>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</si>
  <si>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</si>
  <si>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</si>
  <si>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</si>
  <si>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</si>
  <si>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</si>
  <si>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</si>
  <si>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</si>
  <si>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</si>
  <si>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</si>
  <si>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</si>
  <si>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</si>
  <si>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</si>
  <si>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</si>
  <si>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</si>
  <si>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</si>
  <si>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</si>
  <si>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</si>
  <si>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</si>
  <si>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</si>
  <si>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</si>
  <si>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</si>
  <si>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</si>
  <si>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</si>
  <si>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</si>
  <si>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</si>
  <si>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</si>
  <si>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</si>
  <si>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</si>
  <si>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</si>
  <si>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</si>
  <si>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</si>
  <si>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</si>
  <si>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</si>
  <si>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</si>
  <si>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</si>
  <si>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</si>
  <si>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</si>
  <si>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</si>
  <si>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</si>
  <si>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</si>
  <si>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</si>
  <si>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</si>
  <si>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</si>
  <si>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</si>
  <si>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</si>
  <si>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</si>
  <si>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</si>
  <si>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</si>
  <si>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</si>
  <si>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</si>
  <si>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</si>
  <si>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</si>
  <si>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</si>
  <si>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</si>
  <si>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</si>
  <si>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</si>
  <si>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</si>
  <si>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</si>
  <si>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</si>
  <si>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</si>
  <si>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</si>
  <si>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</si>
  <si>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</si>
  <si>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</si>
  <si>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</si>
  <si>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</si>
  <si>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</si>
  <si>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</si>
  <si>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</si>
  <si>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</si>
  <si>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</si>
  <si>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</si>
  <si>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</si>
  <si>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</si>
  <si>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</si>
  <si>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</si>
  <si>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</si>
  <si>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</si>
  <si>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</si>
  <si>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</si>
  <si>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</si>
  <si>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</si>
  <si>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</si>
  <si>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</si>
  <si>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</si>
  <si>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</si>
  <si>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</si>
  <si>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</si>
  <si>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</si>
  <si>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</si>
  <si>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</si>
  <si>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</si>
  <si>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</si>
  <si>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</si>
  <si>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</si>
  <si>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</si>
  <si>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</si>
  <si>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</si>
  <si>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</si>
  <si>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</si>
  <si>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</si>
  <si>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</si>
  <si>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</si>
  <si>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</si>
  <si>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</si>
  <si>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</si>
  <si>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</si>
  <si>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</si>
  <si>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</si>
  <si>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</si>
  <si>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</si>
  <si>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</si>
  <si>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</si>
  <si>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</si>
  <si>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</si>
  <si>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</si>
  <si>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</si>
  <si>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</si>
  <si>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</si>
  <si>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</si>
  <si>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</si>
  <si>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</si>
  <si>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Nombre OSeMOSYS</t>
  </si>
  <si>
    <t>Costos Capitales [Millones de US$/GW]</t>
  </si>
  <si>
    <t>Sistema Nacional Interconectado</t>
  </si>
  <si>
    <t>1, 4</t>
  </si>
  <si>
    <t>Geotérmica</t>
  </si>
  <si>
    <t>Sistema Aislado</t>
  </si>
  <si>
    <t xml:space="preserve"> Amazonas (Pequeñas)</t>
  </si>
  <si>
    <t xml:space="preserve"> Pacífico (Pequeñas)</t>
  </si>
  <si>
    <t>Costos Fijos [Millones de US$/GW-año]</t>
  </si>
  <si>
    <t>Costos Variables [Millones de US$/PJ]</t>
  </si>
  <si>
    <t>Referencias Bibliográficas</t>
  </si>
  <si>
    <t>Costos de capital / Información Solicitada</t>
  </si>
  <si>
    <t>Costos variables de operación y mantenimiento / Información Solicitada</t>
  </si>
  <si>
    <t>Table B.4a Electricity Generation Technology Costs from World Energy Outlook 2022</t>
  </si>
  <si>
    <t>Modelo ELENA</t>
  </si>
  <si>
    <t>Tabla 4.10 Escenarios de Demanda y Oferta Energética y Opctiones de Política Energética Archipiélado de las Islas Galápagos República del Ecuador</t>
  </si>
  <si>
    <t>Tabla A5 Assessing the potential role of concentrated solar power (CSP) for the northeast power system of Brazil using a detailed power system model.</t>
  </si>
  <si>
    <t xml:space="preserve">Notas: </t>
  </si>
  <si>
    <t>Suposiciones se pueden encontrar como comentarios en la columna D de cada sección</t>
  </si>
  <si>
    <t>Las celdas en Rojo, representan celdas que se deben completar con información</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</si>
  <si>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</si>
  <si>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</si>
  <si>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</si>
  <si>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</si>
  <si>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</si>
  <si>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</si>
  <si>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</si>
  <si>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</si>
  <si>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</si>
  <si>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</si>
  <si>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</si>
  <si>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</si>
  <si>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</si>
  <si>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</si>
  <si>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</si>
  <si>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</si>
  <si>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</si>
  <si>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</si>
  <si>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</si>
  <si>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</si>
  <si>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</si>
  <si>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</si>
  <si>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PP_SPV_DG</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</si>
  <si>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</si>
  <si>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</si>
  <si>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</si>
  <si>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</si>
  <si>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</si>
  <si>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</si>
  <si>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</si>
  <si>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</si>
  <si>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</si>
  <si>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</si>
  <si>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</si>
  <si>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</si>
  <si>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Combined Cycle-Gas Natural</t>
  </si>
  <si>
    <t xml:space="preserve">             Combined Cycle with CCS-Gas Natural</t>
  </si>
  <si>
    <t xml:space="preserve">      Turbovapor</t>
  </si>
  <si>
    <t xml:space="preserve">             Geotérmico-Calor geotérmico</t>
  </si>
  <si>
    <t xml:space="preserve">             Rankine Cycle-Heavy Oil (Fuel Oil)</t>
  </si>
  <si>
    <t xml:space="preserve">             Rankine Cycle with CCS-Heavy Oil (Fuel Oil)</t>
  </si>
  <si>
    <t xml:space="preserve">      Ciclo combinado</t>
  </si>
  <si>
    <t xml:space="preserve">             Gas Natural</t>
  </si>
  <si>
    <t xml:space="preserve">Tipo de carbón: </t>
  </si>
  <si>
    <t xml:space="preserve">      Sin CCS</t>
  </si>
  <si>
    <t xml:space="preserve">      Con CCS</t>
  </si>
  <si>
    <t>PP_CRU</t>
  </si>
  <si>
    <t xml:space="preserve">             Sin especificar-Gas Natural</t>
  </si>
  <si>
    <t xml:space="preserve">             Fuel Oil</t>
  </si>
  <si>
    <t>Nota: Todos los datos que no estan en azul fueron tomados de Elena</t>
  </si>
  <si>
    <t>https://www.dropbox.com/scl/fi/vi9rcyql3b7j6w5o4dr7i/Costos-de-capitalxlsx.xlsx?dl=0&amp;rlkey=aof2l4cv1vu34bzo0yfif6r7j</t>
  </si>
  <si>
    <t>https://www.dropbox.com/scl/fi/oks7ok1uazing1xa9bh4k/Costos-variables-de-operacion-y-mantenimiento_MWh.xlsx?dl=0&amp;rlkey=z6v8kcrttceol2124hm437c24</t>
  </si>
  <si>
    <t>Revisión con Rafa</t>
  </si>
  <si>
    <t>Revisar los comentarios dejados en la sección de Costos Capitales</t>
  </si>
  <si>
    <t>Revisar los comentarios dejados en la sección de Costos Variables</t>
  </si>
  <si>
    <t>Mencionar que el documento de Costos Variables de Generadores Térmicos (Enero 2018) no fueron utilizados</t>
  </si>
  <si>
    <t>link al documento</t>
  </si>
  <si>
    <t>Mencionar que el documento de Costos Fijos entregado por la ARCERNNR no ha sido considero porque varía significativamente con respecto a lo de Elena</t>
  </si>
  <si>
    <t>Mencionar que la interpolación de Costos Capitales no se realizó para Solar porque el valor del 2018 es menor que el valor de Elena del 2050.</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</si>
  <si>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</si>
  <si>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</si>
  <si>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</si>
  <si>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</si>
  <si>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</si>
  <si>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</si>
  <si>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</si>
  <si>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</si>
  <si>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</si>
  <si>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</si>
  <si>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</si>
  <si>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</si>
  <si>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</si>
  <si>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</si>
  <si>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</si>
  <si>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</si>
  <si>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</si>
  <si>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</si>
  <si>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</si>
  <si>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</si>
  <si>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</si>
  <si>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</si>
  <si>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</si>
  <si>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</si>
  <si>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</si>
  <si>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</si>
  <si>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</si>
  <si>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https://www.dismac.com.bo/</t>
  </si>
  <si>
    <t>https://www.tibo.bo/tiendasbolivia/</t>
  </si>
  <si>
    <t>https://www.creditoseconomicos.com/</t>
  </si>
  <si>
    <t>Combustibles</t>
  </si>
  <si>
    <t>Factores de emisión para emisiones fugitivas</t>
  </si>
  <si>
    <t>Se contabilizan de forma agregada</t>
  </si>
  <si>
    <t>Petróleo  [Mton CO2/PJ]</t>
  </si>
  <si>
    <t>Venteo</t>
  </si>
  <si>
    <t>Petroleo</t>
  </si>
  <si>
    <t>Quema en antorcha</t>
  </si>
  <si>
    <t>RSVCRU</t>
  </si>
  <si>
    <t>Exploración</t>
  </si>
  <si>
    <t>PRONGS</t>
  </si>
  <si>
    <t>% Gas liberado</t>
  </si>
  <si>
    <t>Tomado de INGEI</t>
  </si>
  <si>
    <t>emisiones_fugitivas_base</t>
  </si>
  <si>
    <t>Producción y Refinación</t>
  </si>
  <si>
    <t>PROCRU</t>
  </si>
  <si>
    <t>Producción</t>
  </si>
  <si>
    <t>Transporte por tuberías</t>
  </si>
  <si>
    <t>CENGAS</t>
  </si>
  <si>
    <t>Gas Natural  [Mton CO2/PJ]</t>
  </si>
  <si>
    <t>Procesamiento</t>
  </si>
  <si>
    <t>DISTRNGS</t>
  </si>
  <si>
    <t>Transmisión y almacenamiento</t>
  </si>
  <si>
    <t>Carbón  [Mton CO2/PJ]</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</si>
  <si>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</si>
  <si>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</si>
  <si>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</si>
  <si>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</si>
  <si>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</si>
  <si>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</si>
  <si>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</si>
  <si>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</si>
  <si>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Factor de emisión consumo propio</t>
  </si>
  <si>
    <t>Gasolina</t>
  </si>
  <si>
    <t>Queroseno</t>
  </si>
  <si>
    <t>Gas licuado de petróleo</t>
  </si>
  <si>
    <t>Gas de refinería</t>
  </si>
  <si>
    <t>1A4a Consumo</t>
  </si>
  <si>
    <t>Gas natural</t>
  </si>
  <si>
    <t>Leña</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</si>
  <si>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</si>
  <si>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</si>
  <si>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</si>
  <si>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</si>
  <si>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</si>
  <si>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</si>
  <si>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</si>
  <si>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</si>
  <si>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</si>
  <si>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</si>
  <si>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</si>
  <si>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</si>
  <si>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</si>
  <si>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</si>
  <si>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</si>
  <si>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</si>
  <si>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</si>
  <si>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</si>
  <si>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</si>
  <si>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</si>
  <si>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</si>
  <si>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</si>
  <si>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</si>
  <si>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</si>
  <si>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</si>
  <si>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</si>
  <si>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</si>
  <si>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</si>
  <si>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Factor de emisión de Refinerías por quema de petróleo [Mton CO2/PJ]</t>
  </si>
  <si>
    <t>Petróleo utilizado para consumo en sistema de bombeo de oleoductos SOTE y OCP según BEN [PJ]</t>
  </si>
  <si>
    <t>Emisiones totales del sistema de bombeo en tuberias de petróleo [MtonCO2eq]</t>
  </si>
  <si>
    <t xml:space="preserve"> (Petróleo)                             1 GgCO2/miles m3 =</t>
  </si>
  <si>
    <t>MtonCO2/PJ</t>
  </si>
  <si>
    <t>GgCO2</t>
  </si>
  <si>
    <t>miles m3</t>
  </si>
  <si>
    <t>MtonCO2</t>
  </si>
  <si>
    <t xml:space="preserve"> (Gas Natural)                        1 GgCO2/miles m3 =</t>
  </si>
  <si>
    <t xml:space="preserve"> (Factores de emisión)                      1 kgCO2/TJ =</t>
  </si>
  <si>
    <t>kgCO2</t>
  </si>
  <si>
    <t>Input Activity Ratio</t>
  </si>
  <si>
    <t>Annual Activity Lower Limit</t>
  </si>
  <si>
    <t>Capacidad Instalada</t>
  </si>
  <si>
    <t>Capacidad Proyectada en los actuales planes de expansión</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</si>
  <si>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</si>
  <si>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</si>
  <si>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</si>
  <si>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</si>
  <si>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</si>
  <si>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</si>
  <si>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</si>
  <si>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</si>
  <si>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</si>
  <si>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</si>
  <si>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</si>
  <si>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</si>
  <si>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</si>
  <si>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</si>
  <si>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</si>
  <si>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</si>
  <si>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</si>
  <si>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</si>
  <si>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</si>
  <si>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</si>
  <si>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</si>
  <si>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</si>
  <si>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</si>
  <si>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</si>
  <si>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</si>
  <si>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</si>
  <si>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</si>
  <si>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</si>
  <si>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</si>
  <si>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</si>
  <si>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</si>
  <si>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</si>
  <si>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</si>
  <si>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</si>
  <si>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</si>
  <si>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</si>
  <si>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</si>
  <si>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</si>
  <si>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</si>
  <si>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</si>
  <si>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</si>
  <si>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</si>
  <si>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</si>
  <si>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</si>
  <si>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</si>
  <si>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</si>
  <si>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</si>
  <si>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</si>
  <si>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</si>
  <si>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</si>
  <si>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</si>
  <si>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</si>
  <si>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</si>
  <si>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</si>
  <si>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</si>
  <si>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</si>
  <si>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</si>
  <si>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rPr>
      <t xml:space="preserve">Nota 1: </t>
    </r>
    <r>
      <rPr>
        <sz val="11"/>
        <color theme="1"/>
        <rFont val="Calibri"/>
      </rPr>
      <t>No se considera al carbón dentro de la producción o importación nacional</t>
    </r>
  </si>
  <si>
    <r>
      <rPr>
        <b/>
        <sz val="11"/>
        <color theme="1"/>
        <rFont val="Calibri"/>
      </rPr>
      <t xml:space="preserve">Nota 2: </t>
    </r>
    <r>
      <rPr>
        <sz val="11"/>
        <color theme="1"/>
        <rFont val="Calibri"/>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</si>
  <si>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</si>
  <si>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</si>
  <si>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rPr>
      <t>https://doi.org/10.1016/j.esr.2021.100637</t>
    </r>
    <r>
      <rPr>
        <sz val="11"/>
        <color theme="1"/>
        <rFont val="Calibri"/>
      </rPr>
      <t xml:space="preserve">
</t>
    </r>
  </si>
  <si>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</si>
  <si>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</si>
  <si>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</si>
  <si>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</si>
  <si>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</si>
  <si>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</si>
  <si>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</si>
  <si>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</si>
  <si>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</si>
  <si>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</si>
  <si>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</si>
  <si>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</si>
  <si>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</si>
  <si>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</si>
  <si>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</si>
  <si>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</si>
  <si>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</si>
  <si>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</si>
  <si>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</si>
  <si>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</si>
  <si>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</si>
  <si>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</si>
  <si>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</si>
  <si>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</si>
  <si>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</si>
  <si>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</si>
  <si>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</si>
  <si>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</si>
  <si>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</si>
  <si>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</si>
  <si>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</si>
  <si>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</si>
  <si>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</si>
  <si>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</si>
  <si>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</si>
  <si>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</si>
  <si>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</si>
  <si>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</si>
  <si>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</si>
  <si>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</si>
  <si>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</si>
  <si>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</si>
  <si>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</si>
  <si>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</si>
  <si>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</si>
  <si>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</si>
  <si>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</si>
  <si>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</si>
  <si>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</si>
  <si>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</si>
  <si>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</si>
  <si>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</si>
  <si>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</si>
  <si>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</si>
  <si>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</si>
  <si>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</si>
  <si>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</si>
  <si>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rPr>
      <t xml:space="preserve">Nota 1: </t>
    </r>
    <r>
      <rPr>
        <sz val="11"/>
        <color theme="1"/>
        <rFont val="Calibri"/>
      </rPr>
      <t>Se marcó ciertas celdas en verde para denotar que esas filas no se encontraban en las plantillas originales, sino que fueron agregadas por el equipo USFQ</t>
    </r>
  </si>
  <si>
    <r>
      <rPr>
        <b/>
        <sz val="11"/>
        <color theme="1"/>
        <rFont val="Calibri"/>
      </rPr>
      <t xml:space="preserve">Nota 2: </t>
    </r>
    <r>
      <rPr>
        <sz val="11"/>
        <color theme="1"/>
        <rFont val="Calibri"/>
      </rPr>
      <t>No hay información disponible</t>
    </r>
  </si>
  <si>
    <t>Atlas del Sector Eléctrico Ecuatoriano</t>
  </si>
  <si>
    <r>
      <rPr>
        <sz val="11"/>
        <color theme="1"/>
        <rFont val="Calibri"/>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</si>
  <si>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</si>
  <si>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</si>
  <si>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</si>
  <si>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</si>
  <si>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</si>
  <si>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</si>
  <si>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</si>
  <si>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</si>
  <si>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</si>
  <si>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</si>
  <si>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</si>
  <si>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</si>
  <si>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</si>
  <si>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</si>
  <si>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</si>
  <si>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</si>
  <si>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</si>
  <si>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</si>
  <si>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</si>
  <si>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</si>
  <si>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</si>
  <si>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</si>
  <si>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</si>
  <si>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</si>
  <si>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</si>
  <si>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</si>
  <si>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</si>
  <si>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</si>
  <si>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</si>
  <si>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</si>
  <si>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</si>
  <si>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</si>
  <si>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</si>
  <si>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</si>
  <si>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</si>
  <si>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</si>
  <si>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</si>
  <si>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</si>
  <si>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</si>
  <si>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</si>
  <si>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</si>
  <si>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</si>
  <si>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</si>
  <si>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</si>
  <si>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</si>
  <si>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</si>
  <si>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</si>
  <si>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</si>
  <si>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</si>
  <si>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</si>
  <si>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</si>
  <si>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</si>
  <si>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</si>
  <si>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</si>
  <si>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</si>
  <si>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</si>
  <si>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</si>
  <si>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</si>
  <si>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</si>
  <si>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</si>
  <si>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</si>
  <si>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</si>
  <si>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</si>
  <si>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</si>
  <si>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</si>
  <si>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</si>
  <si>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</si>
  <si>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</si>
  <si>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</si>
  <si>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</si>
  <si>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</si>
  <si>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</si>
  <si>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</si>
  <si>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</si>
  <si>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</si>
  <si>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</si>
  <si>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</si>
  <si>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CO2/10^3 m^3]</t>
  </si>
  <si>
    <t>Gas Natural  [Gg CO2/10^3 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</si>
  <si>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</si>
  <si>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</si>
  <si>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</si>
  <si>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</si>
  <si>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</si>
  <si>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</si>
  <si>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</si>
  <si>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</si>
  <si>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</si>
  <si>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</si>
  <si>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</si>
  <si>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</si>
  <si>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</si>
  <si>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</si>
  <si>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</si>
  <si>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</si>
  <si>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</si>
  <si>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</si>
  <si>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</si>
  <si>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</si>
  <si>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</si>
  <si>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</si>
  <si>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</si>
  <si>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</si>
  <si>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</si>
  <si>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rPr>
      <t xml:space="preserve">Nota 1: </t>
    </r>
    <r>
      <rPr>
        <sz val="11"/>
        <color theme="1"/>
        <rFont val="Calibri"/>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</si>
  <si>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</si>
  <si>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</si>
  <si>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</si>
  <si>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</si>
  <si>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</si>
  <si>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</si>
  <si>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Petróleo</t>
  </si>
  <si>
    <t>Fijo</t>
  </si>
  <si>
    <t>Costo de producción [Millones US$/PJ]</t>
  </si>
  <si>
    <t>Variable</t>
  </si>
  <si>
    <t>Costo de operación  [Millones US$/PJ]</t>
  </si>
  <si>
    <t>Costos de transporte</t>
  </si>
  <si>
    <t xml:space="preserve">Costo de transporte y almacenamiento de crudo [US$/BLS] </t>
  </si>
  <si>
    <t xml:space="preserve">Costo de transporte y almacenamiento de derivados [US$/BLS] </t>
  </si>
  <si>
    <t>Capital</t>
  </si>
  <si>
    <t>Costo de inversión de oleoducto (USD/BLS por día)</t>
  </si>
  <si>
    <t>Costos de transporte en M$/PJ</t>
  </si>
  <si>
    <t>CRUTRN</t>
  </si>
  <si>
    <t xml:space="preserve">Costo de transporte y almacenamiento de crudo [MUS$/PJ] </t>
  </si>
  <si>
    <t xml:space="preserve">Costo de transporte y almacenamiento de derivados [MUS$/PJ] </t>
  </si>
  <si>
    <t xml:space="preserve">Costo de inversión de oleoducto [MUS$/PJ-AÑO] </t>
  </si>
  <si>
    <t>REFCRUDSL</t>
  </si>
  <si>
    <t>REFCRUGSL</t>
  </si>
  <si>
    <t>=('Costos Sector Petrolero'!I56</t>
  </si>
  <si>
    <t>REFCRULPG</t>
  </si>
  <si>
    <t>REFCRUFOI</t>
  </si>
  <si>
    <t>REFCRUKJF</t>
  </si>
  <si>
    <t>Fijos</t>
  </si>
  <si>
    <t>Kerosene [Millones de US$/PJ]</t>
  </si>
  <si>
    <t>Petroleum gases [Millones de US$/PJ]</t>
  </si>
  <si>
    <t>Costos de importación</t>
  </si>
  <si>
    <t>Gasolina [US$/BEP]</t>
  </si>
  <si>
    <t>Diésel oil [US$/BEP]</t>
  </si>
  <si>
    <t>GLP [US$/BEP]</t>
  </si>
  <si>
    <t>Gasolina [[Millones de US$/PJ]</t>
  </si>
  <si>
    <t>Crudo  [Millones de US$/PJ]</t>
  </si>
  <si>
    <t>Fuel oil  [Millones de US$/PJ]</t>
  </si>
  <si>
    <t>Keroseno  [Millones de US$/PJ]</t>
  </si>
  <si>
    <t>Jet fuel  [Millones de US$/PJ]</t>
  </si>
  <si>
    <t>Natural gas  [Miles de US$/PJ]</t>
  </si>
  <si>
    <t>El valor utilizado originalmente fue incrementado en 190% para considerar en este valor el costo para regasificar el gas que llega a puerto.</t>
  </si>
  <si>
    <t>Electricidad  [Millones US$/PJ]</t>
  </si>
  <si>
    <t>Costo de energías</t>
  </si>
  <si>
    <t>PROFIR</t>
  </si>
  <si>
    <t>Variables</t>
  </si>
  <si>
    <t>PROSUG y PROBMS</t>
  </si>
  <si>
    <t>Productos de caña (Bagazo de caña de azúcar) [Millones de US$/PJ]</t>
  </si>
  <si>
    <t>PROACG</t>
  </si>
  <si>
    <t>Palma Africana [Millones de US$/PJ]</t>
  </si>
  <si>
    <t>Cascarilla de Arroz [Millones de US$/PJ]</t>
  </si>
  <si>
    <t>Raquis de banano [Millones de US$/PJ]</t>
  </si>
  <si>
    <t>Biogás [Millones de US$/PJ]</t>
  </si>
  <si>
    <t>Costos de producción de hidrógeno</t>
  </si>
  <si>
    <t>HYDPROELEGRI, HYDPROELEISO</t>
  </si>
  <si>
    <t>Costos Fijos [Millones de US$/PJ]</t>
  </si>
  <si>
    <t>Capitales</t>
  </si>
  <si>
    <t>Costos Capitales [Millones de US$/PJ]</t>
  </si>
  <si>
    <t xml:space="preserve">       Electrolyzer (Alkaline Electrolyzer Type)</t>
  </si>
  <si>
    <t xml:space="preserve">       Electrolyzer (Proton Exchange Membrane Type)</t>
  </si>
  <si>
    <t xml:space="preserve">       Electrolyzer (Solid Oxide Electrolyzer Cell Type)</t>
  </si>
  <si>
    <t>Cifras mensuales del Sector Petrolero Ecuatoriano, Banco Central del Ecuador</t>
  </si>
  <si>
    <t>Assessment of Hydrogen Production Costs from Electrolysis: United States and Europe</t>
  </si>
  <si>
    <r>
      <rPr>
        <b/>
        <sz val="9"/>
        <color rgb="FF000000"/>
        <rFont val="Arial"/>
      </rPr>
      <t>Costos de inversión de nuevas refinerías:</t>
    </r>
    <r>
      <rPr>
        <sz val="9"/>
        <color rgb="FF000000"/>
        <rFont val="Arial"/>
      </rPr>
      <t xml:space="preserve"> Con relación a perspectivas de una nueva refinería de una capacidad de 200.000 bbd, se prevé costos operativos (OPEX) de 5.4USD/bbl y una inversión (CAPEX) de 5600MM USD, para la producción de 5% de GLP, 25% de Gasolinas, 55% destilados medios, 10% naftas pesadas, 5% de Fuel Oil, ante una estimación del déficit de combustibles proyectado al 2030 de 240KBD. </t>
    </r>
  </si>
  <si>
    <t>Costos de producción de petróleo_v2</t>
  </si>
  <si>
    <t>https://www.ocpecuador.com/aporte-al-pais/</t>
  </si>
  <si>
    <t>https://drive.google.com/file/d/14M9bLqi4hEJ5_fCxDHPUNkczk9Oih2bY/view?usp=sharing</t>
  </si>
  <si>
    <t xml:space="preserve">https://drive.google.com/file/d/1gKU-7CqLZIk9SqhTpfdG-iTJ_k5ut7Md/view?usp=sharing </t>
  </si>
  <si>
    <t>GreenPower; Respuesta a la Columna “Información que carece de veracidad” enero 2021</t>
  </si>
  <si>
    <t>Conversaciones con tecnicos del proyecto de Jatropha curca para galápagos</t>
  </si>
  <si>
    <t>https://www.eia.gov/outlooks/aeo/data/browser/#/?id=12-AEO2022&amp;region=0-0&amp;cases=ref2022&amp;start=2020&amp;end=2050&amp;f=A&amp;linechart=~ref2022-d011222a.30-12-AEO2022~ref2022-d011222a.32-12-AEO2022&amp;ctype=linechart&amp;sid=ref2022-d011222a.30-12-AEO2022&amp;sourcekey=0</t>
  </si>
  <si>
    <t>https://repositorio.unemi.edu.ec/bitstream/123456789/5168/1/2.%20DISE%C3%91O%20DE%20UN%20MODELO%20ESQUEM%C3%81TICO%20DE%20LA%20FABRICACI%C3%93N%20DEL%20AZ%C3%9ACAR%20TURBINADO%20PARA%20LAS%20INDUSTRIAS%20AZUCARERAS%20DEL%20CANT%C3%93N%20MILAGRO-GUAYAS.pdf</t>
  </si>
  <si>
    <t>https://obtienearchivo.bcn.cl/obtienearchivo?id=repositorio/10221/32538/1/BCN___Hidrogeno_verde_Costos_de_produccion_Sept21.pdf</t>
  </si>
  <si>
    <r>
      <rPr>
        <sz val="11"/>
        <color theme="1"/>
        <rFont val="Calibri"/>
      </rPr>
      <t>Annual Energy Outlook 2022 U.S. Energy Information administration (</t>
    </r>
    <r>
      <rPr>
        <u/>
        <sz val="11"/>
        <color rgb="FF000000"/>
        <rFont val="Calibri"/>
      </rPr>
      <t>https://www.eia.gov/outlooks/aeo/data/browser/#/?id=13-AEO2022&amp;region=0-0&amp;cases=ref2022&amp;start=2020&amp;end=2050&amp;f=A&amp;linechart=ref2022-d011222a.3-13-AEO2022&amp;sid=&amp;sourcekey=0</t>
    </r>
    <r>
      <rPr>
        <sz val="11"/>
        <color theme="1"/>
        <rFont val="Calibri"/>
      </rPr>
      <t>)</t>
    </r>
  </si>
  <si>
    <t>Documentos recomendados por Rafa:</t>
  </si>
  <si>
    <t>https://www.dropbox.com/preview/PLANMICC2050_compartido%20con%20equipo/Informaci%C3%B3n%20solicitada/Energ%C3%ADa/ARCERNNR/anexo_2_costos_de_producci%C3%B3n_c%C3%ADas_privadas_2017-2021.xls?role=personal</t>
  </si>
  <si>
    <t>Documentos que yo sugiero incorporar</t>
  </si>
  <si>
    <t>https://www.dropbox.com/scl/fi/wtwg2ihdkcsx31izkc4p3/Costos-de-Producci-n-Nacional-por-Tipo-de-Combustible-2018-2021.xlsx?dl=0&amp;rlkey=y5a9n7o8vlsojc8kyajz9hqt9</t>
  </si>
  <si>
    <t>Refinería</t>
  </si>
  <si>
    <t>Capacidad de 1,163 PJ</t>
  </si>
  <si>
    <t>Costos operativos (OPEX)</t>
  </si>
  <si>
    <t>USD</t>
  </si>
  <si>
    <t>Millon USD</t>
  </si>
  <si>
    <t>Costos inversión (CAPEX)</t>
  </si>
  <si>
    <t>MMUSD</t>
  </si>
  <si>
    <t>Costos de inversion</t>
  </si>
  <si>
    <t>MIllon USD/PJ</t>
  </si>
  <si>
    <t>GLP</t>
  </si>
  <si>
    <t>%</t>
  </si>
  <si>
    <t>Gasolinas</t>
  </si>
  <si>
    <t>Destilados medios</t>
  </si>
  <si>
    <t>Naftas pesadas</t>
  </si>
  <si>
    <t xml:space="preserve">Fuente 1: https://drive.google.com/file/d/1gKU-7CqLZIk9SqhTpfdG-iTJ_k5ut7Md/view?usp=sharing </t>
  </si>
  <si>
    <t>Fuente 2: https://drive.google.com/file/d/14M9bLqi4hEJ5_fCxDHPUNkczk9Oih2bY/view?usp=share_link</t>
  </si>
  <si>
    <t>De la cascarilla de arroz:</t>
  </si>
  <si>
    <t>De los bananos:</t>
  </si>
  <si>
    <t>Se considera que el costo promedio ponderado de la tabla 39 está conformado por 32% costos fijos (maquinaria y equipos utilizados, mano de obra, gastos administrativos, gastos financieros), 68% costos variables (materiales de fábrica, materia prima, otros gastos)</t>
  </si>
  <si>
    <r>
      <rPr>
        <sz val="11"/>
        <color rgb="FF000000"/>
        <rFont val="Calibri"/>
      </rPr>
      <t xml:space="preserve">Por lo tanto, se tienen los siguientes </t>
    </r>
    <r>
      <rPr>
        <b/>
        <sz val="11"/>
        <color rgb="FF000000"/>
        <rFont val="Calibri"/>
      </rPr>
      <t>costos fijos de producción en 2018</t>
    </r>
  </si>
  <si>
    <t>$/kg</t>
  </si>
  <si>
    <t xml:space="preserve">Considerando que el valor calorífico del azúcar es </t>
  </si>
  <si>
    <t>kJ/kg</t>
  </si>
  <si>
    <t>Link</t>
  </si>
  <si>
    <t>$/kJ</t>
  </si>
  <si>
    <t>Millones USD/PJ</t>
  </si>
  <si>
    <t>USD/MJ</t>
  </si>
  <si>
    <r>
      <rPr>
        <sz val="11"/>
        <color rgb="FF000000"/>
        <rFont val="Calibri"/>
      </rPr>
      <t xml:space="preserve">Por lo tanto, se tienen los siguientes </t>
    </r>
    <r>
      <rPr>
        <b/>
        <sz val="11"/>
        <color rgb="FF000000"/>
        <rFont val="Calibri"/>
      </rPr>
      <t>costos variables de producción en 2018</t>
    </r>
  </si>
  <si>
    <t>Costo de inversión de la producción a partir de caña de azúcar</t>
  </si>
  <si>
    <t xml:space="preserve">Fuente: </t>
  </si>
  <si>
    <t>Inversión</t>
  </si>
  <si>
    <t>Produccion</t>
  </si>
  <si>
    <t>kg</t>
  </si>
  <si>
    <t>MJ</t>
  </si>
  <si>
    <t>Costo de producción de Hidrógeno</t>
  </si>
  <si>
    <t>lb</t>
  </si>
  <si>
    <t>BTU</t>
  </si>
  <si>
    <t>kJ</t>
  </si>
  <si>
    <t>Millón USD</t>
  </si>
  <si>
    <t>Millones USD</t>
  </si>
  <si>
    <r>
      <rPr>
        <b/>
        <sz val="11"/>
        <color rgb="FF000000"/>
        <rFont val="Arial"/>
      </rPr>
      <t xml:space="preserve">Objetivo: </t>
    </r>
    <r>
      <rPr>
        <sz val="11"/>
        <color rgb="FF000000"/>
        <rFont val="Arial"/>
      </rPr>
      <t>Transformar unidades para PPT de Costos "Costos variables de Tecnologías"</t>
    </r>
  </si>
  <si>
    <t xml:space="preserve">Millones USD/PJ a USD/MWh </t>
  </si>
  <si>
    <t>MWh</t>
  </si>
  <si>
    <t xml:space="preserve">Millones USD/PJ a USD/BEP </t>
  </si>
  <si>
    <t>Crudo  [US$/BEP]</t>
  </si>
  <si>
    <t>Fuel oil  [US$/BEP]</t>
  </si>
  <si>
    <t>Keroseno  [US$/BEP]</t>
  </si>
  <si>
    <t>Jet fuel  [US$/BEP]</t>
  </si>
  <si>
    <t>Natural gas  [US$/BEP]</t>
  </si>
  <si>
    <t>Electricidad  [US$/BEP]</t>
  </si>
  <si>
    <t xml:space="preserve">USD/BEP a USD/Millon BTU </t>
  </si>
  <si>
    <t>10^3 BTU</t>
  </si>
  <si>
    <t>Millon BTU</t>
  </si>
  <si>
    <t>Gasolina [USD/Millon BTU]</t>
  </si>
  <si>
    <t>Diésel oil [USD/Millon BTU]</t>
  </si>
  <si>
    <t>GLP [USD/Millon BTU]</t>
  </si>
  <si>
    <t>Crudo  [USD/Millon BTU]</t>
  </si>
  <si>
    <t>Fuel oil  [USD/Millon BTU]</t>
  </si>
  <si>
    <t>Keroseno  [USD/Millon BTU]</t>
  </si>
  <si>
    <t>Jet fuel  [USD/Millon BTU]</t>
  </si>
  <si>
    <t>Natural gas  [USD/Millon BTU]</t>
  </si>
  <si>
    <t>Electricidad  [USD/Millon BTU]</t>
  </si>
  <si>
    <t xml:space="preserve">Millones USD/PJ a USD/Millon BTU </t>
  </si>
  <si>
    <t>Leña [USD/Millon BTU]</t>
  </si>
  <si>
    <t>Bagazo de caña de azúcar [USD/Millon BTU]</t>
  </si>
  <si>
    <t>Aceite de piñón [USD/Millon BTU]</t>
  </si>
  <si>
    <t>Hidrógeno [USD/Millon BTU]</t>
  </si>
  <si>
    <t>Biogás [USD/Millon BTU]</t>
  </si>
  <si>
    <t xml:space="preserve">USD/Millon BTU a USD/kBEP </t>
  </si>
  <si>
    <t>Precios de energéticos considerados en el modelo</t>
  </si>
  <si>
    <t>Leña [USD/kBEP]</t>
  </si>
  <si>
    <t>Bagazo de caña de azúcar [USD/kBEP]</t>
  </si>
  <si>
    <t>Aceite de piñón [USD/kBEP]</t>
  </si>
  <si>
    <t>Hidrógeno [USD/kBEP]</t>
  </si>
  <si>
    <t>Biogás [USD/kBEP]</t>
  </si>
  <si>
    <t>Esta copia fue creada por Liss D el 25/May/2023 con el objetivo de transformar las unidades de la hoja "Costos Sector Petrolero" a unidades más entendibles para la presentación de Costos del Sector Energía</t>
  </si>
  <si>
    <t>Diésel oil [USD/BBL]</t>
  </si>
  <si>
    <t>Gasolina [USD/BBL]</t>
  </si>
  <si>
    <t>GLP [USD/BBL]</t>
  </si>
  <si>
    <t>Fuel Oil [USD/BBL]</t>
  </si>
  <si>
    <t>Jet Fuel [USD/BBL]</t>
  </si>
  <si>
    <t>Gas Natural Fuel [USD/BBL]</t>
  </si>
  <si>
    <t>Transformación de Unidades Link</t>
  </si>
  <si>
    <t>Diésel oil [USD/kW por año]</t>
  </si>
  <si>
    <t>Gasolina [USD/kW por año]</t>
  </si>
  <si>
    <t>GLP [USD/kW por año]</t>
  </si>
  <si>
    <t>Fuel Oil [USD/kW por año]</t>
  </si>
  <si>
    <t>Kerosene [USD/kW por año]</t>
  </si>
  <si>
    <t>Petroleum gases [USD/kW por año]</t>
  </si>
  <si>
    <t>Gas Natural Fuel [USD/kW por año]</t>
  </si>
  <si>
    <t>Diésel oil [USD/kW]</t>
  </si>
  <si>
    <t>Gasolina [USD/kW]</t>
  </si>
  <si>
    <t>GLP [USD/kW]</t>
  </si>
  <si>
    <t>Fuel Oil [USD/kW]</t>
  </si>
  <si>
    <t>Kerosene [USD/kW]</t>
  </si>
  <si>
    <t>Petroleum gases [USD/kW]</t>
  </si>
  <si>
    <t>Gas Natural Fuel [USD/kW]</t>
  </si>
  <si>
    <t>Leña [USD/ton]</t>
  </si>
  <si>
    <t>Productos de caña (Bagazo de caña de azúcar) [USD/ton]</t>
  </si>
  <si>
    <t>Aceite de piñón [USD/galon]</t>
  </si>
  <si>
    <r>
      <rPr>
        <b/>
        <sz val="11"/>
        <color rgb="FF000000"/>
        <rFont val="Arial"/>
      </rPr>
      <t xml:space="preserve">Precio del producto: </t>
    </r>
    <r>
      <rPr>
        <sz val="11"/>
        <color rgb="FF000000"/>
        <rFont val="Arial"/>
      </rPr>
      <t>Valor basado en conversaciones de Vero Guayanlema con personas del proyecto de aceite de piñón "Ya consulte me dice que cuando vendían a Galápagos les daban a un precio de $6,5 el galón, pero que ese era un precio subsidiado que el precio real es 13,5 el galón"</t>
    </r>
  </si>
  <si>
    <t>Hidrógeno [USD/kg]</t>
  </si>
  <si>
    <t>Precio del hidrógeno</t>
  </si>
  <si>
    <t>Palma Africana [USD/ton]</t>
  </si>
  <si>
    <t>Cascarilla de Arroz [USD/ton]</t>
  </si>
  <si>
    <t>Raquis de banano [USD/ton]</t>
  </si>
  <si>
    <t>Productos de caña [USD/ton]</t>
  </si>
  <si>
    <t>Suposición: Costos fijos son la mitad de los costos variables</t>
  </si>
  <si>
    <t>Hidrógeno [USD/kW]</t>
  </si>
  <si>
    <t>Productos de caña [USD/kg]</t>
  </si>
  <si>
    <t>Transformación de Unidades</t>
  </si>
  <si>
    <t>COSTOS VARIABLES</t>
  </si>
  <si>
    <t>COSTOS FIJOS</t>
  </si>
  <si>
    <t>kW per year</t>
  </si>
  <si>
    <t>COSTOS CAPITALES</t>
  </si>
  <si>
    <t>kW</t>
  </si>
  <si>
    <t>Costos Operativos de EP Petroecuador basados en Informes Estadísticos Anuales (solo el del 2019 cuenta</t>
  </si>
  <si>
    <t>con esta especificación, el del 2018, 2020 y 2021 no especifican estos costos)</t>
  </si>
  <si>
    <t>Costos Operativos (incluye Gastos Administrativos)</t>
  </si>
  <si>
    <t>Costo de transporte y almacenamiento de crudo [US$/BBL]</t>
  </si>
  <si>
    <t>Valores tomados para la plantilla</t>
  </si>
  <si>
    <t>Costo de transporte y almacenamiento de derivados [US$/BBL]</t>
  </si>
  <si>
    <t xml:space="preserve">Participación SOTE en volumen de crudo bombeado </t>
  </si>
  <si>
    <t xml:space="preserve">Participación OCP en volumen de crudo bombeado </t>
  </si>
  <si>
    <t>Capacidad operativa del OCP [BLS por dia]</t>
  </si>
  <si>
    <t>Inversión para la construcción del oleoducto OCP Ecuador en el 2003 [$]</t>
  </si>
  <si>
    <t>Valores calculados</t>
  </si>
  <si>
    <t>Rafa pidió que se desagregue los costos de transporte y almacenamiento para crudo y derivados.</t>
  </si>
  <si>
    <t>Se encontró la siguiente información:</t>
  </si>
  <si>
    <r>
      <rPr>
        <b/>
        <sz val="11"/>
        <color theme="1"/>
        <rFont val="Open Sans"/>
      </rPr>
      <t xml:space="preserve">Costos de transporte de crudo:  </t>
    </r>
    <r>
      <rPr>
        <sz val="11"/>
        <color theme="1"/>
        <rFont val="Open Sans"/>
      </rPr>
      <t>La empresa privada Oleoductos de Crudos Pesados (OCP Ecuador)</t>
    </r>
  </si>
  <si>
    <r>
      <rPr>
        <sz val="11"/>
        <color theme="1"/>
        <rFont val="Open Sans"/>
      </rPr>
      <t xml:space="preserve">tiene una tarifa de </t>
    </r>
    <r>
      <rPr>
        <sz val="11"/>
        <color rgb="FF0070C0"/>
        <rFont val="Open Sans"/>
      </rPr>
      <t xml:space="preserve">USD 2,14 </t>
    </r>
    <r>
      <rPr>
        <sz val="11"/>
        <color theme="1"/>
        <rFont val="Open Sans"/>
      </rPr>
      <t>por barril transportado o USD 0,004 por barril por kilómetro recorrido.</t>
    </r>
  </si>
  <si>
    <t xml:space="preserve">Fuente: https://www.primicias.ec/noticias/economia/ocp-interes-ampliar-contrato-ecuador/#:~:text=Operaci%C3%B3n%20de%20OCP&amp;text=Seg%C3%BAn%20Vugdelija%2C%20la%20tarifa%20de,por%20barril%20por%20kil%C3%B3metro%20recorrido. </t>
  </si>
  <si>
    <r>
      <rPr>
        <b/>
        <sz val="11"/>
        <color theme="1"/>
        <rFont val="Open Sans"/>
      </rPr>
      <t xml:space="preserve">Costos de transporte de derivados: </t>
    </r>
    <r>
      <rPr>
        <sz val="11"/>
        <color theme="1"/>
        <rFont val="Open Sans"/>
      </rPr>
      <t>La empresa PetroEcuador establece una tarifa de:</t>
    </r>
  </si>
  <si>
    <t xml:space="preserve"> USD por galón transportado por medio de toda la infraestructura de PetroEcuador (transporte y almacenamiento)</t>
  </si>
  <si>
    <t xml:space="preserve"> USD por galón almacenado en la Refinería de Esmeraldas</t>
  </si>
  <si>
    <t xml:space="preserve"> USD por galón almacenado en la Terminal de Santo Domingo</t>
  </si>
  <si>
    <t>Estas tarifas consideran los costos de operación de PetroEcuador+rentabilidad</t>
  </si>
  <si>
    <t>rentabilidad</t>
  </si>
  <si>
    <t>costos de operación de PetroEcuador</t>
  </si>
  <si>
    <t>Por lo tanto:</t>
  </si>
  <si>
    <t>Fuente: https://www.primicias.ec/noticias/economia/infraestructura-petroecuador-derivados-importacion/</t>
  </si>
  <si>
    <t>1 BLS tiene 42 galones, por lo tanto</t>
  </si>
  <si>
    <t xml:space="preserve"> USD por barril almacenado en la Refinería de Esmeraldas</t>
  </si>
  <si>
    <t xml:space="preserve"> USD por barril almacenado en la Terminal de Santo Domingo</t>
  </si>
  <si>
    <t xml:space="preserve"> USD por barril almacenado</t>
  </si>
  <si>
    <t>Entonces si:</t>
  </si>
  <si>
    <t>USD por barril transportado y almacenado de derivados</t>
  </si>
  <si>
    <t>USD por barril transportado de derivados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</si>
</sst>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0.0000"/>
    <numFmt numFmtId="165" formatCode="0.000"/>
    <numFmt numFmtId="166" formatCode="0.0"/>
    <numFmt numFmtId="167" formatCode="0.000000"/>
    <numFmt numFmtId="168" formatCode="#,##0.00000"/>
    <numFmt numFmtId="169" formatCode="#,##0.000"/>
    <numFmt numFmtId="170" formatCode="#,##0.0000"/>
    <numFmt numFmtId="171" formatCode="#,##0.000000"/>
    <numFmt numFmtId="172" formatCode="&quot;$&quot;#,##0.00"/>
    <numFmt numFmtId="173" formatCode="0.0000000000"/>
    <numFmt numFmtId="174" formatCode="0.000000000"/>
    <numFmt numFmtId="175" formatCode="0.0E+00"/>
    <numFmt numFmtId="176" formatCode="0.00000"/>
    <numFmt numFmtId="177" formatCode="_-[$$-409]* #,##0.00_ ;_-[$$-409]* \-#,##0.00\ ;_-[$$-409]* &quot;-&quot;??_ ;_-@_ "/>
    <numFmt numFmtId="178" formatCode="_-[$$-409]* #,##0.00000000_ ;_-[$$-409]* \-#,##0.00000000\ ;_-[$$-409]* &quot;-&quot;??_ ;_-@_ "/>
    <numFmt numFmtId="179" formatCode="_-[$$-409]* #,##0_ ;_-[$$-409]* \-#,##0\ ;_-[$$-409]* &quot;-&quot;??_ ;_-@_ "/>
    <numFmt numFmtId="180" formatCode="_-[$$-409]* #,##0.000_ ;_-[$$-409]* \-#,##0.000\ ;_-[$$-409]* &quot;-&quot;??_ ;_-@_ "/>
    <numFmt numFmtId="181" formatCode="_-[$$-409]* #,##0.000000_ ;_-[$$-409]* \-#,##0.000000\ ;_-[$$-409]* &quot;-&quot;??_ ;_-@_ "/>
    <numFmt numFmtId="182" formatCode="0.0%"/>
  </numFmts>
  <fonts count="39">
    <font>
      <sz val="11"/>
      <color theme="1"/>
      <name val="Open Sans"/>
      <scheme val="minor"/>
    </font>
    <font>
      <sz val="11"/>
      <color theme="1"/>
      <name val="Calibri"/>
    </font>
    <font>
      <sz val="11"/>
      <name val="Open Sans"/>
    </font>
    <font>
      <b/>
      <sz val="13"/>
      <color theme="1"/>
      <name val="Calibri"/>
    </font>
    <font>
      <b/>
      <sz val="11"/>
      <color theme="1"/>
      <name val="Calibri"/>
    </font>
    <font>
      <b/>
      <sz val="14"/>
      <color rgb="FF000000"/>
      <name val="Calibri"/>
    </font>
    <font>
      <b/>
      <sz val="11"/>
      <color rgb="FF385623"/>
      <name val="Calibri"/>
    </font>
    <font>
      <b/>
      <u/>
      <sz val="11"/>
      <color theme="1"/>
      <name val="Calibri"/>
    </font>
    <font>
      <sz val="11"/>
      <color rgb="FFFF0000"/>
      <name val="Calibri"/>
    </font>
    <font>
      <sz val="11"/>
      <color theme="1"/>
      <name val="Open Sans"/>
    </font>
    <font>
      <b/>
      <u/>
      <sz val="11"/>
      <color rgb="FF0000FF"/>
      <name val="Calibri"/>
    </font>
    <font>
      <sz val="11"/>
      <color rgb="FF000000"/>
      <name val="Calibri"/>
    </font>
    <font>
      <b/>
      <sz val="14"/>
      <color theme="1"/>
      <name val="Calibri"/>
    </font>
    <font>
      <u/>
      <sz val="11"/>
      <color rgb="FF0000FF"/>
      <name val="Calibri"/>
    </font>
    <font>
      <b/>
      <sz val="11"/>
      <color theme="1"/>
      <name val="Open Sans"/>
    </font>
    <font>
      <b/>
      <sz val="11"/>
      <color rgb="FF000000"/>
      <name val="Calibri"/>
    </font>
    <font>
      <b/>
      <sz val="11"/>
      <color rgb="FFFFFFFF"/>
      <name val="Calibri"/>
    </font>
    <font>
      <b/>
      <sz val="11"/>
      <color rgb="FFFF0000"/>
      <name val="Calibri"/>
    </font>
    <font>
      <b/>
      <sz val="12"/>
      <color theme="1"/>
      <name val="Calibri"/>
    </font>
    <font>
      <u/>
      <sz val="11"/>
      <color theme="1"/>
      <name val="Calibri"/>
    </font>
    <font>
      <b/>
      <sz val="16"/>
      <color rgb="FF000000"/>
      <name val="Calibri"/>
    </font>
    <font>
      <u/>
      <sz val="11"/>
      <color theme="10"/>
      <name val="Calibri"/>
    </font>
    <font>
      <u/>
      <sz val="9"/>
      <color theme="10"/>
      <name val="Arial"/>
    </font>
    <font>
      <b/>
      <sz val="11"/>
      <color theme="1"/>
      <name val="Arial"/>
    </font>
    <font>
      <sz val="11"/>
      <color theme="1"/>
      <name val="Arial"/>
    </font>
    <font>
      <u/>
      <sz val="11"/>
      <color theme="10"/>
      <name val="Arial"/>
    </font>
    <font>
      <u/>
      <sz val="11"/>
      <color theme="10"/>
      <name val="Open Sans"/>
    </font>
    <font>
      <u/>
      <sz val="11"/>
      <color rgb="FF0563C1"/>
      <name val="Calibri"/>
    </font>
    <font>
      <b/>
      <sz val="16"/>
      <color theme="1"/>
      <name val="Calibri"/>
    </font>
    <font>
      <b/>
      <sz val="9"/>
      <color rgb="FF000000"/>
      <name val="Arial"/>
    </font>
    <font>
      <i/>
      <sz val="8"/>
      <color theme="1"/>
      <name val="Open Sans"/>
    </font>
    <font>
      <sz val="11"/>
      <color rgb="FF0070C0"/>
      <name val="Open Sans"/>
    </font>
    <font>
      <u/>
      <sz val="11"/>
      <color rgb="FF1155CC"/>
      <name val="Calibri"/>
    </font>
    <font>
      <sz val="9"/>
      <color rgb="FF000000"/>
      <name val="Arial"/>
    </font>
    <font>
      <u/>
      <sz val="11"/>
      <color rgb="FF000000"/>
      <name val="Calibri"/>
    </font>
    <font>
      <u/>
      <sz val="11"/>
      <color theme="10"/>
      <name val="Open Sans"/>
      <scheme val="minor"/>
    </font>
    <font>
      <sz val="13"/>
      <color theme="1"/>
      <name val="Calibri"/>
    </font>
    <font>
      <sz val="11"/>
      <color rgb="FF000000"/>
      <name val="Arial"/>
    </font>
    <font>
      <b/>
      <sz val="11"/>
      <color rgb="FF000000"/>
      <name val="Arial"/>
    </font>
  </fonts>
  <fills count="50">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FFE699"/>
        <bgColor rgb="FFFFE699"/>
      </patternFill>
    </fill>
    <fill>
      <patternFill patternType="solid">
        <fgColor rgb="FF9BC2E6"/>
        <bgColor rgb="FF9BC2E6"/>
      </patternFill>
    </fill>
    <fill>
      <patternFill patternType="solid">
        <fgColor rgb="FFF1CCFF"/>
        <bgColor rgb="FFF1CCFF"/>
      </patternFill>
    </fill>
    <fill>
      <patternFill patternType="solid">
        <fgColor rgb="FFB6D7A8"/>
        <bgColor rgb="FFB6D7A8"/>
      </patternFill>
    </fill>
    <fill>
      <patternFill patternType="solid">
        <fgColor rgb="FFA8D08D"/>
        <bgColor rgb="FFA8D08D"/>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E2EFDA"/>
        <bgColor rgb="FFE2EFDA"/>
      </patternFill>
    </fill>
    <fill>
      <patternFill patternType="solid">
        <fgColor rgb="FFFF9900"/>
        <bgColor rgb="FFFF9900"/>
      </patternFill>
    </fill>
    <fill>
      <patternFill patternType="solid">
        <fgColor rgb="FFC6E0B4"/>
        <bgColor rgb="FFC6E0B4"/>
      </patternFill>
    </fill>
    <fill>
      <patternFill patternType="solid">
        <fgColor rgb="FFFFFF00"/>
        <bgColor indexed="64"/>
      </patternFill>
    </fill>
    <fill>
      <patternFill patternType="solid">
        <fgColor rgb="FFD9E1F2"/>
        <bgColor indexed="64"/>
      </patternFill>
    </fill>
    <fill>
      <patternFill patternType="solid">
        <fgColor rgb="FFDDEBF7"/>
        <bgColor indexed="64"/>
      </patternFill>
    </fill>
    <fill>
      <patternFill patternType="solid">
        <fgColor rgb="FFBDD7EE"/>
        <bgColor indexed="64"/>
      </patternFill>
    </fill>
    <fill>
      <patternFill patternType="solid">
        <fgColor rgb="FFC6E0B4"/>
        <bgColor indexed="64"/>
      </patternFill>
    </fill>
    <fill>
      <patternFill patternType="solid">
        <fgColor rgb="FFE2EFDA"/>
        <bgColor indexed="64"/>
      </patternFill>
    </fill>
    <fill>
      <patternFill patternType="solid">
        <fgColor theme="8" tint="0.59999389629810485"/>
        <bgColor indexed="64"/>
      </patternFill>
    </fill>
    <fill>
      <patternFill patternType="solid">
        <fgColor theme="9" tint="0.59999389629810485"/>
        <bgColor indexed="64"/>
      </patternFill>
    </fill>
  </fills>
  <borders count="28">
    <border>
      <left/>
      <right/>
      <top/>
      <bottom/>
      <diagonal/>
    </border>
    <border>
      <left style="medium">
        <color rgb="FF000000"/>
      </left>
      <right/>
      <top style="medium">
        <color rgb="FF000000"/>
      </top>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thin">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s>
  <cellStyleXfs count="2">
    <xf numFmtId="0" fontId="0" fillId="0" borderId="0"/>
    <xf numFmtId="0" fontId="35" fillId="0" borderId="0" applyNumberFormat="0" applyFill="0" applyBorder="0" applyAlignment="0" applyProtection="0"/>
  </cellStyleXfs>
  <cellXfs count="659">
    <xf numFmtId="0" fontId="0" fillId="0" borderId="0" xfId="0"/>
    <xf numFmtId="0" fontId="1" fillId="0" borderId="0" xfId="0" applyFont="1"/>
    <xf numFmtId="0" fontId="1" fillId="0" borderId="0" xfId="0" applyFont="1" applyAlignment="1">
      <alignment vertical="center" wrapText="1"/>
    </xf>
    <xf numFmtId="0" fontId="4" fillId="0" borderId="0" xfId="0" applyFont="1" applyAlignment="1">
      <alignment horizontal="center" vertical="center"/>
    </xf>
    <xf numFmtId="0" fontId="1" fillId="0" borderId="0" xfId="0" applyFont="1" applyAlignment="1">
      <alignment horizontal="left" vertical="center"/>
    </xf>
    <xf numFmtId="164" fontId="1" fillId="0" borderId="0" xfId="0" applyNumberFormat="1" applyFont="1" applyAlignment="1">
      <alignment horizontal="center" vertical="center"/>
    </xf>
    <xf numFmtId="0" fontId="1" fillId="4" borderId="1" xfId="0" applyFont="1" applyFill="1" applyBorder="1" applyAlignment="1">
      <alignment horizontal="center" vertical="center"/>
    </xf>
    <xf numFmtId="0" fontId="4" fillId="4" borderId="1" xfId="0" applyFont="1" applyFill="1" applyBorder="1" applyAlignment="1">
      <alignment horizontal="center" vertical="center"/>
    </xf>
    <xf numFmtId="0" fontId="9" fillId="0" borderId="0" xfId="0" applyFont="1"/>
    <xf numFmtId="0" fontId="4" fillId="6" borderId="1" xfId="0" applyFont="1" applyFill="1" applyBorder="1" applyAlignment="1">
      <alignment vertical="center"/>
    </xf>
    <xf numFmtId="0" fontId="4" fillId="0" borderId="0" xfId="0" applyFont="1" applyAlignment="1">
      <alignment vertical="center"/>
    </xf>
    <xf numFmtId="0" fontId="11" fillId="0" borderId="0" xfId="0" applyFont="1" applyAlignment="1">
      <alignment horizontal="center" vertical="center"/>
    </xf>
    <xf numFmtId="0" fontId="4" fillId="0" borderId="0" xfId="0" applyFont="1" applyAlignment="1">
      <alignment horizontal="left" vertical="center"/>
    </xf>
    <xf numFmtId="1" fontId="1" fillId="0" borderId="0" xfId="0" applyNumberFormat="1" applyFont="1" applyAlignment="1">
      <alignment horizontal="center" vertical="center"/>
    </xf>
    <xf numFmtId="0" fontId="13" fillId="0" borderId="0" xfId="0" applyFont="1" applyAlignment="1">
      <alignment horizontal="center" vertical="center"/>
    </xf>
    <xf numFmtId="0" fontId="4" fillId="0" borderId="0" xfId="0" applyFont="1"/>
    <xf numFmtId="0" fontId="14" fillId="0" borderId="0" xfId="0" applyFont="1"/>
    <xf numFmtId="0" fontId="11" fillId="0" borderId="0" xfId="0" applyFont="1" applyAlignment="1">
      <alignment horizontal="center"/>
    </xf>
    <xf numFmtId="164" fontId="11" fillId="4" borderId="2" xfId="0" applyNumberFormat="1" applyFont="1" applyFill="1" applyBorder="1" applyAlignment="1">
      <alignment horizontal="center"/>
    </xf>
    <xf numFmtId="164" fontId="11" fillId="4" borderId="3" xfId="0" applyNumberFormat="1" applyFont="1" applyFill="1" applyBorder="1" applyAlignment="1">
      <alignment horizontal="center"/>
    </xf>
    <xf numFmtId="164" fontId="1" fillId="0" borderId="0" xfId="0" applyNumberFormat="1" applyFont="1"/>
    <xf numFmtId="168" fontId="1" fillId="0" borderId="0" xfId="0" applyNumberFormat="1" applyFont="1" applyAlignment="1">
      <alignment horizontal="center" vertical="center"/>
    </xf>
    <xf numFmtId="0" fontId="8" fillId="0" borderId="0" xfId="0" applyFont="1" applyAlignment="1">
      <alignment horizontal="center" vertical="center"/>
    </xf>
    <xf numFmtId="0" fontId="1" fillId="15" borderId="1" xfId="0" applyFont="1" applyFill="1" applyBorder="1" applyAlignment="1">
      <alignment horizontal="center" vertical="center"/>
    </xf>
    <xf numFmtId="0" fontId="15" fillId="0" borderId="0" xfId="0" applyFont="1" applyAlignment="1">
      <alignment horizontal="center" vertical="center"/>
    </xf>
    <xf numFmtId="4" fontId="1" fillId="16" borderId="4" xfId="0" applyNumberFormat="1" applyFont="1" applyFill="1" applyBorder="1" applyAlignment="1">
      <alignment horizontal="center" vertical="center"/>
    </xf>
    <xf numFmtId="168" fontId="1" fillId="16" borderId="4" xfId="0" applyNumberFormat="1" applyFont="1" applyFill="1" applyBorder="1" applyAlignment="1">
      <alignment horizontal="center" vertical="center"/>
    </xf>
    <xf numFmtId="168" fontId="1" fillId="16" borderId="5" xfId="0" applyNumberFormat="1" applyFont="1" applyFill="1" applyBorder="1" applyAlignment="1">
      <alignment horizontal="center" vertical="center"/>
    </xf>
    <xf numFmtId="4" fontId="1" fillId="19" borderId="4" xfId="0" applyNumberFormat="1" applyFont="1" applyFill="1" applyBorder="1" applyAlignment="1">
      <alignment horizontal="center" vertical="center"/>
    </xf>
    <xf numFmtId="4" fontId="8" fillId="19" borderId="5" xfId="0" applyNumberFormat="1" applyFont="1" applyFill="1" applyBorder="1" applyAlignment="1">
      <alignment horizontal="center" vertical="center"/>
    </xf>
    <xf numFmtId="4" fontId="1" fillId="0" borderId="0" xfId="0" applyNumberFormat="1" applyFont="1" applyAlignment="1">
      <alignment horizontal="center" vertical="center"/>
    </xf>
    <xf numFmtId="0" fontId="9" fillId="0" borderId="6" xfId="0" applyFont="1" applyBorder="1"/>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9" fillId="0" borderId="8" xfId="0" applyFont="1" applyBorder="1"/>
    <xf numFmtId="0" fontId="9" fillId="6" borderId="8" xfId="0" applyFont="1" applyFill="1" applyBorder="1"/>
    <xf numFmtId="0" fontId="9" fillId="0" borderId="8" xfId="0" applyFont="1" applyBorder="1" applyAlignment="1">
      <alignment vertical="center"/>
    </xf>
    <xf numFmtId="4" fontId="1" fillId="24" borderId="4" xfId="0" applyNumberFormat="1" applyFont="1" applyFill="1" applyBorder="1" applyAlignment="1">
      <alignment horizontal="center" vertical="center"/>
    </xf>
    <xf numFmtId="4" fontId="1" fillId="16" borderId="5" xfId="0" applyNumberFormat="1" applyFont="1" applyFill="1" applyBorder="1" applyAlignment="1">
      <alignment horizontal="center" vertical="center"/>
    </xf>
    <xf numFmtId="170" fontId="1" fillId="16" borderId="4" xfId="0" applyNumberFormat="1" applyFont="1" applyFill="1" applyBorder="1" applyAlignment="1">
      <alignment horizontal="center" vertical="center"/>
    </xf>
    <xf numFmtId="170" fontId="1" fillId="24" borderId="4" xfId="0" applyNumberFormat="1" applyFont="1" applyFill="1" applyBorder="1" applyAlignment="1">
      <alignment horizontal="center" vertical="center"/>
    </xf>
    <xf numFmtId="170" fontId="1" fillId="16" borderId="9" xfId="0" applyNumberFormat="1" applyFont="1" applyFill="1" applyBorder="1" applyAlignment="1">
      <alignment horizontal="center" vertical="center"/>
    </xf>
    <xf numFmtId="170" fontId="1" fillId="24" borderId="9" xfId="0" applyNumberFormat="1" applyFont="1" applyFill="1" applyBorder="1" applyAlignment="1">
      <alignment horizontal="center" vertical="center"/>
    </xf>
    <xf numFmtId="171" fontId="1" fillId="16" borderId="4" xfId="0" applyNumberFormat="1" applyFont="1" applyFill="1" applyBorder="1" applyAlignment="1">
      <alignment horizontal="center" vertical="center"/>
    </xf>
    <xf numFmtId="171" fontId="1" fillId="16" borderId="9" xfId="0" applyNumberFormat="1" applyFont="1" applyFill="1" applyBorder="1" applyAlignment="1">
      <alignment horizontal="center" vertical="center"/>
    </xf>
    <xf numFmtId="2" fontId="1" fillId="0" borderId="0" xfId="0" applyNumberFormat="1" applyFont="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15" borderId="1" xfId="0" applyFont="1" applyFill="1" applyBorder="1"/>
    <xf numFmtId="4" fontId="1" fillId="16" borderId="9" xfId="0" applyNumberFormat="1" applyFont="1" applyFill="1" applyBorder="1" applyAlignment="1">
      <alignment horizontal="center" vertical="center"/>
    </xf>
    <xf numFmtId="168" fontId="1" fillId="0" borderId="0" xfId="0" applyNumberFormat="1" applyFont="1"/>
    <xf numFmtId="0" fontId="8" fillId="0" borderId="0" xfId="0" applyFont="1"/>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0" borderId="0" xfId="0" applyFont="1" applyAlignment="1">
      <alignment horizontal="left"/>
    </xf>
    <xf numFmtId="4" fontId="1" fillId="15" borderId="4" xfId="0" applyNumberFormat="1" applyFont="1" applyFill="1" applyBorder="1" applyAlignment="1">
      <alignment horizontal="left" vertical="center"/>
    </xf>
    <xf numFmtId="0" fontId="1" fillId="16" borderId="4" xfId="0" applyFont="1" applyFill="1" applyBorder="1" applyAlignment="1">
      <alignment horizontal="center" vertical="center"/>
    </xf>
    <xf numFmtId="0" fontId="1" fillId="11" borderId="4" xfId="0" applyFont="1" applyFill="1" applyBorder="1" applyAlignment="1">
      <alignment horizontal="center" vertical="center"/>
    </xf>
    <xf numFmtId="168" fontId="1" fillId="0" borderId="0" xfId="0" applyNumberFormat="1" applyFont="1" applyAlignment="1">
      <alignment horizontal="left"/>
    </xf>
    <xf numFmtId="0" fontId="1" fillId="0" borderId="0" xfId="0" applyFont="1" applyAlignment="1">
      <alignment horizontal="right"/>
    </xf>
    <xf numFmtId="171" fontId="1" fillId="0" borderId="0" xfId="0" applyNumberFormat="1" applyFont="1" applyAlignment="1">
      <alignment horizontal="left"/>
    </xf>
    <xf numFmtId="0" fontId="1" fillId="28" borderId="1" xfId="0" applyFont="1" applyFill="1" applyBorder="1" applyAlignment="1">
      <alignment horizontal="center" vertical="center"/>
    </xf>
    <xf numFmtId="0" fontId="9" fillId="0" borderId="8" xfId="0" applyFont="1" applyBorder="1" applyAlignment="1">
      <alignment horizontal="center"/>
    </xf>
    <xf numFmtId="1" fontId="19" fillId="0" borderId="0" xfId="0" applyNumberFormat="1" applyFont="1" applyAlignment="1">
      <alignment horizontal="center" vertical="center"/>
    </xf>
    <xf numFmtId="165" fontId="9" fillId="0" borderId="0" xfId="0" applyNumberFormat="1" applyFont="1"/>
    <xf numFmtId="0" fontId="12" fillId="16" borderId="15" xfId="0" applyFont="1" applyFill="1" applyBorder="1" applyAlignment="1">
      <alignment horizontal="left" vertical="center"/>
    </xf>
    <xf numFmtId="0" fontId="1" fillId="16" borderId="2" xfId="0" applyFont="1" applyFill="1" applyBorder="1" applyAlignment="1">
      <alignment horizontal="center" vertical="center"/>
    </xf>
    <xf numFmtId="0" fontId="1" fillId="16" borderId="16" xfId="0" applyFont="1" applyFill="1" applyBorder="1" applyAlignment="1">
      <alignment horizontal="center" vertical="center"/>
    </xf>
    <xf numFmtId="0" fontId="12" fillId="16" borderId="17" xfId="0" applyFont="1" applyFill="1" applyBorder="1" applyAlignment="1">
      <alignment horizontal="left" vertical="center"/>
    </xf>
    <xf numFmtId="0" fontId="1" fillId="16" borderId="18" xfId="0" applyFont="1" applyFill="1" applyBorder="1" applyAlignment="1">
      <alignment horizontal="center" vertical="center"/>
    </xf>
    <xf numFmtId="0" fontId="18" fillId="16" borderId="17" xfId="0" applyFont="1" applyFill="1" applyBorder="1" applyAlignment="1">
      <alignment horizontal="left" vertical="center"/>
    </xf>
    <xf numFmtId="0" fontId="4" fillId="16" borderId="17" xfId="0" applyFont="1" applyFill="1" applyBorder="1" applyAlignment="1">
      <alignment horizontal="left" vertical="center"/>
    </xf>
    <xf numFmtId="0" fontId="1" fillId="17" borderId="15" xfId="0" applyFont="1" applyFill="1" applyBorder="1" applyAlignment="1">
      <alignment horizontal="left" vertical="center"/>
    </xf>
    <xf numFmtId="0" fontId="1" fillId="17" borderId="2" xfId="0" applyFont="1" applyFill="1" applyBorder="1" applyAlignment="1">
      <alignment horizontal="left" vertical="center"/>
    </xf>
    <xf numFmtId="0" fontId="1" fillId="17" borderId="16" xfId="0" applyFont="1" applyFill="1" applyBorder="1" applyAlignment="1">
      <alignment horizontal="left" vertical="center"/>
    </xf>
    <xf numFmtId="0" fontId="1" fillId="18" borderId="17" xfId="0" applyFont="1" applyFill="1" applyBorder="1" applyAlignment="1">
      <alignment horizontal="left" vertical="center"/>
    </xf>
    <xf numFmtId="0" fontId="1" fillId="18" borderId="18" xfId="0" applyFont="1" applyFill="1" applyBorder="1" applyAlignment="1">
      <alignment horizontal="center" vertical="center"/>
    </xf>
    <xf numFmtId="0" fontId="1" fillId="16" borderId="17" xfId="0" applyFont="1" applyFill="1" applyBorder="1" applyAlignment="1">
      <alignment horizontal="left" vertical="center"/>
    </xf>
    <xf numFmtId="0" fontId="1" fillId="17" borderId="17" xfId="0" applyFont="1" applyFill="1" applyBorder="1" applyAlignment="1">
      <alignment horizontal="left" vertical="center"/>
    </xf>
    <xf numFmtId="2" fontId="1" fillId="17" borderId="18" xfId="0" applyNumberFormat="1" applyFont="1" applyFill="1" applyBorder="1" applyAlignment="1">
      <alignment horizontal="center" vertical="center"/>
    </xf>
    <xf numFmtId="2" fontId="1" fillId="17" borderId="16" xfId="0" applyNumberFormat="1" applyFont="1" applyFill="1" applyBorder="1" applyAlignment="1">
      <alignment horizontal="left" vertical="center"/>
    </xf>
    <xf numFmtId="0" fontId="1" fillId="17" borderId="18" xfId="0" applyFont="1" applyFill="1" applyBorder="1" applyAlignment="1">
      <alignment horizontal="left" vertical="center"/>
    </xf>
    <xf numFmtId="2" fontId="1" fillId="16" borderId="18" xfId="0" applyNumberFormat="1" applyFont="1" applyFill="1" applyBorder="1" applyAlignment="1">
      <alignment horizontal="center" vertical="center"/>
    </xf>
    <xf numFmtId="0" fontId="1" fillId="13" borderId="17" xfId="0" applyFont="1" applyFill="1" applyBorder="1" applyAlignment="1">
      <alignment horizontal="left" vertical="center"/>
    </xf>
    <xf numFmtId="0" fontId="1" fillId="13" borderId="18" xfId="0" applyFont="1" applyFill="1" applyBorder="1" applyAlignment="1">
      <alignment horizontal="center" vertical="center"/>
    </xf>
    <xf numFmtId="0" fontId="21" fillId="0" borderId="0" xfId="0" applyFont="1" applyAlignment="1">
      <alignment horizontal="center" vertical="center"/>
    </xf>
    <xf numFmtId="0" fontId="1" fillId="17" borderId="19" xfId="0" applyFont="1" applyFill="1" applyBorder="1" applyAlignment="1">
      <alignment horizontal="left" vertical="center"/>
    </xf>
    <xf numFmtId="2" fontId="1" fillId="17" borderId="20" xfId="0" applyNumberFormat="1" applyFont="1" applyFill="1" applyBorder="1" applyAlignment="1">
      <alignment horizontal="center" vertical="center"/>
    </xf>
    <xf numFmtId="2" fontId="1" fillId="17" borderId="21" xfId="0" applyNumberFormat="1" applyFont="1" applyFill="1" applyBorder="1" applyAlignment="1">
      <alignment horizontal="center" vertical="center"/>
    </xf>
    <xf numFmtId="0" fontId="4" fillId="16" borderId="19" xfId="0" applyFont="1" applyFill="1" applyBorder="1" applyAlignment="1">
      <alignment horizontal="left" vertical="center"/>
    </xf>
    <xf numFmtId="0" fontId="1" fillId="16" borderId="20" xfId="0" applyFont="1" applyFill="1" applyBorder="1" applyAlignment="1">
      <alignment horizontal="center" vertical="center"/>
    </xf>
    <xf numFmtId="0" fontId="1" fillId="16" borderId="21" xfId="0" applyFont="1" applyFill="1" applyBorder="1" applyAlignment="1">
      <alignment horizontal="center" vertical="center"/>
    </xf>
    <xf numFmtId="0" fontId="1" fillId="20" borderId="17" xfId="0" applyFont="1" applyFill="1" applyBorder="1" applyAlignment="1">
      <alignment horizontal="left" vertical="center"/>
    </xf>
    <xf numFmtId="0" fontId="1" fillId="30" borderId="18" xfId="0" applyFont="1" applyFill="1" applyBorder="1" applyAlignment="1">
      <alignment horizontal="center" vertical="center"/>
    </xf>
    <xf numFmtId="2" fontId="1" fillId="30" borderId="18" xfId="0" applyNumberFormat="1" applyFont="1" applyFill="1" applyBorder="1" applyAlignment="1">
      <alignment horizontal="center" vertical="center"/>
    </xf>
    <xf numFmtId="0" fontId="1" fillId="13" borderId="19" xfId="0" applyFont="1" applyFill="1" applyBorder="1" applyAlignment="1">
      <alignment horizontal="left" vertical="center"/>
    </xf>
    <xf numFmtId="0" fontId="1" fillId="13" borderId="20" xfId="0" applyFont="1" applyFill="1" applyBorder="1" applyAlignment="1">
      <alignment horizontal="center" vertical="center"/>
    </xf>
    <xf numFmtId="0" fontId="1" fillId="13" borderId="21" xfId="0" applyFont="1" applyFill="1" applyBorder="1" applyAlignment="1">
      <alignment horizontal="center" vertical="center"/>
    </xf>
    <xf numFmtId="0" fontId="1" fillId="17" borderId="18" xfId="0" applyFont="1" applyFill="1" applyBorder="1" applyAlignment="1">
      <alignment horizontal="center" vertical="center"/>
    </xf>
    <xf numFmtId="0" fontId="1" fillId="17" borderId="20" xfId="0" applyFont="1" applyFill="1" applyBorder="1" applyAlignment="1">
      <alignment horizontal="center" vertical="center"/>
    </xf>
    <xf numFmtId="0" fontId="1" fillId="17" borderId="21" xfId="0" applyFont="1" applyFill="1" applyBorder="1" applyAlignment="1">
      <alignment horizontal="center" vertical="center"/>
    </xf>
    <xf numFmtId="2" fontId="1" fillId="13" borderId="18" xfId="0" applyNumberFormat="1" applyFont="1" applyFill="1" applyBorder="1" applyAlignment="1">
      <alignment horizontal="center" vertical="center"/>
    </xf>
    <xf numFmtId="0" fontId="1" fillId="15" borderId="22" xfId="0" applyFont="1" applyFill="1" applyBorder="1" applyAlignment="1">
      <alignment horizontal="center" vertical="center"/>
    </xf>
    <xf numFmtId="0" fontId="1" fillId="15" borderId="20" xfId="0" applyFont="1" applyFill="1" applyBorder="1" applyAlignment="1">
      <alignment horizontal="center" vertical="center"/>
    </xf>
    <xf numFmtId="0" fontId="22" fillId="0" borderId="0" xfId="0" applyFont="1"/>
    <xf numFmtId="0" fontId="15" fillId="0" borderId="0" xfId="0" applyFont="1"/>
    <xf numFmtId="0" fontId="11" fillId="0" borderId="0" xfId="0" applyFont="1"/>
    <xf numFmtId="0" fontId="4" fillId="17" borderId="15" xfId="0" applyFont="1" applyFill="1" applyBorder="1" applyAlignment="1">
      <alignment horizontal="left" vertical="center"/>
    </xf>
    <xf numFmtId="0" fontId="4" fillId="17" borderId="2" xfId="0" applyFont="1" applyFill="1" applyBorder="1" applyAlignment="1">
      <alignment horizontal="left" vertical="center"/>
    </xf>
    <xf numFmtId="0" fontId="4" fillId="17" borderId="16" xfId="0" applyFont="1" applyFill="1" applyBorder="1" applyAlignment="1">
      <alignment horizontal="left" vertical="center"/>
    </xf>
    <xf numFmtId="0" fontId="4" fillId="18" borderId="17" xfId="0" applyFont="1" applyFill="1" applyBorder="1" applyAlignment="1">
      <alignment horizontal="left" vertical="center"/>
    </xf>
    <xf numFmtId="0" fontId="1" fillId="30" borderId="17" xfId="0" applyFont="1" applyFill="1" applyBorder="1" applyAlignment="1">
      <alignment horizontal="left" vertical="center"/>
    </xf>
    <xf numFmtId="0" fontId="4" fillId="17" borderId="17" xfId="0" applyFont="1" applyFill="1" applyBorder="1" applyAlignment="1">
      <alignment horizontal="left" vertical="center"/>
    </xf>
    <xf numFmtId="0" fontId="4" fillId="17" borderId="18" xfId="0" applyFont="1" applyFill="1" applyBorder="1" applyAlignment="1">
      <alignment horizontal="left" vertical="center"/>
    </xf>
    <xf numFmtId="0" fontId="4" fillId="30" borderId="17" xfId="0" applyFont="1" applyFill="1" applyBorder="1" applyAlignment="1">
      <alignment horizontal="left" vertical="center"/>
    </xf>
    <xf numFmtId="2" fontId="1" fillId="31" borderId="18" xfId="0" applyNumberFormat="1" applyFont="1" applyFill="1" applyBorder="1" applyAlignment="1">
      <alignment horizontal="center" vertical="center"/>
    </xf>
    <xf numFmtId="0" fontId="1" fillId="32" borderId="18" xfId="0" applyFont="1" applyFill="1" applyBorder="1" applyAlignment="1">
      <alignment horizontal="center" vertical="center"/>
    </xf>
    <xf numFmtId="0" fontId="1" fillId="31" borderId="18" xfId="0" applyFont="1" applyFill="1" applyBorder="1" applyAlignment="1">
      <alignment horizontal="center" vertical="center"/>
    </xf>
    <xf numFmtId="0" fontId="1" fillId="31" borderId="17" xfId="0" applyFont="1" applyFill="1" applyBorder="1" applyAlignment="1">
      <alignment horizontal="left" vertical="center"/>
    </xf>
    <xf numFmtId="0" fontId="4" fillId="17" borderId="19" xfId="0" applyFont="1" applyFill="1" applyBorder="1" applyAlignment="1">
      <alignment horizontal="left" vertical="center"/>
    </xf>
    <xf numFmtId="2" fontId="4" fillId="31" borderId="20" xfId="0" applyNumberFormat="1" applyFont="1" applyFill="1" applyBorder="1" applyAlignment="1">
      <alignment horizontal="right" vertical="center"/>
    </xf>
    <xf numFmtId="0" fontId="4" fillId="31" borderId="21" xfId="0" applyFont="1" applyFill="1" applyBorder="1" applyAlignment="1">
      <alignment horizontal="right" vertical="center"/>
    </xf>
    <xf numFmtId="0" fontId="1" fillId="16" borderId="19" xfId="0" applyFont="1" applyFill="1" applyBorder="1" applyAlignment="1">
      <alignment horizontal="left" vertical="center"/>
    </xf>
    <xf numFmtId="0" fontId="1" fillId="31" borderId="20" xfId="0" applyFont="1" applyFill="1" applyBorder="1" applyAlignment="1">
      <alignment horizontal="center" vertical="center"/>
    </xf>
    <xf numFmtId="0" fontId="1" fillId="31" borderId="21" xfId="0" applyFont="1" applyFill="1" applyBorder="1" applyAlignment="1">
      <alignment horizontal="center" vertical="center"/>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11" fillId="16" borderId="4" xfId="0" applyFont="1" applyFill="1" applyBorder="1" applyAlignment="1">
      <alignment horizontal="left"/>
    </xf>
    <xf numFmtId="0" fontId="11" fillId="2" borderId="24" xfId="0" applyFont="1" applyFill="1" applyBorder="1" applyAlignment="1">
      <alignment horizontal="left"/>
    </xf>
    <xf numFmtId="2" fontId="1" fillId="0" borderId="0" xfId="0" applyNumberFormat="1" applyFont="1"/>
    <xf numFmtId="167" fontId="1" fillId="0" borderId="0" xfId="0" applyNumberFormat="1" applyFont="1" applyAlignment="1">
      <alignment horizontal="center" vertical="center"/>
    </xf>
    <xf numFmtId="0" fontId="8" fillId="16" borderId="4" xfId="0" applyFont="1" applyFill="1" applyBorder="1" applyAlignment="1">
      <alignment horizontal="center" vertical="center"/>
    </xf>
    <xf numFmtId="0" fontId="9" fillId="0" borderId="0" xfId="0" applyFont="1" applyAlignment="1">
      <alignment wrapText="1"/>
    </xf>
    <xf numFmtId="165" fontId="1" fillId="0" borderId="0" xfId="0" applyNumberFormat="1" applyFont="1"/>
    <xf numFmtId="165" fontId="4" fillId="0" borderId="0" xfId="0" applyNumberFormat="1" applyFont="1"/>
    <xf numFmtId="0" fontId="1" fillId="0" borderId="0" xfId="0" applyFont="1" applyAlignment="1">
      <alignment horizontal="center"/>
    </xf>
    <xf numFmtId="4" fontId="1" fillId="11" borderId="4" xfId="0" applyNumberFormat="1" applyFont="1" applyFill="1" applyBorder="1" applyAlignment="1">
      <alignment horizontal="center" vertical="center"/>
    </xf>
    <xf numFmtId="0" fontId="9" fillId="6" borderId="8" xfId="0" applyFont="1" applyFill="1" applyBorder="1" applyAlignment="1">
      <alignment horizontal="center" vertical="center"/>
    </xf>
    <xf numFmtId="0" fontId="9" fillId="0" borderId="8" xfId="0" applyFont="1" applyBorder="1" applyAlignment="1">
      <alignment horizontal="center" vertical="center"/>
    </xf>
    <xf numFmtId="0" fontId="1" fillId="4" borderId="27" xfId="0" applyFont="1" applyFill="1" applyBorder="1" applyAlignment="1">
      <alignment horizontal="center" vertical="center"/>
    </xf>
    <xf numFmtId="0" fontId="1" fillId="4" borderId="23" xfId="0" applyFont="1" applyFill="1" applyBorder="1" applyAlignment="1">
      <alignment horizontal="center" vertical="center"/>
    </xf>
    <xf numFmtId="0" fontId="29" fillId="0" borderId="0" xfId="0" applyFont="1"/>
    <xf numFmtId="0" fontId="1" fillId="0" borderId="0" xfId="0" applyFont="1" applyAlignment="1">
      <alignment vertical="center"/>
    </xf>
    <xf numFmtId="2" fontId="9" fillId="0" borderId="0" xfId="0" applyNumberFormat="1" applyFont="1"/>
    <xf numFmtId="182" fontId="9" fillId="0" borderId="0" xfId="0" applyNumberFormat="1" applyFont="1"/>
    <xf numFmtId="14" fontId="9" fillId="0" borderId="0" xfId="0" applyNumberFormat="1" applyFont="1"/>
    <xf numFmtId="0" fontId="30" fillId="0" borderId="0" xfId="0" applyFont="1"/>
    <xf numFmtId="10" fontId="9" fillId="0" borderId="0" xfId="0" applyNumberFormat="1" applyFont="1"/>
    <xf numFmtId="165" fontId="31" fillId="0" borderId="0" xfId="0" applyNumberFormat="1" applyFont="1"/>
    <xf numFmtId="0" fontId="4" fillId="4" borderId="6" xfId="0" applyFont="1" applyFill="1" applyBorder="1" applyAlignment="1">
      <alignment vertical="center"/>
    </xf>
    <xf numFmtId="164" fontId="1" fillId="4" borderId="6" xfId="0" applyNumberFormat="1" applyFont="1" applyFill="1" applyBorder="1" applyAlignment="1">
      <alignment horizontal="center" vertical="center"/>
    </xf>
    <xf numFmtId="164" fontId="1" fillId="4" borderId="7" xfId="0" applyNumberFormat="1" applyFont="1" applyFill="1" applyBorder="1" applyAlignment="1">
      <alignment horizontal="center" vertical="center"/>
    </xf>
    <xf numFmtId="0" fontId="1" fillId="4" borderId="26" xfId="0" applyFont="1" applyFill="1" applyBorder="1" applyAlignment="1">
      <alignment horizontal="center" vertical="center"/>
    </xf>
    <xf numFmtId="0" fontId="5" fillId="4" borderId="23" xfId="0" applyFont="1" applyFill="1" applyBorder="1" applyAlignment="1">
      <alignment vertical="center"/>
    </xf>
    <xf numFmtId="164" fontId="1" fillId="4" borderId="23" xfId="0" applyNumberFormat="1" applyFont="1" applyFill="1" applyBorder="1" applyAlignment="1">
      <alignment horizontal="center" vertical="center"/>
    </xf>
    <xf numFmtId="164" fontId="1" fillId="4" borderId="27" xfId="0" applyNumberFormat="1" applyFont="1" applyFill="1" applyBorder="1" applyAlignment="1">
      <alignment horizontal="center" vertical="center"/>
    </xf>
    <xf numFmtId="0" fontId="4" fillId="5" borderId="26" xfId="0" applyFont="1" applyFill="1" applyBorder="1" applyAlignment="1">
      <alignment horizontal="center" vertical="center"/>
    </xf>
    <xf numFmtId="0" fontId="4" fillId="6" borderId="23" xfId="0" applyFont="1" applyFill="1" applyBorder="1" applyAlignment="1">
      <alignment vertical="center"/>
    </xf>
    <xf numFmtId="0" fontId="6" fillId="7" borderId="23" xfId="0" applyFont="1" applyFill="1" applyBorder="1" applyAlignment="1">
      <alignment horizontal="center" vertical="center"/>
    </xf>
    <xf numFmtId="0" fontId="6" fillId="7" borderId="27" xfId="0" applyFont="1" applyFill="1" applyBorder="1" applyAlignment="1">
      <alignment horizontal="center" vertical="center"/>
    </xf>
    <xf numFmtId="0" fontId="1" fillId="5" borderId="26" xfId="0" applyFont="1" applyFill="1" applyBorder="1" applyAlignment="1">
      <alignment horizontal="center" vertical="center"/>
    </xf>
    <xf numFmtId="0" fontId="1" fillId="6" borderId="23" xfId="0" applyFont="1" applyFill="1" applyBorder="1" applyAlignment="1">
      <alignment vertical="center"/>
    </xf>
    <xf numFmtId="2" fontId="1" fillId="6" borderId="23" xfId="0" applyNumberFormat="1" applyFont="1" applyFill="1" applyBorder="1" applyAlignment="1">
      <alignment horizontal="center" vertical="center"/>
    </xf>
    <xf numFmtId="2" fontId="1" fillId="6" borderId="27" xfId="0" applyNumberFormat="1" applyFont="1" applyFill="1" applyBorder="1" applyAlignment="1">
      <alignment horizontal="center" vertical="center"/>
    </xf>
    <xf numFmtId="0" fontId="1" fillId="4" borderId="10" xfId="0" applyFont="1" applyFill="1" applyBorder="1" applyAlignment="1">
      <alignment horizontal="center" vertical="center"/>
    </xf>
    <xf numFmtId="0" fontId="1" fillId="6" borderId="11" xfId="0" applyFont="1" applyFill="1" applyBorder="1" applyAlignment="1">
      <alignment vertical="center"/>
    </xf>
    <xf numFmtId="2" fontId="1" fillId="6" borderId="11" xfId="0" applyNumberFormat="1" applyFont="1" applyFill="1" applyBorder="1" applyAlignment="1">
      <alignment horizontal="center" vertical="center"/>
    </xf>
    <xf numFmtId="2" fontId="1" fillId="6" borderId="12" xfId="0" applyNumberFormat="1" applyFont="1" applyFill="1" applyBorder="1" applyAlignment="1">
      <alignment horizontal="center" vertical="center"/>
    </xf>
    <xf numFmtId="0" fontId="4" fillId="6" borderId="6" xfId="0" applyFont="1" applyFill="1" applyBorder="1" applyAlignment="1">
      <alignment vertical="center"/>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1" fillId="5" borderId="10" xfId="0" applyFont="1" applyFill="1" applyBorder="1" applyAlignment="1">
      <alignment horizontal="center" vertical="center"/>
    </xf>
    <xf numFmtId="0" fontId="4" fillId="7" borderId="26" xfId="0" applyFont="1" applyFill="1" applyBorder="1" applyAlignment="1">
      <alignment horizontal="center" vertical="center"/>
    </xf>
    <xf numFmtId="164" fontId="1" fillId="6" borderId="11" xfId="0" applyNumberFormat="1" applyFont="1" applyFill="1" applyBorder="1" applyAlignment="1">
      <alignment horizontal="center" vertical="center"/>
    </xf>
    <xf numFmtId="164" fontId="1" fillId="6" borderId="12" xfId="0" applyNumberFormat="1" applyFont="1" applyFill="1" applyBorder="1" applyAlignment="1">
      <alignment horizontal="center" vertical="center"/>
    </xf>
    <xf numFmtId="0" fontId="7" fillId="6" borderId="6" xfId="0" applyFont="1" applyFill="1" applyBorder="1" applyAlignment="1">
      <alignment vertical="center"/>
    </xf>
    <xf numFmtId="0" fontId="1" fillId="7" borderId="26" xfId="0" applyFont="1" applyFill="1" applyBorder="1" applyAlignment="1">
      <alignment horizontal="center" vertical="center"/>
    </xf>
    <xf numFmtId="164" fontId="8" fillId="6" borderId="23" xfId="0" applyNumberFormat="1" applyFont="1" applyFill="1" applyBorder="1" applyAlignment="1">
      <alignment horizontal="center" vertical="center"/>
    </xf>
    <xf numFmtId="164" fontId="1" fillId="6" borderId="23" xfId="0" applyNumberFormat="1" applyFont="1" applyFill="1" applyBorder="1" applyAlignment="1">
      <alignment horizontal="center" vertical="center"/>
    </xf>
    <xf numFmtId="164" fontId="8" fillId="6" borderId="27" xfId="0" applyNumberFormat="1" applyFont="1" applyFill="1" applyBorder="1" applyAlignment="1">
      <alignment horizontal="center" vertical="center"/>
    </xf>
    <xf numFmtId="164" fontId="1" fillId="6" borderId="27" xfId="0" applyNumberFormat="1" applyFont="1" applyFill="1" applyBorder="1" applyAlignment="1">
      <alignment horizontal="center" vertical="center"/>
    </xf>
    <xf numFmtId="0" fontId="10" fillId="6" borderId="6" xfId="0" applyFont="1" applyFill="1" applyBorder="1" applyAlignment="1">
      <alignment vertical="center"/>
    </xf>
    <xf numFmtId="0" fontId="4" fillId="8" borderId="7" xfId="0" applyFont="1" applyFill="1" applyBorder="1" applyAlignment="1">
      <alignment horizontal="center" vertical="center"/>
    </xf>
    <xf numFmtId="164" fontId="1" fillId="8" borderId="27" xfId="0" applyNumberFormat="1" applyFont="1" applyFill="1" applyBorder="1" applyAlignment="1">
      <alignment horizontal="center" vertical="center"/>
    </xf>
    <xf numFmtId="164" fontId="1" fillId="8" borderId="12"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9" borderId="6" xfId="0" applyFont="1" applyFill="1" applyBorder="1" applyAlignment="1">
      <alignment horizontal="center" vertical="center"/>
    </xf>
    <xf numFmtId="2" fontId="1" fillId="10" borderId="23" xfId="0" applyNumberFormat="1" applyFont="1" applyFill="1" applyBorder="1" applyAlignment="1">
      <alignment horizontal="center" vertical="center"/>
    </xf>
    <xf numFmtId="164" fontId="1" fillId="6" borderId="23" xfId="0" applyNumberFormat="1" applyFont="1" applyFill="1" applyBorder="1" applyAlignment="1">
      <alignment vertical="center"/>
    </xf>
    <xf numFmtId="164" fontId="1" fillId="6" borderId="27" xfId="0" applyNumberFormat="1" applyFont="1" applyFill="1" applyBorder="1" applyAlignment="1">
      <alignment vertical="center"/>
    </xf>
    <xf numFmtId="164" fontId="4" fillId="6" borderId="6" xfId="0" applyNumberFormat="1" applyFont="1" applyFill="1" applyBorder="1" applyAlignment="1">
      <alignment horizontal="center" vertical="center"/>
    </xf>
    <xf numFmtId="164" fontId="4" fillId="6" borderId="7" xfId="0" applyNumberFormat="1" applyFont="1" applyFill="1" applyBorder="1" applyAlignment="1">
      <alignment horizontal="center" vertical="center"/>
    </xf>
    <xf numFmtId="0" fontId="1" fillId="5" borderId="23" xfId="0" applyFont="1" applyFill="1" applyBorder="1" applyAlignment="1">
      <alignment vertical="center"/>
    </xf>
    <xf numFmtId="2" fontId="8" fillId="11" borderId="23" xfId="0" applyNumberFormat="1" applyFont="1" applyFill="1" applyBorder="1" applyAlignment="1">
      <alignment horizontal="center" vertical="center"/>
    </xf>
    <xf numFmtId="2" fontId="8" fillId="11" borderId="27" xfId="0" applyNumberFormat="1" applyFont="1" applyFill="1" applyBorder="1" applyAlignment="1">
      <alignment horizontal="center" vertical="center"/>
    </xf>
    <xf numFmtId="2" fontId="8" fillId="6" borderId="12" xfId="0" applyNumberFormat="1" applyFont="1" applyFill="1" applyBorder="1" applyAlignment="1">
      <alignment horizontal="center" vertical="center"/>
    </xf>
    <xf numFmtId="0" fontId="1" fillId="4" borderId="6" xfId="0" applyFont="1" applyFill="1" applyBorder="1" applyAlignment="1">
      <alignment horizontal="left"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4" fillId="4" borderId="26" xfId="0" applyFont="1" applyFill="1" applyBorder="1" applyAlignment="1">
      <alignment horizontal="center" vertical="center"/>
    </xf>
    <xf numFmtId="0" fontId="4" fillId="8" borderId="27" xfId="0" applyFont="1" applyFill="1" applyBorder="1" applyAlignment="1">
      <alignment horizontal="center" vertical="center"/>
    </xf>
    <xf numFmtId="0" fontId="1" fillId="6" borderId="23" xfId="0" applyFont="1" applyFill="1" applyBorder="1" applyAlignment="1">
      <alignment horizontal="center" vertical="center"/>
    </xf>
    <xf numFmtId="0" fontId="8" fillId="11" borderId="23" xfId="0" applyFont="1" applyFill="1" applyBorder="1" applyAlignment="1">
      <alignment horizontal="center" vertical="center"/>
    </xf>
    <xf numFmtId="0" fontId="1" fillId="11" borderId="23" xfId="0" applyFont="1" applyFill="1" applyBorder="1" applyAlignment="1">
      <alignment horizontal="center" vertical="center"/>
    </xf>
    <xf numFmtId="0" fontId="1" fillId="7" borderId="10" xfId="0" applyFont="1" applyFill="1" applyBorder="1" applyAlignment="1">
      <alignment horizontal="center" vertical="center"/>
    </xf>
    <xf numFmtId="0" fontId="4" fillId="6" borderId="11" xfId="0" applyFont="1" applyFill="1" applyBorder="1" applyAlignment="1">
      <alignment vertical="center"/>
    </xf>
    <xf numFmtId="165" fontId="1" fillId="6" borderId="11" xfId="0" applyNumberFormat="1" applyFont="1" applyFill="1" applyBorder="1" applyAlignment="1">
      <alignment horizontal="center" vertical="center"/>
    </xf>
    <xf numFmtId="0" fontId="1" fillId="6" borderId="11" xfId="0" applyFont="1" applyFill="1" applyBorder="1" applyAlignment="1">
      <alignment horizontal="center" vertical="center"/>
    </xf>
    <xf numFmtId="0" fontId="1" fillId="5" borderId="26" xfId="0" applyFont="1" applyFill="1" applyBorder="1" applyAlignment="1">
      <alignment vertical="center"/>
    </xf>
    <xf numFmtId="0" fontId="1" fillId="6" borderId="26" xfId="0" applyFont="1" applyFill="1" applyBorder="1" applyAlignment="1">
      <alignment vertical="center"/>
    </xf>
    <xf numFmtId="0" fontId="1" fillId="6" borderId="10" xfId="0" applyFont="1" applyFill="1" applyBorder="1" applyAlignment="1">
      <alignment vertical="center"/>
    </xf>
    <xf numFmtId="164" fontId="1" fillId="4" borderId="11"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4" fillId="6" borderId="11" xfId="0" applyFont="1" applyFill="1" applyBorder="1" applyAlignment="1">
      <alignment horizontal="center" vertical="center"/>
    </xf>
    <xf numFmtId="0" fontId="4" fillId="8" borderId="12" xfId="0" applyFont="1" applyFill="1" applyBorder="1" applyAlignment="1">
      <alignment horizontal="center" vertical="center"/>
    </xf>
    <xf numFmtId="0" fontId="1" fillId="9" borderId="7" xfId="0" applyFont="1" applyFill="1" applyBorder="1" applyAlignment="1">
      <alignment horizontal="center" vertical="center"/>
    </xf>
    <xf numFmtId="164" fontId="1" fillId="10" borderId="23" xfId="0" applyNumberFormat="1" applyFont="1" applyFill="1" applyBorder="1" applyAlignment="1">
      <alignment horizontal="center" vertical="center"/>
    </xf>
    <xf numFmtId="164" fontId="1" fillId="6" borderId="11" xfId="0" applyNumberFormat="1" applyFont="1" applyFill="1" applyBorder="1" applyAlignment="1">
      <alignment vertical="center"/>
    </xf>
    <xf numFmtId="164" fontId="1" fillId="6" borderId="12" xfId="0" applyNumberFormat="1" applyFont="1" applyFill="1" applyBorder="1" applyAlignment="1">
      <alignment vertical="center"/>
    </xf>
    <xf numFmtId="0" fontId="1" fillId="4" borderId="11" xfId="0" applyFont="1" applyFill="1" applyBorder="1" applyAlignment="1">
      <alignment horizontal="left" vertical="center"/>
    </xf>
    <xf numFmtId="164" fontId="1" fillId="4" borderId="12" xfId="0" applyNumberFormat="1" applyFont="1" applyFill="1" applyBorder="1" applyAlignment="1">
      <alignment horizontal="center" vertical="center"/>
    </xf>
    <xf numFmtId="0" fontId="4" fillId="6" borderId="27" xfId="0" applyFont="1" applyFill="1" applyBorder="1" applyAlignment="1">
      <alignment vertical="center"/>
    </xf>
    <xf numFmtId="4" fontId="1" fillId="6" borderId="23" xfId="0" applyNumberFormat="1" applyFont="1" applyFill="1" applyBorder="1" applyAlignment="1">
      <alignment horizontal="center" vertical="center"/>
    </xf>
    <xf numFmtId="4" fontId="1" fillId="6" borderId="27" xfId="0" applyNumberFormat="1" applyFont="1" applyFill="1" applyBorder="1" applyAlignment="1">
      <alignment horizontal="center" vertical="center"/>
    </xf>
    <xf numFmtId="0" fontId="1" fillId="6" borderId="23" xfId="0" applyFont="1" applyFill="1" applyBorder="1" applyAlignment="1">
      <alignment vertical="center" wrapText="1"/>
    </xf>
    <xf numFmtId="3" fontId="1" fillId="6" borderId="23" xfId="0" applyNumberFormat="1" applyFont="1" applyFill="1" applyBorder="1" applyAlignment="1">
      <alignment horizontal="center" vertical="center"/>
    </xf>
    <xf numFmtId="3" fontId="1" fillId="6" borderId="27" xfId="0" applyNumberFormat="1" applyFont="1" applyFill="1" applyBorder="1" applyAlignment="1">
      <alignment horizontal="center" vertical="center"/>
    </xf>
    <xf numFmtId="0" fontId="1" fillId="4" borderId="11" xfId="0" applyFont="1" applyFill="1" applyBorder="1" applyAlignment="1">
      <alignment horizontal="center" vertical="center"/>
    </xf>
    <xf numFmtId="0" fontId="1" fillId="4" borderId="12" xfId="0" applyFont="1" applyFill="1" applyBorder="1" applyAlignment="1">
      <alignment horizontal="center" vertical="center"/>
    </xf>
    <xf numFmtId="0" fontId="11" fillId="4" borderId="6" xfId="0" applyFont="1" applyFill="1" applyBorder="1" applyAlignment="1">
      <alignment horizontal="center" vertical="center"/>
    </xf>
    <xf numFmtId="2" fontId="4" fillId="6" borderId="23" xfId="0" applyNumberFormat="1" applyFont="1" applyFill="1" applyBorder="1" applyAlignment="1">
      <alignment vertical="center"/>
    </xf>
    <xf numFmtId="2" fontId="4" fillId="6" borderId="27" xfId="0" applyNumberFormat="1" applyFont="1" applyFill="1" applyBorder="1" applyAlignment="1">
      <alignment vertical="center"/>
    </xf>
    <xf numFmtId="4" fontId="4" fillId="6" borderId="23" xfId="0" applyNumberFormat="1" applyFont="1" applyFill="1" applyBorder="1" applyAlignment="1">
      <alignment vertical="center"/>
    </xf>
    <xf numFmtId="164" fontId="4" fillId="6" borderId="23" xfId="0" applyNumberFormat="1" applyFont="1" applyFill="1" applyBorder="1" applyAlignment="1">
      <alignment vertical="center"/>
    </xf>
    <xf numFmtId="0" fontId="12" fillId="12" borderId="23" xfId="0" applyFont="1" applyFill="1" applyBorder="1" applyAlignment="1">
      <alignment horizontal="right" vertical="center"/>
    </xf>
    <xf numFmtId="166" fontId="12" fillId="12" borderId="23" xfId="0" applyNumberFormat="1" applyFont="1" applyFill="1" applyBorder="1" applyAlignment="1">
      <alignment horizontal="center" vertical="center"/>
    </xf>
    <xf numFmtId="0" fontId="12" fillId="12" borderId="23" xfId="0" applyFont="1" applyFill="1" applyBorder="1"/>
    <xf numFmtId="164" fontId="1" fillId="13" borderId="23" xfId="0" applyNumberFormat="1" applyFont="1" applyFill="1" applyBorder="1" applyAlignment="1">
      <alignment horizontal="center" vertical="center"/>
    </xf>
    <xf numFmtId="167" fontId="12" fillId="12" borderId="23" xfId="0" applyNumberFormat="1" applyFont="1" applyFill="1" applyBorder="1" applyAlignment="1">
      <alignment horizontal="center" vertical="center"/>
    </xf>
    <xf numFmtId="2" fontId="13" fillId="0" borderId="0" xfId="0" applyNumberFormat="1" applyFont="1" applyAlignment="1">
      <alignment horizontal="center" vertical="center"/>
    </xf>
    <xf numFmtId="167" fontId="13" fillId="0" borderId="0" xfId="0" applyNumberFormat="1" applyFont="1" applyAlignment="1">
      <alignment horizontal="center" vertical="center"/>
    </xf>
    <xf numFmtId="0" fontId="4" fillId="4" borderId="6" xfId="0" applyFont="1" applyFill="1" applyBorder="1" applyAlignment="1">
      <alignment horizontal="center" vertical="center"/>
    </xf>
    <xf numFmtId="0" fontId="4" fillId="7" borderId="10" xfId="0" applyFont="1" applyFill="1" applyBorder="1" applyAlignment="1">
      <alignment horizontal="center" vertical="center"/>
    </xf>
    <xf numFmtId="0" fontId="1" fillId="6" borderId="27" xfId="0" applyFont="1" applyFill="1" applyBorder="1" applyAlignment="1">
      <alignment horizontal="center" vertical="center"/>
    </xf>
    <xf numFmtId="164" fontId="1" fillId="6" borderId="6" xfId="0" applyNumberFormat="1" applyFont="1" applyFill="1" applyBorder="1" applyAlignment="1">
      <alignment horizontal="center" vertical="center"/>
    </xf>
    <xf numFmtId="0" fontId="1" fillId="14" borderId="23" xfId="0" applyFont="1" applyFill="1" applyBorder="1" applyAlignment="1">
      <alignment vertical="center"/>
    </xf>
    <xf numFmtId="0" fontId="1" fillId="15" borderId="6" xfId="0" applyFont="1" applyFill="1" applyBorder="1" applyAlignment="1">
      <alignment horizontal="center" vertical="center"/>
    </xf>
    <xf numFmtId="0" fontId="1" fillId="15" borderId="6" xfId="0" applyFont="1" applyFill="1" applyBorder="1" applyAlignment="1">
      <alignment horizontal="left" vertical="center"/>
    </xf>
    <xf numFmtId="168" fontId="1" fillId="15" borderId="6" xfId="0" applyNumberFormat="1" applyFont="1" applyFill="1" applyBorder="1" applyAlignment="1">
      <alignment horizontal="center" vertical="center"/>
    </xf>
    <xf numFmtId="0" fontId="8" fillId="15" borderId="7" xfId="0" applyFont="1" applyFill="1" applyBorder="1" applyAlignment="1">
      <alignment horizontal="center" vertical="center"/>
    </xf>
    <xf numFmtId="0" fontId="1" fillId="15" borderId="26" xfId="0" applyFont="1" applyFill="1" applyBorder="1" applyAlignment="1">
      <alignment horizontal="center" vertical="center"/>
    </xf>
    <xf numFmtId="0" fontId="4" fillId="15" borderId="23" xfId="0" applyFont="1" applyFill="1" applyBorder="1" applyAlignment="1">
      <alignment horizontal="center" vertical="center"/>
    </xf>
    <xf numFmtId="0" fontId="3" fillId="16" borderId="23" xfId="0" applyFont="1" applyFill="1" applyBorder="1" applyAlignment="1">
      <alignment horizontal="left" vertical="center"/>
    </xf>
    <xf numFmtId="168" fontId="1" fillId="16" borderId="23"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1" fillId="15" borderId="23" xfId="0" applyFont="1" applyFill="1" applyBorder="1" applyAlignment="1">
      <alignment horizontal="center" vertical="center"/>
    </xf>
    <xf numFmtId="0" fontId="1" fillId="16" borderId="23" xfId="0" applyFont="1" applyFill="1" applyBorder="1" applyAlignment="1">
      <alignment horizontal="left" vertical="center"/>
    </xf>
    <xf numFmtId="0" fontId="16" fillId="7" borderId="23" xfId="0" applyFont="1" applyFill="1" applyBorder="1" applyAlignment="1">
      <alignment horizontal="center" vertical="center"/>
    </xf>
    <xf numFmtId="0" fontId="16" fillId="7" borderId="27" xfId="0" applyFont="1" applyFill="1" applyBorder="1" applyAlignment="1">
      <alignment horizontal="center" vertical="center"/>
    </xf>
    <xf numFmtId="0" fontId="1" fillId="17" borderId="23" xfId="0" applyFont="1" applyFill="1" applyBorder="1" applyAlignment="1">
      <alignment horizontal="left" vertical="center"/>
    </xf>
    <xf numFmtId="4" fontId="1" fillId="17" borderId="23" xfId="0" applyNumberFormat="1" applyFont="1" applyFill="1" applyBorder="1" applyAlignment="1">
      <alignment horizontal="center" vertical="center"/>
    </xf>
    <xf numFmtId="168" fontId="1" fillId="17" borderId="23" xfId="0" applyNumberFormat="1" applyFont="1" applyFill="1" applyBorder="1" applyAlignment="1">
      <alignment horizontal="center" vertical="center"/>
    </xf>
    <xf numFmtId="168" fontId="1" fillId="17" borderId="27" xfId="0" applyNumberFormat="1" applyFont="1" applyFill="1" applyBorder="1" applyAlignment="1">
      <alignment horizontal="center" vertical="center"/>
    </xf>
    <xf numFmtId="0" fontId="1" fillId="18" borderId="23" xfId="0" applyFont="1" applyFill="1" applyBorder="1" applyAlignment="1">
      <alignment horizontal="left" vertical="center"/>
    </xf>
    <xf numFmtId="4" fontId="1" fillId="18" borderId="23" xfId="0" applyNumberFormat="1" applyFont="1" applyFill="1" applyBorder="1" applyAlignment="1">
      <alignment horizontal="center" vertical="center"/>
    </xf>
    <xf numFmtId="168" fontId="1" fillId="18" borderId="23" xfId="0" applyNumberFormat="1" applyFont="1" applyFill="1" applyBorder="1" applyAlignment="1">
      <alignment horizontal="center" vertical="center"/>
    </xf>
    <xf numFmtId="168" fontId="1" fillId="18" borderId="27" xfId="0" applyNumberFormat="1" applyFont="1" applyFill="1" applyBorder="1" applyAlignment="1">
      <alignment horizontal="center" vertical="center"/>
    </xf>
    <xf numFmtId="4" fontId="1" fillId="16" borderId="23" xfId="0" applyNumberFormat="1" applyFont="1" applyFill="1" applyBorder="1" applyAlignment="1">
      <alignment horizontal="center" vertical="center"/>
    </xf>
    <xf numFmtId="168" fontId="1" fillId="16" borderId="27" xfId="0" applyNumberFormat="1" applyFont="1" applyFill="1" applyBorder="1" applyAlignment="1">
      <alignment horizontal="center" vertical="center"/>
    </xf>
    <xf numFmtId="0" fontId="15" fillId="7" borderId="23" xfId="0" applyFont="1" applyFill="1" applyBorder="1" applyAlignment="1">
      <alignment horizontal="left" vertical="center"/>
    </xf>
    <xf numFmtId="168" fontId="8" fillId="16" borderId="27" xfId="0" applyNumberFormat="1" applyFont="1" applyFill="1" applyBorder="1" applyAlignment="1">
      <alignment horizontal="center" vertical="center"/>
    </xf>
    <xf numFmtId="0" fontId="11" fillId="19" borderId="23" xfId="0" applyFont="1" applyFill="1" applyBorder="1" applyAlignment="1">
      <alignment horizontal="left" vertical="center"/>
    </xf>
    <xf numFmtId="169" fontId="1" fillId="19" borderId="23" xfId="0" applyNumberFormat="1" applyFont="1" applyFill="1" applyBorder="1" applyAlignment="1">
      <alignment horizontal="center" vertical="center"/>
    </xf>
    <xf numFmtId="169" fontId="1" fillId="19" borderId="27" xfId="0" applyNumberFormat="1" applyFont="1" applyFill="1" applyBorder="1" applyAlignment="1">
      <alignment horizontal="center" vertical="center"/>
    </xf>
    <xf numFmtId="169" fontId="1" fillId="16" borderId="23" xfId="0" applyNumberFormat="1" applyFont="1" applyFill="1" applyBorder="1" applyAlignment="1">
      <alignment horizontal="center" vertical="center"/>
    </xf>
    <xf numFmtId="169" fontId="1" fillId="16" borderId="27" xfId="0" applyNumberFormat="1" applyFont="1" applyFill="1" applyBorder="1" applyAlignment="1">
      <alignment horizontal="center" vertical="center"/>
    </xf>
    <xf numFmtId="0" fontId="4" fillId="19" borderId="23" xfId="0" applyFont="1" applyFill="1" applyBorder="1" applyAlignment="1">
      <alignment horizontal="left" vertical="center"/>
    </xf>
    <xf numFmtId="4" fontId="8" fillId="16" borderId="27" xfId="0" applyNumberFormat="1" applyFont="1" applyFill="1" applyBorder="1" applyAlignment="1">
      <alignment horizontal="center" vertical="center"/>
    </xf>
    <xf numFmtId="0" fontId="4" fillId="16" borderId="23" xfId="0" applyFont="1" applyFill="1" applyBorder="1" applyAlignment="1">
      <alignment horizontal="left" vertical="center"/>
    </xf>
    <xf numFmtId="168" fontId="4" fillId="17" borderId="23" xfId="0" applyNumberFormat="1" applyFont="1" applyFill="1" applyBorder="1" applyAlignment="1">
      <alignment horizontal="center" vertical="center"/>
    </xf>
    <xf numFmtId="168" fontId="17" fillId="17" borderId="27" xfId="0" applyNumberFormat="1" applyFont="1" applyFill="1" applyBorder="1" applyAlignment="1">
      <alignment horizontal="center" vertical="center"/>
    </xf>
    <xf numFmtId="168" fontId="4" fillId="17" borderId="27" xfId="0" applyNumberFormat="1" applyFont="1" applyFill="1" applyBorder="1" applyAlignment="1">
      <alignment horizontal="center" vertical="center"/>
    </xf>
    <xf numFmtId="0" fontId="1" fillId="20" borderId="23" xfId="0" applyFont="1" applyFill="1" applyBorder="1" applyAlignment="1">
      <alignment horizontal="left" vertical="center"/>
    </xf>
    <xf numFmtId="168" fontId="1" fillId="20" borderId="23" xfId="0" applyNumberFormat="1" applyFont="1" applyFill="1" applyBorder="1" applyAlignment="1">
      <alignment horizontal="center" vertical="center"/>
    </xf>
    <xf numFmtId="168" fontId="1" fillId="20" borderId="27" xfId="0" applyNumberFormat="1" applyFont="1" applyFill="1" applyBorder="1" applyAlignment="1">
      <alignment horizontal="center" vertical="center"/>
    </xf>
    <xf numFmtId="168" fontId="1" fillId="13" borderId="23" xfId="0" applyNumberFormat="1" applyFont="1" applyFill="1" applyBorder="1" applyAlignment="1">
      <alignment horizontal="center" vertical="center"/>
    </xf>
    <xf numFmtId="168" fontId="1" fillId="13" borderId="27" xfId="0" applyNumberFormat="1" applyFont="1" applyFill="1" applyBorder="1" applyAlignment="1">
      <alignment horizontal="center" vertical="center"/>
    </xf>
    <xf numFmtId="168" fontId="4" fillId="20" borderId="23" xfId="0" applyNumberFormat="1" applyFont="1" applyFill="1" applyBorder="1" applyAlignment="1">
      <alignment horizontal="center" vertical="center"/>
    </xf>
    <xf numFmtId="168" fontId="4" fillId="20" borderId="27" xfId="0" applyNumberFormat="1" applyFont="1" applyFill="1" applyBorder="1" applyAlignment="1">
      <alignment horizontal="center" vertical="center"/>
    </xf>
    <xf numFmtId="168" fontId="8" fillId="17" borderId="27" xfId="0" applyNumberFormat="1" applyFont="1" applyFill="1" applyBorder="1" applyAlignment="1">
      <alignment horizontal="center" vertical="center"/>
    </xf>
    <xf numFmtId="168" fontId="8" fillId="18" borderId="27" xfId="0" applyNumberFormat="1" applyFont="1" applyFill="1" applyBorder="1" applyAlignment="1">
      <alignment horizontal="center" vertical="center"/>
    </xf>
    <xf numFmtId="0" fontId="1" fillId="15" borderId="10" xfId="0" applyFont="1" applyFill="1" applyBorder="1" applyAlignment="1">
      <alignment horizontal="center" vertical="center"/>
    </xf>
    <xf numFmtId="0" fontId="1" fillId="15" borderId="11" xfId="0" applyFont="1" applyFill="1" applyBorder="1" applyAlignment="1">
      <alignment horizontal="center" vertical="center"/>
    </xf>
    <xf numFmtId="0" fontId="4" fillId="16" borderId="11" xfId="0" applyFont="1" applyFill="1" applyBorder="1" applyAlignment="1">
      <alignment horizontal="left" vertical="center"/>
    </xf>
    <xf numFmtId="168" fontId="1" fillId="16" borderId="11" xfId="0" applyNumberFormat="1" applyFont="1" applyFill="1" applyBorder="1" applyAlignment="1">
      <alignment horizontal="center" vertical="center"/>
    </xf>
    <xf numFmtId="168" fontId="8" fillId="16" borderId="12" xfId="0" applyNumberFormat="1" applyFont="1" applyFill="1" applyBorder="1" applyAlignment="1">
      <alignment horizontal="center" vertical="center"/>
    </xf>
    <xf numFmtId="0" fontId="10" fillId="16" borderId="6" xfId="0" applyFont="1" applyFill="1" applyBorder="1" applyAlignment="1">
      <alignment horizontal="left" vertical="center"/>
    </xf>
    <xf numFmtId="0" fontId="8" fillId="16" borderId="23" xfId="0" applyFont="1" applyFill="1" applyBorder="1" applyAlignment="1">
      <alignment horizontal="center" vertical="center"/>
    </xf>
    <xf numFmtId="0" fontId="1" fillId="16" borderId="11" xfId="0" applyFont="1" applyFill="1" applyBorder="1" applyAlignment="1">
      <alignment horizontal="left" vertical="center"/>
    </xf>
    <xf numFmtId="0" fontId="8" fillId="16" borderId="11" xfId="0" applyFont="1" applyFill="1" applyBorder="1" applyAlignment="1">
      <alignment horizontal="center" vertical="center"/>
    </xf>
    <xf numFmtId="0" fontId="8" fillId="16" borderId="12" xfId="0" applyFont="1" applyFill="1" applyBorder="1" applyAlignment="1">
      <alignment horizontal="center" vertical="center"/>
    </xf>
    <xf numFmtId="0" fontId="4" fillId="16" borderId="6" xfId="0" applyFont="1" applyFill="1" applyBorder="1" applyAlignment="1">
      <alignment horizontal="left" vertical="center"/>
    </xf>
    <xf numFmtId="168" fontId="1" fillId="16" borderId="6"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wrapText="1"/>
    </xf>
    <xf numFmtId="3" fontId="1" fillId="16" borderId="23" xfId="0" applyNumberFormat="1" applyFont="1" applyFill="1" applyBorder="1" applyAlignment="1">
      <alignment horizontal="center" vertical="center"/>
    </xf>
    <xf numFmtId="3" fontId="1" fillId="16" borderId="27" xfId="0" applyNumberFormat="1" applyFont="1" applyFill="1" applyBorder="1" applyAlignment="1">
      <alignment horizontal="center" vertical="center"/>
    </xf>
    <xf numFmtId="3" fontId="1" fillId="16" borderId="11" xfId="0" applyNumberFormat="1" applyFont="1" applyFill="1" applyBorder="1" applyAlignment="1">
      <alignment horizontal="center" vertical="center"/>
    </xf>
    <xf numFmtId="3" fontId="1" fillId="16" borderId="12"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xf>
    <xf numFmtId="4" fontId="1" fillId="16" borderId="27" xfId="0" applyNumberFormat="1" applyFont="1" applyFill="1" applyBorder="1" applyAlignment="1">
      <alignment horizontal="center" vertical="center"/>
    </xf>
    <xf numFmtId="0" fontId="1" fillId="22" borderId="23" xfId="0" applyFont="1" applyFill="1" applyBorder="1" applyAlignment="1">
      <alignment horizontal="left" vertical="center"/>
    </xf>
    <xf numFmtId="4" fontId="1" fillId="23" borderId="23" xfId="0" applyNumberFormat="1" applyFont="1" applyFill="1" applyBorder="1" applyAlignment="1">
      <alignment horizontal="center" vertical="center"/>
    </xf>
    <xf numFmtId="0" fontId="1" fillId="8" borderId="23" xfId="0" applyFont="1" applyFill="1" applyBorder="1" applyAlignment="1">
      <alignment horizontal="center" vertical="center"/>
    </xf>
    <xf numFmtId="0" fontId="1" fillId="7" borderId="23" xfId="0" applyFont="1" applyFill="1" applyBorder="1" applyAlignment="1">
      <alignment horizontal="left" vertical="center"/>
    </xf>
    <xf numFmtId="0" fontId="1" fillId="11" borderId="23" xfId="0" applyFont="1" applyFill="1" applyBorder="1" applyAlignment="1">
      <alignment horizontal="left" vertical="center"/>
    </xf>
    <xf numFmtId="4" fontId="1" fillId="11" borderId="27" xfId="0" applyNumberFormat="1" applyFont="1" applyFill="1" applyBorder="1" applyAlignment="1">
      <alignment horizontal="center" vertical="center"/>
    </xf>
    <xf numFmtId="0" fontId="13" fillId="16" borderId="23" xfId="0" applyFont="1" applyFill="1" applyBorder="1" applyAlignment="1">
      <alignment horizontal="left" vertical="center"/>
    </xf>
    <xf numFmtId="168" fontId="1" fillId="16" borderId="12" xfId="0" applyNumberFormat="1" applyFont="1" applyFill="1" applyBorder="1" applyAlignment="1">
      <alignment horizontal="center" vertical="center"/>
    </xf>
    <xf numFmtId="0" fontId="12" fillId="16" borderId="6" xfId="0" applyFont="1" applyFill="1" applyBorder="1" applyAlignment="1">
      <alignment horizontal="left" vertical="center"/>
    </xf>
    <xf numFmtId="0" fontId="8" fillId="16" borderId="7" xfId="0" applyFont="1" applyFill="1" applyBorder="1" applyAlignment="1">
      <alignment horizontal="center" vertical="center"/>
    </xf>
    <xf numFmtId="2" fontId="1" fillId="16" borderId="23" xfId="0" applyNumberFormat="1" applyFont="1" applyFill="1" applyBorder="1" applyAlignment="1">
      <alignment horizontal="center" vertical="center"/>
    </xf>
    <xf numFmtId="2" fontId="8" fillId="16" borderId="27" xfId="0" applyNumberFormat="1" applyFont="1" applyFill="1" applyBorder="1" applyAlignment="1">
      <alignment horizontal="center" vertical="center"/>
    </xf>
    <xf numFmtId="4" fontId="4" fillId="17" borderId="23" xfId="0" applyNumberFormat="1" applyFont="1" applyFill="1" applyBorder="1" applyAlignment="1">
      <alignment horizontal="center" vertical="center"/>
    </xf>
    <xf numFmtId="4" fontId="4" fillId="17" borderId="27" xfId="0" applyNumberFormat="1" applyFont="1" applyFill="1" applyBorder="1" applyAlignment="1">
      <alignment horizontal="center" vertical="center"/>
    </xf>
    <xf numFmtId="4" fontId="1" fillId="18" borderId="27" xfId="0" applyNumberFormat="1" applyFont="1" applyFill="1" applyBorder="1" applyAlignment="1">
      <alignment horizontal="center" vertical="center"/>
    </xf>
    <xf numFmtId="0" fontId="4" fillId="15" borderId="26" xfId="0" applyFont="1" applyFill="1" applyBorder="1" applyAlignment="1">
      <alignment horizontal="center" vertical="center"/>
    </xf>
    <xf numFmtId="4" fontId="4" fillId="16" borderId="23" xfId="0" applyNumberFormat="1" applyFont="1" applyFill="1" applyBorder="1" applyAlignment="1">
      <alignment horizontal="center" vertical="center"/>
    </xf>
    <xf numFmtId="4" fontId="4" fillId="24" borderId="23" xfId="0" applyNumberFormat="1" applyFont="1" applyFill="1" applyBorder="1" applyAlignment="1">
      <alignment horizontal="center" vertical="center"/>
    </xf>
    <xf numFmtId="4" fontId="4" fillId="16" borderId="27" xfId="0" applyNumberFormat="1" applyFont="1" applyFill="1" applyBorder="1" applyAlignment="1">
      <alignment horizontal="center" vertical="center"/>
    </xf>
    <xf numFmtId="168" fontId="4" fillId="16" borderId="23" xfId="0" applyNumberFormat="1" applyFont="1" applyFill="1" applyBorder="1" applyAlignment="1">
      <alignment horizontal="center" vertical="center"/>
    </xf>
    <xf numFmtId="168" fontId="4" fillId="16" borderId="27" xfId="0" applyNumberFormat="1" applyFont="1" applyFill="1" applyBorder="1" applyAlignment="1">
      <alignment horizontal="center" vertical="center"/>
    </xf>
    <xf numFmtId="0" fontId="11" fillId="7" borderId="23" xfId="0" applyFont="1" applyFill="1" applyBorder="1" applyAlignment="1">
      <alignment horizontal="left" vertical="center"/>
    </xf>
    <xf numFmtId="2" fontId="8" fillId="16" borderId="23" xfId="0" applyNumberFormat="1" applyFont="1" applyFill="1" applyBorder="1" applyAlignment="1">
      <alignment horizontal="center" vertical="center"/>
    </xf>
    <xf numFmtId="4" fontId="1" fillId="20" borderId="23" xfId="0" applyNumberFormat="1" applyFont="1" applyFill="1" applyBorder="1" applyAlignment="1">
      <alignment horizontal="center" vertical="center"/>
    </xf>
    <xf numFmtId="169" fontId="1" fillId="20" borderId="23" xfId="0" applyNumberFormat="1" applyFont="1" applyFill="1" applyBorder="1" applyAlignment="1">
      <alignment horizontal="center" vertical="center"/>
    </xf>
    <xf numFmtId="170" fontId="1" fillId="16" borderId="23" xfId="0" applyNumberFormat="1" applyFont="1" applyFill="1" applyBorder="1" applyAlignment="1">
      <alignment horizontal="center" vertical="center"/>
    </xf>
    <xf numFmtId="170" fontId="1" fillId="24" borderId="23" xfId="0" applyNumberFormat="1" applyFont="1" applyFill="1" applyBorder="1" applyAlignment="1">
      <alignment horizontal="center" vertical="center"/>
    </xf>
    <xf numFmtId="168" fontId="1" fillId="24" borderId="23" xfId="0" applyNumberFormat="1" applyFont="1" applyFill="1" applyBorder="1" applyAlignment="1">
      <alignment horizontal="center" vertical="center"/>
    </xf>
    <xf numFmtId="170" fontId="1" fillId="18" borderId="23" xfId="0" applyNumberFormat="1" applyFont="1" applyFill="1" applyBorder="1" applyAlignment="1">
      <alignment horizontal="center" vertical="center"/>
    </xf>
    <xf numFmtId="170" fontId="1" fillId="20" borderId="23" xfId="0" applyNumberFormat="1" applyFont="1" applyFill="1" applyBorder="1" applyAlignment="1">
      <alignment horizontal="center" vertical="center"/>
    </xf>
    <xf numFmtId="0" fontId="4" fillId="17" borderId="23" xfId="0" applyFont="1" applyFill="1" applyBorder="1" applyAlignment="1">
      <alignment horizontal="left" vertical="center"/>
    </xf>
    <xf numFmtId="4" fontId="1" fillId="24" borderId="23" xfId="0" applyNumberFormat="1" applyFont="1" applyFill="1" applyBorder="1" applyAlignment="1">
      <alignment horizontal="center" vertical="center"/>
    </xf>
    <xf numFmtId="0" fontId="1" fillId="17" borderId="11" xfId="0" applyFont="1" applyFill="1" applyBorder="1" applyAlignment="1">
      <alignment horizontal="left" vertical="center"/>
    </xf>
    <xf numFmtId="4" fontId="4" fillId="17" borderId="11" xfId="0" applyNumberFormat="1" applyFont="1" applyFill="1" applyBorder="1" applyAlignment="1">
      <alignment horizontal="center" vertical="center"/>
    </xf>
    <xf numFmtId="4" fontId="4" fillId="17" borderId="12" xfId="0" applyNumberFormat="1" applyFont="1" applyFill="1" applyBorder="1" applyAlignment="1">
      <alignment horizontal="center" vertical="center"/>
    </xf>
    <xf numFmtId="0" fontId="4" fillId="16" borderId="7" xfId="0" applyFont="1" applyFill="1" applyBorder="1" applyAlignment="1">
      <alignment horizontal="left" vertical="center"/>
    </xf>
    <xf numFmtId="2" fontId="11" fillId="16" borderId="23" xfId="0" applyNumberFormat="1" applyFont="1" applyFill="1" applyBorder="1" applyAlignment="1">
      <alignment horizontal="center" vertical="center"/>
    </xf>
    <xf numFmtId="2" fontId="11" fillId="16" borderId="27" xfId="0" applyNumberFormat="1" applyFont="1" applyFill="1" applyBorder="1" applyAlignment="1">
      <alignment horizontal="center" vertical="center"/>
    </xf>
    <xf numFmtId="170" fontId="1" fillId="17" borderId="23" xfId="0" applyNumberFormat="1" applyFont="1" applyFill="1" applyBorder="1" applyAlignment="1">
      <alignment horizontal="left" vertical="center"/>
    </xf>
    <xf numFmtId="168" fontId="1" fillId="17" borderId="23" xfId="0" applyNumberFormat="1" applyFont="1" applyFill="1" applyBorder="1" applyAlignment="1">
      <alignment horizontal="left" vertical="center"/>
    </xf>
    <xf numFmtId="2" fontId="11" fillId="16" borderId="11" xfId="0" applyNumberFormat="1" applyFont="1" applyFill="1" applyBorder="1" applyAlignment="1">
      <alignment horizontal="center" vertical="center"/>
    </xf>
    <xf numFmtId="168" fontId="1" fillId="11" borderId="27" xfId="0" applyNumberFormat="1" applyFont="1" applyFill="1" applyBorder="1" applyAlignment="1">
      <alignment horizontal="center" vertical="center"/>
    </xf>
    <xf numFmtId="0" fontId="1" fillId="4" borderId="23" xfId="0" applyFont="1" applyFill="1" applyBorder="1" applyAlignment="1">
      <alignment horizontal="left" vertical="center"/>
    </xf>
    <xf numFmtId="4" fontId="8" fillId="16" borderId="23" xfId="0" applyNumberFormat="1" applyFont="1" applyFill="1" applyBorder="1" applyAlignment="1">
      <alignment horizontal="center" vertical="center"/>
    </xf>
    <xf numFmtId="168" fontId="8" fillId="16" borderId="23" xfId="0" applyNumberFormat="1" applyFont="1" applyFill="1" applyBorder="1" applyAlignment="1">
      <alignment horizontal="center" vertical="center"/>
    </xf>
    <xf numFmtId="0" fontId="1" fillId="15" borderId="11" xfId="0" applyFont="1" applyFill="1" applyBorder="1" applyAlignment="1">
      <alignment horizontal="left" vertical="center"/>
    </xf>
    <xf numFmtId="168" fontId="1" fillId="15" borderId="11" xfId="0" applyNumberFormat="1" applyFont="1" applyFill="1" applyBorder="1" applyAlignment="1">
      <alignment horizontal="center" vertical="center"/>
    </xf>
    <xf numFmtId="0" fontId="4" fillId="16" borderId="6" xfId="0" applyFont="1" applyFill="1" applyBorder="1"/>
    <xf numFmtId="168" fontId="1" fillId="16" borderId="6" xfId="0" applyNumberFormat="1" applyFont="1" applyFill="1" applyBorder="1"/>
    <xf numFmtId="168" fontId="1" fillId="16" borderId="7" xfId="0" applyNumberFormat="1" applyFont="1" applyFill="1" applyBorder="1"/>
    <xf numFmtId="0" fontId="1" fillId="15" borderId="26" xfId="0" applyFont="1" applyFill="1" applyBorder="1"/>
    <xf numFmtId="0" fontId="1" fillId="16" borderId="23" xfId="0" applyFont="1" applyFill="1" applyBorder="1"/>
    <xf numFmtId="0" fontId="1" fillId="16" borderId="27" xfId="0" applyFont="1" applyFill="1" applyBorder="1"/>
    <xf numFmtId="0" fontId="1" fillId="15" borderId="10" xfId="0" applyFont="1" applyFill="1" applyBorder="1"/>
    <xf numFmtId="0" fontId="1" fillId="15" borderId="11" xfId="0" applyFont="1" applyFill="1" applyBorder="1"/>
    <xf numFmtId="168" fontId="1" fillId="15" borderId="11" xfId="0" applyNumberFormat="1" applyFont="1" applyFill="1" applyBorder="1"/>
    <xf numFmtId="168" fontId="1" fillId="15" borderId="12" xfId="0" applyNumberFormat="1" applyFont="1" applyFill="1" applyBorder="1"/>
    <xf numFmtId="170" fontId="4" fillId="17" borderId="23" xfId="0" applyNumberFormat="1" applyFont="1" applyFill="1" applyBorder="1" applyAlignment="1">
      <alignment horizontal="center" vertical="center"/>
    </xf>
    <xf numFmtId="170" fontId="4" fillId="24" borderId="23" xfId="0" applyNumberFormat="1" applyFont="1" applyFill="1" applyBorder="1" applyAlignment="1">
      <alignment horizontal="center" vertical="center"/>
    </xf>
    <xf numFmtId="170" fontId="4" fillId="16" borderId="23" xfId="0" applyNumberFormat="1" applyFont="1" applyFill="1" applyBorder="1" applyAlignment="1">
      <alignment horizontal="center" vertical="center"/>
    </xf>
    <xf numFmtId="0" fontId="1" fillId="3" borderId="25" xfId="0" applyFont="1" applyFill="1" applyBorder="1" applyAlignment="1">
      <alignment horizontal="center" vertical="center"/>
    </xf>
    <xf numFmtId="0" fontId="1" fillId="5" borderId="25" xfId="0" applyFont="1" applyFill="1" applyBorder="1" applyAlignment="1">
      <alignment horizontal="center" vertical="center"/>
    </xf>
    <xf numFmtId="0" fontId="1" fillId="15" borderId="7" xfId="0" applyFont="1" applyFill="1" applyBorder="1" applyAlignment="1">
      <alignment horizontal="center" vertical="center"/>
    </xf>
    <xf numFmtId="0" fontId="1" fillId="16" borderId="23" xfId="0" applyFont="1" applyFill="1" applyBorder="1" applyAlignment="1">
      <alignment horizontal="center" vertical="center"/>
    </xf>
    <xf numFmtId="0" fontId="1" fillId="15" borderId="27" xfId="0" applyFont="1" applyFill="1" applyBorder="1" applyAlignment="1">
      <alignment horizontal="center" vertical="center"/>
    </xf>
    <xf numFmtId="0" fontId="1" fillId="15" borderId="23" xfId="0" applyFont="1" applyFill="1" applyBorder="1" applyAlignment="1">
      <alignment horizontal="left" vertical="center"/>
    </xf>
    <xf numFmtId="0" fontId="8" fillId="16" borderId="23" xfId="0" applyFont="1" applyFill="1" applyBorder="1" applyAlignment="1">
      <alignment horizontal="left" vertical="center"/>
    </xf>
    <xf numFmtId="4" fontId="1" fillId="15" borderId="23" xfId="0" applyNumberFormat="1" applyFont="1" applyFill="1" applyBorder="1" applyAlignment="1">
      <alignment horizontal="left" vertical="center"/>
    </xf>
    <xf numFmtId="4" fontId="1" fillId="15" borderId="23" xfId="0" applyNumberFormat="1" applyFont="1" applyFill="1" applyBorder="1" applyAlignment="1">
      <alignment horizontal="center" vertical="center"/>
    </xf>
    <xf numFmtId="4" fontId="4" fillId="16" borderId="23" xfId="0" applyNumberFormat="1" applyFont="1" applyFill="1" applyBorder="1" applyAlignment="1">
      <alignment horizontal="left" vertical="center"/>
    </xf>
    <xf numFmtId="168" fontId="1" fillId="16" borderId="23" xfId="0" applyNumberFormat="1" applyFont="1" applyFill="1" applyBorder="1" applyAlignment="1">
      <alignment horizontal="left" vertical="center"/>
    </xf>
    <xf numFmtId="4" fontId="1" fillId="16" borderId="23" xfId="0" applyNumberFormat="1" applyFont="1" applyFill="1" applyBorder="1" applyAlignment="1">
      <alignment horizontal="left" vertical="center"/>
    </xf>
    <xf numFmtId="168" fontId="4" fillId="16" borderId="23" xfId="0" applyNumberFormat="1" applyFont="1" applyFill="1" applyBorder="1" applyAlignment="1">
      <alignment horizontal="left" vertical="center"/>
    </xf>
    <xf numFmtId="0" fontId="10" fillId="16" borderId="23" xfId="0" applyFont="1" applyFill="1" applyBorder="1" applyAlignment="1">
      <alignment horizontal="left" vertical="center"/>
    </xf>
    <xf numFmtId="165" fontId="1" fillId="16" borderId="23" xfId="0" applyNumberFormat="1" applyFont="1" applyFill="1" applyBorder="1" applyAlignment="1">
      <alignment horizontal="center" vertical="center"/>
    </xf>
    <xf numFmtId="168" fontId="1" fillId="15" borderId="23" xfId="0" applyNumberFormat="1" applyFont="1" applyFill="1" applyBorder="1" applyAlignment="1">
      <alignment horizontal="center" vertical="center"/>
    </xf>
    <xf numFmtId="0" fontId="4" fillId="15" borderId="23" xfId="0" applyFont="1" applyFill="1" applyBorder="1" applyAlignment="1">
      <alignment horizontal="left" vertical="center"/>
    </xf>
    <xf numFmtId="0" fontId="1" fillId="26" borderId="23" xfId="0" applyFont="1" applyFill="1" applyBorder="1" applyAlignment="1">
      <alignment horizontal="center" vertical="center"/>
    </xf>
    <xf numFmtId="0" fontId="1" fillId="26" borderId="23" xfId="0" applyFont="1" applyFill="1" applyBorder="1" applyAlignment="1">
      <alignment horizontal="left" vertical="center"/>
    </xf>
    <xf numFmtId="168" fontId="4" fillId="26" borderId="23" xfId="0" applyNumberFormat="1" applyFont="1" applyFill="1" applyBorder="1" applyAlignment="1">
      <alignment horizontal="left" vertical="center"/>
    </xf>
    <xf numFmtId="168" fontId="1" fillId="26" borderId="23" xfId="0" applyNumberFormat="1" applyFont="1" applyFill="1" applyBorder="1" applyAlignment="1">
      <alignment horizontal="left" vertical="center"/>
    </xf>
    <xf numFmtId="4" fontId="1" fillId="17" borderId="23" xfId="0" applyNumberFormat="1" applyFont="1" applyFill="1" applyBorder="1" applyAlignment="1">
      <alignment horizontal="left" vertical="center"/>
    </xf>
    <xf numFmtId="4" fontId="1" fillId="18" borderId="23" xfId="0" applyNumberFormat="1" applyFont="1" applyFill="1" applyBorder="1" applyAlignment="1">
      <alignment horizontal="left" vertical="center"/>
    </xf>
    <xf numFmtId="168" fontId="15" fillId="7" borderId="23" xfId="0" applyNumberFormat="1" applyFont="1" applyFill="1" applyBorder="1" applyAlignment="1">
      <alignment horizontal="left" vertical="center"/>
    </xf>
    <xf numFmtId="4" fontId="11" fillId="7" borderId="23" xfId="0" applyNumberFormat="1" applyFont="1" applyFill="1" applyBorder="1" applyAlignment="1">
      <alignment horizontal="left" vertical="center"/>
    </xf>
    <xf numFmtId="0" fontId="1" fillId="26" borderId="26" xfId="0" applyFont="1" applyFill="1" applyBorder="1" applyAlignment="1">
      <alignment horizontal="center" vertical="center"/>
    </xf>
    <xf numFmtId="4" fontId="1" fillId="26" borderId="23" xfId="0" applyNumberFormat="1" applyFont="1" applyFill="1" applyBorder="1" applyAlignment="1">
      <alignment horizontal="left" vertical="center"/>
    </xf>
    <xf numFmtId="168" fontId="1" fillId="26" borderId="27" xfId="0" applyNumberFormat="1" applyFont="1" applyFill="1" applyBorder="1" applyAlignment="1">
      <alignment horizontal="center" vertical="center"/>
    </xf>
    <xf numFmtId="0" fontId="9" fillId="26" borderId="23" xfId="0" applyFont="1" applyFill="1" applyBorder="1"/>
    <xf numFmtId="4" fontId="15" fillId="7" borderId="23" xfId="0" applyNumberFormat="1" applyFont="1" applyFill="1" applyBorder="1" applyAlignment="1">
      <alignment horizontal="left" vertical="center"/>
    </xf>
    <xf numFmtId="0" fontId="11" fillId="26" borderId="23" xfId="0" applyFont="1" applyFill="1" applyBorder="1" applyAlignment="1">
      <alignment horizontal="left" vertical="center"/>
    </xf>
    <xf numFmtId="4" fontId="11" fillId="26" borderId="23" xfId="0" applyNumberFormat="1" applyFont="1" applyFill="1" applyBorder="1" applyAlignment="1">
      <alignment horizontal="left" vertical="center"/>
    </xf>
    <xf numFmtId="4" fontId="1" fillId="20" borderId="23" xfId="0" applyNumberFormat="1" applyFont="1" applyFill="1" applyBorder="1" applyAlignment="1">
      <alignment horizontal="left" vertical="center"/>
    </xf>
    <xf numFmtId="169" fontId="1" fillId="16" borderId="23" xfId="0" applyNumberFormat="1" applyFont="1" applyFill="1" applyBorder="1" applyAlignment="1">
      <alignment horizontal="left" vertical="center"/>
    </xf>
    <xf numFmtId="169" fontId="1" fillId="20" borderId="23" xfId="0" applyNumberFormat="1" applyFont="1" applyFill="1" applyBorder="1" applyAlignment="1">
      <alignment horizontal="left" vertical="center"/>
    </xf>
    <xf numFmtId="170" fontId="4" fillId="16" borderId="23" xfId="0" applyNumberFormat="1" applyFont="1" applyFill="1" applyBorder="1" applyAlignment="1">
      <alignment horizontal="left" vertical="center"/>
    </xf>
    <xf numFmtId="170" fontId="1" fillId="18" borderId="23" xfId="0" applyNumberFormat="1" applyFont="1" applyFill="1" applyBorder="1" applyAlignment="1">
      <alignment horizontal="left" vertical="center"/>
    </xf>
    <xf numFmtId="170" fontId="1" fillId="20" borderId="23" xfId="0" applyNumberFormat="1" applyFont="1" applyFill="1" applyBorder="1" applyAlignment="1">
      <alignment horizontal="left" vertical="center"/>
    </xf>
    <xf numFmtId="171" fontId="4" fillId="16" borderId="23" xfId="0" applyNumberFormat="1" applyFont="1" applyFill="1" applyBorder="1" applyAlignment="1">
      <alignment horizontal="left" vertical="center"/>
    </xf>
    <xf numFmtId="4" fontId="4" fillId="17" borderId="23" xfId="0" applyNumberFormat="1" applyFont="1" applyFill="1" applyBorder="1" applyAlignment="1">
      <alignment horizontal="left" vertical="center"/>
    </xf>
    <xf numFmtId="170" fontId="4" fillId="27" borderId="23" xfId="0" applyNumberFormat="1" applyFont="1" applyFill="1" applyBorder="1" applyAlignment="1">
      <alignment horizontal="center" vertical="center"/>
    </xf>
    <xf numFmtId="0" fontId="8" fillId="23" borderId="23" xfId="0" applyFont="1" applyFill="1" applyBorder="1" applyAlignment="1">
      <alignment horizontal="left" vertical="center"/>
    </xf>
    <xf numFmtId="170" fontId="17" fillId="23" borderId="23" xfId="0" applyNumberFormat="1" applyFont="1" applyFill="1" applyBorder="1" applyAlignment="1">
      <alignment horizontal="center" vertical="center"/>
    </xf>
    <xf numFmtId="0" fontId="11" fillId="23" borderId="23" xfId="0" applyFont="1" applyFill="1" applyBorder="1" applyAlignment="1">
      <alignment horizontal="left" vertical="center"/>
    </xf>
    <xf numFmtId="170" fontId="4" fillId="23" borderId="23" xfId="0" applyNumberFormat="1" applyFont="1" applyFill="1" applyBorder="1" applyAlignment="1">
      <alignment horizontal="center" vertical="center"/>
    </xf>
    <xf numFmtId="164" fontId="8" fillId="16" borderId="27" xfId="0" applyNumberFormat="1" applyFont="1" applyFill="1" applyBorder="1" applyAlignment="1">
      <alignment horizontal="center" vertical="center"/>
    </xf>
    <xf numFmtId="0" fontId="1" fillId="23" borderId="23" xfId="0" applyFont="1" applyFill="1" applyBorder="1" applyAlignment="1">
      <alignment horizontal="center" vertical="center"/>
    </xf>
    <xf numFmtId="0" fontId="1" fillId="23" borderId="26" xfId="0" applyFont="1" applyFill="1" applyBorder="1" applyAlignment="1">
      <alignment horizontal="center" vertical="center"/>
    </xf>
    <xf numFmtId="0" fontId="9" fillId="23" borderId="23" xfId="0" applyFont="1" applyFill="1" applyBorder="1"/>
    <xf numFmtId="164" fontId="8" fillId="11" borderId="27" xfId="0" applyNumberFormat="1" applyFont="1" applyFill="1" applyBorder="1" applyAlignment="1">
      <alignment horizontal="center" vertical="center"/>
    </xf>
    <xf numFmtId="0" fontId="1" fillId="28" borderId="6" xfId="0" applyFont="1" applyFill="1" applyBorder="1" applyAlignment="1">
      <alignment horizontal="center" vertical="center"/>
    </xf>
    <xf numFmtId="0" fontId="1" fillId="28" borderId="6" xfId="0" applyFont="1" applyFill="1" applyBorder="1" applyAlignment="1">
      <alignment horizontal="left" vertical="center"/>
    </xf>
    <xf numFmtId="0" fontId="1" fillId="28" borderId="23" xfId="0" applyFont="1" applyFill="1" applyBorder="1" applyAlignment="1">
      <alignment horizontal="center" vertical="center"/>
    </xf>
    <xf numFmtId="0" fontId="1" fillId="28" borderId="26" xfId="0" applyFont="1" applyFill="1" applyBorder="1" applyAlignment="1">
      <alignment horizontal="center" vertical="center"/>
    </xf>
    <xf numFmtId="0" fontId="3" fillId="2" borderId="23" xfId="0" applyFont="1" applyFill="1" applyBorder="1" applyAlignment="1">
      <alignment horizontal="left" vertical="center"/>
    </xf>
    <xf numFmtId="0" fontId="1" fillId="2" borderId="23" xfId="0" applyFont="1" applyFill="1" applyBorder="1" applyAlignment="1">
      <alignment horizontal="center" vertical="center"/>
    </xf>
    <xf numFmtId="0" fontId="4" fillId="2" borderId="23" xfId="0" applyFont="1" applyFill="1" applyBorder="1" applyAlignment="1">
      <alignment horizontal="left" vertical="center"/>
    </xf>
    <xf numFmtId="0" fontId="1" fillId="2" borderId="23" xfId="0" applyFont="1" applyFill="1" applyBorder="1" applyAlignment="1">
      <alignment horizontal="left" vertical="center"/>
    </xf>
    <xf numFmtId="2" fontId="1" fillId="2" borderId="23" xfId="0" applyNumberFormat="1" applyFont="1" applyFill="1" applyBorder="1" applyAlignment="1">
      <alignment horizontal="center" vertical="center"/>
    </xf>
    <xf numFmtId="0" fontId="1" fillId="8" borderId="23" xfId="0" applyFont="1" applyFill="1" applyBorder="1" applyAlignment="1">
      <alignment horizontal="left" vertical="center"/>
    </xf>
    <xf numFmtId="2" fontId="8" fillId="2" borderId="23" xfId="0" applyNumberFormat="1" applyFont="1" applyFill="1" applyBorder="1" applyAlignment="1">
      <alignment horizontal="center" vertical="center"/>
    </xf>
    <xf numFmtId="0" fontId="1" fillId="28" borderId="23" xfId="0" applyFont="1" applyFill="1" applyBorder="1" applyAlignment="1">
      <alignment horizontal="left" vertical="center"/>
    </xf>
    <xf numFmtId="2" fontId="1" fillId="5" borderId="23" xfId="0" applyNumberFormat="1" applyFont="1" applyFill="1" applyBorder="1" applyAlignment="1">
      <alignment horizontal="center" vertical="center"/>
    </xf>
    <xf numFmtId="1" fontId="1" fillId="2" borderId="23" xfId="0" applyNumberFormat="1" applyFont="1" applyFill="1" applyBorder="1" applyAlignment="1">
      <alignment horizontal="center" vertical="center"/>
    </xf>
    <xf numFmtId="0" fontId="4" fillId="29" borderId="23" xfId="0" applyFont="1" applyFill="1" applyBorder="1" applyAlignment="1">
      <alignment horizontal="center" vertical="center"/>
    </xf>
    <xf numFmtId="0" fontId="4" fillId="2" borderId="23" xfId="0" applyFont="1" applyFill="1" applyBorder="1" applyAlignment="1">
      <alignment horizontal="center" vertical="center"/>
    </xf>
    <xf numFmtId="0" fontId="4" fillId="28" borderId="23" xfId="0" applyFont="1" applyFill="1" applyBorder="1" applyAlignment="1">
      <alignment horizontal="center" vertical="center"/>
    </xf>
    <xf numFmtId="0" fontId="4" fillId="4" borderId="23" xfId="0" applyFont="1" applyFill="1" applyBorder="1" applyAlignment="1">
      <alignment vertical="center"/>
    </xf>
    <xf numFmtId="0" fontId="4" fillId="22" borderId="23" xfId="0" applyFont="1" applyFill="1" applyBorder="1" applyAlignment="1">
      <alignment horizontal="left" vertical="center"/>
    </xf>
    <xf numFmtId="0" fontId="13" fillId="0" borderId="0" xfId="0" applyFont="1"/>
    <xf numFmtId="0" fontId="4" fillId="3" borderId="25" xfId="0" applyFont="1" applyFill="1" applyBorder="1" applyAlignment="1">
      <alignment horizontal="center" vertical="center"/>
    </xf>
    <xf numFmtId="0" fontId="20" fillId="30" borderId="23" xfId="0" applyFont="1" applyFill="1" applyBorder="1" applyAlignment="1">
      <alignment horizontal="left" vertical="center"/>
    </xf>
    <xf numFmtId="0" fontId="11" fillId="30" borderId="23" xfId="0" applyFont="1" applyFill="1" applyBorder="1" applyAlignment="1">
      <alignment horizontal="center" vertical="center"/>
    </xf>
    <xf numFmtId="0" fontId="5" fillId="30" borderId="23" xfId="0" applyFont="1" applyFill="1" applyBorder="1" applyAlignment="1">
      <alignment horizontal="left" vertical="center"/>
    </xf>
    <xf numFmtId="0" fontId="1" fillId="18" borderId="23" xfId="0" applyFont="1" applyFill="1" applyBorder="1" applyAlignment="1">
      <alignment horizontal="center" vertical="center"/>
    </xf>
    <xf numFmtId="2" fontId="1" fillId="17" borderId="23" xfId="0" applyNumberFormat="1" applyFont="1" applyFill="1" applyBorder="1" applyAlignment="1">
      <alignment horizontal="center" vertical="center"/>
    </xf>
    <xf numFmtId="2" fontId="1" fillId="17" borderId="23" xfId="0" applyNumberFormat="1" applyFont="1" applyFill="1" applyBorder="1" applyAlignment="1">
      <alignment horizontal="left" vertical="center"/>
    </xf>
    <xf numFmtId="0" fontId="1" fillId="13" borderId="23" xfId="0" applyFont="1" applyFill="1" applyBorder="1" applyAlignment="1">
      <alignment horizontal="center" vertical="center"/>
    </xf>
    <xf numFmtId="0" fontId="1" fillId="30" borderId="23" xfId="0" applyFont="1" applyFill="1" applyBorder="1" applyAlignment="1">
      <alignment horizontal="center" vertical="center"/>
    </xf>
    <xf numFmtId="2" fontId="1" fillId="30" borderId="23" xfId="0" applyNumberFormat="1" applyFont="1" applyFill="1" applyBorder="1" applyAlignment="1">
      <alignment horizontal="center" vertical="center"/>
    </xf>
    <xf numFmtId="0" fontId="1" fillId="17" borderId="23" xfId="0" applyFont="1" applyFill="1" applyBorder="1" applyAlignment="1">
      <alignment horizontal="center" vertical="center"/>
    </xf>
    <xf numFmtId="2" fontId="1" fillId="13" borderId="23" xfId="0" applyNumberFormat="1" applyFont="1" applyFill="1" applyBorder="1" applyAlignment="1">
      <alignment horizontal="center" vertical="center"/>
    </xf>
    <xf numFmtId="0" fontId="21" fillId="0" borderId="0" xfId="0" applyFont="1"/>
    <xf numFmtId="0" fontId="1" fillId="21" borderId="26" xfId="0" applyFont="1" applyFill="1" applyBorder="1" applyAlignment="1">
      <alignment horizontal="center" vertical="center"/>
    </xf>
    <xf numFmtId="0" fontId="1" fillId="21" borderId="23" xfId="0" applyFont="1" applyFill="1" applyBorder="1" applyAlignment="1">
      <alignment horizontal="center" vertical="center"/>
    </xf>
    <xf numFmtId="0" fontId="1" fillId="31" borderId="23" xfId="0" applyFont="1" applyFill="1" applyBorder="1" applyAlignment="1">
      <alignment horizontal="center" vertical="center"/>
    </xf>
    <xf numFmtId="2" fontId="1" fillId="31" borderId="23" xfId="0" applyNumberFormat="1" applyFont="1" applyFill="1" applyBorder="1" applyAlignment="1">
      <alignment horizontal="center" vertical="center"/>
    </xf>
    <xf numFmtId="2" fontId="1" fillId="32" borderId="23" xfId="0" applyNumberFormat="1" applyFont="1" applyFill="1" applyBorder="1" applyAlignment="1">
      <alignment horizontal="center" vertical="center"/>
    </xf>
    <xf numFmtId="0" fontId="1" fillId="32" borderId="23" xfId="0" applyFont="1" applyFill="1" applyBorder="1" applyAlignment="1">
      <alignment horizontal="center" vertical="center"/>
    </xf>
    <xf numFmtId="0" fontId="1" fillId="5" borderId="23" xfId="0" applyFont="1" applyFill="1" applyBorder="1" applyAlignment="1">
      <alignment horizontal="center" vertical="center"/>
    </xf>
    <xf numFmtId="0" fontId="8" fillId="5" borderId="26" xfId="0" applyFont="1" applyFill="1" applyBorder="1" applyAlignment="1">
      <alignment horizontal="center" vertical="center"/>
    </xf>
    <xf numFmtId="0" fontId="11" fillId="5" borderId="23" xfId="0" applyFont="1" applyFill="1" applyBorder="1" applyAlignment="1">
      <alignment horizontal="center" vertical="center"/>
    </xf>
    <xf numFmtId="0" fontId="11" fillId="21" borderId="23" xfId="0" applyFont="1" applyFill="1" applyBorder="1" applyAlignment="1">
      <alignment horizontal="center" vertical="center"/>
    </xf>
    <xf numFmtId="0" fontId="1" fillId="15" borderId="12" xfId="0" applyFont="1" applyFill="1" applyBorder="1" applyAlignment="1">
      <alignment horizontal="center" vertical="center"/>
    </xf>
    <xf numFmtId="0" fontId="4" fillId="31" borderId="23" xfId="0" applyFont="1" applyFill="1" applyBorder="1"/>
    <xf numFmtId="0" fontId="1" fillId="6" borderId="23" xfId="0" applyFont="1" applyFill="1" applyBorder="1" applyAlignment="1">
      <alignment horizontal="left" vertical="center"/>
    </xf>
    <xf numFmtId="0" fontId="4" fillId="33" borderId="23" xfId="0" applyFont="1" applyFill="1" applyBorder="1" applyAlignment="1">
      <alignment vertical="center"/>
    </xf>
    <xf numFmtId="0" fontId="4" fillId="33" borderId="23" xfId="0" applyFont="1" applyFill="1" applyBorder="1" applyAlignment="1">
      <alignment horizontal="left" vertical="center"/>
    </xf>
    <xf numFmtId="0" fontId="4" fillId="33" borderId="23" xfId="0" applyFont="1" applyFill="1" applyBorder="1" applyAlignment="1">
      <alignment horizontal="center" vertical="center" wrapText="1"/>
    </xf>
    <xf numFmtId="172" fontId="1" fillId="6" borderId="23" xfId="0" applyNumberFormat="1" applyFont="1" applyFill="1" applyBorder="1" applyAlignment="1">
      <alignment horizontal="center" vertical="center"/>
    </xf>
    <xf numFmtId="0" fontId="4" fillId="4" borderId="27" xfId="0" applyFont="1" applyFill="1" applyBorder="1" applyAlignment="1">
      <alignment horizontal="center" vertical="center"/>
    </xf>
    <xf numFmtId="173" fontId="1" fillId="6" borderId="23" xfId="0" applyNumberFormat="1" applyFont="1" applyFill="1" applyBorder="1" applyAlignment="1">
      <alignment horizontal="center" vertical="center"/>
    </xf>
    <xf numFmtId="11" fontId="1" fillId="6" borderId="23" xfId="0" applyNumberFormat="1" applyFont="1" applyFill="1" applyBorder="1" applyAlignment="1">
      <alignment horizontal="center" vertical="center"/>
    </xf>
    <xf numFmtId="0" fontId="4" fillId="6" borderId="23" xfId="0" applyFont="1" applyFill="1" applyBorder="1" applyAlignment="1">
      <alignment horizontal="left" vertical="center"/>
    </xf>
    <xf numFmtId="174" fontId="4" fillId="6" borderId="23" xfId="0" applyNumberFormat="1" applyFont="1" applyFill="1" applyBorder="1" applyAlignment="1">
      <alignment horizontal="center" vertical="center"/>
    </xf>
    <xf numFmtId="0" fontId="8" fillId="6" borderId="23" xfId="0" applyFont="1" applyFill="1" applyBorder="1" applyAlignment="1">
      <alignment vertical="center"/>
    </xf>
    <xf numFmtId="167" fontId="4" fillId="6" borderId="23" xfId="0" applyNumberFormat="1" applyFont="1" applyFill="1" applyBorder="1" applyAlignment="1">
      <alignment horizontal="center" vertical="center"/>
    </xf>
    <xf numFmtId="0" fontId="4" fillId="34" borderId="23" xfId="0" applyFont="1" applyFill="1" applyBorder="1" applyAlignment="1">
      <alignment horizontal="center" vertical="center"/>
    </xf>
    <xf numFmtId="0" fontId="4" fillId="7" borderId="23" xfId="0" applyFont="1" applyFill="1" applyBorder="1" applyAlignment="1">
      <alignment vertical="center"/>
    </xf>
    <xf numFmtId="173" fontId="1" fillId="7" borderId="23" xfId="0" applyNumberFormat="1" applyFont="1" applyFill="1" applyBorder="1" applyAlignment="1">
      <alignment horizontal="center" vertical="center"/>
    </xf>
    <xf numFmtId="167" fontId="1" fillId="6" borderId="23" xfId="0" applyNumberFormat="1" applyFont="1" applyFill="1" applyBorder="1" applyAlignment="1">
      <alignment horizontal="center" vertical="center"/>
    </xf>
    <xf numFmtId="174" fontId="1" fillId="6" borderId="23" xfId="0" applyNumberFormat="1" applyFont="1" applyFill="1" applyBorder="1" applyAlignment="1">
      <alignment horizontal="center" vertical="center"/>
    </xf>
    <xf numFmtId="167" fontId="4" fillId="34" borderId="23" xfId="0" applyNumberFormat="1" applyFont="1" applyFill="1" applyBorder="1" applyAlignment="1">
      <alignment horizontal="center" vertical="center"/>
    </xf>
    <xf numFmtId="0" fontId="1" fillId="7" borderId="23" xfId="0" applyFont="1" applyFill="1" applyBorder="1" applyAlignment="1">
      <alignment vertical="center"/>
    </xf>
    <xf numFmtId="175" fontId="1" fillId="6" borderId="23" xfId="0" applyNumberFormat="1" applyFont="1" applyFill="1" applyBorder="1" applyAlignment="1">
      <alignment horizontal="center" vertical="center"/>
    </xf>
    <xf numFmtId="2" fontId="4" fillId="6" borderId="23" xfId="0" applyNumberFormat="1" applyFont="1" applyFill="1" applyBorder="1" applyAlignment="1">
      <alignment horizontal="center" vertical="center"/>
    </xf>
    <xf numFmtId="176" fontId="4" fillId="6" borderId="23" xfId="0" applyNumberFormat="1" applyFont="1" applyFill="1" applyBorder="1" applyAlignment="1">
      <alignment horizontal="center" vertical="center"/>
    </xf>
    <xf numFmtId="0" fontId="4" fillId="8" borderId="23" xfId="0" applyFont="1" applyFill="1" applyBorder="1" applyAlignment="1">
      <alignment vertical="center"/>
    </xf>
    <xf numFmtId="0" fontId="1" fillId="8" borderId="23" xfId="0" applyFont="1" applyFill="1" applyBorder="1" applyAlignment="1">
      <alignment vertical="center"/>
    </xf>
    <xf numFmtId="164" fontId="4" fillId="6" borderId="23" xfId="0" applyNumberFormat="1" applyFont="1" applyFill="1" applyBorder="1" applyAlignment="1">
      <alignment horizontal="center" vertical="center"/>
    </xf>
    <xf numFmtId="0" fontId="5" fillId="30" borderId="23" xfId="0" applyFont="1" applyFill="1" applyBorder="1" applyAlignment="1">
      <alignment vertical="center"/>
    </xf>
    <xf numFmtId="0" fontId="4" fillId="16" borderId="23" xfId="0" applyFont="1" applyFill="1" applyBorder="1" applyAlignment="1">
      <alignment horizontal="center" vertical="center"/>
    </xf>
    <xf numFmtId="0" fontId="1" fillId="35" borderId="23" xfId="0" applyFont="1" applyFill="1" applyBorder="1" applyAlignment="1">
      <alignment horizontal="left" vertical="center"/>
    </xf>
    <xf numFmtId="165" fontId="1" fillId="35" borderId="23" xfId="0" applyNumberFormat="1" applyFont="1" applyFill="1" applyBorder="1" applyAlignment="1">
      <alignment horizontal="center" vertical="center"/>
    </xf>
    <xf numFmtId="165" fontId="4" fillId="16" borderId="23" xfId="0" applyNumberFormat="1" applyFont="1" applyFill="1" applyBorder="1" applyAlignment="1">
      <alignment horizontal="center" vertical="center"/>
    </xf>
    <xf numFmtId="0" fontId="1" fillId="28" borderId="7" xfId="0" applyFont="1" applyFill="1" applyBorder="1" applyAlignment="1">
      <alignment horizontal="center" vertical="center"/>
    </xf>
    <xf numFmtId="0" fontId="1" fillId="28" borderId="2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1" xfId="0" applyFont="1" applyFill="1" applyBorder="1" applyAlignment="1">
      <alignment horizontal="left" vertical="center"/>
    </xf>
    <xf numFmtId="0" fontId="1" fillId="28" borderId="11" xfId="0" applyFont="1" applyFill="1" applyBorder="1" applyAlignment="1">
      <alignment horizontal="center" vertical="center"/>
    </xf>
    <xf numFmtId="0" fontId="1" fillId="28" borderId="12" xfId="0" applyFont="1" applyFill="1" applyBorder="1" applyAlignment="1">
      <alignment horizontal="center" vertical="center"/>
    </xf>
    <xf numFmtId="2" fontId="4" fillId="16" borderId="23" xfId="0" applyNumberFormat="1" applyFont="1" applyFill="1" applyBorder="1" applyAlignment="1">
      <alignment horizontal="center" vertical="center"/>
    </xf>
    <xf numFmtId="0" fontId="1" fillId="16" borderId="23" xfId="0" applyFont="1" applyFill="1" applyBorder="1" applyAlignment="1">
      <alignment horizontal="left" vertical="center" wrapText="1"/>
    </xf>
    <xf numFmtId="0" fontId="4" fillId="16" borderId="23" xfId="0" applyFont="1" applyFill="1" applyBorder="1" applyAlignment="1">
      <alignment horizontal="left" vertical="center" wrapText="1"/>
    </xf>
    <xf numFmtId="164" fontId="13" fillId="0" borderId="0" xfId="0" applyNumberFormat="1" applyFont="1" applyAlignment="1">
      <alignment horizontal="center" vertical="center"/>
    </xf>
    <xf numFmtId="0" fontId="12" fillId="12" borderId="23" xfId="0" applyFont="1" applyFill="1" applyBorder="1" applyAlignment="1">
      <alignment vertical="center"/>
    </xf>
    <xf numFmtId="176" fontId="12" fillId="12" borderId="23" xfId="0" applyNumberFormat="1" applyFont="1" applyFill="1" applyBorder="1" applyAlignment="1">
      <alignment horizontal="center" vertical="center"/>
    </xf>
    <xf numFmtId="0" fontId="11" fillId="4" borderId="23" xfId="0" applyFont="1" applyFill="1" applyBorder="1" applyAlignment="1">
      <alignment horizontal="center" vertical="center"/>
    </xf>
    <xf numFmtId="0" fontId="8" fillId="15" borderId="6" xfId="0" applyFont="1" applyFill="1" applyBorder="1" applyAlignment="1">
      <alignment horizontal="center" vertical="center"/>
    </xf>
    <xf numFmtId="0" fontId="28" fillId="16" borderId="23" xfId="0" applyFont="1" applyFill="1" applyBorder="1" applyAlignment="1">
      <alignment horizontal="left" vertical="center"/>
    </xf>
    <xf numFmtId="0" fontId="8" fillId="15" borderId="23" xfId="0" applyFont="1" applyFill="1" applyBorder="1" applyAlignment="1">
      <alignment horizontal="center" vertical="center"/>
    </xf>
    <xf numFmtId="165" fontId="8" fillId="16" borderId="23" xfId="0" applyNumberFormat="1" applyFont="1" applyFill="1" applyBorder="1" applyAlignment="1">
      <alignment horizontal="center" vertical="center"/>
    </xf>
    <xf numFmtId="4" fontId="1" fillId="13" borderId="23" xfId="0" applyNumberFormat="1" applyFont="1" applyFill="1" applyBorder="1" applyAlignment="1">
      <alignment horizontal="center" vertical="center"/>
    </xf>
    <xf numFmtId="0" fontId="12" fillId="16" borderId="23" xfId="0" applyFont="1" applyFill="1" applyBorder="1" applyAlignment="1">
      <alignment horizontal="left" vertical="center"/>
    </xf>
    <xf numFmtId="0" fontId="8" fillId="15" borderId="23" xfId="0" applyFont="1" applyFill="1" applyBorder="1" applyAlignment="1">
      <alignment horizontal="left" vertical="center"/>
    </xf>
    <xf numFmtId="168" fontId="8" fillId="15" borderId="23" xfId="0" applyNumberFormat="1" applyFont="1" applyFill="1" applyBorder="1" applyAlignment="1">
      <alignment horizontal="center" vertical="center"/>
    </xf>
    <xf numFmtId="0" fontId="1" fillId="0" borderId="27" xfId="0" applyFont="1" applyBorder="1"/>
    <xf numFmtId="0" fontId="8" fillId="15" borderId="11" xfId="0" applyFont="1" applyFill="1" applyBorder="1"/>
    <xf numFmtId="0" fontId="1" fillId="15" borderId="12" xfId="0" applyFont="1" applyFill="1" applyBorder="1"/>
    <xf numFmtId="164" fontId="1" fillId="16" borderId="23" xfId="0" applyNumberFormat="1" applyFont="1" applyFill="1" applyBorder="1" applyAlignment="1">
      <alignment horizontal="center" vertical="center"/>
    </xf>
    <xf numFmtId="0" fontId="4" fillId="5" borderId="25" xfId="0" applyFont="1" applyFill="1" applyBorder="1" applyAlignment="1">
      <alignment horizontal="center" vertical="center"/>
    </xf>
    <xf numFmtId="165" fontId="1" fillId="3" borderId="25" xfId="0" applyNumberFormat="1" applyFont="1" applyFill="1" applyBorder="1" applyAlignment="1">
      <alignment horizontal="center" vertical="center"/>
    </xf>
    <xf numFmtId="165" fontId="4" fillId="3" borderId="25" xfId="0" applyNumberFormat="1" applyFont="1" applyFill="1" applyBorder="1" applyAlignment="1">
      <alignment horizontal="center" vertical="center"/>
    </xf>
    <xf numFmtId="0" fontId="4" fillId="28" borderId="6" xfId="0" applyFont="1" applyFill="1" applyBorder="1" applyAlignment="1">
      <alignment horizontal="center" vertical="center"/>
    </xf>
    <xf numFmtId="165" fontId="1" fillId="28" borderId="6" xfId="0" applyNumberFormat="1" applyFont="1" applyFill="1" applyBorder="1" applyAlignment="1">
      <alignment horizontal="center" vertical="center"/>
    </xf>
    <xf numFmtId="165" fontId="4" fillId="28" borderId="6" xfId="0" applyNumberFormat="1" applyFont="1" applyFill="1" applyBorder="1" applyAlignment="1">
      <alignment horizontal="center" vertical="center"/>
    </xf>
    <xf numFmtId="165" fontId="1" fillId="2" borderId="23" xfId="0" applyNumberFormat="1" applyFont="1" applyFill="1" applyBorder="1" applyAlignment="1">
      <alignment horizontal="center" vertical="center"/>
    </xf>
    <xf numFmtId="165" fontId="4" fillId="2" borderId="23" xfId="0" applyNumberFormat="1" applyFont="1" applyFill="1" applyBorder="1" applyAlignment="1">
      <alignment horizontal="center" vertical="center"/>
    </xf>
    <xf numFmtId="0" fontId="8" fillId="8" borderId="23" xfId="0" applyFont="1" applyFill="1" applyBorder="1" applyAlignment="1">
      <alignment horizontal="left" vertical="center"/>
    </xf>
    <xf numFmtId="0" fontId="4" fillId="28" borderId="26" xfId="0" applyFont="1" applyFill="1" applyBorder="1" applyAlignment="1">
      <alignment horizontal="center" vertical="center"/>
    </xf>
    <xf numFmtId="2" fontId="4" fillId="2" borderId="23" xfId="0" applyNumberFormat="1" applyFont="1" applyFill="1" applyBorder="1" applyAlignment="1">
      <alignment horizontal="center" vertical="center"/>
    </xf>
    <xf numFmtId="0" fontId="4" fillId="28" borderId="27" xfId="0" applyFont="1" applyFill="1" applyBorder="1" applyAlignment="1">
      <alignment horizontal="center" vertical="center"/>
    </xf>
    <xf numFmtId="0" fontId="4" fillId="28" borderId="11" xfId="0" applyFont="1" applyFill="1" applyBorder="1" applyAlignment="1">
      <alignment horizontal="center" vertical="center"/>
    </xf>
    <xf numFmtId="0" fontId="1" fillId="0" borderId="26" xfId="0" applyFont="1" applyBorder="1"/>
    <xf numFmtId="0" fontId="4" fillId="15" borderId="27" xfId="0" applyFont="1" applyFill="1" applyBorder="1" applyAlignment="1">
      <alignment horizontal="center" vertical="center"/>
    </xf>
    <xf numFmtId="0" fontId="1" fillId="30" borderId="23" xfId="0" applyFont="1" applyFill="1" applyBorder="1" applyAlignment="1">
      <alignment vertical="center"/>
    </xf>
    <xf numFmtId="2" fontId="1" fillId="4" borderId="23" xfId="0" applyNumberFormat="1" applyFont="1" applyFill="1" applyBorder="1" applyAlignment="1">
      <alignment horizontal="center" vertical="center"/>
    </xf>
    <xf numFmtId="3" fontId="1" fillId="6" borderId="23" xfId="0" applyNumberFormat="1" applyFont="1" applyFill="1" applyBorder="1" applyAlignment="1">
      <alignment vertical="center"/>
    </xf>
    <xf numFmtId="0" fontId="27" fillId="0" borderId="0" xfId="0" applyFont="1" applyAlignment="1">
      <alignment horizontal="center" vertical="center"/>
    </xf>
    <xf numFmtId="0" fontId="13" fillId="0" borderId="0" xfId="0" applyFont="1" applyAlignment="1">
      <alignment horizontal="left" vertical="center"/>
    </xf>
    <xf numFmtId="0" fontId="19" fillId="0" borderId="0" xfId="0" applyFont="1" applyAlignment="1">
      <alignment horizontal="left" vertical="center" wrapText="1"/>
    </xf>
    <xf numFmtId="0" fontId="11" fillId="27" borderId="23" xfId="0" applyFont="1" applyFill="1" applyBorder="1"/>
    <xf numFmtId="4" fontId="1" fillId="11" borderId="23" xfId="0" applyNumberFormat="1" applyFont="1" applyFill="1" applyBorder="1" applyAlignment="1">
      <alignment horizontal="center" vertical="center"/>
    </xf>
    <xf numFmtId="2" fontId="1" fillId="15" borderId="23" xfId="0" applyNumberFormat="1" applyFont="1" applyFill="1" applyBorder="1" applyAlignment="1">
      <alignment horizontal="center" vertical="center"/>
    </xf>
    <xf numFmtId="0" fontId="1" fillId="15" borderId="23" xfId="0" applyFont="1" applyFill="1" applyBorder="1"/>
    <xf numFmtId="0" fontId="4" fillId="16" borderId="23" xfId="0" applyFont="1" applyFill="1" applyBorder="1"/>
    <xf numFmtId="0" fontId="1" fillId="15" borderId="27" xfId="0" applyFont="1" applyFill="1" applyBorder="1"/>
    <xf numFmtId="2" fontId="1" fillId="16" borderId="23" xfId="0" applyNumberFormat="1" applyFont="1" applyFill="1" applyBorder="1"/>
    <xf numFmtId="0" fontId="19" fillId="0" borderId="0" xfId="0" applyFont="1" applyAlignment="1">
      <alignment horizontal="left" vertical="center"/>
    </xf>
    <xf numFmtId="0" fontId="27" fillId="0" borderId="0" xfId="0" applyFont="1" applyAlignment="1">
      <alignment horizontal="left" vertical="center"/>
    </xf>
    <xf numFmtId="0" fontId="1" fillId="36" borderId="23" xfId="0" applyFont="1" applyFill="1" applyBorder="1" applyAlignment="1">
      <alignment horizontal="center" wrapText="1"/>
    </xf>
    <xf numFmtId="0" fontId="1" fillId="36" borderId="23" xfId="0" applyFont="1" applyFill="1" applyBorder="1" applyAlignment="1">
      <alignment horizontal="center"/>
    </xf>
    <xf numFmtId="0" fontId="1" fillId="37" borderId="23" xfId="0" applyFont="1" applyFill="1" applyBorder="1" applyAlignment="1">
      <alignment horizontal="center"/>
    </xf>
    <xf numFmtId="0" fontId="1" fillId="37" borderId="23" xfId="0" applyFont="1" applyFill="1" applyBorder="1"/>
    <xf numFmtId="0" fontId="27" fillId="37" borderId="23" xfId="0" applyFont="1" applyFill="1" applyBorder="1"/>
    <xf numFmtId="0" fontId="1" fillId="37" borderId="23" xfId="0" applyFont="1" applyFill="1" applyBorder="1" applyAlignment="1">
      <alignment horizontal="right"/>
    </xf>
    <xf numFmtId="2" fontId="1" fillId="29" borderId="23" xfId="0" applyNumberFormat="1" applyFont="1" applyFill="1" applyBorder="1" applyAlignment="1">
      <alignment horizontal="center" vertical="center"/>
    </xf>
    <xf numFmtId="0" fontId="1" fillId="38" borderId="23" xfId="0" applyFont="1" applyFill="1" applyBorder="1"/>
    <xf numFmtId="0" fontId="1" fillId="11" borderId="23" xfId="0" applyFont="1" applyFill="1" applyBorder="1" applyAlignment="1">
      <alignment vertical="center"/>
    </xf>
    <xf numFmtId="0" fontId="1" fillId="39" borderId="23" xfId="0" applyFont="1" applyFill="1" applyBorder="1" applyAlignment="1">
      <alignment vertical="center"/>
    </xf>
    <xf numFmtId="0" fontId="11" fillId="39" borderId="23" xfId="0" applyFont="1" applyFill="1" applyBorder="1" applyAlignment="1">
      <alignment horizontal="center"/>
    </xf>
    <xf numFmtId="165" fontId="1" fillId="6" borderId="23" xfId="0" applyNumberFormat="1" applyFont="1" applyFill="1" applyBorder="1" applyAlignment="1">
      <alignment horizontal="center" vertical="center"/>
    </xf>
    <xf numFmtId="165" fontId="11" fillId="39" borderId="23" xfId="0" applyNumberFormat="1" applyFont="1" applyFill="1" applyBorder="1" applyAlignment="1">
      <alignment horizontal="center"/>
    </xf>
    <xf numFmtId="0" fontId="19" fillId="4" borderId="23" xfId="0" applyFont="1" applyFill="1" applyBorder="1" applyAlignment="1">
      <alignment horizontal="center" vertical="center"/>
    </xf>
    <xf numFmtId="0" fontId="1" fillId="39" borderId="23" xfId="0" applyFont="1" applyFill="1" applyBorder="1" applyAlignment="1">
      <alignment horizontal="center" vertical="center"/>
    </xf>
    <xf numFmtId="0" fontId="11" fillId="39" borderId="23" xfId="0" applyFont="1" applyFill="1" applyBorder="1" applyAlignment="1">
      <alignment horizontal="center" vertical="center"/>
    </xf>
    <xf numFmtId="0" fontId="1" fillId="40" borderId="23" xfId="0" applyFont="1" applyFill="1" applyBorder="1" applyAlignment="1">
      <alignment horizontal="left" vertical="center"/>
    </xf>
    <xf numFmtId="2" fontId="1" fillId="40" borderId="23" xfId="0" applyNumberFormat="1" applyFont="1" applyFill="1" applyBorder="1" applyAlignment="1">
      <alignment horizontal="center" vertical="center"/>
    </xf>
    <xf numFmtId="0" fontId="11" fillId="40" borderId="23" xfId="0" applyFont="1" applyFill="1" applyBorder="1" applyAlignment="1">
      <alignment horizontal="left"/>
    </xf>
    <xf numFmtId="2" fontId="11" fillId="39" borderId="23" xfId="0" applyNumberFormat="1" applyFont="1" applyFill="1" applyBorder="1" applyAlignment="1">
      <alignment horizontal="center"/>
    </xf>
    <xf numFmtId="2" fontId="1" fillId="39" borderId="23" xfId="0" applyNumberFormat="1" applyFont="1" applyFill="1" applyBorder="1" applyAlignment="1">
      <alignment horizontal="center" vertical="center"/>
    </xf>
    <xf numFmtId="0" fontId="19" fillId="4" borderId="27" xfId="0" applyFont="1" applyFill="1" applyBorder="1" applyAlignment="1">
      <alignment horizontal="center" vertical="center"/>
    </xf>
    <xf numFmtId="0" fontId="19" fillId="0" borderId="0" xfId="0" applyFont="1"/>
    <xf numFmtId="0" fontId="1" fillId="11" borderId="23" xfId="0" applyFont="1" applyFill="1" applyBorder="1"/>
    <xf numFmtId="0" fontId="1" fillId="41" borderId="23" xfId="0" applyFont="1" applyFill="1" applyBorder="1"/>
    <xf numFmtId="165" fontId="1" fillId="31" borderId="23" xfId="0" applyNumberFormat="1" applyFont="1" applyFill="1" applyBorder="1"/>
    <xf numFmtId="0" fontId="1" fillId="31" borderId="23" xfId="0" applyFont="1" applyFill="1" applyBorder="1"/>
    <xf numFmtId="2" fontId="1" fillId="31" borderId="23" xfId="0" applyNumberFormat="1" applyFont="1" applyFill="1" applyBorder="1"/>
    <xf numFmtId="2" fontId="1" fillId="41" borderId="23" xfId="0" applyNumberFormat="1" applyFont="1" applyFill="1" applyBorder="1"/>
    <xf numFmtId="0" fontId="26" fillId="0" borderId="0" xfId="0" applyFont="1" applyAlignment="1">
      <alignment horizontal="center" vertical="center"/>
    </xf>
    <xf numFmtId="0" fontId="1" fillId="42" borderId="0" xfId="0" applyFont="1" applyFill="1"/>
    <xf numFmtId="0" fontId="1" fillId="0" borderId="23" xfId="0" applyFont="1" applyBorder="1" applyAlignment="1">
      <alignment horizontal="center" vertical="center"/>
    </xf>
    <xf numFmtId="0" fontId="1" fillId="43" borderId="0" xfId="0" applyFont="1" applyFill="1"/>
    <xf numFmtId="2" fontId="1" fillId="44" borderId="23" xfId="0" applyNumberFormat="1" applyFont="1" applyFill="1" applyBorder="1" applyAlignment="1">
      <alignment horizontal="center" vertical="center"/>
    </xf>
    <xf numFmtId="0" fontId="35" fillId="4" borderId="23" xfId="1" applyFill="1" applyBorder="1" applyAlignment="1">
      <alignment horizontal="left" vertical="center"/>
    </xf>
    <xf numFmtId="11" fontId="1" fillId="0" borderId="0" xfId="0" applyNumberFormat="1" applyFont="1"/>
    <xf numFmtId="0" fontId="1" fillId="44" borderId="23" xfId="0" applyFont="1" applyFill="1" applyBorder="1" applyAlignment="1">
      <alignment horizontal="center" vertical="center"/>
    </xf>
    <xf numFmtId="0" fontId="3" fillId="44" borderId="23" xfId="0" applyFont="1" applyFill="1" applyBorder="1" applyAlignment="1">
      <alignment horizontal="left" vertical="center"/>
    </xf>
    <xf numFmtId="0" fontId="36" fillId="44" borderId="23" xfId="0" applyFont="1" applyFill="1" applyBorder="1" applyAlignment="1">
      <alignment horizontal="left" vertical="center"/>
    </xf>
    <xf numFmtId="2" fontId="11" fillId="44" borderId="23" xfId="0" applyNumberFormat="1" applyFont="1" applyFill="1" applyBorder="1" applyAlignment="1">
      <alignment horizontal="center"/>
    </xf>
    <xf numFmtId="2" fontId="37" fillId="39" borderId="23" xfId="0" applyNumberFormat="1" applyFont="1" applyFill="1" applyBorder="1" applyAlignment="1">
      <alignment horizontal="left"/>
    </xf>
    <xf numFmtId="2" fontId="4" fillId="39" borderId="23" xfId="0" applyNumberFormat="1" applyFont="1" applyFill="1" applyBorder="1" applyAlignment="1">
      <alignment horizontal="left" vertical="center"/>
    </xf>
    <xf numFmtId="2" fontId="4" fillId="6" borderId="23" xfId="0" applyNumberFormat="1" applyFont="1" applyFill="1" applyBorder="1" applyAlignment="1">
      <alignment horizontal="left" vertical="center"/>
    </xf>
    <xf numFmtId="0" fontId="1" fillId="42" borderId="0" xfId="0" applyFont="1" applyFill="1" applyAlignment="1">
      <alignment horizontal="center" vertical="center"/>
    </xf>
    <xf numFmtId="0" fontId="1" fillId="42" borderId="26" xfId="0" applyFont="1" applyFill="1" applyBorder="1" applyAlignment="1">
      <alignment horizontal="center" vertical="center"/>
    </xf>
    <xf numFmtId="0" fontId="1" fillId="42" borderId="23" xfId="0" applyFont="1" applyFill="1" applyBorder="1" applyAlignment="1">
      <alignment vertical="center"/>
    </xf>
    <xf numFmtId="0" fontId="24" fillId="0" borderId="20" xfId="0" applyFont="1" applyBorder="1"/>
    <xf numFmtId="0" fontId="24" fillId="0" borderId="23" xfId="0" applyFont="1" applyBorder="1"/>
    <xf numFmtId="0" fontId="24" fillId="0" borderId="19" xfId="0" applyFont="1" applyBorder="1"/>
    <xf numFmtId="0" fontId="24" fillId="0" borderId="17" xfId="0" applyFont="1" applyBorder="1"/>
    <xf numFmtId="167" fontId="24" fillId="0" borderId="19" xfId="0" applyNumberFormat="1" applyFont="1" applyBorder="1"/>
    <xf numFmtId="0" fontId="38" fillId="0" borderId="0" xfId="0" applyFont="1"/>
    <xf numFmtId="0" fontId="24" fillId="45" borderId="17" xfId="0" applyFont="1" applyFill="1" applyBorder="1"/>
    <xf numFmtId="0" fontId="24" fillId="45" borderId="19" xfId="0" applyFont="1" applyFill="1" applyBorder="1"/>
    <xf numFmtId="0" fontId="24" fillId="46" borderId="17" xfId="0" applyFont="1" applyFill="1" applyBorder="1"/>
    <xf numFmtId="0" fontId="24" fillId="46" borderId="19" xfId="0" applyFont="1" applyFill="1" applyBorder="1"/>
    <xf numFmtId="0" fontId="19" fillId="4" borderId="6" xfId="0" applyFont="1" applyFill="1" applyBorder="1" applyAlignment="1">
      <alignment horizontal="center" vertical="center"/>
    </xf>
    <xf numFmtId="0" fontId="0" fillId="0" borderId="23" xfId="0" applyBorder="1"/>
    <xf numFmtId="0" fontId="12" fillId="4" borderId="6" xfId="0" applyFont="1" applyFill="1" applyBorder="1" applyAlignment="1">
      <alignment vertical="center"/>
    </xf>
    <xf numFmtId="0" fontId="1" fillId="47" borderId="23" xfId="0" applyFont="1" applyFill="1" applyBorder="1" applyAlignment="1">
      <alignment vertical="center"/>
    </xf>
    <xf numFmtId="2" fontId="1" fillId="47" borderId="23" xfId="0" applyNumberFormat="1" applyFont="1" applyFill="1" applyBorder="1" applyAlignment="1">
      <alignment horizontal="center" vertical="center"/>
    </xf>
    <xf numFmtId="0" fontId="1" fillId="47" borderId="23" xfId="0" applyFont="1" applyFill="1" applyBorder="1" applyAlignment="1">
      <alignment horizontal="left" vertical="center"/>
    </xf>
    <xf numFmtId="0" fontId="11" fillId="47" borderId="23" xfId="0" applyFont="1" applyFill="1" applyBorder="1" applyAlignment="1">
      <alignment horizontal="left"/>
    </xf>
    <xf numFmtId="1" fontId="24" fillId="0" borderId="19" xfId="0" applyNumberFormat="1" applyFont="1" applyBorder="1"/>
    <xf numFmtId="0" fontId="0" fillId="0" borderId="0" xfId="0"/>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4" fillId="6" borderId="23" xfId="0" applyFont="1" applyFill="1" applyBorder="1" applyAlignment="1">
      <alignment horizontal="center" vertical="center"/>
    </xf>
    <xf numFmtId="0" fontId="3" fillId="3" borderId="25" xfId="0" applyFont="1" applyFill="1" applyBorder="1" applyAlignment="1">
      <alignment horizontal="left" vertical="center"/>
    </xf>
    <xf numFmtId="0" fontId="9" fillId="0" borderId="0" xfId="0" applyFont="1" applyAlignment="1">
      <alignment horizontal="left"/>
    </xf>
    <xf numFmtId="0" fontId="1" fillId="2" borderId="23" xfId="0" applyFont="1" applyFill="1" applyBorder="1" applyAlignment="1">
      <alignment horizontal="center" vertical="center" wrapText="1"/>
    </xf>
    <xf numFmtId="0" fontId="1" fillId="0" borderId="0" xfId="0" applyFont="1" applyAlignment="1">
      <alignment horizontal="center" vertical="center" wrapText="1"/>
    </xf>
    <xf numFmtId="0" fontId="3" fillId="3" borderId="13" xfId="0" applyFont="1" applyFill="1" applyBorder="1" applyAlignment="1">
      <alignment horizontal="center" vertical="center"/>
    </xf>
    <xf numFmtId="2" fontId="1" fillId="21" borderId="23" xfId="0" applyNumberFormat="1" applyFont="1" applyFill="1" applyBorder="1" applyAlignment="1">
      <alignment horizontal="center" vertical="center"/>
    </xf>
    <xf numFmtId="0" fontId="4" fillId="7" borderId="26" xfId="0" applyFont="1" applyFill="1" applyBorder="1" applyAlignment="1">
      <alignment horizontal="center" vertical="center" textRotation="90"/>
    </xf>
    <xf numFmtId="0" fontId="18" fillId="21" borderId="6" xfId="0" applyFont="1" applyFill="1" applyBorder="1" applyAlignment="1">
      <alignment horizontal="center" vertical="center"/>
    </xf>
    <xf numFmtId="0" fontId="8" fillId="16" borderId="23" xfId="0" applyFont="1" applyFill="1" applyBorder="1" applyAlignment="1">
      <alignment horizontal="center" vertical="center" wrapText="1"/>
    </xf>
    <xf numFmtId="0" fontId="4" fillId="0" borderId="26" xfId="0" applyFont="1" applyBorder="1" applyAlignment="1">
      <alignment horizontal="center" vertical="center"/>
    </xf>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1" fillId="0" borderId="0" xfId="0" applyFont="1" applyAlignment="1">
      <alignment horizontal="center" vertical="top"/>
    </xf>
    <xf numFmtId="0" fontId="4" fillId="6" borderId="23" xfId="0" applyFont="1" applyFill="1" applyBorder="1" applyAlignment="1">
      <alignment horizontal="center" vertical="center"/>
    </xf>
    <xf numFmtId="0" fontId="4" fillId="6" borderId="23" xfId="0" applyFont="1" applyFill="1" applyBorder="1" applyAlignment="1">
      <alignment horizontal="center" vertical="center" wrapText="1"/>
    </xf>
    <xf numFmtId="0" fontId="3" fillId="3" borderId="25" xfId="0" applyFont="1" applyFill="1" applyBorder="1" applyAlignment="1">
      <alignment horizontal="left" vertical="center"/>
    </xf>
    <xf numFmtId="0" fontId="3" fillId="3" borderId="25" xfId="0" applyFont="1" applyFill="1" applyBorder="1" applyAlignment="1">
      <alignment horizontal="center" vertical="center"/>
    </xf>
    <xf numFmtId="178" fontId="9" fillId="27" borderId="23" xfId="0" applyNumberFormat="1" applyFont="1" applyFill="1" applyBorder="1" applyAlignment="1">
      <alignment horizontal="right" vertical="center"/>
    </xf>
    <xf numFmtId="179" fontId="9" fillId="27" borderId="23" xfId="0" applyNumberFormat="1" applyFont="1" applyFill="1" applyBorder="1" applyAlignment="1">
      <alignment horizontal="center"/>
    </xf>
    <xf numFmtId="0" fontId="26" fillId="0" borderId="0" xfId="0" applyFont="1" applyAlignment="1">
      <alignment horizontal="center"/>
    </xf>
    <xf numFmtId="180" fontId="9" fillId="0" borderId="0" xfId="0" applyNumberFormat="1" applyFont="1" applyAlignment="1">
      <alignment horizontal="center"/>
    </xf>
    <xf numFmtId="0" fontId="11" fillId="0" borderId="0" xfId="0" applyFont="1" applyAlignment="1">
      <alignment horizontal="center" vertical="center" wrapText="1"/>
    </xf>
    <xf numFmtId="177" fontId="9" fillId="27" borderId="23" xfId="0" applyNumberFormat="1" applyFont="1" applyFill="1" applyBorder="1" applyAlignment="1">
      <alignment horizontal="center"/>
    </xf>
    <xf numFmtId="181" fontId="9" fillId="27" borderId="23" xfId="0" applyNumberFormat="1" applyFont="1" applyFill="1" applyBorder="1" applyAlignment="1">
      <alignment horizontal="center"/>
    </xf>
    <xf numFmtId="177" fontId="9" fillId="27" borderId="23" xfId="0" applyNumberFormat="1" applyFont="1" applyFill="1" applyBorder="1" applyAlignment="1">
      <alignment vertical="center"/>
    </xf>
    <xf numFmtId="2" fontId="23" fillId="0" borderId="18" xfId="0" applyNumberFormat="1" applyFont="1" applyBorder="1" applyAlignment="1">
      <alignment horizontal="center" vertical="center"/>
    </xf>
    <xf numFmtId="0" fontId="9" fillId="0" borderId="0" xfId="0" applyFont="1" applyAlignment="1">
      <alignment horizontal="left"/>
    </xf>
    <xf numFmtId="0" fontId="9" fillId="0" borderId="0" xfId="0" applyFont="1" applyAlignment="1">
      <alignment horizontal="left" vertical="center" wrapText="1"/>
    </xf>
    <xf numFmtId="0" fontId="24" fillId="48" borderId="19" xfId="0" applyFont="1" applyFill="1" applyBorder="1"/>
    <xf numFmtId="0" fontId="24" fillId="49" borderId="17" xfId="0" applyFont="1" applyFill="1" applyBorder="1"/>
    <xf numFmtId="0" fontId="0" fillId="0" borderId="0" xfId="0" applyAlignment="1"/>
    <xf numFmtId="0" fontId="2" fillId="0" borderId="23" xfId="0" applyFont="1" applyBorder="1" applyAlignment="1"/>
    <xf numFmtId="0" fontId="2" fillId="0" borderId="25" xfId="0" applyFont="1" applyBorder="1" applyAlignment="1"/>
    <xf numFmtId="0" fontId="2" fillId="0" borderId="14" xfId="0" applyFont="1" applyBorder="1" applyAlignment="1"/>
    <xf numFmtId="0" fontId="2" fillId="0" borderId="6" xfId="0" applyFont="1" applyBorder="1" applyAlignment="1"/>
    <xf numFmtId="0" fontId="2" fillId="0" borderId="11" xfId="0" applyFont="1" applyBorder="1" applyAlignment="1"/>
    <xf numFmtId="0" fontId="2" fillId="0" borderId="26" xfId="0" applyFont="1" applyBorder="1" applyAlignment="1"/>
    <xf numFmtId="0" fontId="2" fillId="0" borderId="10" xfId="0" applyFont="1" applyBorder="1" applyAlignment="1"/>
  </cellXfs>
  <cellStyles count="2">
    <cellStyle name="Hyperlink" xfId="1" xr:uid="{00000000-000B-0000-0000-000008000000}"/>
    <cellStyle name="Normal" xfId="0" builtinId="0"/>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3.xml.rels><?xml version="1.0" encoding="UTF-8" standalone="yes"?>
<Relationships xmlns="http://schemas.openxmlformats.org/package/2006/relationships"><Relationship Id="rId1" Type="http://customschemas.google.com/relationships/workbookmetadata" Target="commentsmeta1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Combustibles!$D$13:$G$13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46C-45FE-B1A5-618A57D887D0}"/>
            </c:ext>
          </c:extLst>
        </c:ser>
        <c:ser>
          <c:idx val="1"/>
          <c:order val="1"/>
          <c:tx>
            <c:v>Recursos contingentes (3C)</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Combustibles!$D$14:$G$14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46C-45FE-B1A5-618A57D887D0}"/>
            </c:ext>
          </c:extLst>
        </c:ser>
        <c:ser>
          <c:idx val="2"/>
          <c:order val="2"/>
          <c:tx>
            <c:v>Recursos prospectivos</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Combustibles!$D$15:$G$15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46C-45FE-B1A5-618A57D887D0}"/>
            </c:ext>
          </c:extLst>
        </c:ser>
        <c:ser>
          <c:idx val="3"/>
          <c:order val="3"/>
          <c:invertIfNegative val="1"/>
          <c:cat>
            <c:numRef>
              <c:f>Combustibles!$D$1:$G$1</c:f>
              <c:numCache>
                <c:formatCode>General</c:formatCode>
                <c:ptCount val="4"/>
              </c:numCache>
            </c:numRef>
          </c:cat>
          <c:val>
            <c:numRef>
              <c:f>Combustibles!$D$6:$G$6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646C-45FE-B1A5-618A57D887D0}"/>
            </c:ext>
          </c:extLst>
        </c:ser>
        <c:dLbls>
          <c:showLegendKey val="0"/>
          <c:showVal val="0"/>
          <c:showCatName val="0"/>
          <c:showSerName val="0"/>
          <c:showPercent val="0"/>
          <c:showBubbleSize val="0"/>
        </c:dLbls>
        <c:gapWidth val="150"/>
        <c:axId val="463364597"/>
        <c:axId val="1131937565"/>
      </c:barChart>
      <c:catAx>
        <c:axId val="4633645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31937565"/>
        <c:crosses val="autoZero"/>
        <c:auto val="1"/>
        <c:lblAlgn val="ctr"/>
        <c:lblOffset val="100"/>
        <c:noMultiLvlLbl val="1"/>
      </c:catAx>
      <c:valAx>
        <c:axId val="11319375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633645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Combustibles!$D$18:$G$18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83-46BA-A536-26C923126FAE}"/>
            </c:ext>
          </c:extLst>
        </c:ser>
        <c:ser>
          <c:idx val="1"/>
          <c:order val="1"/>
          <c:invertIfNegative val="1"/>
          <c:cat>
            <c:numRef>
              <c:f>Combustibles!$D$1:$G$1</c:f>
              <c:numCache>
                <c:formatCode>General</c:formatCode>
                <c:ptCount val="4"/>
              </c:numCache>
            </c:numRef>
          </c:cat>
          <c:val>
            <c:numRef>
              <c:f>Combustibles!$D$7:$G$7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FB83-46BA-A536-26C923126FAE}"/>
            </c:ext>
          </c:extLst>
        </c:ser>
        <c:dLbls>
          <c:showLegendKey val="0"/>
          <c:showVal val="0"/>
          <c:showCatName val="0"/>
          <c:showSerName val="0"/>
          <c:showPercent val="0"/>
          <c:showBubbleSize val="0"/>
        </c:dLbls>
        <c:gapWidth val="150"/>
        <c:axId val="1818037581"/>
        <c:axId val="1505797863"/>
      </c:barChart>
      <c:catAx>
        <c:axId val="1818037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5797863"/>
        <c:crosses val="autoZero"/>
        <c:auto val="1"/>
        <c:lblAlgn val="ctr"/>
        <c:lblOffset val="100"/>
        <c:noMultiLvlLbl val="1"/>
      </c:catAx>
      <c:valAx>
        <c:axId val="15057978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18037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Combustibles!$D$23:$G$23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ED1-4156-B1AF-81593D694D37}"/>
            </c:ext>
          </c:extLst>
        </c:ser>
        <c:ser>
          <c:idx val="1"/>
          <c:order val="1"/>
          <c:invertIfNegative val="1"/>
          <c:cat>
            <c:numRef>
              <c:f>Combustibles!$D$1:$G$1</c:f>
              <c:numCache>
                <c:formatCode>General</c:formatCode>
                <c:ptCount val="4"/>
              </c:numCache>
            </c:numRef>
          </c:cat>
          <c:val>
            <c:numRef>
              <c:f>Combustibles!$D$24:$G$24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DED1-4156-B1AF-81593D694D37}"/>
            </c:ext>
          </c:extLst>
        </c:ser>
        <c:dLbls>
          <c:showLegendKey val="0"/>
          <c:showVal val="0"/>
          <c:showCatName val="0"/>
          <c:showSerName val="0"/>
          <c:showPercent val="0"/>
          <c:showBubbleSize val="0"/>
        </c:dLbls>
        <c:gapWidth val="150"/>
        <c:overlap val="100"/>
        <c:axId val="544129667"/>
        <c:axId val="994827527"/>
      </c:barChart>
      <c:catAx>
        <c:axId val="54412966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94827527"/>
        <c:crosses val="autoZero"/>
        <c:auto val="1"/>
        <c:lblAlgn val="ctr"/>
        <c:lblOffset val="100"/>
        <c:noMultiLvlLbl val="1"/>
      </c:catAx>
      <c:valAx>
        <c:axId val="9948275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412966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Combustibles!$D$59:$G$59</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77-4BDE-BB1A-8557AC6A3362}"/>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Combustibles!$D$77:$G$77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77-4BDE-BB1A-8557AC6A3362}"/>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Combustibles!$D$78:$G$78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77-4BDE-BB1A-8557AC6A3362}"/>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Combustibles!$D$79:$G$79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77-4BDE-BB1A-8557AC6A3362}"/>
            </c:ext>
          </c:extLst>
        </c:ser>
        <c:ser>
          <c:idx val="4"/>
          <c:order val="4"/>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A77-4BDE-BB1A-8557AC6A3362}"/>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A77-4BDE-BB1A-8557AC6A3362}"/>
            </c:ext>
          </c:extLst>
        </c:ser>
        <c:ser>
          <c:idx val="6"/>
          <c:order val="6"/>
          <c:tx>
            <c:v>Gases de refinería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Combustibles!$D$82:$G$82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A77-4BDE-BB1A-8557AC6A3362}"/>
            </c:ext>
          </c:extLst>
        </c:ser>
        <c:ser>
          <c:idx val="7"/>
          <c:order val="7"/>
          <c:invertIfNegative val="1"/>
          <c:cat>
            <c:numRef>
              <c:f>Combustibles!$D$1:$G$1</c:f>
              <c:numCache>
                <c:formatCode>General</c:formatCode>
                <c:ptCount val="4"/>
              </c:numCache>
            </c:numRef>
          </c:cat>
          <c:val>
            <c:numRef>
              <c:f>Combustibles!$D$83:$G$83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DA77-4BDE-BB1A-8557AC6A3362}"/>
            </c:ext>
          </c:extLst>
        </c:ser>
        <c:dLbls>
          <c:showLegendKey val="0"/>
          <c:showVal val="0"/>
          <c:showCatName val="0"/>
          <c:showSerName val="0"/>
          <c:showPercent val="0"/>
          <c:showBubbleSize val="0"/>
        </c:dLbls>
        <c:gapWidth val="150"/>
        <c:overlap val="100"/>
        <c:axId val="1900795479"/>
        <c:axId val="752433407"/>
      </c:barChart>
      <c:catAx>
        <c:axId val="1900795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52433407"/>
        <c:crosses val="autoZero"/>
        <c:auto val="1"/>
        <c:lblAlgn val="ctr"/>
        <c:lblOffset val="100"/>
        <c:noMultiLvlLbl val="1"/>
      </c:catAx>
      <c:valAx>
        <c:axId val="75243340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0079547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Combustibles!$D$47:$G$47</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4-4895-AD7B-CBF27D8FCB28}"/>
            </c:ext>
          </c:extLst>
        </c:ser>
        <c:ser>
          <c:idx val="1"/>
          <c:order val="1"/>
          <c:tx>
            <c:v>Gasolina</c:v>
          </c:tx>
          <c:spPr>
            <a:solidFill>
              <a:srgbClr val="ED7D31"/>
            </a:solidFill>
            <a:ln cmpd="sng">
              <a:solidFill>
                <a:srgbClr val="000000"/>
              </a:solidFill>
            </a:ln>
          </c:spPr>
          <c:invertIfNegative val="1"/>
          <c:cat>
            <c:numRef>
              <c:f>Combustibles!$D$1:$G$1</c:f>
              <c:numCache>
                <c:formatCode>General</c:formatCode>
                <c:ptCount val="4"/>
              </c:numCache>
            </c:numRef>
          </c:cat>
          <c:val>
            <c:numRef>
              <c:f>Combustibles!$D$48:$G$48</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4-4895-AD7B-CBF27D8FCB28}"/>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Combustibles!$D$49:$G$49</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4-4895-AD7B-CBF27D8FCB28}"/>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Combustibles!$D$50:$G$50</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4-4895-AD7B-CBF27D8FCB28}"/>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Combustibles!$D$51:$G$51</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4-4895-AD7B-CBF27D8FCB28}"/>
            </c:ext>
          </c:extLst>
        </c:ser>
        <c:ser>
          <c:idx val="5"/>
          <c:order val="5"/>
          <c:invertIfNegative val="1"/>
          <c:cat>
            <c:numRef>
              <c:f>Combustibles!$D$1:$G$1</c:f>
              <c:numCache>
                <c:formatCode>General</c:formatCode>
                <c:ptCount val="4"/>
              </c:numCache>
            </c:numRef>
          </c:cat>
          <c:val>
            <c:numRef>
              <c:f>Combustibles!$D$52:$G$52</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B624-4895-AD7B-CBF27D8FCB28}"/>
            </c:ext>
          </c:extLst>
        </c:ser>
        <c:dLbls>
          <c:showLegendKey val="0"/>
          <c:showVal val="0"/>
          <c:showCatName val="0"/>
          <c:showSerName val="0"/>
          <c:showPercent val="0"/>
          <c:showBubbleSize val="0"/>
        </c:dLbls>
        <c:gapWidth val="150"/>
        <c:overlap val="100"/>
        <c:axId val="1365463821"/>
        <c:axId val="605548466"/>
      </c:barChart>
      <c:catAx>
        <c:axId val="13654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05548466"/>
        <c:crosses val="autoZero"/>
        <c:auto val="1"/>
        <c:lblAlgn val="ctr"/>
        <c:lblOffset val="100"/>
        <c:noMultiLvlLbl val="1"/>
      </c:catAx>
      <c:valAx>
        <c:axId val="6055484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654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Combustibles!$D$62:$G$62</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50-4ED0-A6FE-1AE5E0A2B71C}"/>
            </c:ext>
          </c:extLst>
        </c:ser>
        <c:ser>
          <c:idx val="1"/>
          <c:order val="1"/>
          <c:tx>
            <c:v>Líquidos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Combustibles!$D$63:$G$63</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50-4ED0-A6FE-1AE5E0A2B71C}"/>
            </c:ext>
          </c:extLst>
        </c:ser>
        <c:ser>
          <c:idx val="2"/>
          <c:order val="2"/>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Combustibles!$D$87:$G$87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250-4ED0-A6FE-1AE5E0A2B71C}"/>
            </c:ext>
          </c:extLst>
        </c:ser>
        <c:ser>
          <c:idx val="3"/>
          <c:order val="3"/>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Combustibles!$D$88:$G$88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250-4ED0-A6FE-1AE5E0A2B71C}"/>
            </c:ext>
          </c:extLst>
        </c:ser>
        <c:ser>
          <c:idx val="4"/>
          <c:order val="4"/>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Combustibles!$D$89:$G$89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250-4ED0-A6FE-1AE5E0A2B71C}"/>
            </c:ext>
          </c:extLst>
        </c:ser>
        <c:ser>
          <c:idx val="5"/>
          <c:order val="5"/>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Combustibles!$D$90:$G$90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250-4ED0-A6FE-1AE5E0A2B71C}"/>
            </c:ext>
          </c:extLst>
        </c:ser>
        <c:ser>
          <c:idx val="6"/>
          <c:order val="6"/>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Combustibles!$D$91:$G$91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250-4ED0-A6FE-1AE5E0A2B71C}"/>
            </c:ext>
          </c:extLst>
        </c:ser>
        <c:ser>
          <c:idx val="7"/>
          <c:order val="7"/>
          <c:invertIfNegative val="1"/>
          <c:cat>
            <c:numRef>
              <c:f>Combustibles!$D$1:$G$1</c:f>
              <c:numCache>
                <c:formatCode>General</c:formatCode>
                <c:ptCount val="4"/>
              </c:numCache>
            </c:numRef>
          </c:cat>
          <c:val>
            <c:numRef>
              <c:f>Combustibles!$D$92:$G$92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A250-4ED0-A6FE-1AE5E0A2B71C}"/>
            </c:ext>
          </c:extLst>
        </c:ser>
        <c:dLbls>
          <c:showLegendKey val="0"/>
          <c:showVal val="0"/>
          <c:showCatName val="0"/>
          <c:showSerName val="0"/>
          <c:showPercent val="0"/>
          <c:showBubbleSize val="0"/>
        </c:dLbls>
        <c:gapWidth val="150"/>
        <c:overlap val="100"/>
        <c:axId val="422100015"/>
        <c:axId val="2039032770"/>
      </c:barChart>
      <c:catAx>
        <c:axId val="422100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032770"/>
        <c:crosses val="autoZero"/>
        <c:auto val="1"/>
        <c:lblAlgn val="ctr"/>
        <c:lblOffset val="100"/>
        <c:noMultiLvlLbl val="1"/>
      </c:catAx>
      <c:valAx>
        <c:axId val="203903277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21000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Combustibles!$D$67:$G$67</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0CF-47C1-BD24-68876141CA5E}"/>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Combustibles!$D$96:$G$96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0CF-47C1-BD24-68876141CA5E}"/>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Combustibles!$D$97:$G$97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0CF-47C1-BD24-68876141CA5E}"/>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Combustibles!$D$99:$G$99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0CF-47C1-BD24-68876141CA5E}"/>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Combustibles!$D$100:$G$100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0CF-47C1-BD24-68876141CA5E}"/>
            </c:ext>
          </c:extLst>
        </c:ser>
        <c:ser>
          <c:idx val="5"/>
          <c:order val="5"/>
          <c:invertIfNegative val="1"/>
          <c:cat>
            <c:numRef>
              <c:f>Combustibles!$D$1:$G$1</c:f>
              <c:numCache>
                <c:formatCode>General</c:formatCode>
                <c:ptCount val="4"/>
              </c:numCache>
            </c:numRef>
          </c:cat>
          <c:val>
            <c:numRef>
              <c:f>Combustibles!$D$101:$G$101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D0CF-47C1-BD24-68876141CA5E}"/>
            </c:ext>
          </c:extLst>
        </c:ser>
        <c:dLbls>
          <c:showLegendKey val="0"/>
          <c:showVal val="0"/>
          <c:showCatName val="0"/>
          <c:showSerName val="0"/>
          <c:showPercent val="0"/>
          <c:showBubbleSize val="0"/>
        </c:dLbls>
        <c:gapWidth val="150"/>
        <c:overlap val="100"/>
        <c:axId val="1946236398"/>
        <c:axId val="399072783"/>
      </c:barChart>
      <c:catAx>
        <c:axId val="19462363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9072783"/>
        <c:crosses val="autoZero"/>
        <c:auto val="1"/>
        <c:lblAlgn val="ctr"/>
        <c:lblOffset val="100"/>
        <c:noMultiLvlLbl val="1"/>
      </c:catAx>
      <c:valAx>
        <c:axId val="399072783"/>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462363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Combustibles!$D$70:$G$70</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18-44AD-8CF9-8E7C0656222F}"/>
            </c:ext>
          </c:extLst>
        </c:ser>
        <c:ser>
          <c:idx val="1"/>
          <c:order val="1"/>
          <c:tx>
            <c:v>Líquidos de 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Combustibles!$D$71:$G$71</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18-44AD-8CF9-8E7C0656222F}"/>
            </c:ext>
          </c:extLst>
        </c:ser>
        <c:ser>
          <c:idx val="2"/>
          <c:order val="2"/>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Combustibles!$D$105:$G$105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18-44AD-8CF9-8E7C0656222F}"/>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Combustibles!$D$106:$G$106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18-44AD-8CF9-8E7C0656222F}"/>
            </c:ext>
          </c:extLst>
        </c:ser>
        <c:ser>
          <c:idx val="4"/>
          <c:order val="4"/>
          <c:tx>
            <c:v>GLP</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Combustibles!$D$107:$G$107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518-44AD-8CF9-8E7C0656222F}"/>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Combustibles!$D$109:$G$109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518-44AD-8CF9-8E7C0656222F}"/>
            </c:ext>
          </c:extLst>
        </c:ser>
        <c:ser>
          <c:idx val="6"/>
          <c:order val="6"/>
          <c:tx>
            <c:v>Crudo reducido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Combustibles!$D$110:$G$110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518-44AD-8CF9-8E7C0656222F}"/>
            </c:ext>
          </c:extLst>
        </c:ser>
        <c:ser>
          <c:idx val="7"/>
          <c:order val="7"/>
          <c:invertIfNegative val="1"/>
          <c:cat>
            <c:numRef>
              <c:f>Combustibles!$D$1:$G$1</c:f>
              <c:numCache>
                <c:formatCode>General</c:formatCode>
                <c:ptCount val="4"/>
              </c:numCache>
            </c:numRef>
          </c:cat>
          <c:val>
            <c:numRef>
              <c:f>Combustibles!$D$111:$G$111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A518-44AD-8CF9-8E7C0656222F}"/>
            </c:ext>
          </c:extLst>
        </c:ser>
        <c:dLbls>
          <c:showLegendKey val="0"/>
          <c:showVal val="0"/>
          <c:showCatName val="0"/>
          <c:showSerName val="0"/>
          <c:showPercent val="0"/>
          <c:showBubbleSize val="0"/>
        </c:dLbls>
        <c:gapWidth val="150"/>
        <c:overlap val="100"/>
        <c:axId val="412635853"/>
        <c:axId val="776173640"/>
      </c:barChart>
      <c:catAx>
        <c:axId val="4126358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76173640"/>
        <c:crosses val="autoZero"/>
        <c:auto val="1"/>
        <c:lblAlgn val="ctr"/>
        <c:lblOffset val="100"/>
        <c:noMultiLvlLbl val="1"/>
      </c:catAx>
      <c:valAx>
        <c:axId val="77617364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126358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Combustibles!$D$124:$G$124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4C-4031-9E68-CB38B75BBEB6}"/>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Combustibles!$D$125:$G$125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4C-4031-9E68-CB38B75BBEB6}"/>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Combustibles!$D$130:$G$130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84C-4031-9E68-CB38B75BBEB6}"/>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Combustibles!$D$131:$G$131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84C-4031-9E68-CB38B75BBEB6}"/>
            </c:ext>
          </c:extLst>
        </c:ser>
        <c:ser>
          <c:idx val="4"/>
          <c:order val="4"/>
          <c:invertIfNegative val="1"/>
          <c:cat>
            <c:numRef>
              <c:f>Combustibles!$D$1:$G$1</c:f>
              <c:numCache>
                <c:formatCode>General</c:formatCode>
                <c:ptCount val="4"/>
              </c:numCache>
            </c:numRef>
          </c:cat>
          <c:val>
            <c:numRef>
              <c:f>Combustibles!$D$132:$G$132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684C-4031-9E68-CB38B75BBEB6}"/>
            </c:ext>
          </c:extLst>
        </c:ser>
        <c:dLbls>
          <c:showLegendKey val="0"/>
          <c:showVal val="0"/>
          <c:showCatName val="0"/>
          <c:showSerName val="0"/>
          <c:showPercent val="0"/>
          <c:showBubbleSize val="0"/>
        </c:dLbls>
        <c:gapWidth val="150"/>
        <c:overlap val="100"/>
        <c:axId val="209859417"/>
        <c:axId val="1969193805"/>
      </c:barChart>
      <c:catAx>
        <c:axId val="20985941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9193805"/>
        <c:crosses val="autoZero"/>
        <c:auto val="1"/>
        <c:lblAlgn val="ctr"/>
        <c:lblOffset val="100"/>
        <c:noMultiLvlLbl val="1"/>
      </c:catAx>
      <c:valAx>
        <c:axId val="19691938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0985941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Combustibles!$D$1:$G$1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C3-4460-A8A1-360A69CD3517}"/>
            </c:ext>
          </c:extLst>
        </c:ser>
        <c:ser>
          <c:idx val="1"/>
          <c:order val="1"/>
          <c:invertIfNegative val="1"/>
          <c:val>
            <c:numRef>
              <c:f>Combustibles!$C$43:$G$43</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52C3-4460-A8A1-360A69CD3517}"/>
            </c:ext>
          </c:extLst>
        </c:ser>
        <c:dLbls>
          <c:showLegendKey val="0"/>
          <c:showVal val="0"/>
          <c:showCatName val="0"/>
          <c:showSerName val="0"/>
          <c:showPercent val="0"/>
          <c:showBubbleSize val="0"/>
        </c:dLbls>
        <c:gapWidth val="150"/>
        <c:axId val="534944123"/>
        <c:axId val="352779696"/>
      </c:barChart>
      <c:catAx>
        <c:axId val="534944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52779696"/>
        <c:crosses val="autoZero"/>
        <c:auto val="1"/>
        <c:lblAlgn val="ctr"/>
        <c:lblOffset val="100"/>
        <c:noMultiLvlLbl val="1"/>
      </c:catAx>
      <c:valAx>
        <c:axId val="3527796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34944123"/>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Combustibles!$D$145:$G$145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A8-42EB-9B32-8F7630EF9319}"/>
            </c:ext>
          </c:extLst>
        </c:ser>
        <c:ser>
          <c:idx val="1"/>
          <c:order val="1"/>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Combustibles!$D$146:$G$146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AA8-42EB-9B32-8F7630EF9319}"/>
            </c:ext>
          </c:extLst>
        </c:ser>
        <c:ser>
          <c:idx val="2"/>
          <c:order val="2"/>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Combustibles!$D$147:$G$147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AA8-42EB-9B32-8F7630EF9319}"/>
            </c:ext>
          </c:extLst>
        </c:ser>
        <c:ser>
          <c:idx val="3"/>
          <c:order val="3"/>
          <c:tx>
            <c:v>Fuel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Combustibles!$D$149:$G$149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AA8-42EB-9B32-8F7630EF9319}"/>
            </c:ext>
          </c:extLst>
        </c:ser>
        <c:ser>
          <c:idx val="4"/>
          <c:order val="4"/>
          <c:invertIfNegative val="1"/>
          <c:cat>
            <c:numRef>
              <c:f>Combustibles!$D$1:$G$1</c:f>
              <c:numCache>
                <c:formatCode>General</c:formatCode>
                <c:ptCount val="4"/>
              </c:numCache>
            </c:numRef>
          </c:cat>
          <c:val>
            <c:numRef>
              <c:f>Combustibles!$D$151:$G$151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4AA8-42EB-9B32-8F7630EF9319}"/>
            </c:ext>
          </c:extLst>
        </c:ser>
        <c:dLbls>
          <c:showLegendKey val="0"/>
          <c:showVal val="0"/>
          <c:showCatName val="0"/>
          <c:showSerName val="0"/>
          <c:showPercent val="0"/>
          <c:showBubbleSize val="0"/>
        </c:dLbls>
        <c:gapWidth val="150"/>
        <c:axId val="972962079"/>
        <c:axId val="375170396"/>
      </c:barChart>
      <c:catAx>
        <c:axId val="9729620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375170396"/>
        <c:crosses val="autoZero"/>
        <c:auto val="1"/>
        <c:lblAlgn val="ctr"/>
        <c:lblOffset val="100"/>
        <c:noMultiLvlLbl val="1"/>
      </c:catAx>
      <c:valAx>
        <c:axId val="3751703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97296207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Combustibles!$D$162:$G$162</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72-45BA-AC23-40A3C5810E39}"/>
            </c:ext>
          </c:extLst>
        </c:ser>
        <c:ser>
          <c:idx val="1"/>
          <c:order val="1"/>
          <c:invertIfNegative val="1"/>
          <c:cat>
            <c:numRef>
              <c:f>Combustibles!$D$1:$G$1</c:f>
              <c:numCache>
                <c:formatCode>General</c:formatCode>
                <c:ptCount val="4"/>
              </c:numCache>
            </c:numRef>
          </c:cat>
          <c:val>
            <c:numRef>
              <c:f>Combustibles!$D$163:$G$163</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AF72-45BA-AC23-40A3C5810E39}"/>
            </c:ext>
          </c:extLst>
        </c:ser>
        <c:dLbls>
          <c:showLegendKey val="0"/>
          <c:showVal val="0"/>
          <c:showCatName val="0"/>
          <c:showSerName val="0"/>
          <c:showPercent val="0"/>
          <c:showBubbleSize val="0"/>
        </c:dLbls>
        <c:gapWidth val="150"/>
        <c:axId val="2116915546"/>
        <c:axId val="346822573"/>
      </c:barChart>
      <c:catAx>
        <c:axId val="21169155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46822573"/>
        <c:crosses val="autoZero"/>
        <c:auto val="1"/>
        <c:lblAlgn val="ctr"/>
        <c:lblOffset val="100"/>
        <c:noMultiLvlLbl val="1"/>
      </c:catAx>
      <c:valAx>
        <c:axId val="3468225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1169155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Combustibles!$D$183:$G$183</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63-455F-AA5D-DF7E99CDC767}"/>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Combustibles!$D$184:$G$184</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963-455F-AA5D-DF7E99CDC767}"/>
            </c:ext>
          </c:extLst>
        </c:ser>
        <c:ser>
          <c:idx val="2"/>
          <c:order val="2"/>
          <c:tx>
            <c:v>Bagazo</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Combustibles!$D$185:$G$185</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963-455F-AA5D-DF7E99CDC767}"/>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Combustibles!$D$186:$G$186</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963-455F-AA5D-DF7E99CDC767}"/>
            </c:ext>
          </c:extLst>
        </c:ser>
        <c:ser>
          <c:idx val="4"/>
          <c:order val="4"/>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Combustibles!$D$188:$G$188</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963-455F-AA5D-DF7E99CDC767}"/>
            </c:ext>
          </c:extLst>
        </c:ser>
        <c:ser>
          <c:idx val="5"/>
          <c:order val="5"/>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Combustibles!$D$189:$G$189</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963-455F-AA5D-DF7E99CDC767}"/>
            </c:ext>
          </c:extLst>
        </c:ser>
        <c:ser>
          <c:idx val="6"/>
          <c:order val="6"/>
          <c:tx>
            <c:v>Crudo reducido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Combustibles!$D$190:$G$190</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963-455F-AA5D-DF7E99CDC767}"/>
            </c:ext>
          </c:extLst>
        </c:ser>
        <c:ser>
          <c:idx val="7"/>
          <c:order val="7"/>
          <c:invertIfNegative val="1"/>
          <c:cat>
            <c:numRef>
              <c:f>Combustibles!$D$1:$G$1</c:f>
              <c:numCache>
                <c:formatCode>General</c:formatCode>
                <c:ptCount val="4"/>
              </c:numCache>
            </c:numRef>
          </c:cat>
          <c:val>
            <c:numRef>
              <c:f>Combustibles!$D$191:$G$191</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0963-455F-AA5D-DF7E99CDC767}"/>
            </c:ext>
          </c:extLst>
        </c:ser>
        <c:dLbls>
          <c:showLegendKey val="0"/>
          <c:showVal val="0"/>
          <c:showCatName val="0"/>
          <c:showSerName val="0"/>
          <c:showPercent val="0"/>
          <c:showBubbleSize val="0"/>
        </c:dLbls>
        <c:gapWidth val="150"/>
        <c:overlap val="100"/>
        <c:axId val="4218603"/>
        <c:axId val="1093132965"/>
      </c:barChart>
      <c:catAx>
        <c:axId val="42186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93132965"/>
        <c:crosses val="autoZero"/>
        <c:auto val="1"/>
        <c:lblAlgn val="ctr"/>
        <c:lblOffset val="100"/>
        <c:noMultiLvlLbl val="1"/>
      </c:catAx>
      <c:valAx>
        <c:axId val="10931329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186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Combustibles!$D$1:$F$1</c:f>
              <c:numCache>
                <c:formatCode>General</c:formatCode>
                <c:ptCount val="3"/>
              </c:numCache>
            </c:numRef>
          </c:cat>
          <c:val>
            <c:numRef>
              <c:f>Combustibles!$D$198:$F$198</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3-4C14-9985-28EF782CB226}"/>
            </c:ext>
          </c:extLst>
        </c:ser>
        <c:ser>
          <c:idx val="1"/>
          <c:order val="1"/>
          <c:tx>
            <c:v>Gas natural</c:v>
          </c:tx>
          <c:spPr>
            <a:solidFill>
              <a:srgbClr val="ED7D31"/>
            </a:solidFill>
            <a:ln cmpd="sng">
              <a:solidFill>
                <a:srgbClr val="000000"/>
              </a:solidFill>
            </a:ln>
          </c:spPr>
          <c:invertIfNegative val="1"/>
          <c:cat>
            <c:numRef>
              <c:f>Combustibles!$D$1:$F$1</c:f>
              <c:numCache>
                <c:formatCode>General</c:formatCode>
                <c:ptCount val="3"/>
              </c:numCache>
            </c:numRef>
          </c:cat>
          <c:val>
            <c:numRef>
              <c:f>Combustibles!$D$199:$F$199</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D93-4C14-9985-28EF782CB226}"/>
            </c:ext>
          </c:extLst>
        </c:ser>
        <c:ser>
          <c:idx val="2"/>
          <c:order val="2"/>
          <c:tx>
            <c:v>Bagazo</c:v>
          </c:tx>
          <c:spPr>
            <a:solidFill>
              <a:srgbClr val="A5A5A5"/>
            </a:solidFill>
            <a:ln cmpd="sng">
              <a:solidFill>
                <a:srgbClr val="000000"/>
              </a:solidFill>
            </a:ln>
          </c:spPr>
          <c:invertIfNegative val="1"/>
          <c:cat>
            <c:numRef>
              <c:f>Combustibles!$D$1:$F$1</c:f>
              <c:numCache>
                <c:formatCode>General</c:formatCode>
                <c:ptCount val="3"/>
              </c:numCache>
            </c:numRef>
          </c:cat>
          <c:val>
            <c:numRef>
              <c:f>Combustibles!$D$200:$F$200</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D93-4C14-9985-28EF782CB226}"/>
            </c:ext>
          </c:extLst>
        </c:ser>
        <c:ser>
          <c:idx val="3"/>
          <c:order val="3"/>
          <c:tx>
            <c:v>Diésel oil</c:v>
          </c:tx>
          <c:spPr>
            <a:solidFill>
              <a:srgbClr val="70AD47"/>
            </a:solidFill>
            <a:ln cmpd="sng">
              <a:solidFill>
                <a:srgbClr val="000000"/>
              </a:solidFill>
            </a:ln>
          </c:spPr>
          <c:invertIfNegative val="1"/>
          <c:cat>
            <c:numRef>
              <c:f>Combustibles!$D$1:$F$1</c:f>
              <c:numCache>
                <c:formatCode>General</c:formatCode>
                <c:ptCount val="3"/>
              </c:numCache>
            </c:numRef>
          </c:cat>
          <c:val>
            <c:numRef>
              <c:f>Combustibles!$D$203:$F$203</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D93-4C14-9985-28EF782CB226}"/>
            </c:ext>
          </c:extLst>
        </c:ser>
        <c:ser>
          <c:idx val="4"/>
          <c:order val="4"/>
          <c:tx>
            <c:v>Fuel oil</c:v>
          </c:tx>
          <c:spPr>
            <a:solidFill>
              <a:srgbClr val="4472C4"/>
            </a:solidFill>
            <a:ln cmpd="sng">
              <a:solidFill>
                <a:srgbClr val="000000"/>
              </a:solidFill>
            </a:ln>
          </c:spPr>
          <c:invertIfNegative val="1"/>
          <c:cat>
            <c:numRef>
              <c:f>Combustibles!$D$1:$F$1</c:f>
              <c:numCache>
                <c:formatCode>General</c:formatCode>
                <c:ptCount val="3"/>
              </c:numCache>
            </c:numRef>
          </c:cat>
          <c:val>
            <c:numRef>
              <c:f>Combustibles!$D$204:$F$204</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D93-4C14-9985-28EF782CB226}"/>
            </c:ext>
          </c:extLst>
        </c:ser>
        <c:ser>
          <c:idx val="5"/>
          <c:order val="5"/>
          <c:invertIfNegative val="1"/>
          <c:cat>
            <c:numRef>
              <c:f>Combustibles!$D$1:$F$1</c:f>
              <c:numCache>
                <c:formatCode>General</c:formatCode>
                <c:ptCount val="3"/>
              </c:numCache>
            </c:numRef>
          </c:cat>
          <c:val>
            <c:numRef>
              <c:f>Combustibles!$D$206:$F$206</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BD93-4C14-9985-28EF782CB226}"/>
            </c:ext>
          </c:extLst>
        </c:ser>
        <c:dLbls>
          <c:showLegendKey val="0"/>
          <c:showVal val="0"/>
          <c:showCatName val="0"/>
          <c:showSerName val="0"/>
          <c:showPercent val="0"/>
          <c:showBubbleSize val="0"/>
        </c:dLbls>
        <c:gapWidth val="150"/>
        <c:overlap val="100"/>
        <c:axId val="828928932"/>
        <c:axId val="805035046"/>
      </c:barChart>
      <c:catAx>
        <c:axId val="828928932"/>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05035046"/>
        <c:crosses val="autoZero"/>
        <c:auto val="1"/>
        <c:lblAlgn val="ctr"/>
        <c:lblOffset val="100"/>
        <c:noMultiLvlLbl val="1"/>
      </c:catAx>
      <c:valAx>
        <c:axId val="80503504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828928932"/>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Combustibles!$D$39:$G$39</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9C-40F6-B0A2-53A3FF3D6584}"/>
            </c:ext>
          </c:extLst>
        </c:ser>
        <c:ser>
          <c:idx val="1"/>
          <c:order val="1"/>
          <c:tx>
            <c:v>Extracción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Combustibles!$D$40:$G$40</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9C-40F6-B0A2-53A3FF3D6584}"/>
            </c:ext>
          </c:extLst>
        </c:ser>
        <c:ser>
          <c:idx val="2"/>
          <c:order val="2"/>
          <c:tx>
            <c:v>Refinería Esmeraldas</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Combustibles!$D$117:$G$117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E9C-40F6-B0A2-53A3FF3D6584}"/>
            </c:ext>
          </c:extLst>
        </c:ser>
        <c:ser>
          <c:idx val="3"/>
          <c:order val="3"/>
          <c:tx>
            <c:v>Refinería La Libertad</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Combustibles!$D$118:$G$118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E9C-40F6-B0A2-53A3FF3D6584}"/>
            </c:ext>
          </c:extLst>
        </c:ser>
        <c:ser>
          <c:idx val="4"/>
          <c:order val="4"/>
          <c:tx>
            <c:v>Refinería Shushufindi</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Combustibles!$D$119:$G$119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E9C-40F6-B0A2-53A3FF3D6584}"/>
            </c:ext>
          </c:extLst>
        </c:ser>
        <c:ser>
          <c:idx val="5"/>
          <c:order val="5"/>
          <c:invertIfNegative val="1"/>
          <c:cat>
            <c:numRef>
              <c:f>Combustibles!$D$1:$G$1</c:f>
              <c:numCache>
                <c:formatCode>General</c:formatCode>
                <c:ptCount val="4"/>
              </c:numCache>
            </c:numRef>
          </c:cat>
          <c:val>
            <c:numRef>
              <c:f>Combustibles!$D$120:$G$120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8E9C-40F6-B0A2-53A3FF3D6584}"/>
            </c:ext>
          </c:extLst>
        </c:ser>
        <c:dLbls>
          <c:showLegendKey val="0"/>
          <c:showVal val="0"/>
          <c:showCatName val="0"/>
          <c:showSerName val="0"/>
          <c:showPercent val="0"/>
          <c:showBubbleSize val="0"/>
        </c:dLbls>
        <c:gapWidth val="150"/>
        <c:axId val="2002724638"/>
        <c:axId val="1718482395"/>
      </c:barChart>
      <c:catAx>
        <c:axId val="20027246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18482395"/>
        <c:crosses val="autoZero"/>
        <c:auto val="1"/>
        <c:lblAlgn val="ctr"/>
        <c:lblOffset val="100"/>
        <c:noMultiLvlLbl val="1"/>
      </c:catAx>
      <c:valAx>
        <c:axId val="17184823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20027246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Combustibles!$D$213:$G$213</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D7-4105-97D8-4B9CD0465192}"/>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Combustibles!$D$214:$G$214</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D7-4105-97D8-4B9CD0465192}"/>
            </c:ext>
          </c:extLst>
        </c:ser>
        <c:ser>
          <c:idx val="2"/>
          <c:order val="2"/>
          <c:tx>
            <c:v>Bagazo de caña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Combustibles!$D$215:$G$215</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8D7-4105-97D8-4B9CD0465192}"/>
            </c:ext>
          </c:extLst>
        </c:ser>
        <c:ser>
          <c:idx val="3"/>
          <c:order val="3"/>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Combustibles!$D$218:$G$218</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8D7-4105-97D8-4B9CD0465192}"/>
            </c:ext>
          </c:extLst>
        </c:ser>
        <c:ser>
          <c:idx val="4"/>
          <c:order val="4"/>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Combustibles!$D$219:$G$219</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8D7-4105-97D8-4B9CD0465192}"/>
            </c:ext>
          </c:extLst>
        </c:ser>
        <c:ser>
          <c:idx val="5"/>
          <c:order val="5"/>
          <c:invertIfNegative val="1"/>
          <c:cat>
            <c:numRef>
              <c:f>Combustibles!$D$1:$G$1</c:f>
              <c:numCache>
                <c:formatCode>General</c:formatCode>
                <c:ptCount val="4"/>
              </c:numCache>
            </c:numRef>
          </c:cat>
          <c:val>
            <c:numRef>
              <c:f>Combustibles!$D$221:$G$221</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18D7-4105-97D8-4B9CD0465192}"/>
            </c:ext>
          </c:extLst>
        </c:ser>
        <c:dLbls>
          <c:showLegendKey val="0"/>
          <c:showVal val="0"/>
          <c:showCatName val="0"/>
          <c:showSerName val="0"/>
          <c:showPercent val="0"/>
          <c:showBubbleSize val="0"/>
        </c:dLbls>
        <c:gapWidth val="150"/>
        <c:axId val="1738319541"/>
        <c:axId val="1380522853"/>
      </c:barChart>
      <c:catAx>
        <c:axId val="17383195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80522853"/>
        <c:crosses val="autoZero"/>
        <c:auto val="1"/>
        <c:lblAlgn val="ctr"/>
        <c:lblOffset val="100"/>
        <c:noMultiLvlLbl val="1"/>
      </c:catAx>
      <c:valAx>
        <c:axId val="138052285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3831954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6F0-4281-92C8-ED98B15DEB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6F0-4281-92C8-ED98B15DEB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B6F0-4281-92C8-ED98B15DEB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FC9D-426A-B11F-84FBA33B22C9}"/>
              </c:ext>
            </c:extLst>
          </c:dPt>
          <c:dPt>
            <c:idx val="1"/>
            <c:bubble3D val="0"/>
            <c:spPr>
              <a:solidFill>
                <a:schemeClr val="accent5"/>
              </a:solidFill>
            </c:spPr>
            <c:extLst>
              <c:ext xmlns:c16="http://schemas.microsoft.com/office/drawing/2014/chart" uri="{C3380CC4-5D6E-409C-BE32-E72D297353CC}">
                <c16:uniqueId val="{00000003-FC9D-426A-B11F-84FBA33B22C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FC9D-426A-B11F-84FBA33B22C9}"/>
                </c:ext>
              </c:extLst>
            </c:dLbl>
            <c:dLbl>
              <c:idx val="1"/>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FC9D-426A-B11F-84FBA33B22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FC9D-426A-B11F-84FBA33B22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469-4CAF-9FFC-27140D6BF985}"/>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469-4CAF-9FFC-27140D6BF985}"/>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D469-4CAF-9FFC-27140D6BF985}"/>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C16-4006-B94F-0552E562DF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C16-4006-B94F-0552E562DF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0C16-4006-B94F-0552E562DF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583-4D3F-B758-B2C45BC9E02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583-4D3F-B758-B2C45BC9E02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4583-4D3F-B758-B2C45BC9E02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CE-4F9E-BA3D-47E6DC3658BB}"/>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CE-4F9E-BA3D-47E6DC3658BB}"/>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CE-4F9E-BA3D-47E6DC3658BB}"/>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CE-4F9E-BA3D-47E6DC3658BB}"/>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CE-4F9E-BA3D-47E6DC3658BB}"/>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CE-4F9E-BA3D-47E6DC3658BB}"/>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43CE-4F9E-BA3D-47E6DC3658BB}"/>
            </c:ext>
          </c:extLst>
        </c:ser>
        <c:dLbls>
          <c:showLegendKey val="0"/>
          <c:showVal val="0"/>
          <c:showCatName val="0"/>
          <c:showSerName val="0"/>
          <c:showPercent val="0"/>
          <c:showBubbleSize val="0"/>
        </c:dLbls>
        <c:gapWidth val="150"/>
        <c:overlap val="100"/>
        <c:axId val="1340748502"/>
        <c:axId val="1092955451"/>
      </c:barChart>
      <c:catAx>
        <c:axId val="13407485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92955451"/>
        <c:crosses val="autoZero"/>
        <c:auto val="1"/>
        <c:lblAlgn val="ctr"/>
        <c:lblOffset val="100"/>
        <c:noMultiLvlLbl val="1"/>
      </c:catAx>
      <c:valAx>
        <c:axId val="10929554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407485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FF-40DF-A7AD-BC8BDFB6F9E3}"/>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CFF-40DF-A7AD-BC8BDFB6F9E3}"/>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CFF-40DF-A7AD-BC8BDFB6F9E3}"/>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CFF-40DF-A7AD-BC8BDFB6F9E3}"/>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CFF-40DF-A7AD-BC8BDFB6F9E3}"/>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CFF-40DF-A7AD-BC8BDFB6F9E3}"/>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CFF-40DF-A7AD-BC8BDFB6F9E3}"/>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CFF-40DF-A7AD-BC8BDFB6F9E3}"/>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1CFF-40DF-A7AD-BC8BDFB6F9E3}"/>
            </c:ext>
          </c:extLst>
        </c:ser>
        <c:dLbls>
          <c:showLegendKey val="0"/>
          <c:showVal val="0"/>
          <c:showCatName val="0"/>
          <c:showSerName val="0"/>
          <c:showPercent val="0"/>
          <c:showBubbleSize val="0"/>
        </c:dLbls>
        <c:gapWidth val="150"/>
        <c:overlap val="100"/>
        <c:axId val="1865949373"/>
        <c:axId val="265298308"/>
      </c:barChart>
      <c:catAx>
        <c:axId val="186594937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65298308"/>
        <c:crosses val="autoZero"/>
        <c:auto val="1"/>
        <c:lblAlgn val="ctr"/>
        <c:lblOffset val="100"/>
        <c:noMultiLvlLbl val="1"/>
      </c:catAx>
      <c:valAx>
        <c:axId val="26529830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6594937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9D81-4C8F-85DD-1455A342D8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9D81-4C8F-85DD-1455A342D8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9D81-4C8F-85DD-1455A342D8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8D02-423F-99E5-EA979A962438}"/>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D02-423F-99E5-EA979A96243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8D02-423F-99E5-EA979A962438}"/>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C4FA-43B6-A9F8-9D5E2465278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4FA-43B6-A9F8-9D5E2465278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C4FA-43B6-A9F8-9D5E2465278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D02A-4970-B163-D1DA85C023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02A-4970-B163-D1DA85C023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D02A-4970-B163-D1DA85C023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B6-415F-861D-272EB2CA0ED1}"/>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B6-415F-861D-272EB2CA0ED1}"/>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84B6-415F-861D-272EB2CA0ED1}"/>
            </c:ext>
          </c:extLst>
        </c:ser>
        <c:dLbls>
          <c:showLegendKey val="0"/>
          <c:showVal val="0"/>
          <c:showCatName val="0"/>
          <c:showSerName val="0"/>
          <c:showPercent val="0"/>
          <c:showBubbleSize val="0"/>
        </c:dLbls>
        <c:gapWidth val="150"/>
        <c:overlap val="100"/>
        <c:axId val="1380628021"/>
        <c:axId val="1056471288"/>
      </c:barChart>
      <c:catAx>
        <c:axId val="13806280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56471288"/>
        <c:crosses val="autoZero"/>
        <c:auto val="1"/>
        <c:lblAlgn val="ctr"/>
        <c:lblOffset val="100"/>
        <c:noMultiLvlLbl val="1"/>
      </c:catAx>
      <c:valAx>
        <c:axId val="10564712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806280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53-4FDF-8F0C-F4FE08BBC7F0}"/>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AE53-4FDF-8F0C-F4FE08BBC7F0}"/>
            </c:ext>
          </c:extLst>
        </c:ser>
        <c:dLbls>
          <c:showLegendKey val="0"/>
          <c:showVal val="0"/>
          <c:showCatName val="0"/>
          <c:showSerName val="0"/>
          <c:showPercent val="0"/>
          <c:showBubbleSize val="0"/>
        </c:dLbls>
        <c:gapWidth val="150"/>
        <c:overlap val="100"/>
        <c:axId val="1375067954"/>
        <c:axId val="2135215946"/>
      </c:barChart>
      <c:catAx>
        <c:axId val="137506795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5215946"/>
        <c:crosses val="autoZero"/>
        <c:auto val="1"/>
        <c:lblAlgn val="ctr"/>
        <c:lblOffset val="100"/>
        <c:noMultiLvlLbl val="1"/>
      </c:catAx>
      <c:valAx>
        <c:axId val="21352159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37506795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33-40C5-9949-6936E4EC8C1F}"/>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33-40C5-9949-6936E4EC8C1F}"/>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33-40C5-9949-6936E4EC8C1F}"/>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33-40C5-9949-6936E4EC8C1F}"/>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33-40C5-9949-6936E4EC8C1F}"/>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33-40C5-9949-6936E4EC8C1F}"/>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33-40C5-9949-6936E4EC8C1F}"/>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733-40C5-9949-6936E4EC8C1F}"/>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733-40C5-9949-6936E4EC8C1F}"/>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F733-40C5-9949-6936E4EC8C1F}"/>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F733-40C5-9949-6936E4EC8C1F}"/>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F733-40C5-9949-6936E4EC8C1F}"/>
            </c:ext>
          </c:extLst>
        </c:ser>
        <c:dLbls>
          <c:showLegendKey val="0"/>
          <c:showVal val="0"/>
          <c:showCatName val="0"/>
          <c:showSerName val="0"/>
          <c:showPercent val="0"/>
          <c:showBubbleSize val="0"/>
        </c:dLbls>
        <c:gapWidth val="150"/>
        <c:overlap val="100"/>
        <c:axId val="474539831"/>
        <c:axId val="739001430"/>
      </c:barChart>
      <c:catAx>
        <c:axId val="474539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39001430"/>
        <c:crosses val="autoZero"/>
        <c:auto val="1"/>
        <c:lblAlgn val="ctr"/>
        <c:lblOffset val="100"/>
        <c:noMultiLvlLbl val="1"/>
      </c:catAx>
      <c:valAx>
        <c:axId val="7390014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4745398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A7-41D4-82E7-F4D43908A635}"/>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A7-41D4-82E7-F4D43908A635}"/>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A7-41D4-82E7-F4D43908A635}"/>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A7-41D4-82E7-F4D43908A635}"/>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7A7-41D4-82E7-F4D43908A635}"/>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7A7-41D4-82E7-F4D43908A635}"/>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7A7-41D4-82E7-F4D43908A635}"/>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7A7-41D4-82E7-F4D43908A635}"/>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A7A7-41D4-82E7-F4D43908A635}"/>
            </c:ext>
          </c:extLst>
        </c:ser>
        <c:dLbls>
          <c:showLegendKey val="0"/>
          <c:showVal val="0"/>
          <c:showCatName val="0"/>
          <c:showSerName val="0"/>
          <c:showPercent val="0"/>
          <c:showBubbleSize val="0"/>
        </c:dLbls>
        <c:gapWidth val="150"/>
        <c:overlap val="100"/>
        <c:axId val="1267391270"/>
        <c:axId val="1754314359"/>
      </c:barChart>
      <c:catAx>
        <c:axId val="1267391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54314359"/>
        <c:crosses val="autoZero"/>
        <c:auto val="1"/>
        <c:lblAlgn val="ctr"/>
        <c:lblOffset val="100"/>
        <c:noMultiLvlLbl val="1"/>
      </c:catAx>
      <c:valAx>
        <c:axId val="17543143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6739127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7E-4FEB-83A8-8FA9B0DF5CC9}"/>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0">
                  <c:v>0</c:v>
                </c:pt>
                <c:pt idx="3">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7E-4FEB-83A8-8FA9B0DF5CC9}"/>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0">
                  <c:v>0</c:v>
                </c:pt>
                <c:pt idx="3">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7E-4FEB-83A8-8FA9B0DF5CC9}"/>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0">
                  <c:v>0</c:v>
                </c:pt>
                <c:pt idx="6">
                  <c:v>2.18E-2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7E-4FEB-83A8-8FA9B0DF5CC9}"/>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0">
                  <c:v>3.6</c:v>
                </c:pt>
                <c:pt idx="11">
                  <c:v>0.59560000000000002</c:v>
                </c:pt>
                <c:pt idx="12">
                  <c:v>1.2</c:v>
                </c:pt>
                <c:pt idx="13">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7E-4FEB-83A8-8FA9B0DF5CC9}"/>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0">
                  <c:v>1.2124999999999999</c:v>
                </c:pt>
                <c:pt idx="2">
                  <c:v>5.9500000000000004E-3</c:v>
                </c:pt>
                <c:pt idx="3">
                  <c:v>7.5899999999999995E-3</c:v>
                </c:pt>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7E-4FEB-83A8-8FA9B0DF5CC9}"/>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0">
                  <c:v>1.3584000000000001</c:v>
                </c:pt>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07E-4FEB-83A8-8FA9B0DF5CC9}"/>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pt idx="0">
                  <c:v>0.46800000000000003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07E-4FEB-83A8-8FA9B0DF5CC9}"/>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0">
                  <c:v>0.3614</c:v>
                </c:pt>
                <c:pt idx="4">
                  <c:v>3.7190000000000001E-2</c:v>
                </c:pt>
                <c:pt idx="6">
                  <c:v>1.1379999999999999E-2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07E-4FEB-83A8-8FA9B0DF5CC9}"/>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0">
                  <c:v>1.2375</c:v>
                </c:pt>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07E-4FEB-83A8-8FA9B0DF5CC9}"/>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pt idx="0">
                  <c:v>4.8360000000000003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07E-4FEB-83A8-8FA9B0DF5CC9}"/>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4">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07E-4FEB-83A8-8FA9B0DF5CC9}"/>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3">
                  <c:v>0.05</c:v>
                </c:pt>
                <c:pt idx="5">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707E-4FEB-83A8-8FA9B0DF5CC9}"/>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0.11</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707E-4FEB-83A8-8FA9B0DF5CC9}"/>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7">
                  <c:v>0.5</c:v>
                </c:pt>
                <c:pt idx="8">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707E-4FEB-83A8-8FA9B0DF5CC9}"/>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707E-4FEB-83A8-8FA9B0DF5CC9}"/>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707E-4FEB-83A8-8FA9B0DF5CC9}"/>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707E-4FEB-83A8-8FA9B0DF5CC9}"/>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pt idx="6">
                  <c:v>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707E-4FEB-83A8-8FA9B0DF5CC9}"/>
            </c:ext>
          </c:extLst>
        </c:ser>
        <c:dLbls>
          <c:showLegendKey val="0"/>
          <c:showVal val="0"/>
          <c:showCatName val="0"/>
          <c:showSerName val="0"/>
          <c:showPercent val="0"/>
          <c:showBubbleSize val="0"/>
        </c:dLbls>
        <c:gapWidth val="150"/>
        <c:overlap val="100"/>
        <c:axId val="1936637909"/>
        <c:axId val="838273423"/>
      </c:barChart>
      <c:catAx>
        <c:axId val="19366379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38273423"/>
        <c:crosses val="autoZero"/>
        <c:auto val="1"/>
        <c:lblAlgn val="ctr"/>
        <c:lblOffset val="100"/>
        <c:noMultiLvlLbl val="1"/>
      </c:catAx>
      <c:valAx>
        <c:axId val="8382734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366379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Electricidad!$D$205:$D$208</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9F-4235-BF39-0A8223F1AFCF}"/>
            </c:ext>
          </c:extLst>
        </c:ser>
        <c:ser>
          <c:idx val="1"/>
          <c:order val="1"/>
          <c:tx>
            <c:v>Vida útil</c:v>
          </c:tx>
          <c:spPr>
            <a:solidFill>
              <a:srgbClr val="4472C4"/>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Electricidad!$F$193:$F$202</c:f>
              <c:numCache>
                <c:formatCode>#,##0</c:formatCode>
                <c:ptCount val="10"/>
                <c:pt idx="0">
                  <c:v>2038</c:v>
                </c:pt>
                <c:pt idx="1">
                  <c:v>2033</c:v>
                </c:pt>
                <c:pt idx="2">
                  <c:v>2048</c:v>
                </c:pt>
                <c:pt idx="3">
                  <c:v>2093</c:v>
                </c:pt>
                <c:pt idx="4">
                  <c:v>2093</c:v>
                </c:pt>
                <c:pt idx="5">
                  <c:v>2033</c:v>
                </c:pt>
                <c:pt idx="6">
                  <c:v>2043</c:v>
                </c:pt>
                <c:pt idx="7">
                  <c:v>2038</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9F-4235-BF39-0A8223F1AFCF}"/>
            </c:ext>
          </c:extLst>
        </c:ser>
        <c:ser>
          <c:idx val="2"/>
          <c:order val="2"/>
          <c:tx>
            <c:v>2 043</c:v>
          </c:tx>
          <c:spPr>
            <a:solidFill>
              <a:srgbClr val="A5A5A5"/>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Electricidad!$F$204:$F$208</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89F-4235-BF39-0A8223F1AFCF}"/>
            </c:ext>
          </c:extLst>
        </c:ser>
        <c:ser>
          <c:idx val="3"/>
          <c:order val="3"/>
          <c:tx>
            <c:v>Vida útil</c:v>
          </c:tx>
          <c:spPr>
            <a:solidFill>
              <a:srgbClr val="FFC000"/>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Electricidad!$E$192:$E$202</c:f>
              <c:numCache>
                <c:formatCode>#,##0</c:formatCode>
                <c:ptCount val="11"/>
                <c:pt idx="0" formatCode="#,##0.00000">
                  <c:v>0</c:v>
                </c:pt>
                <c:pt idx="1">
                  <c:v>20</c:v>
                </c:pt>
                <c:pt idx="2">
                  <c:v>15</c:v>
                </c:pt>
                <c:pt idx="3">
                  <c:v>30</c:v>
                </c:pt>
                <c:pt idx="4">
                  <c:v>75</c:v>
                </c:pt>
                <c:pt idx="5">
                  <c:v>75</c:v>
                </c:pt>
                <c:pt idx="6">
                  <c:v>15</c:v>
                </c:pt>
                <c:pt idx="7">
                  <c:v>25</c:v>
                </c:pt>
                <c:pt idx="8">
                  <c:v>20</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89F-4235-BF39-0A8223F1AFCF}"/>
            </c:ext>
          </c:extLst>
        </c:ser>
        <c:ser>
          <c:idx val="4"/>
          <c:order val="4"/>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Electricidad!$E$204:$E$208</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A89F-4235-BF39-0A8223F1AFCF}"/>
            </c:ext>
          </c:extLst>
        </c:ser>
        <c:dLbls>
          <c:showLegendKey val="0"/>
          <c:showVal val="0"/>
          <c:showCatName val="0"/>
          <c:showSerName val="0"/>
          <c:showPercent val="0"/>
          <c:showBubbleSize val="0"/>
        </c:dLbls>
        <c:gapWidth val="150"/>
        <c:axId val="1828426969"/>
        <c:axId val="1127274345"/>
      </c:barChart>
      <c:catAx>
        <c:axId val="18284269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127274345"/>
        <c:crosses val="autoZero"/>
        <c:auto val="1"/>
        <c:lblAlgn val="ctr"/>
        <c:lblOffset val="100"/>
        <c:noMultiLvlLbl val="1"/>
      </c:catAx>
      <c:valAx>
        <c:axId val="112727434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284269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A9EE-4AAB-892B-D2379F0FE751}"/>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9EE-4AAB-892B-D2379F0FE75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A9EE-4AAB-892B-D2379F0FE751}"/>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3CA-4569-A9C4-B0BD7B0831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3CA-4569-A9C4-B0BD7B0831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C3CA-4569-A9C4-B0BD7B0831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8BBB-45A9-99DF-F28EDF8E855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BBB-45A9-99DF-F28EDF8E855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8BBB-45A9-99DF-F28EDF8E855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Electricidad!$E$264:$G$264</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C-4CAF-8B05-5538499CE9CC}"/>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CC-4CAF-8B05-5538499CE9CC}"/>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Electricidad!$E$267:$G$267</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ECC-4CAF-8B05-5538499CE9CC}"/>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Electricidad!$E$269:$G$269</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ECC-4CAF-8B05-5538499CE9CC}"/>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ECC-4CAF-8B05-5538499CE9CC}"/>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Electricidad!$E$272:$G$272</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ECC-4CAF-8B05-5538499CE9CC}"/>
            </c:ext>
          </c:extLst>
        </c:ser>
        <c:ser>
          <c:idx val="6"/>
          <c:order val="6"/>
          <c:invertIfNegative val="1"/>
          <c:cat>
            <c:numRef>
              <c:f>Electricidad!$E$1:$G$1</c:f>
              <c:numCache>
                <c:formatCode>General</c:formatCode>
                <c:ptCount val="3"/>
              </c:numCache>
            </c:numRef>
          </c:cat>
          <c:val>
            <c:numRef>
              <c:f>Electricidad!$E$266:$G$266</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CECC-4CAF-8B05-5538499CE9CC}"/>
            </c:ext>
          </c:extLst>
        </c:ser>
        <c:dLbls>
          <c:showLegendKey val="0"/>
          <c:showVal val="0"/>
          <c:showCatName val="0"/>
          <c:showSerName val="0"/>
          <c:showPercent val="0"/>
          <c:showBubbleSize val="0"/>
        </c:dLbls>
        <c:gapWidth val="150"/>
        <c:overlap val="100"/>
        <c:axId val="845434270"/>
        <c:axId val="391560333"/>
      </c:barChart>
      <c:catAx>
        <c:axId val="845434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1560333"/>
        <c:crosses val="autoZero"/>
        <c:auto val="1"/>
        <c:lblAlgn val="ctr"/>
        <c:lblOffset val="100"/>
        <c:noMultiLvlLbl val="1"/>
      </c:catAx>
      <c:valAx>
        <c:axId val="3915603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4543427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Electricidad!$E$277:$G$277</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B93-477D-8565-A7AA1331DB31}"/>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B93-477D-8565-A7AA1331DB31}"/>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Electricidad!$E$281:$G$281</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B93-477D-8565-A7AA1331DB31}"/>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B93-477D-8565-A7AA1331DB31}"/>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Electricidad!$E$284:$G$284</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B93-477D-8565-A7AA1331DB31}"/>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B93-477D-8565-A7AA1331DB31}"/>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Electricidad!$E$287:$G$287</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B93-477D-8565-A7AA1331DB31}"/>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B93-477D-8565-A7AA1331DB31}"/>
            </c:ext>
          </c:extLst>
        </c:ser>
        <c:ser>
          <c:idx val="8"/>
          <c:order val="8"/>
          <c:invertIfNegative val="1"/>
          <c:cat>
            <c:numRef>
              <c:f>Electricidad!$E$1:$G$1</c:f>
              <c:numCache>
                <c:formatCode>General</c:formatCode>
                <c:ptCount val="3"/>
              </c:numCache>
            </c:numRef>
          </c:cat>
          <c:val>
            <c:numRef>
              <c:f>Electricidad!$E$289:$G$289</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0B93-477D-8565-A7AA1331DB31}"/>
            </c:ext>
          </c:extLst>
        </c:ser>
        <c:dLbls>
          <c:showLegendKey val="0"/>
          <c:showVal val="0"/>
          <c:showCatName val="0"/>
          <c:showSerName val="0"/>
          <c:showPercent val="0"/>
          <c:showBubbleSize val="0"/>
        </c:dLbls>
        <c:gapWidth val="150"/>
        <c:overlap val="100"/>
        <c:axId val="1983902485"/>
        <c:axId val="561605173"/>
      </c:barChart>
      <c:catAx>
        <c:axId val="19839024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61605173"/>
        <c:crosses val="autoZero"/>
        <c:auto val="1"/>
        <c:lblAlgn val="ctr"/>
        <c:lblOffset val="100"/>
        <c:noMultiLvlLbl val="1"/>
      </c:catAx>
      <c:valAx>
        <c:axId val="5616051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839024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F32-4FB3-BF6A-BECE9F54B6B0}"/>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F32-4FB3-BF6A-BECE9F54B6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F32-4FB3-BF6A-BECE9F54B6B0}"/>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055-41D0-9EEE-867B4B399D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055-41D0-9EEE-867B4B399D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055-41D0-9EEE-867B4B399D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Electricidad!$E$299:$G$299</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F8-48AA-8FC9-A21D519551B1}"/>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FF8-48AA-8FC9-A21D519551B1}"/>
            </c:ext>
          </c:extLst>
        </c:ser>
        <c:ser>
          <c:idx val="2"/>
          <c:order val="2"/>
          <c:invertIfNegative val="1"/>
          <c:cat>
            <c:numRef>
              <c:f>Electricidad!$E$1:$G$1</c:f>
              <c:numCache>
                <c:formatCode>General</c:formatCode>
                <c:ptCount val="3"/>
              </c:numCache>
            </c:numRef>
          </c:cat>
          <c:val>
            <c:numRef>
              <c:f>Electricidad!$E$302:$G$302</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7FF8-48AA-8FC9-A21D519551B1}"/>
            </c:ext>
          </c:extLst>
        </c:ser>
        <c:dLbls>
          <c:showLegendKey val="0"/>
          <c:showVal val="0"/>
          <c:showCatName val="0"/>
          <c:showSerName val="0"/>
          <c:showPercent val="0"/>
          <c:showBubbleSize val="0"/>
        </c:dLbls>
        <c:gapWidth val="150"/>
        <c:overlap val="100"/>
        <c:axId val="864903800"/>
        <c:axId val="349286672"/>
      </c:barChart>
      <c:catAx>
        <c:axId val="8649038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49286672"/>
        <c:crosses val="autoZero"/>
        <c:auto val="1"/>
        <c:lblAlgn val="ctr"/>
        <c:lblOffset val="100"/>
        <c:noMultiLvlLbl val="1"/>
      </c:catAx>
      <c:valAx>
        <c:axId val="3492866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649038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Electricidad!$E$305:$G$305</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E8-402B-B540-0C060DEC6CB9}"/>
            </c:ext>
          </c:extLst>
        </c:ser>
        <c:ser>
          <c:idx val="1"/>
          <c:order val="1"/>
          <c:invertIfNegative val="1"/>
          <c:cat>
            <c:numRef>
              <c:f>Electricidad!$E$1:$G$1</c:f>
              <c:numCache>
                <c:formatCode>General</c:formatCode>
                <c:ptCount val="3"/>
              </c:numCache>
            </c:numRef>
          </c:cat>
          <c:val>
            <c:numRef>
              <c:f>Electricidad!$E$306:$G$306</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D2E8-402B-B540-0C060DEC6CB9}"/>
            </c:ext>
          </c:extLst>
        </c:ser>
        <c:dLbls>
          <c:showLegendKey val="0"/>
          <c:showVal val="0"/>
          <c:showCatName val="0"/>
          <c:showSerName val="0"/>
          <c:showPercent val="0"/>
          <c:showBubbleSize val="0"/>
        </c:dLbls>
        <c:gapWidth val="150"/>
        <c:overlap val="100"/>
        <c:axId val="823199415"/>
        <c:axId val="1254010313"/>
      </c:barChart>
      <c:catAx>
        <c:axId val="8231994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54010313"/>
        <c:crosses val="autoZero"/>
        <c:auto val="1"/>
        <c:lblAlgn val="ctr"/>
        <c:lblOffset val="100"/>
        <c:noMultiLvlLbl val="1"/>
      </c:catAx>
      <c:valAx>
        <c:axId val="12540103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8231994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Electricidad!$E$310:$G$310</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7-45A0-915F-CAB9D17E835B}"/>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Electricidad!$E$312:$G$312</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B7-45A0-915F-CAB9D17E835B}"/>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Electricidad!$E$314:$G$314</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B7-45A0-915F-CAB9D17E835B}"/>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B7-45A0-915F-CAB9D17E835B}"/>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B7-45A0-915F-CAB9D17E835B}"/>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B7-45A0-915F-CAB9D17E835B}"/>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Electricidad!$E$320:$G$320</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CB7-45A0-915F-CAB9D17E835B}"/>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CB7-45A0-915F-CAB9D17E835B}"/>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CB7-45A0-915F-CAB9D17E835B}"/>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Electricidad!$E$327:$G$327</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CB7-45A0-915F-CAB9D17E835B}"/>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Electricidad!$E$329:$G$329</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CB7-45A0-915F-CAB9D17E835B}"/>
            </c:ext>
          </c:extLst>
        </c:ser>
        <c:ser>
          <c:idx val="11"/>
          <c:order val="11"/>
          <c:invertIfNegative val="1"/>
          <c:cat>
            <c:numRef>
              <c:f>Electricidad!$E$1:$G$1</c:f>
              <c:numCache>
                <c:formatCode>General</c:formatCode>
                <c:ptCount val="3"/>
              </c:numCache>
            </c:numRef>
          </c:cat>
          <c:val>
            <c:numRef>
              <c:f>Electricidad!$E$325:$G$325</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4CB7-45A0-915F-CAB9D17E835B}"/>
            </c:ext>
          </c:extLst>
        </c:ser>
        <c:dLbls>
          <c:showLegendKey val="0"/>
          <c:showVal val="0"/>
          <c:showCatName val="0"/>
          <c:showSerName val="0"/>
          <c:showPercent val="0"/>
          <c:showBubbleSize val="0"/>
        </c:dLbls>
        <c:gapWidth val="150"/>
        <c:overlap val="100"/>
        <c:axId val="555500161"/>
        <c:axId val="532117704"/>
      </c:barChart>
      <c:catAx>
        <c:axId val="55550016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32117704"/>
        <c:crosses val="autoZero"/>
        <c:auto val="1"/>
        <c:lblAlgn val="ctr"/>
        <c:lblOffset val="100"/>
        <c:noMultiLvlLbl val="1"/>
      </c:catAx>
      <c:valAx>
        <c:axId val="5321177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5550016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Electricidad!$E$334:$G$334</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22-4E65-B3B7-43E0F893DC4C}"/>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E22-4E65-B3B7-43E0F893DC4C}"/>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Electricidad!$E$337:$G$337</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E22-4E65-B3B7-43E0F893DC4C}"/>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E22-4E65-B3B7-43E0F893DC4C}"/>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E22-4E65-B3B7-43E0F893DC4C}"/>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Electricidad!$E$341:$G$341</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E22-4E65-B3B7-43E0F893DC4C}"/>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E22-4E65-B3B7-43E0F893DC4C}"/>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EE22-4E65-B3B7-43E0F893DC4C}"/>
            </c:ext>
          </c:extLst>
        </c:ser>
        <c:ser>
          <c:idx val="8"/>
          <c:order val="8"/>
          <c:invertIfNegative val="1"/>
          <c:cat>
            <c:numRef>
              <c:f>Electricidad!$E$1:$G$1</c:f>
              <c:numCache>
                <c:formatCode>General</c:formatCode>
                <c:ptCount val="3"/>
              </c:numCache>
            </c:numRef>
          </c:cat>
          <c:val>
            <c:numRef>
              <c:f>Electricidad!$E$344:$G$344</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EE22-4E65-B3B7-43E0F893DC4C}"/>
            </c:ext>
          </c:extLst>
        </c:ser>
        <c:dLbls>
          <c:showLegendKey val="0"/>
          <c:showVal val="0"/>
          <c:showCatName val="0"/>
          <c:showSerName val="0"/>
          <c:showPercent val="0"/>
          <c:showBubbleSize val="0"/>
        </c:dLbls>
        <c:gapWidth val="150"/>
        <c:overlap val="100"/>
        <c:axId val="1874640278"/>
        <c:axId val="1570141297"/>
      </c:barChart>
      <c:catAx>
        <c:axId val="187464027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70141297"/>
        <c:crosses val="autoZero"/>
        <c:auto val="1"/>
        <c:lblAlgn val="ctr"/>
        <c:lblOffset val="100"/>
        <c:noMultiLvlLbl val="1"/>
      </c:catAx>
      <c:valAx>
        <c:axId val="15701412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7464027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Electricidad!$E$486:$H$486</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D9-4B48-AA08-73053C32ADD2}"/>
            </c:ext>
          </c:extLst>
        </c:ser>
        <c:ser>
          <c:idx val="1"/>
          <c:order val="1"/>
          <c:invertIfNegative val="1"/>
          <c:cat>
            <c:numRef>
              <c:f>Electricidad!$E$1:$H$1</c:f>
              <c:numCache>
                <c:formatCode>General</c:formatCode>
                <c:ptCount val="4"/>
              </c:numCache>
            </c:numRef>
          </c:cat>
          <c:val>
            <c:numRef>
              <c:f>Electricidad!$D$487:$H$487</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D8D9-4B48-AA08-73053C32ADD2}"/>
            </c:ext>
          </c:extLst>
        </c:ser>
        <c:dLbls>
          <c:showLegendKey val="0"/>
          <c:showVal val="0"/>
          <c:showCatName val="0"/>
          <c:showSerName val="0"/>
          <c:showPercent val="0"/>
          <c:showBubbleSize val="0"/>
        </c:dLbls>
        <c:gapWidth val="150"/>
        <c:axId val="1188130264"/>
        <c:axId val="1254991721"/>
      </c:barChart>
      <c:catAx>
        <c:axId val="11881302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54991721"/>
        <c:crosses val="autoZero"/>
        <c:auto val="1"/>
        <c:lblAlgn val="ctr"/>
        <c:lblOffset val="100"/>
        <c:noMultiLvlLbl val="1"/>
      </c:catAx>
      <c:valAx>
        <c:axId val="12549917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11881302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Electricidad!$E$491:$H$491</c:f>
              <c:numCache>
                <c:formatCode>#,##0.00000</c:formatCode>
                <c:ptCount val="4"/>
                <c:pt idx="0">
                  <c:v>26.624217749157641</c:v>
                </c:pt>
                <c:pt idx="1">
                  <c:v>27.545137433144468</c:v>
                </c:pt>
                <c:pt idx="2">
                  <c:v>29.009550701123523</c:v>
                </c:pt>
                <c:pt idx="3">
                  <c:v>28.635027878821187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AED-43EC-87A7-C0CE9BF433F2}"/>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Electricidad!$E$492:$H$492</c:f>
              <c:numCache>
                <c:formatCode>#,##0.00000</c:formatCode>
                <c:ptCount val="4"/>
                <c:pt idx="0">
                  <c:v>24.962962253642942</c:v>
                </c:pt>
                <c:pt idx="1">
                  <c:v>26.060401221319552</c:v>
                </c:pt>
                <c:pt idx="2">
                  <c:v>23.917782284427123</c:v>
                </c:pt>
                <c:pt idx="3">
                  <c:v>25.150513992563333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AED-43EC-87A7-C0CE9BF433F2}"/>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AED-43EC-87A7-C0CE9BF433F2}"/>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2.0131327518173587</c:v>
                </c:pt>
                <c:pt idx="1">
                  <c:v>1.8522911676658134</c:v>
                </c:pt>
                <c:pt idx="2">
                  <c:v>1.9887452192023232</c:v>
                </c:pt>
                <c:pt idx="3">
                  <c:v>2.2581693890446233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AED-43EC-87A7-C0CE9BF433F2}"/>
            </c:ext>
          </c:extLst>
        </c:ser>
        <c:ser>
          <c:idx val="4"/>
          <c:order val="4"/>
          <c:invertIfNegative val="1"/>
          <c:cat>
            <c:numRef>
              <c:f>Electricidad!$E$1:$H$1</c:f>
              <c:numCache>
                <c:formatCode>General</c:formatCode>
                <c:ptCount val="4"/>
              </c:numCache>
            </c:numRef>
          </c:cat>
          <c:val>
            <c:numRef>
              <c:f>Electricidad!$E$498:$H$498</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AED-43EC-87A7-C0CE9BF433F2}"/>
            </c:ext>
          </c:extLst>
        </c:ser>
        <c:dLbls>
          <c:showLegendKey val="0"/>
          <c:showVal val="0"/>
          <c:showCatName val="0"/>
          <c:showSerName val="0"/>
          <c:showPercent val="0"/>
          <c:showBubbleSize val="0"/>
        </c:dLbls>
        <c:gapWidth val="150"/>
        <c:overlap val="100"/>
        <c:axId val="583821526"/>
        <c:axId val="715026067"/>
      </c:barChart>
      <c:catAx>
        <c:axId val="58382152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5026067"/>
        <c:crosses val="autoZero"/>
        <c:auto val="1"/>
        <c:lblAlgn val="ctr"/>
        <c:lblOffset val="100"/>
        <c:noMultiLvlLbl val="1"/>
      </c:catAx>
      <c:valAx>
        <c:axId val="715026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583821526"/>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Electricidad!$E$349:$H$349</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D7-4B49-ABB7-38A360ED80E1}"/>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Electricidad!$E$352:$H$352</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0D7-4B49-ABB7-38A360ED80E1}"/>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0D7-4B49-ABB7-38A360ED80E1}"/>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Electricidad!$E$360:$H$360</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0D7-4B49-ABB7-38A360ED80E1}"/>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0D7-4B49-ABB7-38A360ED80E1}"/>
            </c:ext>
          </c:extLst>
        </c:ser>
        <c:ser>
          <c:idx val="5"/>
          <c:order val="5"/>
          <c:invertIfNegative val="1"/>
          <c:cat>
            <c:numRef>
              <c:f>Electricidad!$E$1:$H$1</c:f>
              <c:numCache>
                <c:formatCode>General</c:formatCode>
                <c:ptCount val="4"/>
              </c:numCache>
            </c:numRef>
          </c:cat>
          <c:val>
            <c:numRef>
              <c:f>Electricidad!$E$372:$H$372</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30D7-4B49-ABB7-38A360ED80E1}"/>
            </c:ext>
          </c:extLst>
        </c:ser>
        <c:dLbls>
          <c:showLegendKey val="0"/>
          <c:showVal val="0"/>
          <c:showCatName val="0"/>
          <c:showSerName val="0"/>
          <c:showPercent val="0"/>
          <c:showBubbleSize val="0"/>
        </c:dLbls>
        <c:gapWidth val="150"/>
        <c:axId val="2022212298"/>
        <c:axId val="977314427"/>
      </c:barChart>
      <c:catAx>
        <c:axId val="20222122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77314427"/>
        <c:crosses val="autoZero"/>
        <c:auto val="1"/>
        <c:lblAlgn val="ctr"/>
        <c:lblOffset val="100"/>
        <c:noMultiLvlLbl val="1"/>
      </c:catAx>
      <c:valAx>
        <c:axId val="9773144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22212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Electricidad!$E$376:$H$376</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068-4428-9901-6D17C48C7599}"/>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068-4428-9901-6D17C48C7599}"/>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Electricidad!$E$380:$H$380</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068-4428-9901-6D17C48C7599}"/>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068-4428-9901-6D17C48C7599}"/>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Electricidad!$E$383:$H$383</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068-4428-9901-6D17C48C7599}"/>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068-4428-9901-6D17C48C7599}"/>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Electricidad!$E$386:$H$386</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068-4428-9901-6D17C48C7599}"/>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068-4428-9901-6D17C48C7599}"/>
            </c:ext>
          </c:extLst>
        </c:ser>
        <c:ser>
          <c:idx val="8"/>
          <c:order val="8"/>
          <c:invertIfNegative val="1"/>
          <c:cat>
            <c:numRef>
              <c:f>Electricidad!$E$1:$H$1</c:f>
              <c:numCache>
                <c:formatCode>General</c:formatCode>
                <c:ptCount val="4"/>
              </c:numCache>
            </c:numRef>
          </c:cat>
          <c:val>
            <c:numRef>
              <c:f>Electricidad!$E$388:$H$388</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5068-4428-9901-6D17C48C7599}"/>
            </c:ext>
          </c:extLst>
        </c:ser>
        <c:dLbls>
          <c:showLegendKey val="0"/>
          <c:showVal val="0"/>
          <c:showCatName val="0"/>
          <c:showSerName val="0"/>
          <c:showPercent val="0"/>
          <c:showBubbleSize val="0"/>
        </c:dLbls>
        <c:gapWidth val="150"/>
        <c:overlap val="100"/>
        <c:axId val="317209935"/>
        <c:axId val="393772172"/>
      </c:barChart>
      <c:catAx>
        <c:axId val="3172099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93772172"/>
        <c:crosses val="autoZero"/>
        <c:auto val="1"/>
        <c:lblAlgn val="ctr"/>
        <c:lblOffset val="100"/>
        <c:noMultiLvlLbl val="1"/>
      </c:catAx>
      <c:valAx>
        <c:axId val="3937721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172099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Electricidad!$E$363:$H$363</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A8-4587-86A8-332B6FDF1268}"/>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A8-4587-86A8-332B6FDF1268}"/>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A8-4587-86A8-332B6FDF1268}"/>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A8-4587-86A8-332B6FDF1268}"/>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Electricidad!$E$368:$H$368</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A8-4587-86A8-332B6FDF1268}"/>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A8-4587-86A8-332B6FDF1268}"/>
            </c:ext>
          </c:extLst>
        </c:ser>
        <c:ser>
          <c:idx val="6"/>
          <c:order val="6"/>
          <c:invertIfNegative val="1"/>
          <c:cat>
            <c:numRef>
              <c:f>Electricidad!$E$1:$H$1</c:f>
              <c:numCache>
                <c:formatCode>General</c:formatCode>
                <c:ptCount val="4"/>
              </c:numCache>
            </c:numRef>
          </c:cat>
          <c:val>
            <c:numRef>
              <c:f>Electricidad!$E$371:$H$371</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AA8-4587-86A8-332B6FDF1268}"/>
            </c:ext>
          </c:extLst>
        </c:ser>
        <c:dLbls>
          <c:showLegendKey val="0"/>
          <c:showVal val="0"/>
          <c:showCatName val="0"/>
          <c:showSerName val="0"/>
          <c:showPercent val="0"/>
          <c:showBubbleSize val="0"/>
        </c:dLbls>
        <c:gapWidth val="150"/>
        <c:overlap val="100"/>
        <c:axId val="1805191682"/>
        <c:axId val="1294168970"/>
      </c:barChart>
      <c:catAx>
        <c:axId val="180519168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94168970"/>
        <c:crosses val="autoZero"/>
        <c:auto val="1"/>
        <c:lblAlgn val="ctr"/>
        <c:lblOffset val="100"/>
        <c:noMultiLvlLbl val="1"/>
      </c:catAx>
      <c:valAx>
        <c:axId val="12941689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0519168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Electricidad!$E$392:$H$392</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C-4937-B4EF-BE4C42369137}"/>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Electricidad!$E$394:$H$394</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D5C-4937-B4EF-BE4C42369137}"/>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Electricidad!$E$402:$H$402</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D5C-4937-B4EF-BE4C42369137}"/>
            </c:ext>
          </c:extLst>
        </c:ser>
        <c:ser>
          <c:idx val="3"/>
          <c:order val="3"/>
          <c:invertIfNegative val="1"/>
          <c:cat>
            <c:numRef>
              <c:f>Electricidad!$E$1:$H$1</c:f>
              <c:numCache>
                <c:formatCode>General</c:formatCode>
                <c:ptCount val="4"/>
              </c:numCache>
            </c:numRef>
          </c:cat>
          <c:val>
            <c:numRef>
              <c:f>Electricidad!$E$405:$H$405</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CD5C-4937-B4EF-BE4C42369137}"/>
            </c:ext>
          </c:extLst>
        </c:ser>
        <c:dLbls>
          <c:showLegendKey val="0"/>
          <c:showVal val="0"/>
          <c:showCatName val="0"/>
          <c:showSerName val="0"/>
          <c:showPercent val="0"/>
          <c:showBubbleSize val="0"/>
        </c:dLbls>
        <c:gapWidth val="150"/>
        <c:overlap val="100"/>
        <c:axId val="29102842"/>
        <c:axId val="1636626225"/>
      </c:barChart>
      <c:catAx>
        <c:axId val="291028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36626225"/>
        <c:crosses val="autoZero"/>
        <c:auto val="1"/>
        <c:lblAlgn val="ctr"/>
        <c:lblOffset val="100"/>
        <c:noMultiLvlLbl val="1"/>
      </c:catAx>
      <c:valAx>
        <c:axId val="1636626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910284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Electricidad!$E$397:$H$397</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C5-46B4-A4B0-06F20286E062}"/>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0C5-46B4-A4B0-06F20286E062}"/>
            </c:ext>
          </c:extLst>
        </c:ser>
        <c:ser>
          <c:idx val="2"/>
          <c:order val="2"/>
          <c:invertIfNegative val="1"/>
          <c:cat>
            <c:numRef>
              <c:f>Electricidad!$E$1:$H$1</c:f>
              <c:numCache>
                <c:formatCode>General</c:formatCode>
                <c:ptCount val="4"/>
              </c:numCache>
            </c:numRef>
          </c:cat>
          <c:val>
            <c:numRef>
              <c:f>Electricidad!$E$400:$H$400</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20C5-46B4-A4B0-06F20286E062}"/>
            </c:ext>
          </c:extLst>
        </c:ser>
        <c:dLbls>
          <c:showLegendKey val="0"/>
          <c:showVal val="0"/>
          <c:showCatName val="0"/>
          <c:showSerName val="0"/>
          <c:showPercent val="0"/>
          <c:showBubbleSize val="0"/>
        </c:dLbls>
        <c:gapWidth val="150"/>
        <c:overlap val="100"/>
        <c:axId val="1948604397"/>
        <c:axId val="848677165"/>
      </c:barChart>
      <c:catAx>
        <c:axId val="19486043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48677165"/>
        <c:crosses val="autoZero"/>
        <c:auto val="1"/>
        <c:lblAlgn val="ctr"/>
        <c:lblOffset val="100"/>
        <c:noMultiLvlLbl val="1"/>
      </c:catAx>
      <c:valAx>
        <c:axId val="8486771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9486043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Electricidad!$E$403:$H$403</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D-4D52-B645-4D39960BC572}"/>
            </c:ext>
          </c:extLst>
        </c:ser>
        <c:ser>
          <c:idx val="1"/>
          <c:order val="1"/>
          <c:invertIfNegative val="1"/>
          <c:cat>
            <c:numRef>
              <c:f>Electricidad!$E$1:$H$1</c:f>
              <c:numCache>
                <c:formatCode>General</c:formatCode>
                <c:ptCount val="4"/>
              </c:numCache>
            </c:numRef>
          </c:cat>
          <c:val>
            <c:numRef>
              <c:f>Electricidad!$E$404:$H$404</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E8DD-4D52-B645-4D39960BC572}"/>
            </c:ext>
          </c:extLst>
        </c:ser>
        <c:dLbls>
          <c:showLegendKey val="0"/>
          <c:showVal val="0"/>
          <c:showCatName val="0"/>
          <c:showSerName val="0"/>
          <c:showPercent val="0"/>
          <c:showBubbleSize val="0"/>
        </c:dLbls>
        <c:gapWidth val="150"/>
        <c:overlap val="100"/>
        <c:axId val="171753366"/>
        <c:axId val="1166993849"/>
      </c:barChart>
      <c:catAx>
        <c:axId val="17175336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6993849"/>
        <c:crosses val="autoZero"/>
        <c:auto val="1"/>
        <c:lblAlgn val="ctr"/>
        <c:lblOffset val="100"/>
        <c:noMultiLvlLbl val="1"/>
      </c:catAx>
      <c:valAx>
        <c:axId val="11669938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7175336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Electricidad!$E$408:$H$408</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F9-4371-B56D-BED909269C79}"/>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Electricidad!$E$410:$H$410</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F9-4371-B56D-BED909269C79}"/>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Electricidad!$E$412:$H$412</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F9-4371-B56D-BED909269C79}"/>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F9-4371-B56D-BED909269C79}"/>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F9-4371-B56D-BED909269C79}"/>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F9-4371-B56D-BED909269C79}"/>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Electricidad!$E$418:$H$418</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F9-4371-B56D-BED909269C79}"/>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F9-4371-B56D-BED909269C79}"/>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F9-4371-B56D-BED909269C79}"/>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Electricidad!$E$423:$H$423</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F9-4371-B56D-BED909269C79}"/>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Electricidad!$E$425:$H$425</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F9-4371-B56D-BED909269C79}"/>
            </c:ext>
          </c:extLst>
        </c:ser>
        <c:ser>
          <c:idx val="11"/>
          <c:order val="11"/>
          <c:invertIfNegative val="1"/>
          <c:cat>
            <c:numRef>
              <c:f>Electricidad!$E$1:$H$1</c:f>
              <c:numCache>
                <c:formatCode>General</c:formatCode>
                <c:ptCount val="4"/>
              </c:numCache>
            </c:numRef>
          </c:cat>
          <c:val>
            <c:numRef>
              <c:f>Electricidad!$E$427:$H$427</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94F9-4371-B56D-BED909269C79}"/>
            </c:ext>
          </c:extLst>
        </c:ser>
        <c:dLbls>
          <c:showLegendKey val="0"/>
          <c:showVal val="0"/>
          <c:showCatName val="0"/>
          <c:showSerName val="0"/>
          <c:showPercent val="0"/>
          <c:showBubbleSize val="0"/>
        </c:dLbls>
        <c:gapWidth val="150"/>
        <c:overlap val="100"/>
        <c:axId val="401003015"/>
        <c:axId val="2038963486"/>
      </c:barChart>
      <c:catAx>
        <c:axId val="401003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8963486"/>
        <c:crosses val="autoZero"/>
        <c:auto val="1"/>
        <c:lblAlgn val="ctr"/>
        <c:lblOffset val="100"/>
        <c:noMultiLvlLbl val="1"/>
      </c:catAx>
      <c:valAx>
        <c:axId val="2038963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0030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Electricidad!$E$515:$H$515</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CA-46A8-8508-0E8FF40212A8}"/>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Electricidad!$E$518:$H$518</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CA-46A8-8508-0E8FF40212A8}"/>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Electricidad!$E$519:$H$519</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CA-46A8-8508-0E8FF40212A8}"/>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Electricidad!$E$526:$H$526</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CA-46A8-8508-0E8FF40212A8}"/>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Electricidad!$E$527:$H$527</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CA-46A8-8508-0E8FF40212A8}"/>
            </c:ext>
          </c:extLst>
        </c:ser>
        <c:ser>
          <c:idx val="5"/>
          <c:order val="5"/>
          <c:invertIfNegative val="1"/>
          <c:cat>
            <c:numRef>
              <c:f>Electricidad!$E$1:$H$1</c:f>
              <c:numCache>
                <c:formatCode>General</c:formatCode>
                <c:ptCount val="4"/>
              </c:numCache>
            </c:numRef>
          </c:cat>
          <c:val>
            <c:numRef>
              <c:f>Electricidad!$E$538:$H$538</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AFCA-46A8-8508-0E8FF40212A8}"/>
            </c:ext>
          </c:extLst>
        </c:ser>
        <c:dLbls>
          <c:showLegendKey val="0"/>
          <c:showVal val="0"/>
          <c:showCatName val="0"/>
          <c:showSerName val="0"/>
          <c:showPercent val="0"/>
          <c:showBubbleSize val="0"/>
        </c:dLbls>
        <c:gapWidth val="150"/>
        <c:axId val="151057237"/>
        <c:axId val="569185055"/>
      </c:barChart>
      <c:catAx>
        <c:axId val="15105723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69185055"/>
        <c:crosses val="autoZero"/>
        <c:auto val="1"/>
        <c:lblAlgn val="ctr"/>
        <c:lblOffset val="100"/>
        <c:noMultiLvlLbl val="1"/>
      </c:catAx>
      <c:valAx>
        <c:axId val="5691850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5105723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4B-4643-BAA5-D7691CD20385}"/>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Electricidad!$E$543:$H$543</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34B-4643-BAA5-D7691CD20385}"/>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Electricidad!$E$546:$H$546</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34B-4643-BAA5-D7691CD20385}"/>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34B-4643-BAA5-D7691CD20385}"/>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34B-4643-BAA5-D7691CD20385}"/>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34B-4643-BAA5-D7691CD20385}"/>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Electricidad!$E$552:$H$552</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34B-4643-BAA5-D7691CD20385}"/>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Electricidad!$E$553:$H$553</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34B-4643-BAA5-D7691CD20385}"/>
            </c:ext>
          </c:extLst>
        </c:ser>
        <c:ser>
          <c:idx val="8"/>
          <c:order val="8"/>
          <c:invertIfNegative val="1"/>
          <c:cat>
            <c:numRef>
              <c:f>Electricidad!$E$1:$H$1</c:f>
              <c:numCache>
                <c:formatCode>General</c:formatCode>
                <c:ptCount val="4"/>
              </c:numCache>
            </c:numRef>
          </c:cat>
          <c:val>
            <c:numRef>
              <c:f>Electricidad!$E$554:$H$554</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034B-4643-BAA5-D7691CD20385}"/>
            </c:ext>
          </c:extLst>
        </c:ser>
        <c:dLbls>
          <c:showLegendKey val="0"/>
          <c:showVal val="0"/>
          <c:showCatName val="0"/>
          <c:showSerName val="0"/>
          <c:showPercent val="0"/>
          <c:showBubbleSize val="0"/>
        </c:dLbls>
        <c:gapWidth val="150"/>
        <c:overlap val="100"/>
        <c:axId val="1230382789"/>
        <c:axId val="620700389"/>
      </c:barChart>
      <c:catAx>
        <c:axId val="123038278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0700389"/>
        <c:crosses val="autoZero"/>
        <c:auto val="1"/>
        <c:lblAlgn val="ctr"/>
        <c:lblOffset val="100"/>
        <c:noMultiLvlLbl val="1"/>
      </c:catAx>
      <c:valAx>
        <c:axId val="6207003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038278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Electricidad!$E$529:$H$529</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D5-49EB-B10F-050B1AB7FDDA}"/>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D5-49EB-B10F-050B1AB7FDDA}"/>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Electricidad!$E$531:$H$531</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3D5-49EB-B10F-050B1AB7FDDA}"/>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Electricidad!$E$532:$H$532</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3D5-49EB-B10F-050B1AB7FDDA}"/>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Electricidad!$E$534:$H$534</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3D5-49EB-B10F-050B1AB7FDDA}"/>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Electricidad!$E$535:$H$535</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3D5-49EB-B10F-050B1AB7FDDA}"/>
            </c:ext>
          </c:extLst>
        </c:ser>
        <c:ser>
          <c:idx val="6"/>
          <c:order val="6"/>
          <c:invertIfNegative val="1"/>
          <c:cat>
            <c:numRef>
              <c:f>Electricidad!$E$1:$H$1</c:f>
              <c:numCache>
                <c:formatCode>General</c:formatCode>
                <c:ptCount val="4"/>
              </c:numCache>
            </c:numRef>
          </c:cat>
          <c:val>
            <c:numRef>
              <c:f>Electricidad!$E$537:$H$537</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A3D5-49EB-B10F-050B1AB7FDDA}"/>
            </c:ext>
          </c:extLst>
        </c:ser>
        <c:dLbls>
          <c:showLegendKey val="0"/>
          <c:showVal val="0"/>
          <c:showCatName val="0"/>
          <c:showSerName val="0"/>
          <c:showPercent val="0"/>
          <c:showBubbleSize val="0"/>
        </c:dLbls>
        <c:gapWidth val="150"/>
        <c:overlap val="100"/>
        <c:axId val="58557864"/>
        <c:axId val="1976794901"/>
      </c:barChart>
      <c:catAx>
        <c:axId val="585578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76794901"/>
        <c:crosses val="autoZero"/>
        <c:auto val="1"/>
        <c:lblAlgn val="ctr"/>
        <c:lblOffset val="100"/>
        <c:noMultiLvlLbl val="1"/>
      </c:catAx>
      <c:valAx>
        <c:axId val="19767949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85578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Electricidad!$E$559:$H$559</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40-4ED5-946A-5E455A916DA9}"/>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40-4ED5-946A-5E455A916DA9}"/>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Electricidad!$E$569:$H$569</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D40-4ED5-946A-5E455A916DA9}"/>
            </c:ext>
          </c:extLst>
        </c:ser>
        <c:ser>
          <c:idx val="3"/>
          <c:order val="3"/>
          <c:invertIfNegative val="1"/>
          <c:cat>
            <c:numRef>
              <c:f>Electricidad!$E$1:$H$1</c:f>
              <c:numCache>
                <c:formatCode>General</c:formatCode>
                <c:ptCount val="4"/>
              </c:numCache>
            </c:numRef>
          </c:cat>
          <c:val>
            <c:numRef>
              <c:f>Electricidad!$E$572:$H$572</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FD40-4ED5-946A-5E455A916DA9}"/>
            </c:ext>
          </c:extLst>
        </c:ser>
        <c:dLbls>
          <c:showLegendKey val="0"/>
          <c:showVal val="0"/>
          <c:showCatName val="0"/>
          <c:showSerName val="0"/>
          <c:showPercent val="0"/>
          <c:showBubbleSize val="0"/>
        </c:dLbls>
        <c:gapWidth val="150"/>
        <c:axId val="427795629"/>
        <c:axId val="855853746"/>
      </c:barChart>
      <c:catAx>
        <c:axId val="42779562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55853746"/>
        <c:crosses val="autoZero"/>
        <c:auto val="1"/>
        <c:lblAlgn val="ctr"/>
        <c:lblOffset val="100"/>
        <c:noMultiLvlLbl val="1"/>
      </c:catAx>
      <c:valAx>
        <c:axId val="8558537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2779562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20-4613-8BAC-838FB1EC0D3E}"/>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20-4613-8BAC-838FB1EC0D3E}"/>
            </c:ext>
          </c:extLst>
        </c:ser>
        <c:ser>
          <c:idx val="2"/>
          <c:order val="2"/>
          <c:invertIfNegative val="1"/>
          <c:cat>
            <c:numRef>
              <c:f>Electricidad!$E$1:$H$1</c:f>
              <c:numCache>
                <c:formatCode>General</c:formatCode>
                <c:ptCount val="4"/>
              </c:numCache>
            </c:numRef>
          </c:cat>
          <c:val>
            <c:numRef>
              <c:f>Electricidad!$E$567:$H$567</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DA20-4613-8BAC-838FB1EC0D3E}"/>
            </c:ext>
          </c:extLst>
        </c:ser>
        <c:dLbls>
          <c:showLegendKey val="0"/>
          <c:showVal val="0"/>
          <c:showCatName val="0"/>
          <c:showSerName val="0"/>
          <c:showPercent val="0"/>
          <c:showBubbleSize val="0"/>
        </c:dLbls>
        <c:gapWidth val="150"/>
        <c:overlap val="100"/>
        <c:axId val="1425710038"/>
        <c:axId val="1503823723"/>
      </c:barChart>
      <c:catAx>
        <c:axId val="14257100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3823723"/>
        <c:crosses val="autoZero"/>
        <c:auto val="1"/>
        <c:lblAlgn val="ctr"/>
        <c:lblOffset val="100"/>
        <c:noMultiLvlLbl val="1"/>
      </c:catAx>
      <c:valAx>
        <c:axId val="15038237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257100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Electricidad!$E$570:$H$570</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0D-4541-B216-12CD6BB8CD4A}"/>
            </c:ext>
          </c:extLst>
        </c:ser>
        <c:ser>
          <c:idx val="1"/>
          <c:order val="1"/>
          <c:invertIfNegative val="1"/>
          <c:cat>
            <c:numRef>
              <c:f>Electricidad!$E$1:$H$1</c:f>
              <c:numCache>
                <c:formatCode>General</c:formatCode>
                <c:ptCount val="4"/>
              </c:numCache>
            </c:numRef>
          </c:cat>
          <c:val>
            <c:numRef>
              <c:f>Electricidad!$E$571:$H$571</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4B0D-4541-B216-12CD6BB8CD4A}"/>
            </c:ext>
          </c:extLst>
        </c:ser>
        <c:dLbls>
          <c:showLegendKey val="0"/>
          <c:showVal val="0"/>
          <c:showCatName val="0"/>
          <c:showSerName val="0"/>
          <c:showPercent val="0"/>
          <c:showBubbleSize val="0"/>
        </c:dLbls>
        <c:gapWidth val="150"/>
        <c:overlap val="100"/>
        <c:axId val="1723590912"/>
        <c:axId val="611781632"/>
      </c:barChart>
      <c:catAx>
        <c:axId val="17235909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11781632"/>
        <c:crosses val="autoZero"/>
        <c:auto val="1"/>
        <c:lblAlgn val="ctr"/>
        <c:lblOffset val="100"/>
        <c:noMultiLvlLbl val="1"/>
      </c:catAx>
      <c:valAx>
        <c:axId val="611781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7235909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Electricidad!$E$575:$H$575</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4C8-44B2-8A1C-73503910C502}"/>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Electricidad!$E$577:$H$577</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4C8-44B2-8A1C-73503910C502}"/>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Electricidad!$E$579:$H$579</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4C8-44B2-8A1C-73503910C502}"/>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Electricidad!$E$580:$H$580</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4C8-44B2-8A1C-73503910C502}"/>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Electricidad!$E$581:$H$581</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4C8-44B2-8A1C-73503910C502}"/>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Electricidad!$E$582:$H$582</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4C8-44B2-8A1C-73503910C502}"/>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Electricidad!$E$585:$H$585</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24C8-44B2-8A1C-73503910C502}"/>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Electricidad!$E$586:$H$586</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24C8-44B2-8A1C-73503910C502}"/>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Electricidad!$E$587:$H$587</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24C8-44B2-8A1C-73503910C502}"/>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24C8-44B2-8A1C-73503910C502}"/>
            </c:ext>
          </c:extLst>
        </c:ser>
        <c:ser>
          <c:idx val="10"/>
          <c:order val="10"/>
          <c:invertIfNegative val="1"/>
          <c:cat>
            <c:numRef>
              <c:f>Electricidad!$E$1:$H$1</c:f>
              <c:numCache>
                <c:formatCode>General</c:formatCode>
                <c:ptCount val="4"/>
              </c:numCache>
            </c:numRef>
          </c:cat>
          <c:val>
            <c:numRef>
              <c:f>Electricidad!$E$594:$H$594</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24C8-44B2-8A1C-73503910C502}"/>
            </c:ext>
          </c:extLst>
        </c:ser>
        <c:dLbls>
          <c:showLegendKey val="0"/>
          <c:showVal val="0"/>
          <c:showCatName val="0"/>
          <c:showSerName val="0"/>
          <c:showPercent val="0"/>
          <c:showBubbleSize val="0"/>
        </c:dLbls>
        <c:gapWidth val="150"/>
        <c:overlap val="100"/>
        <c:axId val="1353559093"/>
        <c:axId val="831388167"/>
      </c:barChart>
      <c:catAx>
        <c:axId val="13535590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31388167"/>
        <c:crosses val="autoZero"/>
        <c:auto val="1"/>
        <c:lblAlgn val="ctr"/>
        <c:lblOffset val="100"/>
        <c:noMultiLvlLbl val="1"/>
      </c:catAx>
      <c:valAx>
        <c:axId val="8313881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535590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78-4DAB-AD9B-8A054A3DBC69}"/>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278-4DAB-AD9B-8A054A3DBC69}"/>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278-4DAB-AD9B-8A054A3DBC69}"/>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278-4DAB-AD9B-8A054A3DBC69}"/>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278-4DAB-AD9B-8A054A3DBC69}"/>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278-4DAB-AD9B-8A054A3DBC69}"/>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278-4DAB-AD9B-8A054A3DBC69}"/>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0.18987436107420722</c:v>
                </c:pt>
                <c:pt idx="1">
                  <c:v>0.20206812738172508</c:v>
                </c:pt>
                <c:pt idx="2">
                  <c:v>0.16839010615143757</c:v>
                </c:pt>
                <c:pt idx="3">
                  <c:v>0.19742288307409922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278-4DAB-AD9B-8A054A3DBC69}"/>
            </c:ext>
          </c:extLst>
        </c:ser>
        <c:dLbls>
          <c:showLegendKey val="0"/>
          <c:showVal val="0"/>
          <c:showCatName val="0"/>
          <c:showSerName val="0"/>
          <c:showPercent val="0"/>
          <c:showBubbleSize val="0"/>
        </c:dLbls>
        <c:gapWidth val="150"/>
        <c:overlap val="100"/>
        <c:axId val="1431681165"/>
        <c:axId val="676228899"/>
      </c:barChart>
      <c:catAx>
        <c:axId val="1431681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6228899"/>
        <c:crosses val="autoZero"/>
        <c:auto val="1"/>
        <c:lblAlgn val="ctr"/>
        <c:lblOffset val="100"/>
        <c:noMultiLvlLbl val="1"/>
      </c:catAx>
      <c:valAx>
        <c:axId val="6762288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31681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6F-48F6-8509-0E377905660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66F-48F6-8509-0E377905660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66F-48F6-8509-0E377905660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66F-48F6-8509-0E377905660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66F-48F6-8509-0E377905660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66F-48F6-8509-0E3779056605}"/>
            </c:ext>
          </c:extLst>
        </c:ser>
        <c:dLbls>
          <c:showLegendKey val="0"/>
          <c:showVal val="0"/>
          <c:showCatName val="0"/>
          <c:showSerName val="0"/>
          <c:showPercent val="0"/>
          <c:showBubbleSize val="0"/>
        </c:dLbls>
        <c:gapWidth val="150"/>
        <c:overlap val="100"/>
        <c:axId val="1324649420"/>
        <c:axId val="1863522852"/>
      </c:barChart>
      <c:catAx>
        <c:axId val="13246494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3522852"/>
        <c:crosses val="autoZero"/>
        <c:auto val="1"/>
        <c:lblAlgn val="ctr"/>
        <c:lblOffset val="100"/>
        <c:noMultiLvlLbl val="1"/>
      </c:catAx>
      <c:valAx>
        <c:axId val="1863522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3246494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C0-497C-9C7F-037DBA4AD15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FC0-497C-9C7F-037DBA4AD15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FC0-497C-9C7F-037DBA4AD15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FC0-497C-9C7F-037DBA4AD15F}"/>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FC0-497C-9C7F-037DBA4AD15F}"/>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FC0-497C-9C7F-037DBA4AD15F}"/>
            </c:ext>
          </c:extLst>
        </c:ser>
        <c:dLbls>
          <c:showLegendKey val="0"/>
          <c:showVal val="0"/>
          <c:showCatName val="0"/>
          <c:showSerName val="0"/>
          <c:showPercent val="0"/>
          <c:showBubbleSize val="0"/>
        </c:dLbls>
        <c:gapWidth val="150"/>
        <c:overlap val="100"/>
        <c:axId val="406839208"/>
        <c:axId val="1427459486"/>
      </c:barChart>
      <c:catAx>
        <c:axId val="40683920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27459486"/>
        <c:crosses val="autoZero"/>
        <c:auto val="1"/>
        <c:lblAlgn val="ctr"/>
        <c:lblOffset val="100"/>
        <c:noMultiLvlLbl val="1"/>
      </c:catAx>
      <c:valAx>
        <c:axId val="1427459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683920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2D-46A8-910D-B6E8451BFFC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2D-46A8-910D-B6E8451BFFCD}"/>
            </c:ext>
          </c:extLst>
        </c:ser>
        <c:dLbls>
          <c:showLegendKey val="0"/>
          <c:showVal val="0"/>
          <c:showCatName val="0"/>
          <c:showSerName val="0"/>
          <c:showPercent val="0"/>
          <c:showBubbleSize val="0"/>
        </c:dLbls>
        <c:gapWidth val="150"/>
        <c:overlap val="100"/>
        <c:axId val="928073052"/>
        <c:axId val="323801795"/>
      </c:barChart>
      <c:catAx>
        <c:axId val="9280730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23801795"/>
        <c:crosses val="autoZero"/>
        <c:auto val="1"/>
        <c:lblAlgn val="ctr"/>
        <c:lblOffset val="100"/>
        <c:noMultiLvlLbl val="1"/>
      </c:catAx>
      <c:valAx>
        <c:axId val="3238017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80730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4E3-4A41-8D9E-C54BCB3E44B8}"/>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4E3-4A41-8D9E-C54BCB3E44B8}"/>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4E3-4A41-8D9E-C54BCB3E44B8}"/>
            </c:ext>
          </c:extLst>
        </c:ser>
        <c:dLbls>
          <c:showLegendKey val="0"/>
          <c:showVal val="0"/>
          <c:showCatName val="0"/>
          <c:showSerName val="0"/>
          <c:showPercent val="0"/>
          <c:showBubbleSize val="0"/>
        </c:dLbls>
        <c:gapWidth val="150"/>
        <c:overlap val="100"/>
        <c:axId val="601556315"/>
        <c:axId val="1689147073"/>
      </c:barChart>
      <c:catAx>
        <c:axId val="6015563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89147073"/>
        <c:crosses val="autoZero"/>
        <c:auto val="1"/>
        <c:lblAlgn val="ctr"/>
        <c:lblOffset val="100"/>
        <c:noMultiLvlLbl val="1"/>
      </c:catAx>
      <c:valAx>
        <c:axId val="16891470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15563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6-492E-89CC-49CFB7E450CE}"/>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A6-492E-89CC-49CFB7E450CE}"/>
            </c:ext>
          </c:extLst>
        </c:ser>
        <c:dLbls>
          <c:showLegendKey val="0"/>
          <c:showVal val="0"/>
          <c:showCatName val="0"/>
          <c:showSerName val="0"/>
          <c:showPercent val="0"/>
          <c:showBubbleSize val="0"/>
        </c:dLbls>
        <c:gapWidth val="150"/>
        <c:overlap val="100"/>
        <c:axId val="34751722"/>
        <c:axId val="1593491875"/>
      </c:barChart>
      <c:catAx>
        <c:axId val="3475172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93491875"/>
        <c:crosses val="autoZero"/>
        <c:auto val="1"/>
        <c:lblAlgn val="ctr"/>
        <c:lblOffset val="100"/>
        <c:noMultiLvlLbl val="1"/>
      </c:catAx>
      <c:valAx>
        <c:axId val="15934918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3475172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6A5-4810-A476-6316AB367806}"/>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8.083132134801458</c:v>
                </c:pt>
                <c:pt idx="1">
                  <c:v>7.7306765455825008</c:v>
                </c:pt>
                <c:pt idx="2">
                  <c:v>7.3405654446948496</c:v>
                </c:pt>
                <c:pt idx="3">
                  <c:v>6.9271079265726101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6A5-4810-A476-6316AB367806}"/>
            </c:ext>
          </c:extLst>
        </c:ser>
        <c:dLbls>
          <c:showLegendKey val="0"/>
          <c:showVal val="0"/>
          <c:showCatName val="0"/>
          <c:showSerName val="0"/>
          <c:showPercent val="0"/>
          <c:showBubbleSize val="0"/>
        </c:dLbls>
        <c:gapWidth val="150"/>
        <c:overlap val="100"/>
        <c:axId val="2137548387"/>
        <c:axId val="1835580818"/>
      </c:barChart>
      <c:catAx>
        <c:axId val="21375483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35580818"/>
        <c:crosses val="autoZero"/>
        <c:auto val="1"/>
        <c:lblAlgn val="ctr"/>
        <c:lblOffset val="100"/>
        <c:noMultiLvlLbl val="1"/>
      </c:catAx>
      <c:valAx>
        <c:axId val="18355808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375483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B0-44A5-94CF-2D7C9291ABE0}"/>
            </c:ext>
          </c:extLst>
        </c:ser>
        <c:dLbls>
          <c:showLegendKey val="0"/>
          <c:showVal val="0"/>
          <c:showCatName val="0"/>
          <c:showSerName val="0"/>
          <c:showPercent val="0"/>
          <c:showBubbleSize val="0"/>
        </c:dLbls>
        <c:gapWidth val="150"/>
        <c:overlap val="100"/>
        <c:axId val="917573095"/>
        <c:axId val="71723529"/>
      </c:barChart>
      <c:catAx>
        <c:axId val="9175730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723529"/>
        <c:crosses val="autoZero"/>
        <c:auto val="1"/>
        <c:lblAlgn val="ctr"/>
        <c:lblOffset val="100"/>
        <c:noMultiLvlLbl val="1"/>
      </c:catAx>
      <c:valAx>
        <c:axId val="717235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175730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C2-4135-BCA4-12C5A47480F8}"/>
            </c:ext>
          </c:extLst>
        </c:ser>
        <c:dLbls>
          <c:showLegendKey val="0"/>
          <c:showVal val="0"/>
          <c:showCatName val="0"/>
          <c:showSerName val="0"/>
          <c:showPercent val="0"/>
          <c:showBubbleSize val="0"/>
        </c:dLbls>
        <c:gapWidth val="150"/>
        <c:axId val="2047521617"/>
        <c:axId val="689608001"/>
      </c:barChart>
      <c:catAx>
        <c:axId val="204752161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9608001"/>
        <c:crosses val="autoZero"/>
        <c:auto val="1"/>
        <c:lblAlgn val="ctr"/>
        <c:lblOffset val="100"/>
        <c:noMultiLvlLbl val="1"/>
      </c:catAx>
      <c:valAx>
        <c:axId val="68960800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4752161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Energía'!$C$13:$C$18</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Energía'!$D$13:$D$18</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45-4E7E-8105-BBF482E28129}"/>
            </c:ext>
          </c:extLst>
        </c:ser>
        <c:dLbls>
          <c:showLegendKey val="0"/>
          <c:showVal val="0"/>
          <c:showCatName val="0"/>
          <c:showSerName val="0"/>
          <c:showPercent val="0"/>
          <c:showBubbleSize val="0"/>
        </c:dLbls>
        <c:gapWidth val="150"/>
        <c:axId val="1112234018"/>
        <c:axId val="1958725007"/>
      </c:barChart>
      <c:catAx>
        <c:axId val="111223401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58725007"/>
        <c:crosses val="autoZero"/>
        <c:auto val="1"/>
        <c:lblAlgn val="ctr"/>
        <c:lblOffset val="100"/>
        <c:noMultiLvlLbl val="1"/>
      </c:catAx>
      <c:valAx>
        <c:axId val="195872500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1112234018"/>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Energía'!$C$25:$C$28</c:f>
              <c:strCache>
                <c:ptCount val="4"/>
                <c:pt idx="0">
                  <c:v>Gas/Diesel Oil</c:v>
                </c:pt>
                <c:pt idx="1">
                  <c:v>Fuel oil residual</c:v>
                </c:pt>
                <c:pt idx="2">
                  <c:v>Gas Natural (seco)</c:v>
                </c:pt>
                <c:pt idx="3">
                  <c:v>Desechos municipales</c:v>
                </c:pt>
              </c:strCache>
            </c:strRef>
          </c:cat>
          <c:val>
            <c:numRef>
              <c:f>'Emisiones Energía'!$D$25:$D$28</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98-49CD-9C6A-B3E9544C76A8}"/>
            </c:ext>
          </c:extLst>
        </c:ser>
        <c:dLbls>
          <c:showLegendKey val="0"/>
          <c:showVal val="0"/>
          <c:showCatName val="0"/>
          <c:showSerName val="0"/>
          <c:showPercent val="0"/>
          <c:showBubbleSize val="0"/>
        </c:dLbls>
        <c:gapWidth val="150"/>
        <c:axId val="1640169085"/>
        <c:axId val="1153613938"/>
      </c:barChart>
      <c:catAx>
        <c:axId val="16401690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53613938"/>
        <c:crosses val="autoZero"/>
        <c:auto val="1"/>
        <c:lblAlgn val="ctr"/>
        <c:lblOffset val="100"/>
        <c:noMultiLvlLbl val="1"/>
      </c:catAx>
      <c:valAx>
        <c:axId val="115361393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0169085"/>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Energía'!$C$32:$C$37</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Energía'!$D$32:$D$37</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DB-4F9A-A5A4-D0702C15A320}"/>
            </c:ext>
          </c:extLst>
        </c:ser>
        <c:dLbls>
          <c:showLegendKey val="0"/>
          <c:showVal val="0"/>
          <c:showCatName val="0"/>
          <c:showSerName val="0"/>
          <c:showPercent val="0"/>
          <c:showBubbleSize val="0"/>
        </c:dLbls>
        <c:gapWidth val="150"/>
        <c:axId val="1591163114"/>
        <c:axId val="1633328491"/>
      </c:barChart>
      <c:catAx>
        <c:axId val="1591163114"/>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33328491"/>
        <c:crosses val="autoZero"/>
        <c:auto val="1"/>
        <c:lblAlgn val="ctr"/>
        <c:lblOffset val="100"/>
        <c:noMultiLvlLbl val="1"/>
      </c:catAx>
      <c:valAx>
        <c:axId val="163332849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91163114"/>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Energía'!$C$41:$C$49</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Energía'!$D$41:$D$49</c:f>
              <c:numCache>
                <c:formatCode>General</c:formatCode>
                <c:ptCount val="9"/>
                <c:pt idx="0">
                  <c:v>5.6099999999999997E-2</c:v>
                </c:pt>
                <c:pt idx="1">
                  <c:v>1.12E-2</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D01-4C6D-9617-0D01D403AC94}"/>
            </c:ext>
          </c:extLst>
        </c:ser>
        <c:dLbls>
          <c:showLegendKey val="0"/>
          <c:showVal val="0"/>
          <c:showCatName val="0"/>
          <c:showSerName val="0"/>
          <c:showPercent val="0"/>
          <c:showBubbleSize val="0"/>
        </c:dLbls>
        <c:gapWidth val="150"/>
        <c:axId val="819933655"/>
        <c:axId val="1166691065"/>
      </c:barChart>
      <c:catAx>
        <c:axId val="81993365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6691065"/>
        <c:crosses val="autoZero"/>
        <c:auto val="1"/>
        <c:lblAlgn val="ctr"/>
        <c:lblOffset val="100"/>
        <c:noMultiLvlLbl val="1"/>
      </c:catAx>
      <c:valAx>
        <c:axId val="1166691065"/>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19933655"/>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Energía'!$D$52:$G$52</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FE-4D4C-80E5-C3DADB1B3413}"/>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BFE-4D4C-80E5-C3DADB1B3413}"/>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BFE-4D4C-80E5-C3DADB1B3413}"/>
            </c:ext>
          </c:extLst>
        </c:ser>
        <c:dLbls>
          <c:showLegendKey val="0"/>
          <c:showVal val="0"/>
          <c:showCatName val="0"/>
          <c:showSerName val="0"/>
          <c:showPercent val="0"/>
          <c:showBubbleSize val="0"/>
        </c:dLbls>
        <c:gapWidth val="150"/>
        <c:overlap val="100"/>
        <c:axId val="684119098"/>
        <c:axId val="1582052862"/>
      </c:barChart>
      <c:catAx>
        <c:axId val="6841190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82052862"/>
        <c:crosses val="autoZero"/>
        <c:auto val="1"/>
        <c:lblAlgn val="ctr"/>
        <c:lblOffset val="100"/>
        <c:noMultiLvlLbl val="1"/>
      </c:catAx>
      <c:valAx>
        <c:axId val="158205286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841190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Energía'!$D$62:$G$62</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DF-4AAF-9652-5B09DE357DBD}"/>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DF-4AAF-9652-5B09DE357DB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DF-4AAF-9652-5B09DE357DBD}"/>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DF-4AAF-9652-5B09DE357DBD}"/>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A5DF-4AAF-9652-5B09DE357DBD}"/>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A5DF-4AAF-9652-5B09DE357DBD}"/>
            </c:ext>
          </c:extLst>
        </c:ser>
        <c:dLbls>
          <c:showLegendKey val="0"/>
          <c:showVal val="0"/>
          <c:showCatName val="0"/>
          <c:showSerName val="0"/>
          <c:showPercent val="0"/>
          <c:showBubbleSize val="0"/>
        </c:dLbls>
        <c:gapWidth val="150"/>
        <c:overlap val="100"/>
        <c:axId val="1272455601"/>
        <c:axId val="1828956088"/>
      </c:barChart>
      <c:catAx>
        <c:axId val="12724556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28956088"/>
        <c:crosses val="autoZero"/>
        <c:auto val="1"/>
        <c:lblAlgn val="ctr"/>
        <c:lblOffset val="100"/>
        <c:noMultiLvlLbl val="1"/>
      </c:catAx>
      <c:valAx>
        <c:axId val="182895608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7245560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Energía'!$D$71:$G$71</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3A-4914-AA66-8AEC432333CE}"/>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3A-4914-AA66-8AEC432333CE}"/>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3A-4914-AA66-8AEC432333CE}"/>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3A-4914-AA66-8AEC432333CE}"/>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3A-4914-AA66-8AEC432333CE}"/>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3A-4914-AA66-8AEC432333CE}"/>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3A-4914-AA66-8AEC432333CE}"/>
            </c:ext>
          </c:extLst>
        </c:ser>
        <c:dLbls>
          <c:showLegendKey val="0"/>
          <c:showVal val="0"/>
          <c:showCatName val="0"/>
          <c:showSerName val="0"/>
          <c:showPercent val="0"/>
          <c:showBubbleSize val="0"/>
        </c:dLbls>
        <c:gapWidth val="150"/>
        <c:overlap val="100"/>
        <c:axId val="1460442685"/>
        <c:axId val="1867353505"/>
      </c:barChart>
      <c:catAx>
        <c:axId val="1460442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7353505"/>
        <c:crosses val="autoZero"/>
        <c:auto val="1"/>
        <c:lblAlgn val="ctr"/>
        <c:lblOffset val="100"/>
        <c:noMultiLvlLbl val="1"/>
      </c:catAx>
      <c:valAx>
        <c:axId val="18673535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60442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Energía'!$D$84:$G$84</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E6-4AA3-9F17-EAC70AC9A6F0}"/>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E6-4AA3-9F17-EAC70AC9A6F0}"/>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E6-4AA3-9F17-EAC70AC9A6F0}"/>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E6-4AA3-9F17-EAC70AC9A6F0}"/>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E6-4AA3-9F17-EAC70AC9A6F0}"/>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E6-4AA3-9F17-EAC70AC9A6F0}"/>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E6-4AA3-9F17-EAC70AC9A6F0}"/>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E6-4AA3-9F17-EAC70AC9A6F0}"/>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1AE6-4AA3-9F17-EAC70AC9A6F0}"/>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1AE6-4AA3-9F17-EAC70AC9A6F0}"/>
            </c:ext>
          </c:extLst>
        </c:ser>
        <c:dLbls>
          <c:showLegendKey val="0"/>
          <c:showVal val="0"/>
          <c:showCatName val="0"/>
          <c:showSerName val="0"/>
          <c:showPercent val="0"/>
          <c:showBubbleSize val="0"/>
        </c:dLbls>
        <c:gapWidth val="150"/>
        <c:overlap val="100"/>
        <c:axId val="1700785792"/>
        <c:axId val="1372534126"/>
      </c:barChart>
      <c:catAx>
        <c:axId val="170078579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2534126"/>
        <c:crosses val="autoZero"/>
        <c:auto val="1"/>
        <c:lblAlgn val="ctr"/>
        <c:lblOffset val="100"/>
        <c:noMultiLvlLbl val="1"/>
      </c:catAx>
      <c:valAx>
        <c:axId val="137253412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0078579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Energía'!$D$100:$G$100</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6B-4FE4-B6F8-55B8DC23239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6B-4FE4-B6F8-55B8DC232394}"/>
            </c:ext>
          </c:extLst>
        </c:ser>
        <c:dLbls>
          <c:showLegendKey val="0"/>
          <c:showVal val="0"/>
          <c:showCatName val="0"/>
          <c:showSerName val="0"/>
          <c:showPercent val="0"/>
          <c:showBubbleSize val="0"/>
        </c:dLbls>
        <c:gapWidth val="150"/>
        <c:overlap val="100"/>
        <c:axId val="1734382236"/>
        <c:axId val="1085312317"/>
      </c:barChart>
      <c:catAx>
        <c:axId val="173438223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5312317"/>
        <c:crosses val="autoZero"/>
        <c:auto val="1"/>
        <c:lblAlgn val="ctr"/>
        <c:lblOffset val="100"/>
        <c:noMultiLvlLbl val="1"/>
      </c:catAx>
      <c:valAx>
        <c:axId val="108531231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73438223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Energía'!$D$105:$G$105</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38-4CD0-8D32-810BB6D6A70F}"/>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B38-4CD0-8D32-810BB6D6A70F}"/>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B38-4CD0-8D32-810BB6D6A70F}"/>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B38-4CD0-8D32-810BB6D6A70F}"/>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B38-4CD0-8D32-810BB6D6A70F}"/>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B38-4CD0-8D32-810BB6D6A70F}"/>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B38-4CD0-8D32-810BB6D6A70F}"/>
            </c:ext>
          </c:extLst>
        </c:ser>
        <c:dLbls>
          <c:showLegendKey val="0"/>
          <c:showVal val="0"/>
          <c:showCatName val="0"/>
          <c:showSerName val="0"/>
          <c:showPercent val="0"/>
          <c:showBubbleSize val="0"/>
        </c:dLbls>
        <c:gapWidth val="150"/>
        <c:overlap val="100"/>
        <c:axId val="1951349620"/>
        <c:axId val="1985666399"/>
      </c:barChart>
      <c:catAx>
        <c:axId val="19513496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5666399"/>
        <c:crosses val="autoZero"/>
        <c:auto val="1"/>
        <c:lblAlgn val="ctr"/>
        <c:lblOffset val="100"/>
        <c:noMultiLvlLbl val="1"/>
      </c:catAx>
      <c:valAx>
        <c:axId val="198566639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513496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Energía'!$D$125</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B7-4C20-9594-669AEC1B87A8}"/>
            </c:ext>
          </c:extLst>
        </c:ser>
        <c:dLbls>
          <c:showLegendKey val="0"/>
          <c:showVal val="0"/>
          <c:showCatName val="0"/>
          <c:showSerName val="0"/>
          <c:showPercent val="0"/>
          <c:showBubbleSize val="0"/>
        </c:dLbls>
        <c:gapWidth val="150"/>
        <c:axId val="643366631"/>
        <c:axId val="770779796"/>
      </c:barChart>
      <c:catAx>
        <c:axId val="643366631"/>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770779796"/>
        <c:crosses val="autoZero"/>
        <c:auto val="1"/>
        <c:lblAlgn val="ctr"/>
        <c:lblOffset val="100"/>
        <c:noMultiLvlLbl val="1"/>
      </c:catAx>
      <c:valAx>
        <c:axId val="77077979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43366631"/>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571952606" name="Chart 1" title="Gráfico">
          <a:extLst>
            <a:ext uri="{FF2B5EF4-FFF2-40B4-BE49-F238E27FC236}">
              <a16:creationId xmlns:a16="http://schemas.microsoft.com/office/drawing/2014/main" id="{00000000-0008-0000-0A00-0000DE4D1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181692397" name="Chart 2" title="Gráfico">
          <a:extLst>
            <a:ext uri="{FF2B5EF4-FFF2-40B4-BE49-F238E27FC236}">
              <a16:creationId xmlns:a16="http://schemas.microsoft.com/office/drawing/2014/main" id="{00000000-0008-0000-0A00-0000ED67D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23583369" name="Chart 3" title="Gráfico">
          <a:extLst>
            <a:ext uri="{FF2B5EF4-FFF2-40B4-BE49-F238E27FC236}">
              <a16:creationId xmlns:a16="http://schemas.microsoft.com/office/drawing/2014/main" id="{00000000-0008-0000-0A00-00008947E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531741059" name="Chart 4">
          <a:extLst>
            <a:ext uri="{FF2B5EF4-FFF2-40B4-BE49-F238E27FC236}">
              <a16:creationId xmlns:a16="http://schemas.microsoft.com/office/drawing/2014/main" id="{00000000-0008-0000-0A00-000083834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605332258" name="Chart 5">
          <a:extLst>
            <a:ext uri="{FF2B5EF4-FFF2-40B4-BE49-F238E27FC236}">
              <a16:creationId xmlns:a16="http://schemas.microsoft.com/office/drawing/2014/main" id="{00000000-0008-0000-0A00-000022A31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25314279" name="Chart 6">
          <a:extLst>
            <a:ext uri="{FF2B5EF4-FFF2-40B4-BE49-F238E27FC236}">
              <a16:creationId xmlns:a16="http://schemas.microsoft.com/office/drawing/2014/main" id="{00000000-0008-0000-0A00-0000E7438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1004963178" name="Chart 7">
          <a:extLst>
            <a:ext uri="{FF2B5EF4-FFF2-40B4-BE49-F238E27FC236}">
              <a16:creationId xmlns:a16="http://schemas.microsoft.com/office/drawing/2014/main" id="{00000000-0008-0000-0A00-00006A85E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1489703137" name="Chart 8">
          <a:extLst>
            <a:ext uri="{FF2B5EF4-FFF2-40B4-BE49-F238E27FC236}">
              <a16:creationId xmlns:a16="http://schemas.microsoft.com/office/drawing/2014/main" id="{00000000-0008-0000-0A00-0000E110C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738429521" name="Chart 9">
          <a:extLst>
            <a:ext uri="{FF2B5EF4-FFF2-40B4-BE49-F238E27FC236}">
              <a16:creationId xmlns:a16="http://schemas.microsoft.com/office/drawing/2014/main" id="{00000000-0008-0000-0A00-000051549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1270867290" name="Chart 10">
          <a:extLst>
            <a:ext uri="{FF2B5EF4-FFF2-40B4-BE49-F238E27FC236}">
              <a16:creationId xmlns:a16="http://schemas.microsoft.com/office/drawing/2014/main" id="{00000000-0008-0000-0A00-00005AE5B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885547588" name="Chart 11">
          <a:extLst>
            <a:ext uri="{FF2B5EF4-FFF2-40B4-BE49-F238E27FC236}">
              <a16:creationId xmlns:a16="http://schemas.microsoft.com/office/drawing/2014/main" id="{00000000-0008-0000-0A00-00004462C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1405561949" name="Chart 12">
          <a:extLst>
            <a:ext uri="{FF2B5EF4-FFF2-40B4-BE49-F238E27FC236}">
              <a16:creationId xmlns:a16="http://schemas.microsoft.com/office/drawing/2014/main" id="{00000000-0008-0000-0A00-00005D2CC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2131121555" name="Chart 13">
          <a:extLst>
            <a:ext uri="{FF2B5EF4-FFF2-40B4-BE49-F238E27FC236}">
              <a16:creationId xmlns:a16="http://schemas.microsoft.com/office/drawing/2014/main" id="{00000000-0008-0000-0A00-000093550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1737988748" name="Chart 14">
          <a:extLst>
            <a:ext uri="{FF2B5EF4-FFF2-40B4-BE49-F238E27FC236}">
              <a16:creationId xmlns:a16="http://schemas.microsoft.com/office/drawing/2014/main" id="{00000000-0008-0000-0A00-00008C9A9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257307307" name="Chart 15">
          <a:extLst>
            <a:ext uri="{FF2B5EF4-FFF2-40B4-BE49-F238E27FC236}">
              <a16:creationId xmlns:a16="http://schemas.microsoft.com/office/drawing/2014/main" id="{00000000-0008-0000-0A00-0000ABFCF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558880217" name="Chart 16">
          <a:extLst>
            <a:ext uri="{FF2B5EF4-FFF2-40B4-BE49-F238E27FC236}">
              <a16:creationId xmlns:a16="http://schemas.microsoft.com/office/drawing/2014/main" id="{00000000-0008-0000-0A00-0000D99FE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4145295" name="Chart 17">
          <a:extLst>
            <a:ext uri="{FF2B5EF4-FFF2-40B4-BE49-F238E27FC236}">
              <a16:creationId xmlns:a16="http://schemas.microsoft.com/office/drawing/2014/main" id="{00000000-0008-0000-0B00-00000FD15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575542418" name="Chart 18">
          <a:extLst>
            <a:ext uri="{FF2B5EF4-FFF2-40B4-BE49-F238E27FC236}">
              <a16:creationId xmlns:a16="http://schemas.microsoft.com/office/drawing/2014/main" id="{00000000-0008-0000-0B00-000092DEE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2065514550" name="Chart 19">
          <a:extLst>
            <a:ext uri="{FF2B5EF4-FFF2-40B4-BE49-F238E27FC236}">
              <a16:creationId xmlns:a16="http://schemas.microsoft.com/office/drawing/2014/main" id="{00000000-0008-0000-0B00-000036401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49584269" name="Chart 20">
          <a:extLst>
            <a:ext uri="{FF2B5EF4-FFF2-40B4-BE49-F238E27FC236}">
              <a16:creationId xmlns:a16="http://schemas.microsoft.com/office/drawing/2014/main" id="{00000000-0008-0000-0B00-00008D1CC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1641457984" name="Chart 21">
          <a:extLst>
            <a:ext uri="{FF2B5EF4-FFF2-40B4-BE49-F238E27FC236}">
              <a16:creationId xmlns:a16="http://schemas.microsoft.com/office/drawing/2014/main" id="{00000000-0008-0000-0B00-000040A9D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436906817" name="Chart 22">
          <a:extLst>
            <a:ext uri="{FF2B5EF4-FFF2-40B4-BE49-F238E27FC236}">
              <a16:creationId xmlns:a16="http://schemas.microsoft.com/office/drawing/2014/main" id="{00000000-0008-0000-0B00-00004175A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1966832998" name="Chart 23">
          <a:extLst>
            <a:ext uri="{FF2B5EF4-FFF2-40B4-BE49-F238E27FC236}">
              <a16:creationId xmlns:a16="http://schemas.microsoft.com/office/drawing/2014/main" id="{00000000-0008-0000-0B00-0000667D3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562962479" name="Chart 24">
          <a:extLst>
            <a:ext uri="{FF2B5EF4-FFF2-40B4-BE49-F238E27FC236}">
              <a16:creationId xmlns:a16="http://schemas.microsoft.com/office/drawing/2014/main" id="{00000000-0008-0000-0B00-00002F208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930677498" name="Chart 25">
          <a:extLst>
            <a:ext uri="{FF2B5EF4-FFF2-40B4-BE49-F238E27FC236}">
              <a16:creationId xmlns:a16="http://schemas.microsoft.com/office/drawing/2014/main" id="{00000000-0008-0000-0B00-0000FACC1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1387930817" name="Chart 26">
          <a:extLst>
            <a:ext uri="{FF2B5EF4-FFF2-40B4-BE49-F238E27FC236}">
              <a16:creationId xmlns:a16="http://schemas.microsoft.com/office/drawing/2014/main" id="{00000000-0008-0000-0B00-0000C124B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593117647" name="Chart 27">
          <a:extLst>
            <a:ext uri="{FF2B5EF4-FFF2-40B4-BE49-F238E27FC236}">
              <a16:creationId xmlns:a16="http://schemas.microsoft.com/office/drawing/2014/main" id="{00000000-0008-0000-0B00-0000CF0BF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880217282" name="Chart 28">
          <a:extLst>
            <a:ext uri="{FF2B5EF4-FFF2-40B4-BE49-F238E27FC236}">
              <a16:creationId xmlns:a16="http://schemas.microsoft.com/office/drawing/2014/main" id="{00000000-0008-0000-0B00-0000C2D61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1204726285" name="Chart 29">
          <a:extLst>
            <a:ext uri="{FF2B5EF4-FFF2-40B4-BE49-F238E27FC236}">
              <a16:creationId xmlns:a16="http://schemas.microsoft.com/office/drawing/2014/main" id="{00000000-0008-0000-0B00-00000DAAC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1686487453" name="Chart 30">
          <a:extLst>
            <a:ext uri="{FF2B5EF4-FFF2-40B4-BE49-F238E27FC236}">
              <a16:creationId xmlns:a16="http://schemas.microsoft.com/office/drawing/2014/main" id="{00000000-0008-0000-0B00-00009DC18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625311431" name="Chart 31">
          <a:extLst>
            <a:ext uri="{FF2B5EF4-FFF2-40B4-BE49-F238E27FC236}">
              <a16:creationId xmlns:a16="http://schemas.microsoft.com/office/drawing/2014/main" id="{00000000-0008-0000-0B00-0000C77E4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343987242" name="Chart 32">
          <a:extLst>
            <a:ext uri="{FF2B5EF4-FFF2-40B4-BE49-F238E27FC236}">
              <a16:creationId xmlns:a16="http://schemas.microsoft.com/office/drawing/2014/main" id="{00000000-0008-0000-0B00-00002AD48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610819983" name="Chart 33">
          <a:extLst>
            <a:ext uri="{FF2B5EF4-FFF2-40B4-BE49-F238E27FC236}">
              <a16:creationId xmlns:a16="http://schemas.microsoft.com/office/drawing/2014/main" id="{00000000-0008-0000-0B00-00008F29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695006964" name="Chart 34">
          <a:extLst>
            <a:ext uri="{FF2B5EF4-FFF2-40B4-BE49-F238E27FC236}">
              <a16:creationId xmlns:a16="http://schemas.microsoft.com/office/drawing/2014/main" id="{00000000-0008-0000-0B00-0000F4C00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779346608" name="Chart 35">
          <a:extLst>
            <a:ext uri="{FF2B5EF4-FFF2-40B4-BE49-F238E27FC236}">
              <a16:creationId xmlns:a16="http://schemas.microsoft.com/office/drawing/2014/main" id="{00000000-0008-0000-0B00-0000B0AC0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053925899" name="Chart 36">
          <a:extLst>
            <a:ext uri="{FF2B5EF4-FFF2-40B4-BE49-F238E27FC236}">
              <a16:creationId xmlns:a16="http://schemas.microsoft.com/office/drawing/2014/main" id="{00000000-0008-0000-0B00-00000BA2D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1494589668" name="Chart 37">
          <a:extLst>
            <a:ext uri="{FF2B5EF4-FFF2-40B4-BE49-F238E27FC236}">
              <a16:creationId xmlns:a16="http://schemas.microsoft.com/office/drawing/2014/main" id="{00000000-0008-0000-0B00-0000E4A01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253039872" name="Chart 38">
          <a:extLst>
            <a:ext uri="{FF2B5EF4-FFF2-40B4-BE49-F238E27FC236}">
              <a16:creationId xmlns:a16="http://schemas.microsoft.com/office/drawing/2014/main" id="{00000000-0008-0000-0B00-000000151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1214350616" name="Chart 39">
          <a:extLst>
            <a:ext uri="{FF2B5EF4-FFF2-40B4-BE49-F238E27FC236}">
              <a16:creationId xmlns:a16="http://schemas.microsoft.com/office/drawing/2014/main" id="{00000000-0008-0000-0B00-000018856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929781206" name="Chart 40">
          <a:extLst>
            <a:ext uri="{FF2B5EF4-FFF2-40B4-BE49-F238E27FC236}">
              <a16:creationId xmlns:a16="http://schemas.microsoft.com/office/drawing/2014/main" id="{00000000-0008-0000-0B00-0000D61F0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288017619" name="Chart 41">
          <a:extLst>
            <a:ext uri="{FF2B5EF4-FFF2-40B4-BE49-F238E27FC236}">
              <a16:creationId xmlns:a16="http://schemas.microsoft.com/office/drawing/2014/main" id="{00000000-0008-0000-0B00-0000D3CC2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161056420" name="Chart 42">
          <a:extLst>
            <a:ext uri="{FF2B5EF4-FFF2-40B4-BE49-F238E27FC236}">
              <a16:creationId xmlns:a16="http://schemas.microsoft.com/office/drawing/2014/main" id="{00000000-0008-0000-0B00-0000A4503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372469359" name="Chart 43">
          <a:extLst>
            <a:ext uri="{FF2B5EF4-FFF2-40B4-BE49-F238E27FC236}">
              <a16:creationId xmlns:a16="http://schemas.microsoft.com/office/drawing/2014/main" id="{00000000-0008-0000-0B00-00006F6E3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1782426392" name="Chart 44">
          <a:extLst>
            <a:ext uri="{FF2B5EF4-FFF2-40B4-BE49-F238E27FC236}">
              <a16:creationId xmlns:a16="http://schemas.microsoft.com/office/drawing/2014/main" id="{00000000-0008-0000-0B00-000018AB3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1160565586" name="Chart 45">
          <a:extLst>
            <a:ext uri="{FF2B5EF4-FFF2-40B4-BE49-F238E27FC236}">
              <a16:creationId xmlns:a16="http://schemas.microsoft.com/office/drawing/2014/main" id="{00000000-0008-0000-0B00-000052D32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1807881197" name="Chart 46">
          <a:extLst>
            <a:ext uri="{FF2B5EF4-FFF2-40B4-BE49-F238E27FC236}">
              <a16:creationId xmlns:a16="http://schemas.microsoft.com/office/drawing/2014/main" id="{00000000-0008-0000-0B00-0000ED13C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636379850" name="Chart 47">
          <a:extLst>
            <a:ext uri="{FF2B5EF4-FFF2-40B4-BE49-F238E27FC236}">
              <a16:creationId xmlns:a16="http://schemas.microsoft.com/office/drawing/2014/main" id="{00000000-0008-0000-0B00-0000CA2C8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850478402" name="Chart 48">
          <a:extLst>
            <a:ext uri="{FF2B5EF4-FFF2-40B4-BE49-F238E27FC236}">
              <a16:creationId xmlns:a16="http://schemas.microsoft.com/office/drawing/2014/main" id="{00000000-0008-0000-0B00-0000420F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521555537" name="Chart 49">
          <a:extLst>
            <a:ext uri="{FF2B5EF4-FFF2-40B4-BE49-F238E27FC236}">
              <a16:creationId xmlns:a16="http://schemas.microsoft.com/office/drawing/2014/main" id="{00000000-0008-0000-0B00-0000514E1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203341950" name="Chart 50">
          <a:extLst>
            <a:ext uri="{FF2B5EF4-FFF2-40B4-BE49-F238E27FC236}">
              <a16:creationId xmlns:a16="http://schemas.microsoft.com/office/drawing/2014/main" id="{00000000-0008-0000-0B00-00007EC01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1061179473" name="Chart 51">
          <a:extLst>
            <a:ext uri="{FF2B5EF4-FFF2-40B4-BE49-F238E27FC236}">
              <a16:creationId xmlns:a16="http://schemas.microsoft.com/office/drawing/2014/main" id="{00000000-0008-0000-0B00-000051504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621507874" name="Chart 52">
          <a:extLst>
            <a:ext uri="{FF2B5EF4-FFF2-40B4-BE49-F238E27FC236}">
              <a16:creationId xmlns:a16="http://schemas.microsoft.com/office/drawing/2014/main" id="{00000000-0008-0000-0B00-0000223FA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1681677652" name="Chart 53">
          <a:extLst>
            <a:ext uri="{FF2B5EF4-FFF2-40B4-BE49-F238E27FC236}">
              <a16:creationId xmlns:a16="http://schemas.microsoft.com/office/drawing/2014/main" id="{00000000-0008-0000-0B00-0000545D3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231109958" name="Chart 54">
          <a:extLst>
            <a:ext uri="{FF2B5EF4-FFF2-40B4-BE49-F238E27FC236}">
              <a16:creationId xmlns:a16="http://schemas.microsoft.com/office/drawing/2014/main" id="{00000000-0008-0000-0B00-00004675C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036004017" name="Chart 55">
          <a:extLst>
            <a:ext uri="{FF2B5EF4-FFF2-40B4-BE49-F238E27FC236}">
              <a16:creationId xmlns:a16="http://schemas.microsoft.com/office/drawing/2014/main" id="{00000000-0008-0000-0B00-0000B12AC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110482375" name="Chart 56">
          <a:extLst>
            <a:ext uri="{FF2B5EF4-FFF2-40B4-BE49-F238E27FC236}">
              <a16:creationId xmlns:a16="http://schemas.microsoft.com/office/drawing/2014/main" id="{00000000-0008-0000-0B00-0000C7D39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366343649" name="Chart 57">
          <a:extLst>
            <a:ext uri="{FF2B5EF4-FFF2-40B4-BE49-F238E27FC236}">
              <a16:creationId xmlns:a16="http://schemas.microsoft.com/office/drawing/2014/main" id="{00000000-0008-0000-0B00-0000E1BF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760501221" name="Chart 58">
          <a:extLst>
            <a:ext uri="{FF2B5EF4-FFF2-40B4-BE49-F238E27FC236}">
              <a16:creationId xmlns:a16="http://schemas.microsoft.com/office/drawing/2014/main" id="{00000000-0008-0000-0B00-0000E5535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1845186051" name="Chart 59">
          <a:extLst>
            <a:ext uri="{FF2B5EF4-FFF2-40B4-BE49-F238E27FC236}">
              <a16:creationId xmlns:a16="http://schemas.microsoft.com/office/drawing/2014/main" id="{00000000-0008-0000-0B00-0000034EF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566515014" name="Chart 60">
          <a:extLst>
            <a:ext uri="{FF2B5EF4-FFF2-40B4-BE49-F238E27FC236}">
              <a16:creationId xmlns:a16="http://schemas.microsoft.com/office/drawing/2014/main" id="{00000000-0008-0000-0B00-00004655C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733425</xdr:colOff>
      <xdr:row>14</xdr:row>
      <xdr:rowOff>28575</xdr:rowOff>
    </xdr:from>
    <xdr:ext cx="1476375" cy="457200"/>
    <xdr:sp macro="" textlink="">
      <xdr:nvSpPr>
        <xdr:cNvPr id="3" name="Shape 3">
          <a:extLst>
            <a:ext uri="{FF2B5EF4-FFF2-40B4-BE49-F238E27FC236}">
              <a16:creationId xmlns:a16="http://schemas.microsoft.com/office/drawing/2014/main" id="{00000000-0008-0000-0B00-000003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647700</xdr:colOff>
      <xdr:row>23</xdr:row>
      <xdr:rowOff>0</xdr:rowOff>
    </xdr:from>
    <xdr:ext cx="466725" cy="295275"/>
    <xdr:sp macro="" textlink="">
      <xdr:nvSpPr>
        <xdr:cNvPr id="4" name="Shape 4">
          <a:extLst>
            <a:ext uri="{FF2B5EF4-FFF2-40B4-BE49-F238E27FC236}">
              <a16:creationId xmlns:a16="http://schemas.microsoft.com/office/drawing/2014/main" id="{00000000-0008-0000-0B00-000004000000}"/>
            </a:ext>
          </a:extLst>
        </xdr:cNvPr>
        <xdr:cNvSpPr txBox="1"/>
      </xdr:nvSpPr>
      <xdr:spPr>
        <a:xfrm>
          <a:off x="5117400" y="3637125"/>
          <a:ext cx="4572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1057275</xdr:colOff>
      <xdr:row>37</xdr:row>
      <xdr:rowOff>104775</xdr:rowOff>
    </xdr:from>
    <xdr:ext cx="1485900" cy="476250"/>
    <xdr:sp macro="" textlink="">
      <xdr:nvSpPr>
        <xdr:cNvPr id="5" name="Shape 5">
          <a:extLst>
            <a:ext uri="{FF2B5EF4-FFF2-40B4-BE49-F238E27FC236}">
              <a16:creationId xmlns:a16="http://schemas.microsoft.com/office/drawing/2014/main" id="{00000000-0008-0000-0B00-000005000000}"/>
            </a:ext>
          </a:extLst>
        </xdr:cNvPr>
        <xdr:cNvSpPr txBox="1"/>
      </xdr:nvSpPr>
      <xdr:spPr>
        <a:xfrm>
          <a:off x="4607813" y="3546638"/>
          <a:ext cx="1476375"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695325</xdr:colOff>
      <xdr:row>38</xdr:row>
      <xdr:rowOff>19050</xdr:rowOff>
    </xdr:from>
    <xdr:ext cx="1476375" cy="457200"/>
    <xdr:sp macro="" textlink="">
      <xdr:nvSpPr>
        <xdr:cNvPr id="6" name="Shape 6">
          <a:extLst>
            <a:ext uri="{FF2B5EF4-FFF2-40B4-BE49-F238E27FC236}">
              <a16:creationId xmlns:a16="http://schemas.microsoft.com/office/drawing/2014/main" id="{00000000-0008-0000-0B00-000006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685800</xdr:colOff>
      <xdr:row>46</xdr:row>
      <xdr:rowOff>19050</xdr:rowOff>
    </xdr:from>
    <xdr:ext cx="542925" cy="304800"/>
    <xdr:sp macro="" textlink="">
      <xdr:nvSpPr>
        <xdr:cNvPr id="7" name="Shape 7">
          <a:extLst>
            <a:ext uri="{FF2B5EF4-FFF2-40B4-BE49-F238E27FC236}">
              <a16:creationId xmlns:a16="http://schemas.microsoft.com/office/drawing/2014/main" id="{00000000-0008-0000-0B00-000007000000}"/>
            </a:ext>
          </a:extLst>
        </xdr:cNvPr>
        <xdr:cNvSpPr txBox="1"/>
      </xdr:nvSpPr>
      <xdr:spPr>
        <a:xfrm>
          <a:off x="5079300" y="3632363"/>
          <a:ext cx="533400" cy="2952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581025</xdr:colOff>
      <xdr:row>46</xdr:row>
      <xdr:rowOff>9525</xdr:rowOff>
    </xdr:from>
    <xdr:ext cx="428625" cy="295275"/>
    <xdr:sp macro="" textlink="">
      <xdr:nvSpPr>
        <xdr:cNvPr id="8" name="Shape 8">
          <a:extLst>
            <a:ext uri="{FF2B5EF4-FFF2-40B4-BE49-F238E27FC236}">
              <a16:creationId xmlns:a16="http://schemas.microsoft.com/office/drawing/2014/main" id="{00000000-0008-0000-0B00-000008000000}"/>
            </a:ext>
          </a:extLst>
        </xdr:cNvPr>
        <xdr:cNvSpPr txBox="1"/>
      </xdr:nvSpPr>
      <xdr:spPr>
        <a:xfrm>
          <a:off x="5136450" y="3637125"/>
          <a:ext cx="4191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73000" cy="2952750"/>
    <xdr:sp macro="" textlink="">
      <xdr:nvSpPr>
        <xdr:cNvPr id="9" name="Shape 9">
          <a:extLst>
            <a:ext uri="{FF2B5EF4-FFF2-40B4-BE49-F238E27FC236}">
              <a16:creationId xmlns:a16="http://schemas.microsoft.com/office/drawing/2014/main" id="{00000000-0008-0000-0B00-000009000000}"/>
            </a:ext>
          </a:extLst>
        </xdr:cNvPr>
        <xdr:cNvSpPr/>
      </xdr:nvSpPr>
      <xdr:spPr>
        <a:xfrm>
          <a:off x="0" y="2308388"/>
          <a:ext cx="10692000" cy="294322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76200</xdr:rowOff>
    </xdr:from>
    <xdr:ext cx="12573000" cy="3248025"/>
    <xdr:sp macro="" textlink="">
      <xdr:nvSpPr>
        <xdr:cNvPr id="10" name="Shape 10">
          <a:extLst>
            <a:ext uri="{FF2B5EF4-FFF2-40B4-BE49-F238E27FC236}">
              <a16:creationId xmlns:a16="http://schemas.microsoft.com/office/drawing/2014/main" id="{00000000-0008-0000-0B00-00000A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73000" cy="3228975"/>
    <xdr:sp macro="" textlink="">
      <xdr:nvSpPr>
        <xdr:cNvPr id="11" name="Shape 11">
          <a:extLst>
            <a:ext uri="{FF2B5EF4-FFF2-40B4-BE49-F238E27FC236}">
              <a16:creationId xmlns:a16="http://schemas.microsoft.com/office/drawing/2014/main" id="{00000000-0008-0000-0B00-00000B000000}"/>
            </a:ext>
          </a:extLst>
        </xdr:cNvPr>
        <xdr:cNvSpPr/>
      </xdr:nvSpPr>
      <xdr:spPr>
        <a:xfrm>
          <a:off x="0" y="2170275"/>
          <a:ext cx="10692000" cy="32194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73000" cy="1838325"/>
    <xdr:sp macro="" textlink="">
      <xdr:nvSpPr>
        <xdr:cNvPr id="12" name="Shape 12">
          <a:extLst>
            <a:ext uri="{FF2B5EF4-FFF2-40B4-BE49-F238E27FC236}">
              <a16:creationId xmlns:a16="http://schemas.microsoft.com/office/drawing/2014/main" id="{00000000-0008-0000-0B00-00000C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73000" cy="1838325"/>
    <xdr:sp macro="" textlink="">
      <xdr:nvSpPr>
        <xdr:cNvPr id="13" name="Shape 13">
          <a:extLst>
            <a:ext uri="{FF2B5EF4-FFF2-40B4-BE49-F238E27FC236}">
              <a16:creationId xmlns:a16="http://schemas.microsoft.com/office/drawing/2014/main" id="{00000000-0008-0000-0B00-00000D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461</xdr:row>
      <xdr:rowOff>9525</xdr:rowOff>
    </xdr:from>
    <xdr:ext cx="12573000" cy="1838325"/>
    <xdr:sp macro="" textlink="">
      <xdr:nvSpPr>
        <xdr:cNvPr id="14" name="Shape 14">
          <a:extLst>
            <a:ext uri="{FF2B5EF4-FFF2-40B4-BE49-F238E27FC236}">
              <a16:creationId xmlns:a16="http://schemas.microsoft.com/office/drawing/2014/main" id="{00000000-0008-0000-0B00-00000E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471</xdr:row>
      <xdr:rowOff>57150</xdr:rowOff>
    </xdr:from>
    <xdr:ext cx="12573000" cy="1838325"/>
    <xdr:sp macro="" textlink="">
      <xdr:nvSpPr>
        <xdr:cNvPr id="15" name="Shape 15">
          <a:extLst>
            <a:ext uri="{FF2B5EF4-FFF2-40B4-BE49-F238E27FC236}">
              <a16:creationId xmlns:a16="http://schemas.microsoft.com/office/drawing/2014/main" id="{00000000-0008-0000-0B00-00000F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888469657" name="Chart 61">
          <a:extLst>
            <a:ext uri="{FF2B5EF4-FFF2-40B4-BE49-F238E27FC236}">
              <a16:creationId xmlns:a16="http://schemas.microsoft.com/office/drawing/2014/main" id="{00000000-0008-0000-0C00-000099F8F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2022837138" name="Chart 62">
          <a:extLst>
            <a:ext uri="{FF2B5EF4-FFF2-40B4-BE49-F238E27FC236}">
              <a16:creationId xmlns:a16="http://schemas.microsoft.com/office/drawing/2014/main" id="{00000000-0008-0000-0C00-0000920B9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2034930496" name="Chart 63">
          <a:extLst>
            <a:ext uri="{FF2B5EF4-FFF2-40B4-BE49-F238E27FC236}">
              <a16:creationId xmlns:a16="http://schemas.microsoft.com/office/drawing/2014/main" id="{00000000-0008-0000-0C00-000040934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297042313" name="Chart 64">
          <a:extLst>
            <a:ext uri="{FF2B5EF4-FFF2-40B4-BE49-F238E27FC236}">
              <a16:creationId xmlns:a16="http://schemas.microsoft.com/office/drawing/2014/main" id="{00000000-0008-0000-0C00-0000894B4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2086106595" name="Chart 65">
          <a:extLst>
            <a:ext uri="{FF2B5EF4-FFF2-40B4-BE49-F238E27FC236}">
              <a16:creationId xmlns:a16="http://schemas.microsoft.com/office/drawing/2014/main" id="{00000000-0008-0000-0C00-0000E3755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2043981339" name="Chart 66">
          <a:extLst>
            <a:ext uri="{FF2B5EF4-FFF2-40B4-BE49-F238E27FC236}">
              <a16:creationId xmlns:a16="http://schemas.microsoft.com/office/drawing/2014/main" id="{00000000-0008-0000-0C00-00001BAED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83706547" name="Chart 67">
          <a:extLst>
            <a:ext uri="{FF2B5EF4-FFF2-40B4-BE49-F238E27FC236}">
              <a16:creationId xmlns:a16="http://schemas.microsoft.com/office/drawing/2014/main" id="{00000000-0008-0000-0C00-0000B3A7C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213259622" name="Chart 68">
          <a:extLst>
            <a:ext uri="{FF2B5EF4-FFF2-40B4-BE49-F238E27FC236}">
              <a16:creationId xmlns:a16="http://schemas.microsoft.com/office/drawing/2014/main" id="{00000000-0008-0000-0C00-00006615B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557014737" name="Chart 69">
          <a:extLst>
            <a:ext uri="{FF2B5EF4-FFF2-40B4-BE49-F238E27FC236}">
              <a16:creationId xmlns:a16="http://schemas.microsoft.com/office/drawing/2014/main" id="{00000000-0008-0000-0D00-0000D128C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177378901" name="Chart 70">
          <a:extLst>
            <a:ext uri="{FF2B5EF4-FFF2-40B4-BE49-F238E27FC236}">
              <a16:creationId xmlns:a16="http://schemas.microsoft.com/office/drawing/2014/main" id="{00000000-0008-0000-0D00-000055602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581440017" name="Chart 71">
          <a:extLst>
            <a:ext uri="{FF2B5EF4-FFF2-40B4-BE49-F238E27FC236}">
              <a16:creationId xmlns:a16="http://schemas.microsoft.com/office/drawing/2014/main" id="{00000000-0008-0000-0D00-00001112A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705484566" name="Chart 72">
          <a:extLst>
            <a:ext uri="{FF2B5EF4-FFF2-40B4-BE49-F238E27FC236}">
              <a16:creationId xmlns:a16="http://schemas.microsoft.com/office/drawing/2014/main" id="{00000000-0008-0000-0D00-000016D7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851754651" name="Chart 73">
          <a:extLst>
            <a:ext uri="{FF2B5EF4-FFF2-40B4-BE49-F238E27FC236}">
              <a16:creationId xmlns:a16="http://schemas.microsoft.com/office/drawing/2014/main" id="{00000000-0008-0000-0D00-00009B885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35610574" name="Chart 74">
          <a:extLst>
            <a:ext uri="{FF2B5EF4-FFF2-40B4-BE49-F238E27FC236}">
              <a16:creationId xmlns:a16="http://schemas.microsoft.com/office/drawing/2014/main" id="{00000000-0008-0000-0D00-0000CE5F1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1186527482" name="Chart 75">
          <a:extLst>
            <a:ext uri="{FF2B5EF4-FFF2-40B4-BE49-F238E27FC236}">
              <a16:creationId xmlns:a16="http://schemas.microsoft.com/office/drawing/2014/main" id="{00000000-0008-0000-0D00-0000FAF8B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344345865" name="Chart 76">
          <a:extLst>
            <a:ext uri="{FF2B5EF4-FFF2-40B4-BE49-F238E27FC236}">
              <a16:creationId xmlns:a16="http://schemas.microsoft.com/office/drawing/2014/main" id="{00000000-0008-0000-0D00-0000094D8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970617285" name="Chart 77">
          <a:extLst>
            <a:ext uri="{FF2B5EF4-FFF2-40B4-BE49-F238E27FC236}">
              <a16:creationId xmlns:a16="http://schemas.microsoft.com/office/drawing/2014/main" id="{00000000-0008-0000-0D00-0000C571D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659576907" name="Chart 78">
          <a:extLst>
            <a:ext uri="{FF2B5EF4-FFF2-40B4-BE49-F238E27FC236}">
              <a16:creationId xmlns:a16="http://schemas.microsoft.com/office/drawing/2014/main" id="{00000000-0008-0000-0D00-00004B585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767238843" name="Chart 79">
          <a:extLst>
            <a:ext uri="{FF2B5EF4-FFF2-40B4-BE49-F238E27FC236}">
              <a16:creationId xmlns:a16="http://schemas.microsoft.com/office/drawing/2014/main" id="{00000000-0008-0000-0D00-0000BB22B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1441366158" name="Chart 80">
          <a:extLst>
            <a:ext uri="{FF2B5EF4-FFF2-40B4-BE49-F238E27FC236}">
              <a16:creationId xmlns:a16="http://schemas.microsoft.com/office/drawing/2014/main" id="{00000000-0008-0000-0D00-00008E80E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723900</xdr:colOff>
      <xdr:row>3</xdr:row>
      <xdr:rowOff>180975</xdr:rowOff>
    </xdr:from>
    <xdr:ext cx="3952875" cy="2057400"/>
    <xdr:pic>
      <xdr:nvPicPr>
        <xdr:cNvPr id="2" name="image2.png">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067175" cy="971550"/>
    <xdr:pic>
      <xdr:nvPicPr>
        <xdr:cNvPr id="3" name="image1.png">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1</xdr:row>
      <xdr:rowOff>114300</xdr:rowOff>
    </xdr:from>
    <xdr:ext cx="4057650" cy="333375"/>
    <xdr:pic>
      <xdr:nvPicPr>
        <xdr:cNvPr id="4" name="image8.png">
          <a:extLst>
            <a:ext uri="{FF2B5EF4-FFF2-40B4-BE49-F238E27FC236}">
              <a16:creationId xmlns:a16="http://schemas.microsoft.com/office/drawing/2014/main" id="{00000000-0008-0000-1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171450</xdr:colOff>
      <xdr:row>4</xdr:row>
      <xdr:rowOff>171450</xdr:rowOff>
    </xdr:from>
    <xdr:ext cx="3276600" cy="1257300"/>
    <xdr:pic>
      <xdr:nvPicPr>
        <xdr:cNvPr id="5" name="image6.png">
          <a:extLst>
            <a:ext uri="{FF2B5EF4-FFF2-40B4-BE49-F238E27FC236}">
              <a16:creationId xmlns:a16="http://schemas.microsoft.com/office/drawing/2014/main" id="{00000000-0008-0000-1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4038600" cy="314325"/>
    <xdr:pic>
      <xdr:nvPicPr>
        <xdr:cNvPr id="6" name="image3.png">
          <a:extLst>
            <a:ext uri="{FF2B5EF4-FFF2-40B4-BE49-F238E27FC236}">
              <a16:creationId xmlns:a16="http://schemas.microsoft.com/office/drawing/2014/main" id="{00000000-0008-0000-1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0</xdr:colOff>
      <xdr:row>18</xdr:row>
      <xdr:rowOff>0</xdr:rowOff>
    </xdr:from>
    <xdr:ext cx="3943350" cy="962025"/>
    <xdr:pic>
      <xdr:nvPicPr>
        <xdr:cNvPr id="7" name="image5.png">
          <a:extLst>
            <a:ext uri="{FF2B5EF4-FFF2-40B4-BE49-F238E27FC236}">
              <a16:creationId xmlns:a16="http://schemas.microsoft.com/office/drawing/2014/main" id="{00000000-0008-0000-1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47625</xdr:colOff>
      <xdr:row>24</xdr:row>
      <xdr:rowOff>28575</xdr:rowOff>
    </xdr:from>
    <xdr:ext cx="3943350" cy="828675"/>
    <xdr:pic>
      <xdr:nvPicPr>
        <xdr:cNvPr id="8" name="image4.png">
          <a:extLst>
            <a:ext uri="{FF2B5EF4-FFF2-40B4-BE49-F238E27FC236}">
              <a16:creationId xmlns:a16="http://schemas.microsoft.com/office/drawing/2014/main" id="{00000000-0008-0000-1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638175</xdr:colOff>
      <xdr:row>0</xdr:row>
      <xdr:rowOff>0</xdr:rowOff>
    </xdr:from>
    <xdr:ext cx="3943350" cy="342900"/>
    <xdr:pic>
      <xdr:nvPicPr>
        <xdr:cNvPr id="9" name="image7.png">
          <a:extLst>
            <a:ext uri="{FF2B5EF4-FFF2-40B4-BE49-F238E27FC236}">
              <a16:creationId xmlns:a16="http://schemas.microsoft.com/office/drawing/2014/main" id="{00000000-0008-0000-1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ull"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ull"/>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Lissete Davila" id="{BA142F44-8B70-4DD4-87AB-F69AFD215F95}"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78" dT="2023-05-31T05:46:59.77" personId="{BA142F44-8B70-4DD4-87AB-F69AFD215F95}" id="{290FE1A2-CD99-4091-8B40-7B2EC2869A60}">
    <text>Forma de calcular y fuentes bibliograficas se encuentran en el siguiente doc https://docs.google.com/spreadsheets/d/1PgHFyml5JB17HpNJaW216_JB_uWEqD1L/edit?usp=sharing&amp;ouid=108620842928617053979&amp;rtpof=true&amp;sd=true</text>
  </threadedComment>
  <threadedComment ref="E82" dT="2023-05-31T05:31:14.19" personId="{BA142F44-8B70-4DD4-87AB-F69AFD215F95}" id="{A71F58C0-51CC-4283-8313-D94A5EFB0EDD}">
    <text>En la fuente original el valor es de 0.08$/kg de Hidrógeno</text>
  </threadedComment>
  <threadedComment ref="E82" dT="2023-05-31T05:34:44.11" personId="{BA142F44-8B70-4DD4-87AB-F69AFD215F95}" id="{AEE468DD-0B0F-434E-AD43-3365193FF04B}" parentId="{A71F58C0-51CC-4283-8313-D94A5EFB0EDD}">
    <text>El poder calorífico interior es de 120 MJ/kg https://energia.jcyl.es/web/es/biblioteca/combustible-hidrogeno.html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B62" dT="2023-05-31T05:46:59.77" personId="{BA142F44-8B70-4DD4-87AB-F69AFD215F95}" id="{77F228F3-5120-4D3F-8E85-925F376AC3A1}">
    <text>Forma de calcular y fuentes bibliograficas se encuentran en el siguiente doc https://docs.google.com/spreadsheets/d/1PgHFyml5JB17HpNJaW216_JB_uWEqD1L/edit?usp=sharing&amp;ouid=108620842928617053979&amp;rtpof=true&amp;sd=true</text>
  </threadedComment>
  <threadedComment ref="B78" dT="2023-05-31T05:46:59.77" personId="{BA142F44-8B70-4DD4-87AB-F69AFD215F95}" id="{CFE20F0B-5636-4556-A1BF-004A661C05E0}">
    <text>Forma de calcular y fuentes bibliograficas se encuentran en el siguiente doc https://docs.google.com/spreadsheets/d/1PgHFyml5JB17HpNJaW216_JB_uWEqD1L/edit?usp=sharing&amp;ouid=108620842928617053979&amp;rtpof=true&amp;sd=true</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7" Type="http://schemas.openxmlformats.org/officeDocument/2006/relationships/comments" Target="../comments1.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1.vml"/><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bibdigital.epn.edu.ec/bitstream/15000/21233/1/CD%2010749.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google.com/spreadsheets/d/1o5fd77snZK7anhtf5hhT5zmPw7j6ykzW/edit?usp=share_link&amp;ouid=108620842928617053979&amp;rtpof=true&amp;sd=true" TargetMode="External"/><Relationship Id="rId13" Type="http://schemas.openxmlformats.org/officeDocument/2006/relationships/hyperlink" Target="https://docs.google.com/spreadsheets/d/1o5fd77snZK7anhtf5hhT5zmPw7j6ykzW/edit?usp=share_link&amp;ouid=108620842928617053979&amp;rtpof=true&amp;sd=true" TargetMode="External"/><Relationship Id="rId18" Type="http://schemas.openxmlformats.org/officeDocument/2006/relationships/hyperlink" Target="https://www.sciencedirect.com/science/article/abs/pii/S0360544217300129" TargetMode="External"/><Relationship Id="rId3" Type="http://schemas.openxmlformats.org/officeDocument/2006/relationships/hyperlink" Target="https://docs.google.com/spreadsheets/d/1o5fd77snZK7anhtf5hhT5zmPw7j6ykzW/edit?usp=share_link&amp;ouid=108620842928617053979&amp;rtpof=true&amp;sd=true" TargetMode="External"/><Relationship Id="rId7" Type="http://schemas.openxmlformats.org/officeDocument/2006/relationships/hyperlink" Target="https://docs.google.com/spreadsheets/d/1o5fd77snZK7anhtf5hhT5zmPw7j6ykzW/edit?usp=share_link&amp;ouid=108620842928617053979&amp;rtpof=true&amp;sd=true" TargetMode="External"/><Relationship Id="rId12" Type="http://schemas.openxmlformats.org/officeDocument/2006/relationships/hyperlink" Target="https://docs.google.com/spreadsheets/d/1o5fd77snZK7anhtf5hhT5zmPw7j6ykzW/edit?usp=share_link&amp;ouid=108620842928617053979&amp;rtpof=true&amp;sd=true" TargetMode="External"/><Relationship Id="rId17" Type="http://schemas.openxmlformats.org/officeDocument/2006/relationships/hyperlink" Target="https://www.iea.org/reports/world-energy-outlook-2022" TargetMode="External"/><Relationship Id="rId2" Type="http://schemas.openxmlformats.org/officeDocument/2006/relationships/hyperlink" Target="https://docs.google.com/spreadsheets/d/1o5fd77snZK7anhtf5hhT5zmPw7j6ykzW/edit?usp=share_link&amp;ouid=108620842928617053979&amp;rtpof=true&amp;sd=true" TargetMode="External"/><Relationship Id="rId16" Type="http://schemas.openxmlformats.org/officeDocument/2006/relationships/hyperlink" Target="https://www.dropbox.com/scl/fi/oks7ok1uazing1xa9bh4k/Costos-variables-de-operacion-y-mantenimiento_MWh.xlsx?dl=0&amp;rlkey=z6v8kcrttceol2124hm437c24" TargetMode="External"/><Relationship Id="rId20" Type="http://schemas.openxmlformats.org/officeDocument/2006/relationships/comments" Target="../comments5.xml"/><Relationship Id="rId1" Type="http://schemas.openxmlformats.org/officeDocument/2006/relationships/hyperlink" Target="https://docs.google.com/spreadsheets/d/1o5fd77snZK7anhtf5hhT5zmPw7j6ykzW/edit?usp=share_link&amp;ouid=108620842928617053979&amp;rtpof=true&amp;sd=true" TargetMode="External"/><Relationship Id="rId6" Type="http://schemas.openxmlformats.org/officeDocument/2006/relationships/hyperlink" Target="https://docs.google.com/spreadsheets/d/1o5fd77snZK7anhtf5hhT5zmPw7j6ykzW/edit?usp=share_link&amp;ouid=108620842928617053979&amp;rtpof=true&amp;sd=true" TargetMode="External"/><Relationship Id="rId11" Type="http://schemas.openxmlformats.org/officeDocument/2006/relationships/hyperlink" Target="https://docs.google.com/spreadsheets/d/1o5fd77snZK7anhtf5hhT5zmPw7j6ykzW/edit?usp=share_link&amp;ouid=108620842928617053979&amp;rtpof=true&amp;sd=true" TargetMode="External"/><Relationship Id="rId5" Type="http://schemas.openxmlformats.org/officeDocument/2006/relationships/hyperlink" Target="https://docs.google.com/spreadsheets/d/1o5fd77snZK7anhtf5hhT5zmPw7j6ykzW/edit?usp=share_link&amp;ouid=108620842928617053979&amp;rtpof=true&amp;sd=true" TargetMode="External"/><Relationship Id="rId15" Type="http://schemas.openxmlformats.org/officeDocument/2006/relationships/hyperlink" Target="https://www.dropbox.com/scl/fi/vi9rcyql3b7j6w5o4dr7i/Costos-de-capitalxlsx.xlsx?dl=0&amp;rlkey=aof2l4cv1vu34bzo0yfif6r7j" TargetMode="External"/><Relationship Id="rId10" Type="http://schemas.openxmlformats.org/officeDocument/2006/relationships/hyperlink" Target="https://docs.google.com/spreadsheets/d/1o5fd77snZK7anhtf5hhT5zmPw7j6ykzW/edit?usp=share_link&amp;ouid=108620842928617053979&amp;rtpof=true&amp;sd=true" TargetMode="External"/><Relationship Id="rId19" Type="http://schemas.openxmlformats.org/officeDocument/2006/relationships/vmlDrawing" Target="../drawings/vmlDrawing5.vml"/><Relationship Id="rId4" Type="http://schemas.openxmlformats.org/officeDocument/2006/relationships/hyperlink" Target="https://docs.google.com/spreadsheets/d/1o5fd77snZK7anhtf5hhT5zmPw7j6ykzW/edit?usp=share_link&amp;ouid=108620842928617053979&amp;rtpof=true&amp;sd=true" TargetMode="External"/><Relationship Id="rId9" Type="http://schemas.openxmlformats.org/officeDocument/2006/relationships/hyperlink" Target="https://docs.google.com/spreadsheets/d/1o5fd77snZK7anhtf5hhT5zmPw7j6ykzW/edit?usp=share_link&amp;ouid=108620842928617053979&amp;rtpof=true&amp;sd=true" TargetMode="External"/><Relationship Id="rId14" Type="http://schemas.openxmlformats.org/officeDocument/2006/relationships/hyperlink" Target="https://docs.google.com/spreadsheets/d/1o5fd77snZK7anhtf5hhT5zmPw7j6ykzW/edit?usp=share_link&amp;ouid=108620842928617053979&amp;rtpof=true&amp;sd=tru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reports/world-energy-outlook-2022" TargetMode="External"/><Relationship Id="rId7" Type="http://schemas.openxmlformats.org/officeDocument/2006/relationships/comments" Target="../comments6.xml"/><Relationship Id="rId2" Type="http://schemas.openxmlformats.org/officeDocument/2006/relationships/hyperlink" Target="https://www.dropbox.com/scl/fi/oks7ok1uazing1xa9bh4k/Costos-variables-de-operacion-y-mantenimiento_MWh.xlsx?dl=0&amp;rlkey=z6v8kcrttceol2124hm437c24" TargetMode="External"/><Relationship Id="rId1" Type="http://schemas.openxmlformats.org/officeDocument/2006/relationships/hyperlink" Target="https://www.dropbox.com/scl/fi/vi9rcyql3b7j6w5o4dr7i/Costos-de-capitalxlsx.xlsx?dl=0&amp;rlkey=aof2l4cv1vu34bzo0yfif6r7j" TargetMode="External"/><Relationship Id="rId6" Type="http://schemas.openxmlformats.org/officeDocument/2006/relationships/vmlDrawing" Target="../drawings/vmlDrawing6.vml"/><Relationship Id="rId5" Type="http://schemas.openxmlformats.org/officeDocument/2006/relationships/hyperlink" Target="https://www.dropbox.com/scl/fi/fvofeq2v8tmzvr9fxv6wg/Informaci-n-Costos-Fijos-2017-2022.xlsx?dl=0&amp;rlkey=1ra1s45rr9ihkimceygq45m9t" TargetMode="External"/><Relationship Id="rId4" Type="http://schemas.openxmlformats.org/officeDocument/2006/relationships/hyperlink" Target="https://www.dropbox.com/scl/fi/n7mpaplbx7yel4jl8wkpr/CENACE-2022_CVP_MAATE_SIN-COMBUSTIBLE_2018_costo-variable-de-producci-n-t-rmica.xlsx?dl=0&amp;rlkey=p794f4ebcts4ys0lfytkgvpd5"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08/Estad%C3%ADsticaAnualMultianual2018.pdf" TargetMode="External"/><Relationship Id="rId13"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8" Type="http://schemas.openxmlformats.org/officeDocument/2006/relationships/hyperlink" Target="https://www.celec.gob.ec/transelectric/images/stories/noticias/2022WEB/Docuexpan2022/Sabanilla/210126%20CVA-002-2021%20ACTUALIZACION%20CONEXION%20AL%20SNT.PDF" TargetMode="External"/><Relationship Id="rId26" Type="http://schemas.openxmlformats.org/officeDocument/2006/relationships/hyperlink" Target="https://www.recursosyenergia.gob.ec/gobierno-nacional-impulsa-la-concesion-de-la-construccion-del-nuevo-proyecto-hidroelectrico-santiago/"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proyectos.energiayminas.gob.ec/descargaDocumento.php?nombre=brochoureBloqueERNC.pdf&amp;path=bloqueErnc" TargetMode="External"/><Relationship Id="rId12" Type="http://schemas.openxmlformats.org/officeDocument/2006/relationships/hyperlink" Target="https://www.recursosyenergia.gob.ec/wp-content/uploads/2022/08/Balance_Energe%CC%81tico_Nacional_2021-VF_opt.pdf" TargetMode="External"/><Relationship Id="rId17" Type="http://schemas.openxmlformats.org/officeDocument/2006/relationships/hyperlink" Target="https://www.recursosyenergia.gob.ec/proyecto-hidroelectrico-toachi-pilaton/"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www.celec.gob.ec/hidroazogues/proyecto/hidroelectrico-mazar-dudas" TargetMode="External"/><Relationship Id="rId29" Type="http://schemas.openxmlformats.org/officeDocument/2006/relationships/comments" Target="../comments8.x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controlrecursosyenergia.gob.ec/wp-content/uploads/downloads/2022/04/Estadistica2021.pdf" TargetMode="External"/><Relationship Id="rId24" Type="http://schemas.openxmlformats.org/officeDocument/2006/relationships/hyperlink" Target="https://www.celec.gob.ec/celecsur/index.php/generacion/paute-cardenillo" TargetMode="External"/><Relationship Id="rId5" Type="http://schemas.openxmlformats.org/officeDocument/2006/relationships/hyperlink" Target="https://doi.org/10.1016/j.esr.2021.100637" TargetMode="External"/><Relationship Id="rId15" Type="http://schemas.openxmlformats.org/officeDocument/2006/relationships/hyperlink" Target="https://www.mallacoanda.com/portfolio-items/central-hidroelectrica-san-jose-de-minas/" TargetMode="External"/><Relationship Id="rId23" Type="http://schemas.openxmlformats.org/officeDocument/2006/relationships/hyperlink" Target="https://www.celec.gob.ec/cocacodosinclair/index.php/2015-09-07-17-45-09/headers/quijos/caracteristicas" TargetMode="External"/><Relationship Id="rId28" Type="http://schemas.openxmlformats.org/officeDocument/2006/relationships/vmlDrawing" Target="../drawings/vmlDrawing8.vml"/><Relationship Id="rId10" Type="http://schemas.openxmlformats.org/officeDocument/2006/relationships/hyperlink" Target="https://www.controlrecursosyenergia.gob.ec/wp-content/uploads/downloads/2021/09/Estadistica-2020-baja.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0/11/Estad%C3%ADstica-2019-nuevologo-small.pdf" TargetMode="External"/><Relationship Id="rId14" Type="http://schemas.openxmlformats.org/officeDocument/2006/relationships/hyperlink" Target="https://bibdigital.epn.edu.ec/bitstream/15000/21233/1/CD%2010749.pdf" TargetMode="External"/><Relationship Id="rId22" Type="http://schemas.openxmlformats.org/officeDocument/2006/relationships/hyperlink" Target="https://soldadosyanuncay.elecaustro.gob.ec/" TargetMode="External"/><Relationship Id="rId27" Type="http://schemas.openxmlformats.org/officeDocument/2006/relationships/hyperlink" Target="https://proyectos.energiayminas.gob.ec/descargaDocumento.php?nombre=brochoureBloqueERNC.pdf&amp;path=bloqueErnc"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microsoft.com/office/2017/10/relationships/threadedComment" Target="../threadedComments/threadedComment1.xm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comments" Target="../comments10.xm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vmlDrawing" Target="../drawings/vmlDrawing10.vm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iea.org/reports/energy-technology-perspectives-2023/executive-summary" TargetMode="External"/><Relationship Id="rId2"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 Type="http://schemas.openxmlformats.org/officeDocument/2006/relationships/hyperlink" Target="https://cimav.repositorioinstitucional.mx/jspui/bitstream/1004/1291/1/XSMH156PIROLISIS%20A%20BAJA%20TEMPERATURA%20DEL%20BAGAZO%20DE%20CA%C3%91A%20DE%20AZ%C3%9ACAR%20PARA%20LA%20PRODUCCI%C3%93N%20DE%20COMBUSTIBLES%20LIQUIDOS.pdf" TargetMode="External"/><Relationship Id="rId6" Type="http://schemas.openxmlformats.org/officeDocument/2006/relationships/drawing" Target="../drawings/drawing5.xml"/><Relationship Id="rId5" Type="http://schemas.openxmlformats.org/officeDocument/2006/relationships/hyperlink" Target="https://www.iea.org/reports/energy-technology-perspectives-2023/executive-summary" TargetMode="External"/><Relationship Id="rId4" Type="http://schemas.openxmlformats.org/officeDocument/2006/relationships/hyperlink" Target="https://www.iea.org/reports/energy-technology-perspectives-2023/executive-summary" TargetMode="Externa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18" Type="http://schemas.openxmlformats.org/officeDocument/2006/relationships/vmlDrawing" Target="../drawings/vmlDrawing12.vm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openxmlformats.org/officeDocument/2006/relationships/hyperlink" Target="https://docs.google.com/document/d/1x--CxyRjczG3EBDpJTZCCmlwUEwWn1kq5mKgWdEhSng/edit?usp=sharing" TargetMode="Externa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hyperlink" Target="https://docs.google.com/spreadsheets/d/103IAk9t115B66hMWIhI9sGcC-VqMfXSQ/edit?usp=sharing&amp;ouid=108620842928617053979&amp;rtpof=true&amp;sd=true" TargetMode="Externa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hyperlink" Target="https://biblioteca.olade.org/opac-tmpl/Documentos/old0380.pdf" TargetMode="Externa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19" Type="http://schemas.openxmlformats.org/officeDocument/2006/relationships/comments" Target="../comments12.xm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ocpecuador.com/aporte-al-pais/" TargetMode="External"/><Relationship Id="rId2" Type="http://schemas.openxmlformats.org/officeDocument/2006/relationships/hyperlink" Target="https://www.eppetroecuador.ec/wp-content/uploads/downloads/2020/11/INFORME-ESTADI%CC%81STICO-ANUAL-2019.pdf" TargetMode="External"/><Relationship Id="rId1" Type="http://schemas.openxmlformats.org/officeDocument/2006/relationships/hyperlink" Target="https://www.eppetroecuador.ec/wp-content/uploads/downloads/2020/11/INFORME-ESTADI%CC%81STICO-ANUAL-2019.pdf"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640625" defaultRowHeight="15" customHeight="1"/>
  <cols>
    <col min="1" max="18" width="8.44140625" customWidth="1"/>
    <col min="19" max="26" width="12.441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624" t="s">
        <v>0</v>
      </c>
      <c r="C2" s="651"/>
      <c r="D2" s="651"/>
      <c r="E2" s="651"/>
      <c r="F2" s="651"/>
      <c r="G2" s="651"/>
      <c r="H2" s="651"/>
      <c r="I2" s="651"/>
      <c r="J2" s="651"/>
      <c r="K2" s="2"/>
      <c r="L2" s="2"/>
      <c r="M2" s="2"/>
      <c r="N2" s="2"/>
      <c r="O2" s="2"/>
      <c r="P2" s="2"/>
      <c r="Q2" s="2"/>
      <c r="R2" s="1"/>
      <c r="S2" s="1"/>
      <c r="T2" s="1"/>
      <c r="U2" s="1"/>
      <c r="V2" s="1"/>
      <c r="W2" s="1"/>
      <c r="X2" s="1"/>
      <c r="Y2" s="1"/>
      <c r="Z2" s="1"/>
    </row>
    <row r="3" spans="1:26" ht="13.5" customHeight="1">
      <c r="A3" s="1"/>
      <c r="B3" s="651"/>
      <c r="C3" s="651"/>
      <c r="D3" s="651"/>
      <c r="E3" s="651"/>
      <c r="F3" s="651"/>
      <c r="G3" s="651"/>
      <c r="H3" s="651"/>
      <c r="I3" s="651"/>
      <c r="J3" s="651"/>
      <c r="K3" s="2"/>
      <c r="L3" s="2"/>
      <c r="M3" s="2"/>
      <c r="N3" s="2"/>
      <c r="O3" s="2"/>
      <c r="P3" s="2"/>
      <c r="Q3" s="2"/>
      <c r="R3" s="1"/>
      <c r="S3" s="1"/>
      <c r="T3" s="1"/>
      <c r="U3" s="1"/>
      <c r="V3" s="1"/>
      <c r="W3" s="1"/>
      <c r="X3" s="1"/>
      <c r="Y3" s="1"/>
      <c r="Z3" s="1"/>
    </row>
    <row r="4" spans="1:26" ht="13.5" customHeight="1">
      <c r="A4" s="1"/>
      <c r="B4" s="651"/>
      <c r="C4" s="651"/>
      <c r="D4" s="651"/>
      <c r="E4" s="651"/>
      <c r="F4" s="651"/>
      <c r="G4" s="651"/>
      <c r="H4" s="651"/>
      <c r="I4" s="651"/>
      <c r="J4" s="651"/>
      <c r="K4" s="2"/>
      <c r="L4" s="2"/>
      <c r="M4" s="2"/>
      <c r="N4" s="2"/>
      <c r="O4" s="2"/>
      <c r="P4" s="2"/>
      <c r="Q4" s="2"/>
      <c r="R4" s="1"/>
      <c r="S4" s="1"/>
      <c r="T4" s="1"/>
      <c r="U4" s="1"/>
      <c r="V4" s="1"/>
      <c r="W4" s="1"/>
      <c r="X4" s="1"/>
      <c r="Y4" s="1"/>
      <c r="Z4" s="1"/>
    </row>
    <row r="5" spans="1:26" ht="13.5" customHeight="1">
      <c r="A5" s="1"/>
      <c r="B5" s="2"/>
      <c r="C5" s="2"/>
      <c r="D5" s="2"/>
      <c r="E5" s="2"/>
      <c r="F5" s="2"/>
      <c r="G5" s="2"/>
      <c r="H5" s="2"/>
      <c r="I5" s="2"/>
      <c r="J5" s="2"/>
      <c r="K5" s="2"/>
      <c r="L5" s="2"/>
      <c r="M5" s="2"/>
      <c r="N5" s="2"/>
      <c r="O5" s="2"/>
      <c r="P5" s="2"/>
      <c r="Q5" s="2"/>
      <c r="R5" s="1"/>
      <c r="S5" s="1"/>
      <c r="T5" s="1"/>
      <c r="U5" s="1"/>
      <c r="V5" s="1"/>
      <c r="W5" s="1"/>
      <c r="X5" s="1"/>
      <c r="Y5" s="1"/>
      <c r="Z5" s="1"/>
    </row>
    <row r="6" spans="1:26" ht="13.5" customHeight="1">
      <c r="A6" s="1"/>
      <c r="B6" s="624" t="s">
        <v>1</v>
      </c>
      <c r="C6" s="651"/>
      <c r="D6" s="651"/>
      <c r="E6" s="651"/>
      <c r="F6" s="651"/>
      <c r="G6" s="651"/>
      <c r="H6" s="651"/>
      <c r="I6" s="651"/>
      <c r="J6" s="651"/>
      <c r="K6" s="2"/>
      <c r="L6" s="2"/>
      <c r="M6" s="2"/>
      <c r="N6" s="2"/>
      <c r="O6" s="2"/>
      <c r="P6" s="2"/>
      <c r="Q6" s="2"/>
      <c r="R6" s="1"/>
      <c r="S6" s="1"/>
      <c r="T6" s="1"/>
      <c r="U6" s="1"/>
      <c r="V6" s="1"/>
      <c r="W6" s="1"/>
      <c r="X6" s="1"/>
      <c r="Y6" s="1"/>
      <c r="Z6" s="1"/>
    </row>
    <row r="7" spans="1:26" ht="13.5" customHeight="1">
      <c r="A7" s="1"/>
      <c r="B7" s="651"/>
      <c r="C7" s="651"/>
      <c r="D7" s="651"/>
      <c r="E7" s="651"/>
      <c r="F7" s="651"/>
      <c r="G7" s="651"/>
      <c r="H7" s="651"/>
      <c r="I7" s="651"/>
      <c r="J7" s="651"/>
      <c r="K7" s="2"/>
      <c r="L7" s="2"/>
      <c r="M7" s="2"/>
      <c r="N7" s="2"/>
      <c r="O7" s="2"/>
      <c r="P7" s="2"/>
      <c r="Q7" s="2"/>
      <c r="R7" s="1"/>
      <c r="S7" s="1"/>
      <c r="T7" s="1"/>
      <c r="U7" s="1"/>
      <c r="V7" s="1"/>
      <c r="W7" s="1"/>
      <c r="X7" s="1"/>
      <c r="Y7" s="1"/>
      <c r="Z7" s="1"/>
    </row>
    <row r="8" spans="1:26" ht="13.5" customHeight="1">
      <c r="A8" s="1"/>
      <c r="B8" s="651"/>
      <c r="C8" s="651"/>
      <c r="D8" s="651"/>
      <c r="E8" s="651"/>
      <c r="F8" s="651"/>
      <c r="G8" s="651"/>
      <c r="H8" s="651"/>
      <c r="I8" s="651"/>
      <c r="J8" s="651"/>
      <c r="K8" s="2"/>
      <c r="L8" s="2"/>
      <c r="M8" s="2"/>
      <c r="N8" s="2"/>
      <c r="O8" s="2"/>
      <c r="P8" s="2"/>
      <c r="Q8" s="2"/>
      <c r="R8" s="1"/>
      <c r="S8" s="1"/>
      <c r="T8" s="1"/>
      <c r="U8" s="1"/>
      <c r="V8" s="1"/>
      <c r="W8" s="1"/>
      <c r="X8" s="1"/>
      <c r="Y8" s="1"/>
      <c r="Z8" s="1"/>
    </row>
    <row r="9" spans="1:26" ht="13.5" customHeight="1">
      <c r="A9" s="1"/>
      <c r="B9" s="2"/>
      <c r="C9" s="2"/>
      <c r="D9" s="2"/>
      <c r="E9" s="2"/>
      <c r="F9" s="2"/>
      <c r="G9" s="2"/>
      <c r="H9" s="2"/>
      <c r="I9" s="2"/>
      <c r="J9" s="2"/>
      <c r="K9" s="2"/>
      <c r="L9" s="2"/>
      <c r="M9" s="2"/>
      <c r="N9" s="2"/>
      <c r="O9" s="2"/>
      <c r="P9" s="2"/>
      <c r="Q9" s="2"/>
      <c r="R9" s="1"/>
      <c r="S9" s="1"/>
      <c r="T9" s="1"/>
      <c r="U9" s="1"/>
      <c r="V9" s="1"/>
      <c r="W9" s="1"/>
      <c r="X9" s="1"/>
      <c r="Y9" s="1"/>
      <c r="Z9" s="1"/>
    </row>
    <row r="10" spans="1:26" ht="13.5" customHeight="1">
      <c r="A10" s="1"/>
      <c r="B10" s="624" t="s">
        <v>2</v>
      </c>
      <c r="C10" s="651"/>
      <c r="D10" s="651"/>
      <c r="E10" s="651"/>
      <c r="F10" s="651"/>
      <c r="G10" s="651"/>
      <c r="H10" s="651"/>
      <c r="I10" s="651"/>
      <c r="J10" s="651"/>
      <c r="K10" s="2"/>
      <c r="L10" s="2"/>
      <c r="M10" s="2"/>
      <c r="N10" s="2"/>
      <c r="O10" s="2"/>
      <c r="P10" s="2"/>
      <c r="Q10" s="2"/>
      <c r="R10" s="1"/>
      <c r="S10" s="1"/>
      <c r="T10" s="1"/>
      <c r="U10" s="1"/>
      <c r="V10" s="1"/>
      <c r="W10" s="1"/>
      <c r="X10" s="1"/>
      <c r="Y10" s="1"/>
      <c r="Z10" s="1"/>
    </row>
    <row r="11" spans="1:26" ht="13.5" customHeight="1">
      <c r="A11" s="1"/>
      <c r="B11" s="651"/>
      <c r="C11" s="651"/>
      <c r="D11" s="651"/>
      <c r="E11" s="651"/>
      <c r="F11" s="651"/>
      <c r="G11" s="651"/>
      <c r="H11" s="651"/>
      <c r="I11" s="651"/>
      <c r="J11" s="651"/>
      <c r="K11" s="2"/>
      <c r="L11" s="2"/>
      <c r="M11" s="2"/>
      <c r="N11" s="2"/>
      <c r="O11" s="2"/>
      <c r="P11" s="2"/>
      <c r="Q11" s="2"/>
      <c r="R11" s="1"/>
      <c r="S11" s="1"/>
      <c r="T11" s="1"/>
      <c r="U11" s="1"/>
      <c r="V11" s="1"/>
      <c r="W11" s="1"/>
      <c r="X11" s="1"/>
      <c r="Y11" s="1"/>
      <c r="Z11" s="1"/>
    </row>
    <row r="12" spans="1:26" ht="13.5" customHeight="1">
      <c r="A12" s="1"/>
      <c r="B12" s="651"/>
      <c r="C12" s="651"/>
      <c r="D12" s="651"/>
      <c r="E12" s="651"/>
      <c r="F12" s="651"/>
      <c r="G12" s="651"/>
      <c r="H12" s="651"/>
      <c r="I12" s="651"/>
      <c r="J12" s="651"/>
      <c r="K12" s="2"/>
      <c r="L12" s="2"/>
      <c r="M12" s="2"/>
      <c r="N12" s="2"/>
      <c r="O12" s="2"/>
      <c r="P12" s="2"/>
      <c r="Q12" s="2"/>
      <c r="R12" s="1"/>
      <c r="S12" s="1"/>
      <c r="T12" s="1"/>
      <c r="U12" s="1"/>
      <c r="V12" s="1"/>
      <c r="W12" s="1"/>
      <c r="X12" s="1"/>
      <c r="Y12" s="1"/>
      <c r="Z12" s="1"/>
    </row>
    <row r="13" spans="1:26" ht="13.5" customHeight="1">
      <c r="A13" s="1"/>
      <c r="B13" s="1"/>
      <c r="C13" s="1"/>
      <c r="D13" s="1"/>
      <c r="E13" s="1"/>
      <c r="F13" s="1"/>
      <c r="G13" s="1"/>
      <c r="H13" s="1"/>
      <c r="I13" s="1"/>
      <c r="J13" s="1"/>
      <c r="K13" s="2"/>
      <c r="L13" s="2"/>
      <c r="M13" s="2"/>
      <c r="N13" s="2"/>
      <c r="O13" s="2"/>
      <c r="P13" s="2"/>
      <c r="Q13" s="2"/>
      <c r="R13" s="1"/>
      <c r="S13" s="1"/>
      <c r="T13" s="1"/>
      <c r="U13" s="1"/>
      <c r="V13" s="1"/>
      <c r="W13" s="1"/>
      <c r="X13" s="1"/>
      <c r="Y13" s="1"/>
      <c r="Z13" s="1"/>
    </row>
    <row r="14" spans="1:26" ht="13.5" customHeight="1">
      <c r="A14" s="1"/>
      <c r="B14" s="624" t="s">
        <v>3</v>
      </c>
      <c r="C14" s="651"/>
      <c r="D14" s="651"/>
      <c r="E14" s="651"/>
      <c r="F14" s="651"/>
      <c r="G14" s="651"/>
      <c r="H14" s="651"/>
      <c r="I14" s="651"/>
      <c r="J14" s="651"/>
      <c r="K14" s="1"/>
      <c r="L14" s="1"/>
      <c r="M14" s="1"/>
      <c r="N14" s="1"/>
      <c r="O14" s="1"/>
      <c r="P14" s="1"/>
      <c r="Q14" s="1"/>
      <c r="R14" s="1"/>
      <c r="S14" s="1"/>
      <c r="T14" s="1"/>
      <c r="U14" s="1"/>
      <c r="V14" s="1"/>
      <c r="W14" s="1"/>
      <c r="X14" s="1"/>
      <c r="Y14" s="1"/>
      <c r="Z14" s="1"/>
    </row>
    <row r="15" spans="1:26" ht="13.5" customHeight="1">
      <c r="A15" s="1"/>
      <c r="B15" s="651"/>
      <c r="C15" s="651"/>
      <c r="D15" s="651"/>
      <c r="E15" s="651"/>
      <c r="F15" s="651"/>
      <c r="G15" s="651"/>
      <c r="H15" s="651"/>
      <c r="I15" s="651"/>
      <c r="J15" s="651"/>
      <c r="K15" s="1"/>
      <c r="L15" s="1"/>
      <c r="M15" s="1"/>
      <c r="N15" s="1"/>
      <c r="O15" s="1"/>
      <c r="P15" s="1"/>
      <c r="Q15" s="1"/>
      <c r="R15" s="1"/>
      <c r="S15" s="1"/>
      <c r="T15" s="1"/>
      <c r="U15" s="1"/>
      <c r="V15" s="1"/>
      <c r="W15" s="1"/>
      <c r="X15" s="1"/>
      <c r="Y15" s="1"/>
      <c r="Z15" s="1"/>
    </row>
    <row r="16" spans="1:26" ht="13.5" customHeight="1">
      <c r="A16" s="1"/>
      <c r="B16" s="651"/>
      <c r="C16" s="651"/>
      <c r="D16" s="651"/>
      <c r="E16" s="651"/>
      <c r="F16" s="651"/>
      <c r="G16" s="651"/>
      <c r="H16" s="651"/>
      <c r="I16" s="651"/>
      <c r="J16" s="651"/>
      <c r="K16" s="1"/>
      <c r="L16" s="1"/>
      <c r="M16" s="1"/>
      <c r="N16" s="1"/>
      <c r="O16" s="1"/>
      <c r="P16" s="1"/>
      <c r="Q16" s="1"/>
      <c r="R16" s="1"/>
      <c r="S16" s="1"/>
      <c r="T16" s="1"/>
      <c r="U16" s="1"/>
      <c r="V16" s="1"/>
      <c r="W16" s="1"/>
      <c r="X16" s="1"/>
      <c r="Y16" s="1"/>
      <c r="Z16" s="1"/>
    </row>
    <row r="17" spans="1:26"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624" t="s">
        <v>4</v>
      </c>
      <c r="C18" s="651"/>
      <c r="D18" s="651"/>
      <c r="E18" s="651"/>
      <c r="F18" s="651"/>
      <c r="G18" s="651"/>
      <c r="H18" s="651"/>
      <c r="I18" s="651"/>
      <c r="J18" s="651"/>
      <c r="K18" s="1"/>
      <c r="L18" s="1"/>
      <c r="M18" s="1"/>
      <c r="N18" s="1"/>
      <c r="O18" s="1"/>
      <c r="P18" s="1"/>
      <c r="Q18" s="1"/>
      <c r="R18" s="1"/>
      <c r="S18" s="1"/>
      <c r="T18" s="1"/>
      <c r="U18" s="1"/>
      <c r="V18" s="1"/>
      <c r="W18" s="1"/>
      <c r="X18" s="1"/>
      <c r="Y18" s="1"/>
      <c r="Z18" s="1"/>
    </row>
    <row r="19" spans="1:26" ht="13.5" customHeight="1">
      <c r="A19" s="1"/>
      <c r="B19" s="651"/>
      <c r="C19" s="651"/>
      <c r="D19" s="651"/>
      <c r="E19" s="651"/>
      <c r="F19" s="651"/>
      <c r="G19" s="651"/>
      <c r="H19" s="651"/>
      <c r="I19" s="651"/>
      <c r="J19" s="651"/>
      <c r="K19" s="1"/>
      <c r="L19" s="1"/>
      <c r="M19" s="1"/>
      <c r="N19" s="1"/>
      <c r="O19" s="1"/>
      <c r="P19" s="1"/>
      <c r="Q19" s="1"/>
      <c r="R19" s="1"/>
      <c r="S19" s="1"/>
      <c r="T19" s="1"/>
      <c r="U19" s="1"/>
      <c r="V19" s="1"/>
      <c r="W19" s="1"/>
      <c r="X19" s="1"/>
      <c r="Y19" s="1"/>
      <c r="Z19" s="1"/>
    </row>
    <row r="20" spans="1:26" ht="13.5" customHeight="1">
      <c r="A20" s="1"/>
      <c r="B20" s="651"/>
      <c r="C20" s="651"/>
      <c r="D20" s="651"/>
      <c r="E20" s="651"/>
      <c r="F20" s="651"/>
      <c r="G20" s="651"/>
      <c r="H20" s="651"/>
      <c r="I20" s="651"/>
      <c r="J20" s="65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623" t="s">
        <v>5</v>
      </c>
      <c r="C23" s="652"/>
      <c r="D23" s="652"/>
      <c r="E23" s="652"/>
      <c r="F23" s="652"/>
      <c r="G23" s="652"/>
      <c r="H23" s="652"/>
      <c r="I23" s="652"/>
      <c r="J23" s="652"/>
      <c r="K23" s="1"/>
      <c r="L23" s="1"/>
      <c r="M23" s="1"/>
      <c r="N23" s="1"/>
      <c r="O23" s="1"/>
      <c r="P23" s="1"/>
      <c r="Q23" s="1"/>
      <c r="R23" s="1"/>
      <c r="S23" s="1"/>
      <c r="T23" s="1"/>
      <c r="U23" s="1"/>
      <c r="V23" s="1"/>
      <c r="W23" s="1"/>
      <c r="X23" s="1"/>
      <c r="Y23" s="1"/>
      <c r="Z23" s="1"/>
    </row>
    <row r="24" spans="1:26" ht="13.5" customHeight="1">
      <c r="A24" s="1"/>
      <c r="B24" s="652"/>
      <c r="C24" s="651"/>
      <c r="D24" s="651"/>
      <c r="E24" s="651"/>
      <c r="F24" s="651"/>
      <c r="G24" s="651"/>
      <c r="H24" s="651"/>
      <c r="I24" s="651"/>
      <c r="J24" s="652"/>
      <c r="K24" s="1"/>
      <c r="L24" s="1"/>
      <c r="M24" s="1"/>
      <c r="N24" s="1"/>
      <c r="O24" s="1"/>
      <c r="P24" s="1"/>
      <c r="Q24" s="1"/>
      <c r="R24" s="1"/>
      <c r="S24" s="1"/>
      <c r="T24" s="1"/>
      <c r="U24" s="1"/>
      <c r="V24" s="1"/>
      <c r="W24" s="1"/>
      <c r="X24" s="1"/>
      <c r="Y24" s="1"/>
      <c r="Z24" s="1"/>
    </row>
    <row r="25" spans="1:26" ht="13.5" customHeight="1">
      <c r="A25" s="1"/>
      <c r="B25" s="652"/>
      <c r="C25" s="651"/>
      <c r="D25" s="651"/>
      <c r="E25" s="651"/>
      <c r="F25" s="651"/>
      <c r="G25" s="651"/>
      <c r="H25" s="651"/>
      <c r="I25" s="651"/>
      <c r="J25" s="652"/>
      <c r="K25" s="1"/>
      <c r="L25" s="1"/>
      <c r="M25" s="1"/>
      <c r="N25" s="1"/>
      <c r="O25" s="1"/>
      <c r="P25" s="1"/>
      <c r="Q25" s="1"/>
      <c r="R25" s="1"/>
      <c r="S25" s="1"/>
      <c r="T25" s="1"/>
      <c r="U25" s="1"/>
      <c r="V25" s="1"/>
      <c r="W25" s="1"/>
      <c r="X25" s="1"/>
      <c r="Y25" s="1"/>
      <c r="Z25" s="1"/>
    </row>
    <row r="26" spans="1:26" ht="13.5" customHeight="1">
      <c r="A26" s="1"/>
      <c r="B26" s="652"/>
      <c r="C26" s="651"/>
      <c r="D26" s="651"/>
      <c r="E26" s="651"/>
      <c r="F26" s="651"/>
      <c r="G26" s="651"/>
      <c r="H26" s="651"/>
      <c r="I26" s="651"/>
      <c r="J26" s="652"/>
      <c r="K26" s="1"/>
      <c r="L26" s="1"/>
      <c r="M26" s="1"/>
      <c r="N26" s="1"/>
      <c r="O26" s="1"/>
      <c r="P26" s="1"/>
      <c r="Q26" s="1"/>
      <c r="R26" s="1"/>
      <c r="S26" s="1"/>
      <c r="T26" s="1"/>
      <c r="U26" s="1"/>
      <c r="V26" s="1"/>
      <c r="W26" s="1"/>
      <c r="X26" s="1"/>
      <c r="Y26" s="1"/>
      <c r="Z26" s="1"/>
    </row>
    <row r="27" spans="1:26" ht="13.5" customHeight="1">
      <c r="A27" s="1"/>
      <c r="B27" s="652"/>
      <c r="C27" s="652"/>
      <c r="D27" s="652"/>
      <c r="E27" s="652"/>
      <c r="F27" s="652"/>
      <c r="G27" s="652"/>
      <c r="H27" s="652"/>
      <c r="I27" s="652"/>
      <c r="J27" s="652"/>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D1025"/>
  <sheetViews>
    <sheetView workbookViewId="0"/>
  </sheetViews>
  <sheetFormatPr defaultColWidth="12.6640625" defaultRowHeight="15" customHeight="1"/>
  <cols>
    <col min="1" max="1" width="3.21875" customWidth="1"/>
    <col min="2" max="2" width="2.44140625" customWidth="1"/>
    <col min="3" max="3" width="60.77734375" customWidth="1"/>
    <col min="4" max="5" width="13.77734375" customWidth="1"/>
    <col min="6" max="6" width="15.21875" customWidth="1"/>
    <col min="7" max="7" width="18.77734375" customWidth="1"/>
    <col min="8" max="36" width="13.77734375" customWidth="1"/>
    <col min="37" max="37" width="11.77734375" customWidth="1"/>
    <col min="38" max="45" width="12.44140625" customWidth="1"/>
  </cols>
  <sheetData>
    <row r="1" spans="1:38" ht="14.25" customHeight="1">
      <c r="A1" s="619"/>
      <c r="B1" s="625" t="s">
        <v>6</v>
      </c>
      <c r="C1" s="653"/>
      <c r="D1" s="653"/>
      <c r="E1" s="653"/>
      <c r="F1" s="653"/>
      <c r="G1" s="653"/>
      <c r="H1" s="654"/>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row>
    <row r="2" spans="1:38" ht="14.25" customHeight="1">
      <c r="A2" s="619"/>
      <c r="B2" s="619"/>
      <c r="C2" s="4"/>
      <c r="D2" s="5"/>
      <c r="E2" s="5"/>
      <c r="F2" s="5"/>
      <c r="G2" s="5"/>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3" spans="1:38" ht="14.25" customHeight="1">
      <c r="A3" s="619"/>
      <c r="B3" s="6"/>
      <c r="C3" s="152"/>
      <c r="D3" s="153"/>
      <c r="E3" s="153"/>
      <c r="F3" s="153"/>
      <c r="G3" s="154"/>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row>
    <row r="4" spans="1:38" ht="14.25" customHeight="1">
      <c r="A4" s="619"/>
      <c r="B4" s="155"/>
      <c r="C4" s="156" t="s">
        <v>7</v>
      </c>
      <c r="D4" s="157"/>
      <c r="E4" s="157"/>
      <c r="F4" s="157"/>
      <c r="G4" s="158"/>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row>
    <row r="5" spans="1:38" ht="14.25" customHeight="1">
      <c r="A5" s="3"/>
      <c r="B5" s="159"/>
      <c r="C5" s="160" t="s">
        <v>8</v>
      </c>
      <c r="D5" s="161">
        <v>2018</v>
      </c>
      <c r="E5" s="161">
        <v>2019</v>
      </c>
      <c r="F5" s="161">
        <v>2020</v>
      </c>
      <c r="G5" s="162">
        <v>2021</v>
      </c>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row>
    <row r="6" spans="1:38" ht="14.25" customHeight="1">
      <c r="A6" s="619">
        <v>1</v>
      </c>
      <c r="B6" s="163"/>
      <c r="C6" s="164" t="s">
        <v>9</v>
      </c>
      <c r="D6" s="165">
        <f>'Copia de Combustibles'!D6*$D$228*$D$234</f>
        <v>9490.5128351380972</v>
      </c>
      <c r="E6" s="165">
        <f>'Copia de Combustibles'!E6*$D$228*$D$234</f>
        <v>7577.2905785446947</v>
      </c>
      <c r="F6" s="165">
        <f>'Copia de Combustibles'!F6*$D$228*$D$234</f>
        <v>7780.8248611610143</v>
      </c>
      <c r="G6" s="166">
        <f>'Copia de Combustibles'!G6*$D$228*$D$234</f>
        <v>7966.9133481245062</v>
      </c>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row>
    <row r="7" spans="1:38" ht="14.25" customHeight="1">
      <c r="A7" s="619">
        <v>1.2</v>
      </c>
      <c r="B7" s="163"/>
      <c r="C7" s="164" t="s">
        <v>10</v>
      </c>
      <c r="D7" s="165">
        <f>'Copia de Combustibles'!D7*$D$231*$D$234</f>
        <v>162.95572741014428</v>
      </c>
      <c r="E7" s="165">
        <f>'Copia de Combustibles'!E7*$D$231*$D$234</f>
        <v>151.75636235885662</v>
      </c>
      <c r="F7" s="165">
        <f>'Copia de Combustibles'!F7*$D$231*$D$234</f>
        <v>137.36406216650911</v>
      </c>
      <c r="G7" s="166">
        <f>'Copia de Combustibles'!G7*$D$231*$D$234</f>
        <v>146.6301625158184</v>
      </c>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row>
    <row r="8" spans="1:38" ht="14.25" customHeight="1">
      <c r="A8" s="619"/>
      <c r="B8" s="163"/>
      <c r="C8" s="164" t="s">
        <v>11</v>
      </c>
      <c r="D8" s="165"/>
      <c r="E8" s="165"/>
      <c r="F8" s="165"/>
      <c r="G8" s="166"/>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row>
    <row r="9" spans="1:38" ht="14.25" customHeight="1">
      <c r="A9" s="619"/>
      <c r="B9" s="155"/>
      <c r="C9" s="164" t="s">
        <v>12</v>
      </c>
      <c r="D9" s="165"/>
      <c r="E9" s="165"/>
      <c r="F9" s="165"/>
      <c r="G9" s="166"/>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row>
    <row r="10" spans="1:38" ht="14.25" customHeight="1">
      <c r="A10" s="619"/>
      <c r="B10" s="167"/>
      <c r="C10" s="168" t="s">
        <v>13</v>
      </c>
      <c r="D10" s="169">
        <f t="shared" ref="D10:F10" si="0">SUM(D6:D8)</f>
        <v>9653.4685625482416</v>
      </c>
      <c r="E10" s="169">
        <f t="shared" si="0"/>
        <v>7729.0469409035513</v>
      </c>
      <c r="F10" s="169">
        <f t="shared" si="0"/>
        <v>7918.1889233275233</v>
      </c>
      <c r="G10" s="170">
        <f>SUM(G6:G7)</f>
        <v>8113.5435106403247</v>
      </c>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row>
    <row r="11" spans="1:38" ht="14.25" customHeight="1">
      <c r="A11" s="619"/>
      <c r="B11" s="619"/>
      <c r="C11" s="619"/>
      <c r="D11" s="619"/>
      <c r="E11" s="619"/>
      <c r="F11" s="619"/>
      <c r="G11" s="619"/>
      <c r="H11" s="619"/>
      <c r="I11" s="619"/>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row>
    <row r="12" spans="1:38" ht="14.25" customHeight="1">
      <c r="A12" s="3"/>
      <c r="B12" s="7"/>
      <c r="C12" s="171" t="s">
        <v>14</v>
      </c>
      <c r="D12" s="172">
        <v>2018</v>
      </c>
      <c r="E12" s="172">
        <v>2019</v>
      </c>
      <c r="F12" s="172">
        <v>2020</v>
      </c>
      <c r="G12" s="173">
        <v>2021</v>
      </c>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row>
    <row r="13" spans="1:38" ht="14.25" customHeight="1">
      <c r="A13" s="619">
        <v>1</v>
      </c>
      <c r="B13" s="163"/>
      <c r="C13" s="164" t="s">
        <v>15</v>
      </c>
      <c r="D13" s="165">
        <f>'Copia de Combustibles'!D13*$D$228*$D$234</f>
        <v>15672.139761456601</v>
      </c>
      <c r="E13" s="165">
        <f>'Copia de Combustibles'!E13*$D$228*$D$234</f>
        <v>13020.378822226839</v>
      </c>
      <c r="F13" s="165">
        <f>'Copia de Combustibles'!F13*$D$228*$D$234</f>
        <v>13125.053596143804</v>
      </c>
      <c r="G13" s="166">
        <f>'Copia de Combustibles'!G13*$D$228*$D$234</f>
        <v>11985.261613492414</v>
      </c>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ht="14.25" customHeight="1">
      <c r="A14" s="619">
        <v>1</v>
      </c>
      <c r="B14" s="163"/>
      <c r="C14" s="164" t="s">
        <v>16</v>
      </c>
      <c r="D14" s="165">
        <f>'Copia de Combustibles'!D14*$D$228*$D$234</f>
        <v>8594.9619916262927</v>
      </c>
      <c r="E14" s="165">
        <f>'Copia de Combustibles'!E14*$D$228*$D$234</f>
        <v>9891.7661351531278</v>
      </c>
      <c r="F14" s="165">
        <f>'Copia de Combustibles'!F14*$D$228*$D$234</f>
        <v>10258.127843862503</v>
      </c>
      <c r="G14" s="166">
        <f>'Copia de Combustibles'!G14*$D$228*$D$234</f>
        <v>7100.4388307007457</v>
      </c>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ht="14.25" customHeight="1">
      <c r="A15" s="619">
        <v>1</v>
      </c>
      <c r="B15" s="174"/>
      <c r="C15" s="168" t="s">
        <v>17</v>
      </c>
      <c r="D15" s="169">
        <f>'Copia de Combustibles'!D15*$D$228*$D$234</f>
        <v>4425.4168306005467</v>
      </c>
      <c r="E15" s="169">
        <f>'Copia de Combustibles'!E15*$D$228*$D$234</f>
        <v>4483.5694827766383</v>
      </c>
      <c r="F15" s="169">
        <f>'Copia de Combustibles'!F15*$D$228*$D$234</f>
        <v>4425.4168306005467</v>
      </c>
      <c r="G15" s="170">
        <f>'Copia de Combustibles'!G15*$D$228*$D$234</f>
        <v>4855.7464567036222</v>
      </c>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row>
    <row r="16" spans="1:38" ht="14.25" customHeight="1">
      <c r="A16" s="619"/>
      <c r="B16" s="619"/>
      <c r="C16" s="619"/>
      <c r="D16" s="619"/>
      <c r="E16" s="619"/>
      <c r="F16" s="619"/>
      <c r="G16" s="619"/>
      <c r="H16" s="619"/>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row>
    <row r="17" spans="1:38" ht="14.25" customHeight="1">
      <c r="A17" s="619"/>
      <c r="B17" s="6"/>
      <c r="C17" s="171" t="s">
        <v>18</v>
      </c>
      <c r="D17" s="172">
        <v>2018</v>
      </c>
      <c r="E17" s="172">
        <v>2019</v>
      </c>
      <c r="F17" s="172">
        <v>2020</v>
      </c>
      <c r="G17" s="173">
        <v>2021</v>
      </c>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row>
    <row r="18" spans="1:38" ht="14.25" customHeight="1">
      <c r="A18" s="619" t="s">
        <v>19</v>
      </c>
      <c r="B18" s="163"/>
      <c r="C18" s="164" t="s">
        <v>15</v>
      </c>
      <c r="D18" s="165">
        <f>'Copia de Combustibles'!D18*$D$231*$D$234</f>
        <v>448.87338330156115</v>
      </c>
      <c r="E18" s="165">
        <f>'Copia de Combustibles'!E18*$D$231*$D$234</f>
        <v>424.24835040891514</v>
      </c>
      <c r="F18" s="165">
        <f>'Copia de Combustibles'!F18*$D$231*$D$234</f>
        <v>409.43911011807381</v>
      </c>
      <c r="G18" s="166">
        <f>'Copia de Combustibles'!G18*$D$231*$D$234</f>
        <v>418.7042271180942</v>
      </c>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row>
    <row r="19" spans="1:38" ht="14.25" customHeight="1">
      <c r="A19" s="619" t="s">
        <v>19</v>
      </c>
      <c r="B19" s="163"/>
      <c r="C19" s="164" t="s">
        <v>16</v>
      </c>
      <c r="D19" s="165">
        <f>'Copia de Combustibles'!D19*$D$231*$D$234</f>
        <v>0</v>
      </c>
      <c r="E19" s="165">
        <f>'Copia de Combustibles'!E19*$D$231*$D$234</f>
        <v>0</v>
      </c>
      <c r="F19" s="165">
        <f>'Copia de Combustibles'!F19*$D$231*$D$234</f>
        <v>0</v>
      </c>
      <c r="G19" s="166">
        <f>'Copia de Combustibles'!G19*$D$231*$D$234</f>
        <v>0</v>
      </c>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row>
    <row r="20" spans="1:38" ht="13.5" customHeight="1">
      <c r="A20" s="619" t="s">
        <v>19</v>
      </c>
      <c r="B20" s="174"/>
      <c r="C20" s="168" t="s">
        <v>17</v>
      </c>
      <c r="D20" s="169">
        <f>'Copia de Combustibles'!D20*$D$231*$D$234</f>
        <v>0</v>
      </c>
      <c r="E20" s="169">
        <f>'Copia de Combustibles'!E20*$D$231*$D$234</f>
        <v>0</v>
      </c>
      <c r="F20" s="169">
        <f>'Copia de Combustibles'!F20*$D$231*$D$234</f>
        <v>0</v>
      </c>
      <c r="G20" s="170">
        <f>'Copia de Combustibles'!G20*$D$231*$D$234</f>
        <v>0</v>
      </c>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row>
    <row r="21" spans="1:38" ht="14.25" customHeight="1">
      <c r="A21" s="619"/>
      <c r="B21" s="619"/>
      <c r="C21" s="619"/>
      <c r="D21" s="619"/>
      <c r="E21" s="619"/>
      <c r="F21" s="619"/>
      <c r="G21" s="619"/>
      <c r="H21" s="619"/>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row>
    <row r="22" spans="1:38" ht="14.25" customHeight="1">
      <c r="A22" s="3"/>
      <c r="B22" s="7"/>
      <c r="C22" s="171" t="s">
        <v>20</v>
      </c>
      <c r="D22" s="172">
        <v>2018</v>
      </c>
      <c r="E22" s="172">
        <v>2019</v>
      </c>
      <c r="F22" s="172">
        <v>2020</v>
      </c>
      <c r="G22" s="173">
        <v>2021</v>
      </c>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row>
    <row r="23" spans="1:38" ht="14.25" customHeight="1">
      <c r="A23" s="619">
        <v>1</v>
      </c>
      <c r="B23" s="175"/>
      <c r="C23" s="164" t="s">
        <v>21</v>
      </c>
      <c r="D23" s="165">
        <f>'Copia de Combustibles'!D23*$D$234</f>
        <v>1097.878398599383</v>
      </c>
      <c r="E23" s="165">
        <f>'Copia de Combustibles'!E23*$D$234</f>
        <v>1127.0919271240762</v>
      </c>
      <c r="F23" s="165">
        <f>'Copia de Combustibles'!F23*$D$234</f>
        <v>1020.2948788011633</v>
      </c>
      <c r="G23" s="166">
        <f>'Copia de Combustibles'!G23*$D$234</f>
        <v>1003.7064939177933</v>
      </c>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row>
    <row r="24" spans="1:38" ht="14.25" customHeight="1">
      <c r="A24" s="619">
        <v>1</v>
      </c>
      <c r="B24" s="155"/>
      <c r="C24" s="164" t="s">
        <v>10</v>
      </c>
      <c r="D24" s="165">
        <f>'Copia de Combustibles'!D24*$D$234</f>
        <v>52.855462473874809</v>
      </c>
      <c r="E24" s="165">
        <f>'Copia de Combustibles'!E24*$D$234</f>
        <v>50.38508280529733</v>
      </c>
      <c r="F24" s="165">
        <f>'Copia de Combustibles'!F24*$D$234</f>
        <v>44.910759214997064</v>
      </c>
      <c r="G24" s="166">
        <f>'Copia de Combustibles'!G24*$D$234</f>
        <v>45.345474149915098</v>
      </c>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row>
    <row r="25" spans="1:38" ht="14.25" customHeight="1">
      <c r="A25" s="619">
        <v>1</v>
      </c>
      <c r="B25" s="155"/>
      <c r="C25" s="164" t="s">
        <v>11</v>
      </c>
      <c r="D25" s="165"/>
      <c r="E25" s="165"/>
      <c r="F25" s="165"/>
      <c r="G25" s="166"/>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row>
    <row r="26" spans="1:38" ht="14.25" customHeight="1">
      <c r="A26" s="619"/>
      <c r="B26" s="155"/>
      <c r="C26" s="164" t="s">
        <v>22</v>
      </c>
      <c r="D26" s="165"/>
      <c r="E26" s="165"/>
      <c r="F26" s="165"/>
      <c r="G26" s="166"/>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row>
    <row r="27" spans="1:38" ht="14.25" customHeight="1">
      <c r="A27" s="619"/>
      <c r="B27" s="155"/>
      <c r="C27" s="164"/>
      <c r="D27" s="165"/>
      <c r="E27" s="165"/>
      <c r="F27" s="165"/>
      <c r="G27" s="166"/>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row>
    <row r="28" spans="1:38" ht="14.25" customHeight="1">
      <c r="A28" s="619"/>
      <c r="B28" s="167"/>
      <c r="C28" s="168" t="s">
        <v>13</v>
      </c>
      <c r="D28" s="176">
        <f t="shared" ref="D28:G28" si="1">SUM(D23:D24)</f>
        <v>1150.7338610732577</v>
      </c>
      <c r="E28" s="176">
        <f t="shared" si="1"/>
        <v>1177.4770099293735</v>
      </c>
      <c r="F28" s="176">
        <f t="shared" si="1"/>
        <v>1065.2056380161605</v>
      </c>
      <c r="G28" s="177">
        <f t="shared" si="1"/>
        <v>1049.0519680677085</v>
      </c>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row>
    <row r="29" spans="1:38"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row>
    <row r="30" spans="1:38" ht="14.25" customHeight="1">
      <c r="A30" s="3"/>
      <c r="B30" s="7"/>
      <c r="C30" s="178" t="s">
        <v>23</v>
      </c>
      <c r="D30" s="172">
        <v>2018</v>
      </c>
      <c r="E30" s="172">
        <v>2019</v>
      </c>
      <c r="F30" s="172">
        <v>2020</v>
      </c>
      <c r="G30" s="173">
        <v>2021</v>
      </c>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row>
    <row r="31" spans="1:38" ht="14.25" customHeight="1">
      <c r="A31" s="619"/>
      <c r="B31" s="179"/>
      <c r="C31" s="164" t="s">
        <v>24</v>
      </c>
      <c r="D31" s="180">
        <f t="shared" ref="D31:G31" si="2">D23+D46+D59+D62+D67+D70-D145</f>
        <v>-14.297740597644747</v>
      </c>
      <c r="E31" s="181">
        <f t="shared" si="2"/>
        <v>4.3826103667551024</v>
      </c>
      <c r="F31" s="181">
        <f t="shared" si="2"/>
        <v>17.123448523497018</v>
      </c>
      <c r="G31" s="182">
        <f t="shared" si="2"/>
        <v>-9.9901907376123518</v>
      </c>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row>
    <row r="32" spans="1:38" ht="14.25" customHeight="1">
      <c r="A32" s="619"/>
      <c r="B32" s="155"/>
      <c r="C32" s="164" t="s">
        <v>10</v>
      </c>
      <c r="D32" s="181">
        <f t="shared" ref="D32:G32" si="3">D24+D63+D71+D124+D125-D184</f>
        <v>20.964402192685281</v>
      </c>
      <c r="E32" s="181">
        <f t="shared" si="3"/>
        <v>21.180981872095582</v>
      </c>
      <c r="F32" s="181">
        <f t="shared" si="3"/>
        <v>18.895590992896707</v>
      </c>
      <c r="G32" s="183">
        <f t="shared" si="3"/>
        <v>18.469240046856676</v>
      </c>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row>
    <row r="33" spans="1:56" ht="14.25" customHeight="1">
      <c r="A33" s="619"/>
      <c r="B33" s="155"/>
      <c r="C33" s="164" t="s">
        <v>11</v>
      </c>
      <c r="D33" s="181">
        <f>D63+D71+D124+D125</f>
        <v>-12.015221199935358</v>
      </c>
      <c r="E33" s="181"/>
      <c r="F33" s="181"/>
      <c r="G33" s="18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8"/>
      <c r="AN33" s="8"/>
      <c r="AO33" s="8"/>
      <c r="AP33" s="8"/>
      <c r="AQ33" s="8"/>
      <c r="AR33" s="8"/>
      <c r="AS33" s="8"/>
      <c r="AT33" s="8"/>
      <c r="AU33" s="8"/>
      <c r="AV33" s="8"/>
      <c r="AW33" s="8"/>
      <c r="AX33" s="8"/>
      <c r="AY33" s="8"/>
      <c r="AZ33" s="8"/>
      <c r="BA33" s="8"/>
      <c r="BB33" s="8"/>
      <c r="BC33" s="8"/>
      <c r="BD33" s="8"/>
    </row>
    <row r="34" spans="1:56" ht="14.25" customHeight="1">
      <c r="A34" s="619"/>
      <c r="B34" s="155"/>
      <c r="C34" s="164" t="s">
        <v>22</v>
      </c>
      <c r="D34" s="181"/>
      <c r="E34" s="181"/>
      <c r="F34" s="181"/>
      <c r="G34" s="18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8"/>
      <c r="AN34" s="8"/>
      <c r="AO34" s="8"/>
      <c r="AP34" s="8"/>
      <c r="AQ34" s="8"/>
      <c r="AR34" s="8"/>
      <c r="AS34" s="8"/>
      <c r="AT34" s="8"/>
      <c r="AU34" s="8"/>
      <c r="AV34" s="8"/>
      <c r="AW34" s="8"/>
      <c r="AX34" s="8"/>
      <c r="AY34" s="8"/>
      <c r="AZ34" s="8"/>
      <c r="BA34" s="8"/>
      <c r="BB34" s="8"/>
      <c r="BC34" s="8"/>
      <c r="BD34" s="8"/>
    </row>
    <row r="35" spans="1:56" ht="14.25" customHeight="1">
      <c r="A35" s="619"/>
      <c r="B35" s="155"/>
      <c r="C35" s="164"/>
      <c r="D35" s="181"/>
      <c r="E35" s="181"/>
      <c r="F35" s="181"/>
      <c r="G35" s="18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8"/>
      <c r="AN35" s="8"/>
      <c r="AO35" s="8"/>
      <c r="AP35" s="8"/>
      <c r="AQ35" s="8"/>
      <c r="AR35" s="8"/>
      <c r="AS35" s="8"/>
      <c r="AT35" s="8"/>
      <c r="AU35" s="8"/>
      <c r="AV35" s="8"/>
      <c r="AW35" s="8"/>
      <c r="AX35" s="8"/>
      <c r="AY35" s="8"/>
      <c r="AZ35" s="8"/>
      <c r="BA35" s="8"/>
      <c r="BB35" s="8"/>
      <c r="BC35" s="8"/>
      <c r="BD35" s="8"/>
    </row>
    <row r="36" spans="1:56" ht="14.25" customHeight="1">
      <c r="A36" s="619"/>
      <c r="B36" s="167"/>
      <c r="C36" s="168" t="s">
        <v>13</v>
      </c>
      <c r="D36" s="176">
        <f t="shared" ref="D36:G36" si="4">SUM(D31:D32)</f>
        <v>6.6666615950405337</v>
      </c>
      <c r="E36" s="176">
        <f t="shared" si="4"/>
        <v>25.563592238850685</v>
      </c>
      <c r="F36" s="176">
        <f t="shared" si="4"/>
        <v>36.019039516393725</v>
      </c>
      <c r="G36" s="177">
        <f t="shared" si="4"/>
        <v>8.4790493092443242</v>
      </c>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8"/>
      <c r="AN36" s="8"/>
      <c r="AO36" s="8"/>
      <c r="AP36" s="8"/>
      <c r="AQ36" s="8"/>
      <c r="AR36" s="8"/>
      <c r="AS36" s="8"/>
      <c r="AT36" s="8"/>
      <c r="AU36" s="8"/>
      <c r="AV36" s="8"/>
      <c r="AW36" s="8"/>
      <c r="AX36" s="8"/>
      <c r="AY36" s="8"/>
      <c r="AZ36" s="8"/>
      <c r="BA36" s="8"/>
      <c r="BB36" s="8"/>
      <c r="BC36" s="8"/>
      <c r="BD36" s="8"/>
    </row>
    <row r="37" spans="1:56" ht="14.25" customHeight="1">
      <c r="A37" s="619"/>
      <c r="B37" s="619"/>
      <c r="C37" s="619"/>
      <c r="D37" s="619"/>
      <c r="E37" s="619"/>
      <c r="F37" s="619"/>
      <c r="G37" s="619"/>
      <c r="H37" s="619"/>
      <c r="I37" s="619"/>
      <c r="J37" s="619"/>
      <c r="K37" s="619"/>
      <c r="L37" s="619"/>
      <c r="M37" s="619"/>
      <c r="N37" s="619"/>
      <c r="O37" s="619"/>
      <c r="P37" s="619"/>
      <c r="Q37" s="619"/>
      <c r="R37" s="619"/>
      <c r="S37" s="619"/>
      <c r="T37" s="619"/>
      <c r="U37" s="619"/>
      <c r="V37" s="619"/>
      <c r="W37" s="619"/>
      <c r="X37" s="619"/>
      <c r="Y37" s="619"/>
      <c r="Z37" s="619"/>
      <c r="AA37" s="619"/>
      <c r="AB37" s="619"/>
      <c r="AC37" s="619"/>
      <c r="AD37" s="619"/>
      <c r="AE37" s="619"/>
      <c r="AF37" s="619"/>
      <c r="AG37" s="619"/>
      <c r="AH37" s="619"/>
      <c r="AI37" s="619"/>
      <c r="AJ37" s="619"/>
      <c r="AK37" s="3"/>
      <c r="AL37" s="1"/>
      <c r="AM37" s="8"/>
      <c r="AN37" s="8"/>
      <c r="AO37" s="8"/>
      <c r="AP37" s="8"/>
      <c r="AQ37" s="8"/>
      <c r="AR37" s="8"/>
      <c r="AS37" s="8"/>
      <c r="AT37" s="8"/>
      <c r="AU37" s="8"/>
      <c r="AV37" s="8"/>
      <c r="AW37" s="8"/>
      <c r="AX37" s="8"/>
      <c r="AY37" s="8"/>
      <c r="AZ37" s="8"/>
      <c r="BA37" s="8"/>
      <c r="BB37" s="8"/>
      <c r="BC37" s="8"/>
      <c r="BD37" s="8"/>
    </row>
    <row r="38" spans="1:56" ht="14.25" customHeight="1">
      <c r="A38" s="3"/>
      <c r="B38" s="7"/>
      <c r="C38" s="184" t="s">
        <v>23</v>
      </c>
      <c r="D38" s="172">
        <v>2018</v>
      </c>
      <c r="E38" s="172">
        <v>2019</v>
      </c>
      <c r="F38" s="172">
        <v>2020</v>
      </c>
      <c r="G38" s="172">
        <v>2021</v>
      </c>
      <c r="H38" s="185" t="s">
        <v>25</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1"/>
      <c r="AM38" s="8"/>
      <c r="AN38" s="8"/>
      <c r="AO38" s="8"/>
      <c r="AP38" s="8"/>
      <c r="AQ38" s="8"/>
      <c r="AR38" s="8"/>
      <c r="AS38" s="8"/>
      <c r="AT38" s="8"/>
      <c r="AU38" s="8"/>
      <c r="AV38" s="8"/>
      <c r="AW38" s="8"/>
      <c r="AX38" s="8"/>
      <c r="AY38" s="8"/>
      <c r="AZ38" s="8"/>
      <c r="BA38" s="8"/>
      <c r="BB38" s="8"/>
      <c r="BC38" s="8"/>
      <c r="BD38" s="8"/>
    </row>
    <row r="39" spans="1:56" ht="14.25" customHeight="1">
      <c r="A39" s="619"/>
      <c r="B39" s="179"/>
      <c r="C39" s="164" t="s">
        <v>21</v>
      </c>
      <c r="D39" s="180">
        <f t="shared" ref="D39:G39" si="5">(D23-D31)/D23</f>
        <v>1.0130230639530615</v>
      </c>
      <c r="E39" s="180">
        <f t="shared" si="5"/>
        <v>0.99611157682768803</v>
      </c>
      <c r="F39" s="180">
        <f t="shared" si="5"/>
        <v>0.98321715723633063</v>
      </c>
      <c r="G39" s="180">
        <f t="shared" si="5"/>
        <v>1.0099532988957931</v>
      </c>
      <c r="H39" s="186">
        <f t="shared" ref="H39:H40" si="6">AVERAGE(D39:G39)</f>
        <v>1.0005762742282183</v>
      </c>
      <c r="I39" s="619"/>
      <c r="J39" s="619"/>
      <c r="K39" s="619"/>
      <c r="L39" s="619"/>
      <c r="M39" s="619"/>
      <c r="N39" s="619"/>
      <c r="O39" s="619"/>
      <c r="P39" s="619"/>
      <c r="Q39" s="619"/>
      <c r="R39" s="619"/>
      <c r="S39" s="619"/>
      <c r="T39" s="619"/>
      <c r="U39" s="619"/>
      <c r="V39" s="619"/>
      <c r="W39" s="619"/>
      <c r="X39" s="619"/>
      <c r="Y39" s="619"/>
      <c r="Z39" s="619"/>
      <c r="AA39" s="619"/>
      <c r="AB39" s="619"/>
      <c r="AC39" s="619"/>
      <c r="AD39" s="619"/>
      <c r="AE39" s="619"/>
      <c r="AF39" s="619"/>
      <c r="AG39" s="619"/>
      <c r="AH39" s="619"/>
      <c r="AI39" s="619"/>
      <c r="AJ39" s="619"/>
      <c r="AK39" s="3"/>
      <c r="AL39" s="1"/>
      <c r="AM39" s="8"/>
      <c r="AN39" s="8"/>
      <c r="AO39" s="8"/>
      <c r="AP39" s="8"/>
      <c r="AQ39" s="8"/>
      <c r="AR39" s="8"/>
      <c r="AS39" s="8"/>
      <c r="AT39" s="8"/>
      <c r="AU39" s="8"/>
      <c r="AV39" s="8"/>
      <c r="AW39" s="8"/>
      <c r="AX39" s="8"/>
      <c r="AY39" s="8"/>
      <c r="AZ39" s="8"/>
      <c r="BA39" s="8"/>
      <c r="BB39" s="8"/>
      <c r="BC39" s="8"/>
      <c r="BD39" s="8"/>
    </row>
    <row r="40" spans="1:56" ht="14.25" customHeight="1">
      <c r="A40" s="619"/>
      <c r="B40" s="167"/>
      <c r="C40" s="168" t="s">
        <v>10</v>
      </c>
      <c r="D40" s="176">
        <f t="shared" ref="D40:G40" si="7">(D24)/(D24-D32)</f>
        <v>1.657375515515576</v>
      </c>
      <c r="E40" s="176">
        <f t="shared" si="7"/>
        <v>1.7252742318807428</v>
      </c>
      <c r="F40" s="176">
        <f t="shared" si="7"/>
        <v>1.7263297639122919</v>
      </c>
      <c r="G40" s="176">
        <f t="shared" si="7"/>
        <v>1.687195980509596</v>
      </c>
      <c r="H40" s="187">
        <f t="shared" si="6"/>
        <v>1.6990438729545518</v>
      </c>
      <c r="I40" s="619"/>
      <c r="J40" s="619"/>
      <c r="K40" s="619"/>
      <c r="L40" s="619"/>
      <c r="M40" s="619"/>
      <c r="N40" s="619"/>
      <c r="O40" s="619"/>
      <c r="P40" s="619"/>
      <c r="Q40" s="619"/>
      <c r="R40" s="619"/>
      <c r="S40" s="619"/>
      <c r="T40" s="619"/>
      <c r="U40" s="619"/>
      <c r="V40" s="619"/>
      <c r="W40" s="619"/>
      <c r="X40" s="619"/>
      <c r="Y40" s="619"/>
      <c r="Z40" s="619"/>
      <c r="AA40" s="619"/>
      <c r="AB40" s="619"/>
      <c r="AC40" s="619"/>
      <c r="AD40" s="619"/>
      <c r="AE40" s="619"/>
      <c r="AF40" s="619"/>
      <c r="AG40" s="619"/>
      <c r="AH40" s="619"/>
      <c r="AI40" s="619"/>
      <c r="AJ40" s="619"/>
      <c r="AK40" s="3"/>
      <c r="AL40" s="1"/>
      <c r="AM40" s="8"/>
      <c r="AN40" s="8"/>
      <c r="AO40" s="8"/>
      <c r="AP40" s="8"/>
      <c r="AQ40" s="8"/>
      <c r="AR40" s="8"/>
      <c r="AS40" s="8"/>
      <c r="AT40" s="8"/>
      <c r="AU40" s="8"/>
      <c r="AV40" s="8"/>
      <c r="AW40" s="8"/>
      <c r="AX40" s="8"/>
      <c r="AY40" s="8"/>
      <c r="AZ40" s="8"/>
      <c r="BA40" s="8"/>
      <c r="BB40" s="8"/>
      <c r="BC40" s="8"/>
      <c r="BD40" s="8"/>
    </row>
    <row r="41" spans="1:56" ht="14.25" customHeight="1">
      <c r="A41" s="619"/>
      <c r="B41" s="619"/>
      <c r="C41" s="619"/>
      <c r="D41" s="619"/>
      <c r="E41" s="619"/>
      <c r="F41" s="619"/>
      <c r="G41" s="619"/>
      <c r="H41" s="619"/>
      <c r="I41" s="619"/>
      <c r="J41" s="619"/>
      <c r="K41" s="619"/>
      <c r="L41" s="619"/>
      <c r="M41" s="619"/>
      <c r="N41" s="619"/>
      <c r="O41" s="619"/>
      <c r="P41" s="619"/>
      <c r="Q41" s="619"/>
      <c r="R41" s="619"/>
      <c r="S41" s="619"/>
      <c r="T41" s="619"/>
      <c r="U41" s="619"/>
      <c r="V41" s="619"/>
      <c r="W41" s="619"/>
      <c r="X41" s="619"/>
      <c r="Y41" s="619"/>
      <c r="Z41" s="619"/>
      <c r="AA41" s="619"/>
      <c r="AB41" s="619"/>
      <c r="AC41" s="619"/>
      <c r="AD41" s="619"/>
      <c r="AE41" s="619"/>
      <c r="AF41" s="619"/>
      <c r="AG41" s="619"/>
      <c r="AH41" s="619"/>
      <c r="AI41" s="619"/>
      <c r="AJ41" s="619"/>
      <c r="AK41" s="3"/>
      <c r="AL41" s="1"/>
      <c r="AM41" s="8"/>
      <c r="AN41" s="8"/>
      <c r="AO41" s="8"/>
      <c r="AP41" s="8"/>
      <c r="AQ41" s="8"/>
      <c r="AR41" s="8"/>
      <c r="AS41" s="8"/>
      <c r="AT41" s="8"/>
      <c r="AU41" s="8"/>
      <c r="AV41" s="8"/>
      <c r="AW41" s="8"/>
      <c r="AX41" s="8"/>
      <c r="AY41" s="8"/>
      <c r="AZ41" s="8"/>
      <c r="BA41" s="8"/>
      <c r="BB41" s="8"/>
      <c r="BC41" s="8"/>
      <c r="BD41" s="8"/>
    </row>
    <row r="42" spans="1:56" ht="14.25" customHeight="1">
      <c r="A42" s="3"/>
      <c r="B42" s="7"/>
      <c r="C42" s="171" t="s">
        <v>26</v>
      </c>
      <c r="D42" s="172">
        <v>2018</v>
      </c>
      <c r="E42" s="172">
        <v>2019</v>
      </c>
      <c r="F42" s="172">
        <v>2020</v>
      </c>
      <c r="G42" s="173">
        <v>2021</v>
      </c>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1"/>
      <c r="AM42" s="8"/>
      <c r="AN42" s="8"/>
      <c r="AO42" s="8"/>
      <c r="AP42" s="8"/>
      <c r="AQ42" s="8"/>
      <c r="AR42" s="8"/>
      <c r="AS42" s="8"/>
      <c r="AT42" s="8"/>
      <c r="AU42" s="8"/>
      <c r="AV42" s="8"/>
      <c r="AW42" s="8"/>
      <c r="AX42" s="8"/>
      <c r="AY42" s="8"/>
      <c r="AZ42" s="8"/>
      <c r="BA42" s="8"/>
      <c r="BB42" s="8"/>
      <c r="BC42" s="8"/>
      <c r="BD42" s="8"/>
    </row>
    <row r="43" spans="1:56" ht="14.25" customHeight="1">
      <c r="A43" s="619">
        <v>1</v>
      </c>
      <c r="B43" s="188"/>
      <c r="C43" s="168" t="s">
        <v>10</v>
      </c>
      <c r="D43" s="169">
        <f>'Copia de Combustibles'!D39*$D$234</f>
        <v>25.245741500869666</v>
      </c>
      <c r="E43" s="169">
        <f>'Copia de Combustibles'!E39*$D$234</f>
        <v>25.731169531016565</v>
      </c>
      <c r="F43" s="169">
        <f>'Copia de Combustibles'!F39*$D$234</f>
        <v>23.967718660734096</v>
      </c>
      <c r="G43" s="170">
        <f>'Copia de Combustibles'!G39*$D$234</f>
        <v>23.255254315051982</v>
      </c>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1"/>
      <c r="AM43" s="8"/>
      <c r="AN43" s="8"/>
      <c r="AO43" s="8"/>
      <c r="AP43" s="8"/>
      <c r="AQ43" s="8"/>
      <c r="AR43" s="8"/>
      <c r="AS43" s="8"/>
      <c r="AT43" s="8"/>
      <c r="AU43" s="8"/>
      <c r="AV43" s="8"/>
      <c r="AW43" s="8"/>
      <c r="AX43" s="8"/>
      <c r="AY43" s="8"/>
      <c r="AZ43" s="8"/>
      <c r="BA43" s="8"/>
      <c r="BB43" s="8"/>
      <c r="BC43" s="8"/>
      <c r="BD43" s="8"/>
    </row>
    <row r="44" spans="1:56" ht="14.25" customHeight="1">
      <c r="A44" s="619"/>
      <c r="B44" s="619"/>
      <c r="C44" s="619"/>
      <c r="D44" s="619"/>
      <c r="E44" s="619"/>
      <c r="F44" s="619"/>
      <c r="G44" s="619"/>
      <c r="H44" s="619"/>
      <c r="I44" s="619"/>
      <c r="J44" s="619"/>
      <c r="K44" s="619"/>
      <c r="L44" s="619"/>
      <c r="M44" s="619"/>
      <c r="N44" s="619"/>
      <c r="O44" s="619"/>
      <c r="P44" s="619"/>
      <c r="Q44" s="619"/>
      <c r="R44" s="619"/>
      <c r="S44" s="619"/>
      <c r="T44" s="619"/>
      <c r="U44" s="619"/>
      <c r="V44" s="619"/>
      <c r="W44" s="619"/>
      <c r="X44" s="619"/>
      <c r="Y44" s="619"/>
      <c r="Z44" s="619"/>
      <c r="AA44" s="619"/>
      <c r="AB44" s="619"/>
      <c r="AC44" s="619"/>
      <c r="AD44" s="619"/>
      <c r="AE44" s="619"/>
      <c r="AF44" s="619"/>
      <c r="AG44" s="619"/>
      <c r="AH44" s="619"/>
      <c r="AI44" s="619"/>
      <c r="AJ44" s="619"/>
      <c r="AK44" s="3"/>
      <c r="AL44" s="1"/>
      <c r="AM44" s="8"/>
      <c r="AN44" s="8"/>
      <c r="AO44" s="8"/>
      <c r="AP44" s="8"/>
      <c r="AQ44" s="8"/>
      <c r="AR44" s="8"/>
      <c r="AS44" s="8"/>
      <c r="AT44" s="8"/>
      <c r="AU44" s="8"/>
      <c r="AV44" s="8"/>
      <c r="AW44" s="8"/>
      <c r="AX44" s="8"/>
      <c r="AY44" s="8"/>
      <c r="AZ44" s="8"/>
      <c r="BA44" s="8"/>
      <c r="BB44" s="8"/>
      <c r="BC44" s="8"/>
      <c r="BD44" s="8"/>
    </row>
    <row r="45" spans="1:56" ht="14.25" customHeight="1">
      <c r="A45" s="3"/>
      <c r="B45" s="7"/>
      <c r="C45" s="171" t="s">
        <v>27</v>
      </c>
      <c r="D45" s="172">
        <v>2018</v>
      </c>
      <c r="E45" s="172">
        <v>2019</v>
      </c>
      <c r="F45" s="172">
        <v>2020</v>
      </c>
      <c r="G45" s="172">
        <v>2021</v>
      </c>
      <c r="H45" s="189">
        <v>2022</v>
      </c>
      <c r="I45" s="189">
        <v>2023</v>
      </c>
      <c r="J45" s="189">
        <v>2024</v>
      </c>
      <c r="K45" s="189">
        <v>2025</v>
      </c>
      <c r="L45" s="189">
        <v>2026</v>
      </c>
      <c r="M45" s="189">
        <v>2027</v>
      </c>
      <c r="N45" s="189">
        <v>2028</v>
      </c>
      <c r="O45" s="189">
        <v>2029</v>
      </c>
      <c r="P45" s="189">
        <v>2030</v>
      </c>
      <c r="Q45" s="189">
        <v>2031</v>
      </c>
      <c r="R45" s="189">
        <v>2032</v>
      </c>
      <c r="S45" s="189">
        <v>2033</v>
      </c>
      <c r="T45" s="189">
        <v>2034</v>
      </c>
      <c r="U45" s="189">
        <v>2035</v>
      </c>
      <c r="V45" s="189">
        <v>2036</v>
      </c>
      <c r="W45" s="189">
        <v>2037</v>
      </c>
      <c r="X45" s="189">
        <v>2038</v>
      </c>
      <c r="Y45" s="189">
        <v>2039</v>
      </c>
      <c r="Z45" s="189">
        <v>2040</v>
      </c>
      <c r="AA45" s="189">
        <v>2041</v>
      </c>
      <c r="AB45" s="189">
        <v>2042</v>
      </c>
      <c r="AC45" s="189">
        <v>2043</v>
      </c>
      <c r="AD45" s="189">
        <v>2044</v>
      </c>
      <c r="AE45" s="189">
        <v>2045</v>
      </c>
      <c r="AF45" s="189">
        <v>2046</v>
      </c>
      <c r="AG45" s="189">
        <v>2047</v>
      </c>
      <c r="AH45" s="189">
        <v>2048</v>
      </c>
      <c r="AI45" s="189">
        <v>2049</v>
      </c>
      <c r="AJ45" s="189">
        <v>2050</v>
      </c>
      <c r="AK45" s="189">
        <v>2051</v>
      </c>
      <c r="AL45" s="189">
        <v>2052</v>
      </c>
      <c r="AM45" s="189">
        <v>2053</v>
      </c>
      <c r="AN45" s="189">
        <v>2054</v>
      </c>
      <c r="AO45" s="189">
        <v>2055</v>
      </c>
      <c r="AP45" s="189">
        <v>2056</v>
      </c>
      <c r="AQ45" s="189">
        <v>2057</v>
      </c>
      <c r="AR45" s="189">
        <v>2058</v>
      </c>
      <c r="AS45" s="189">
        <v>2059</v>
      </c>
      <c r="AT45" s="189">
        <v>2060</v>
      </c>
      <c r="AU45" s="189">
        <v>2061</v>
      </c>
      <c r="AV45" s="189">
        <v>2062</v>
      </c>
      <c r="AW45" s="189">
        <v>2063</v>
      </c>
      <c r="AX45" s="189">
        <v>2064</v>
      </c>
      <c r="AY45" s="189">
        <v>2065</v>
      </c>
      <c r="AZ45" s="189">
        <v>2066</v>
      </c>
      <c r="BA45" s="189">
        <v>2067</v>
      </c>
      <c r="BB45" s="189">
        <v>2068</v>
      </c>
      <c r="BC45" s="189">
        <v>2069</v>
      </c>
      <c r="BD45" s="189">
        <v>2070</v>
      </c>
    </row>
    <row r="46" spans="1:56" ht="14.25" customHeight="1">
      <c r="A46" s="619"/>
      <c r="B46" s="179"/>
      <c r="C46" s="164" t="s">
        <v>28</v>
      </c>
      <c r="D46" s="165"/>
      <c r="E46" s="165"/>
      <c r="F46" s="165"/>
      <c r="G46" s="165"/>
      <c r="H46" s="165">
        <v>0</v>
      </c>
      <c r="I46" s="165">
        <v>0</v>
      </c>
      <c r="J46" s="165">
        <v>0</v>
      </c>
      <c r="K46" s="165">
        <v>0</v>
      </c>
      <c r="L46" s="165">
        <v>0</v>
      </c>
      <c r="M46" s="165">
        <v>0</v>
      </c>
      <c r="N46" s="165">
        <v>0</v>
      </c>
      <c r="O46" s="165">
        <v>0</v>
      </c>
      <c r="P46" s="190">
        <v>0</v>
      </c>
      <c r="Q46" s="190">
        <v>0</v>
      </c>
      <c r="R46" s="190">
        <v>0</v>
      </c>
      <c r="S46" s="190">
        <v>0</v>
      </c>
      <c r="T46" s="190">
        <v>0</v>
      </c>
      <c r="U46" s="190">
        <v>0</v>
      </c>
      <c r="V46" s="190">
        <v>0</v>
      </c>
      <c r="W46" s="190">
        <v>0</v>
      </c>
      <c r="X46" s="190">
        <v>379.11</v>
      </c>
      <c r="Y46" s="190">
        <v>379.11</v>
      </c>
      <c r="Z46" s="190">
        <v>379.11</v>
      </c>
      <c r="AA46" s="190">
        <v>379.11</v>
      </c>
      <c r="AB46" s="190">
        <v>379.11</v>
      </c>
      <c r="AC46" s="190">
        <v>379.11</v>
      </c>
      <c r="AD46" s="190">
        <v>379.11</v>
      </c>
      <c r="AE46" s="190">
        <v>379.11</v>
      </c>
      <c r="AF46" s="190">
        <v>379.11</v>
      </c>
      <c r="AG46" s="190">
        <v>379.11</v>
      </c>
      <c r="AH46" s="190">
        <v>379.11</v>
      </c>
      <c r="AI46" s="190">
        <v>379.11</v>
      </c>
      <c r="AJ46" s="190">
        <v>379.11</v>
      </c>
      <c r="AK46" s="165"/>
      <c r="AL46" s="165"/>
      <c r="AM46" s="165"/>
      <c r="AN46" s="165"/>
      <c r="AO46" s="165"/>
      <c r="AP46" s="165"/>
      <c r="AQ46" s="165"/>
      <c r="AR46" s="165"/>
      <c r="AS46" s="165"/>
      <c r="AT46" s="165"/>
      <c r="AU46" s="165"/>
      <c r="AV46" s="165"/>
      <c r="AW46" s="165"/>
      <c r="AX46" s="165"/>
      <c r="AY46" s="165"/>
      <c r="AZ46" s="165"/>
      <c r="BA46" s="165"/>
      <c r="BB46" s="165"/>
      <c r="BC46" s="165"/>
      <c r="BD46" s="166"/>
    </row>
    <row r="47" spans="1:56" ht="14.25" customHeight="1">
      <c r="A47" s="619">
        <v>1</v>
      </c>
      <c r="B47" s="179"/>
      <c r="C47" s="164" t="s">
        <v>29</v>
      </c>
      <c r="D47" s="165">
        <f>'Copia de Combustibles'!D43*$D$234</f>
        <v>117.76053434755926</v>
      </c>
      <c r="E47" s="165">
        <f>'Copia de Combustibles'!E43*$D$234</f>
        <v>124.42923183837271</v>
      </c>
      <c r="F47" s="165">
        <f>'Copia de Combustibles'!F43*$D$234</f>
        <v>108.25917569387438</v>
      </c>
      <c r="G47" s="165">
        <f>'Copia de Combustibles'!G43*$D$234</f>
        <v>136.77355671196315</v>
      </c>
      <c r="H47" s="165">
        <v>134.38999999999999</v>
      </c>
      <c r="I47" s="165">
        <v>144.65</v>
      </c>
      <c r="J47" s="165">
        <v>143.02000000000001</v>
      </c>
      <c r="K47" s="165">
        <v>152.84</v>
      </c>
      <c r="L47" s="165">
        <v>150.88999999999999</v>
      </c>
      <c r="M47" s="165">
        <v>161.29</v>
      </c>
      <c r="N47" s="165">
        <v>160.72999999999999</v>
      </c>
      <c r="O47" s="165">
        <v>169.45</v>
      </c>
      <c r="P47" s="165">
        <v>168.68</v>
      </c>
      <c r="Q47" s="165">
        <v>178.69</v>
      </c>
      <c r="R47" s="165">
        <v>178.77</v>
      </c>
      <c r="S47" s="165">
        <v>188.05</v>
      </c>
      <c r="T47" s="165">
        <v>188.69</v>
      </c>
      <c r="U47" s="165">
        <v>196.72</v>
      </c>
      <c r="V47" s="165">
        <v>198.44</v>
      </c>
      <c r="W47" s="165">
        <v>206.04</v>
      </c>
      <c r="X47" s="165">
        <v>208.02</v>
      </c>
      <c r="Y47" s="165">
        <v>215.95</v>
      </c>
      <c r="Z47" s="165">
        <v>218.4</v>
      </c>
      <c r="AA47" s="165">
        <v>225.69</v>
      </c>
      <c r="AB47" s="165">
        <v>228.62</v>
      </c>
      <c r="AC47" s="165">
        <v>234.58</v>
      </c>
      <c r="AD47" s="165">
        <v>237.94</v>
      </c>
      <c r="AE47" s="165">
        <v>244.03</v>
      </c>
      <c r="AF47" s="165">
        <v>248.09</v>
      </c>
      <c r="AG47" s="165">
        <v>254.09</v>
      </c>
      <c r="AH47" s="165">
        <v>257.36</v>
      </c>
      <c r="AI47" s="165">
        <v>263.26</v>
      </c>
      <c r="AJ47" s="165">
        <v>266.93</v>
      </c>
      <c r="AK47" s="165"/>
      <c r="AL47" s="165"/>
      <c r="AM47" s="165"/>
      <c r="AN47" s="165"/>
      <c r="AO47" s="165"/>
      <c r="AP47" s="165"/>
      <c r="AQ47" s="165"/>
      <c r="AR47" s="165"/>
      <c r="AS47" s="165"/>
      <c r="AT47" s="165"/>
      <c r="AU47" s="165"/>
      <c r="AV47" s="165"/>
      <c r="AW47" s="165"/>
      <c r="AX47" s="165"/>
      <c r="AY47" s="165"/>
      <c r="AZ47" s="165"/>
      <c r="BA47" s="165"/>
      <c r="BB47" s="165"/>
      <c r="BC47" s="165"/>
      <c r="BD47" s="166"/>
    </row>
    <row r="48" spans="1:56" ht="14.25" customHeight="1">
      <c r="A48" s="619">
        <v>1</v>
      </c>
      <c r="B48" s="179"/>
      <c r="C48" s="164" t="s">
        <v>30</v>
      </c>
      <c r="D48" s="165">
        <f>'Copia de Combustibles'!D44*$D$234</f>
        <v>91.607975457177815</v>
      </c>
      <c r="E48" s="165">
        <f>'Copia de Combustibles'!E44*$D$234</f>
        <v>105.93168609615964</v>
      </c>
      <c r="F48" s="165">
        <f>'Copia de Combustibles'!F44*$D$234</f>
        <v>78.997084172717436</v>
      </c>
      <c r="G48" s="165">
        <f>'Copia de Combustibles'!G44*$D$234</f>
        <v>93.045174562286462</v>
      </c>
      <c r="H48" s="165">
        <v>90.01</v>
      </c>
      <c r="I48" s="165">
        <v>114.02</v>
      </c>
      <c r="J48" s="165">
        <v>78.099999999999994</v>
      </c>
      <c r="K48" s="165">
        <v>99.44</v>
      </c>
      <c r="L48" s="165">
        <v>88.86</v>
      </c>
      <c r="M48" s="165">
        <v>121.88</v>
      </c>
      <c r="N48" s="165">
        <v>77.83</v>
      </c>
      <c r="O48" s="165">
        <v>104.83</v>
      </c>
      <c r="P48" s="165">
        <v>88.46</v>
      </c>
      <c r="Q48" s="165">
        <v>129.11000000000001</v>
      </c>
      <c r="R48" s="165">
        <v>77.87</v>
      </c>
      <c r="S48" s="165">
        <v>110.28</v>
      </c>
      <c r="T48" s="165">
        <v>88.76</v>
      </c>
      <c r="U48" s="165">
        <v>134.61000000000001</v>
      </c>
      <c r="V48" s="165">
        <v>78.55</v>
      </c>
      <c r="W48" s="165">
        <v>114.5</v>
      </c>
      <c r="X48" s="165">
        <v>89.62</v>
      </c>
      <c r="Y48" s="165">
        <v>139.72999999999999</v>
      </c>
      <c r="Z48" s="165">
        <v>79.44</v>
      </c>
      <c r="AA48" s="165">
        <v>118.32</v>
      </c>
      <c r="AB48" s="165">
        <v>90.78</v>
      </c>
      <c r="AC48" s="165">
        <v>143.38</v>
      </c>
      <c r="AD48" s="165">
        <v>80.58</v>
      </c>
      <c r="AE48" s="165">
        <v>121.35</v>
      </c>
      <c r="AF48" s="165">
        <v>92.29</v>
      </c>
      <c r="AG48" s="165">
        <v>146.84</v>
      </c>
      <c r="AH48" s="165">
        <v>81.61</v>
      </c>
      <c r="AI48" s="165">
        <v>124.13</v>
      </c>
      <c r="AJ48" s="165">
        <v>93.58</v>
      </c>
      <c r="AK48" s="165"/>
      <c r="AL48" s="165"/>
      <c r="AM48" s="165"/>
      <c r="AN48" s="165"/>
      <c r="AO48" s="165"/>
      <c r="AP48" s="165"/>
      <c r="AQ48" s="165"/>
      <c r="AR48" s="165"/>
      <c r="AS48" s="165"/>
      <c r="AT48" s="165"/>
      <c r="AU48" s="165"/>
      <c r="AV48" s="165"/>
      <c r="AW48" s="165"/>
      <c r="AX48" s="165"/>
      <c r="AY48" s="165"/>
      <c r="AZ48" s="165"/>
      <c r="BA48" s="165"/>
      <c r="BB48" s="165"/>
      <c r="BC48" s="165"/>
      <c r="BD48" s="166"/>
    </row>
    <row r="49" spans="1:56" ht="14.25" customHeight="1">
      <c r="A49" s="619">
        <v>1</v>
      </c>
      <c r="B49" s="179"/>
      <c r="C49" s="164" t="s">
        <v>31</v>
      </c>
      <c r="D49" s="165">
        <f>'Copia de Combustibles'!D45*$D$234</f>
        <v>43.389807172946462</v>
      </c>
      <c r="E49" s="165">
        <f>'Copia de Combustibles'!E45*$D$234</f>
        <v>47.274511929187639</v>
      </c>
      <c r="F49" s="165">
        <f>'Copia de Combustibles'!F45*$D$234</f>
        <v>48.313115125721133</v>
      </c>
      <c r="G49" s="165">
        <f>'Copia de Combustibles'!G45*$D$234</f>
        <v>49.878194601928534</v>
      </c>
      <c r="H49" s="165">
        <v>50.85</v>
      </c>
      <c r="I49" s="165">
        <v>51.85</v>
      </c>
      <c r="J49" s="165">
        <v>52.88</v>
      </c>
      <c r="K49" s="165">
        <v>53.86</v>
      </c>
      <c r="L49" s="165">
        <v>54.75</v>
      </c>
      <c r="M49" s="165">
        <v>55.89</v>
      </c>
      <c r="N49" s="165">
        <v>56.91</v>
      </c>
      <c r="O49" s="165">
        <v>57.87</v>
      </c>
      <c r="P49" s="165">
        <v>58.81</v>
      </c>
      <c r="Q49" s="165">
        <v>60.03</v>
      </c>
      <c r="R49" s="165">
        <v>61.02</v>
      </c>
      <c r="S49" s="165">
        <v>62.2</v>
      </c>
      <c r="T49" s="165">
        <v>63.19</v>
      </c>
      <c r="U49" s="165">
        <v>64.239999999999995</v>
      </c>
      <c r="V49" s="165">
        <v>65.3</v>
      </c>
      <c r="W49" s="165">
        <v>66.33</v>
      </c>
      <c r="X49" s="165">
        <v>67.34</v>
      </c>
      <c r="Y49" s="165">
        <v>68.42</v>
      </c>
      <c r="Z49" s="165">
        <v>69.41</v>
      </c>
      <c r="AA49" s="165">
        <v>70.42</v>
      </c>
      <c r="AB49" s="165">
        <v>71.400000000000006</v>
      </c>
      <c r="AC49" s="165">
        <v>72.25</v>
      </c>
      <c r="AD49" s="165">
        <v>73.209999999999994</v>
      </c>
      <c r="AE49" s="165">
        <v>74.069999999999993</v>
      </c>
      <c r="AF49" s="165">
        <v>75.05</v>
      </c>
      <c r="AG49" s="165">
        <v>75.91</v>
      </c>
      <c r="AH49" s="165">
        <v>76.739999999999995</v>
      </c>
      <c r="AI49" s="165">
        <v>77.58</v>
      </c>
      <c r="AJ49" s="165">
        <v>78.41</v>
      </c>
      <c r="AK49" s="165"/>
      <c r="AL49" s="165"/>
      <c r="AM49" s="165"/>
      <c r="AN49" s="165"/>
      <c r="AO49" s="165"/>
      <c r="AP49" s="165"/>
      <c r="AQ49" s="165"/>
      <c r="AR49" s="165"/>
      <c r="AS49" s="165"/>
      <c r="AT49" s="165"/>
      <c r="AU49" s="165"/>
      <c r="AV49" s="165"/>
      <c r="AW49" s="165"/>
      <c r="AX49" s="165"/>
      <c r="AY49" s="165"/>
      <c r="AZ49" s="165"/>
      <c r="BA49" s="165"/>
      <c r="BB49" s="165"/>
      <c r="BC49" s="165"/>
      <c r="BD49" s="166"/>
    </row>
    <row r="50" spans="1:56" ht="14.25" customHeight="1">
      <c r="A50" s="619">
        <v>1</v>
      </c>
      <c r="B50" s="179"/>
      <c r="C50" s="164" t="s">
        <v>32</v>
      </c>
      <c r="D50" s="165">
        <f>'Copia de Combustibles'!D46*$D$234</f>
        <v>24.078345824693489</v>
      </c>
      <c r="E50" s="165">
        <f>'Copia de Combustibles'!E46*$D$234</f>
        <v>25.523331769395305</v>
      </c>
      <c r="F50" s="165">
        <f>'Copia de Combustibles'!F46*$D$234</f>
        <v>17.832534842966325</v>
      </c>
      <c r="G50" s="165">
        <f>'Copia de Combustibles'!G46*$D$234</f>
        <v>13.861502850491931</v>
      </c>
      <c r="H50" s="165">
        <v>14.39</v>
      </c>
      <c r="I50" s="165">
        <v>14.7</v>
      </c>
      <c r="J50" s="165">
        <v>15.28</v>
      </c>
      <c r="K50" s="165">
        <v>15.54</v>
      </c>
      <c r="L50" s="165">
        <v>16.03</v>
      </c>
      <c r="M50" s="165">
        <v>16.38</v>
      </c>
      <c r="N50" s="165">
        <v>16.98</v>
      </c>
      <c r="O50" s="165">
        <v>17.18</v>
      </c>
      <c r="P50" s="165">
        <v>17.71</v>
      </c>
      <c r="Q50" s="165">
        <v>18.12</v>
      </c>
      <c r="R50" s="165">
        <v>18.68</v>
      </c>
      <c r="S50" s="165">
        <v>19.07</v>
      </c>
      <c r="T50" s="165">
        <v>19.63</v>
      </c>
      <c r="U50" s="165">
        <v>19.96</v>
      </c>
      <c r="V50" s="165">
        <v>20.56</v>
      </c>
      <c r="W50" s="165">
        <v>20.9</v>
      </c>
      <c r="X50" s="165">
        <v>21.47</v>
      </c>
      <c r="Y50" s="165">
        <v>21.9</v>
      </c>
      <c r="Z50" s="165">
        <v>22.46</v>
      </c>
      <c r="AA50" s="165">
        <v>22.87</v>
      </c>
      <c r="AB50" s="165">
        <v>23.43</v>
      </c>
      <c r="AC50" s="165">
        <v>23.75</v>
      </c>
      <c r="AD50" s="165">
        <v>24.31</v>
      </c>
      <c r="AE50" s="165">
        <v>24.68</v>
      </c>
      <c r="AF50" s="165">
        <v>25.27</v>
      </c>
      <c r="AG50" s="165">
        <v>25.66</v>
      </c>
      <c r="AH50" s="165">
        <v>26.15</v>
      </c>
      <c r="AI50" s="165">
        <v>26.55</v>
      </c>
      <c r="AJ50" s="165">
        <v>27.05</v>
      </c>
      <c r="AK50" s="165"/>
      <c r="AL50" s="165"/>
      <c r="AM50" s="165"/>
      <c r="AN50" s="165"/>
      <c r="AO50" s="165"/>
      <c r="AP50" s="165"/>
      <c r="AQ50" s="165"/>
      <c r="AR50" s="165"/>
      <c r="AS50" s="165"/>
      <c r="AT50" s="165"/>
      <c r="AU50" s="165"/>
      <c r="AV50" s="165"/>
      <c r="AW50" s="165"/>
      <c r="AX50" s="165"/>
      <c r="AY50" s="165"/>
      <c r="AZ50" s="165"/>
      <c r="BA50" s="165"/>
      <c r="BB50" s="165"/>
      <c r="BC50" s="165"/>
      <c r="BD50" s="166"/>
    </row>
    <row r="51" spans="1:56" ht="14.25" customHeight="1">
      <c r="A51" s="619">
        <v>1</v>
      </c>
      <c r="B51" s="179"/>
      <c r="C51" s="164" t="s">
        <v>33</v>
      </c>
      <c r="D51" s="165"/>
      <c r="E51" s="165"/>
      <c r="F51" s="165">
        <f>'Copia de Combustibles'!F47*$D$234</f>
        <v>0.93795160777154696</v>
      </c>
      <c r="G51" s="165"/>
      <c r="H51" s="165">
        <v>1</v>
      </c>
      <c r="I51" s="165">
        <v>1.04</v>
      </c>
      <c r="J51" s="165">
        <v>1.07</v>
      </c>
      <c r="K51" s="165">
        <v>1.1000000000000001</v>
      </c>
      <c r="L51" s="165">
        <v>1.1200000000000001</v>
      </c>
      <c r="M51" s="165">
        <v>1.1599999999999999</v>
      </c>
      <c r="N51" s="165">
        <v>1.19</v>
      </c>
      <c r="O51" s="165">
        <v>1.21</v>
      </c>
      <c r="P51" s="165">
        <v>1.24</v>
      </c>
      <c r="Q51" s="165">
        <v>1.28</v>
      </c>
      <c r="R51" s="165">
        <v>1.31</v>
      </c>
      <c r="S51" s="165">
        <v>1.35</v>
      </c>
      <c r="T51" s="165">
        <v>1.38</v>
      </c>
      <c r="U51" s="165">
        <v>1.42</v>
      </c>
      <c r="V51" s="165">
        <v>1.45</v>
      </c>
      <c r="W51" s="165">
        <v>1.49</v>
      </c>
      <c r="X51" s="165">
        <v>1.52</v>
      </c>
      <c r="Y51" s="165">
        <v>1.56</v>
      </c>
      <c r="Z51" s="165">
        <v>1.6</v>
      </c>
      <c r="AA51" s="165">
        <v>1.63</v>
      </c>
      <c r="AB51" s="165">
        <v>1.67</v>
      </c>
      <c r="AC51" s="165">
        <v>1.7</v>
      </c>
      <c r="AD51" s="165">
        <v>1.73</v>
      </c>
      <c r="AE51" s="165">
        <v>1.77</v>
      </c>
      <c r="AF51" s="165">
        <v>1.81</v>
      </c>
      <c r="AG51" s="165">
        <v>1.84</v>
      </c>
      <c r="AH51" s="165">
        <v>1.87</v>
      </c>
      <c r="AI51" s="165">
        <v>1.91</v>
      </c>
      <c r="AJ51" s="165">
        <v>1.94</v>
      </c>
      <c r="AK51" s="165"/>
      <c r="AL51" s="165"/>
      <c r="AM51" s="165"/>
      <c r="AN51" s="165"/>
      <c r="AO51" s="165"/>
      <c r="AP51" s="165"/>
      <c r="AQ51" s="165"/>
      <c r="AR51" s="165"/>
      <c r="AS51" s="165"/>
      <c r="AT51" s="165"/>
      <c r="AU51" s="165"/>
      <c r="AV51" s="165"/>
      <c r="AW51" s="165"/>
      <c r="AX51" s="165"/>
      <c r="AY51" s="165"/>
      <c r="AZ51" s="165"/>
      <c r="BA51" s="165"/>
      <c r="BB51" s="165"/>
      <c r="BC51" s="165"/>
      <c r="BD51" s="166"/>
    </row>
    <row r="52" spans="1:56" ht="14.25" customHeight="1">
      <c r="A52" s="619">
        <v>1</v>
      </c>
      <c r="B52" s="179"/>
      <c r="C52" s="164" t="s">
        <v>34</v>
      </c>
      <c r="D52" s="165">
        <f>'Copia de Combustibles'!D48*$D$234</f>
        <v>5.5666818184799185</v>
      </c>
      <c r="E52" s="165">
        <f>'Copia de Combustibles'!E48*$D$234</f>
        <v>4.4513001057531385</v>
      </c>
      <c r="F52" s="165">
        <f>'Copia de Combustibles'!F48*$D$234</f>
        <v>5.1349054554247653</v>
      </c>
      <c r="G52" s="165">
        <f>'Copia de Combustibles'!G48*$D$234</f>
        <v>5.6722964060314354</v>
      </c>
      <c r="H52" s="165">
        <v>6.17</v>
      </c>
      <c r="I52" s="165">
        <v>5.99</v>
      </c>
      <c r="J52" s="165">
        <v>6.63</v>
      </c>
      <c r="K52" s="165">
        <v>6.37</v>
      </c>
      <c r="L52" s="165">
        <v>7.03</v>
      </c>
      <c r="M52" s="165">
        <v>6.78</v>
      </c>
      <c r="N52" s="165">
        <v>7.5</v>
      </c>
      <c r="O52" s="165">
        <v>7.19</v>
      </c>
      <c r="P52" s="165">
        <v>7.85</v>
      </c>
      <c r="Q52" s="165">
        <v>7.65</v>
      </c>
      <c r="R52" s="165">
        <v>8.27</v>
      </c>
      <c r="S52" s="165">
        <v>8.11</v>
      </c>
      <c r="T52" s="165">
        <v>8.68</v>
      </c>
      <c r="U52" s="165">
        <v>8.5399999999999991</v>
      </c>
      <c r="V52" s="165">
        <v>9.08</v>
      </c>
      <c r="W52" s="165">
        <v>8.99</v>
      </c>
      <c r="X52" s="165">
        <v>9.4700000000000006</v>
      </c>
      <c r="Y52" s="165">
        <v>9.4600000000000009</v>
      </c>
      <c r="Z52" s="165">
        <v>9.91</v>
      </c>
      <c r="AA52" s="165">
        <v>9.93</v>
      </c>
      <c r="AB52" s="165">
        <v>10.34</v>
      </c>
      <c r="AC52" s="165">
        <v>10.35</v>
      </c>
      <c r="AD52" s="165">
        <v>10.74</v>
      </c>
      <c r="AE52" s="165">
        <v>10.79</v>
      </c>
      <c r="AF52" s="165">
        <v>11.18</v>
      </c>
      <c r="AG52" s="165">
        <v>11.26</v>
      </c>
      <c r="AH52" s="165">
        <v>11.57</v>
      </c>
      <c r="AI52" s="165">
        <v>11.68</v>
      </c>
      <c r="AJ52" s="165">
        <v>11.99</v>
      </c>
      <c r="AK52" s="165"/>
      <c r="AL52" s="165"/>
      <c r="AM52" s="165"/>
      <c r="AN52" s="165"/>
      <c r="AO52" s="165"/>
      <c r="AP52" s="165"/>
      <c r="AQ52" s="165"/>
      <c r="AR52" s="165"/>
      <c r="AS52" s="165"/>
      <c r="AT52" s="165"/>
      <c r="AU52" s="165"/>
      <c r="AV52" s="165"/>
      <c r="AW52" s="165"/>
      <c r="AX52" s="165"/>
      <c r="AY52" s="165"/>
      <c r="AZ52" s="165"/>
      <c r="BA52" s="165"/>
      <c r="BB52" s="165"/>
      <c r="BC52" s="165"/>
      <c r="BD52" s="166"/>
    </row>
    <row r="53" spans="1:56" ht="14.25" customHeight="1">
      <c r="A53" s="619"/>
      <c r="B53" s="155"/>
      <c r="C53" s="164"/>
      <c r="D53" s="191"/>
      <c r="E53" s="191"/>
      <c r="F53" s="191"/>
      <c r="G53" s="191"/>
      <c r="H53" s="191"/>
      <c r="I53" s="191"/>
      <c r="J53" s="191"/>
      <c r="K53" s="191"/>
      <c r="L53" s="191"/>
      <c r="M53" s="191"/>
      <c r="N53" s="191"/>
      <c r="O53" s="191"/>
      <c r="P53" s="191"/>
      <c r="Q53" s="191"/>
      <c r="R53" s="191"/>
      <c r="S53" s="191"/>
      <c r="T53" s="191"/>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c r="AZ53" s="191"/>
      <c r="BA53" s="191"/>
      <c r="BB53" s="191"/>
      <c r="BC53" s="191"/>
      <c r="BD53" s="192"/>
    </row>
    <row r="54" spans="1:56" ht="14.25" customHeight="1">
      <c r="A54" s="619"/>
      <c r="B54" s="167"/>
      <c r="C54" s="168" t="s">
        <v>13</v>
      </c>
      <c r="D54" s="176">
        <f t="shared" ref="D54:AJ54" si="8">SUM(D46:D52)</f>
        <v>282.40334462085696</v>
      </c>
      <c r="E54" s="176">
        <f t="shared" si="8"/>
        <v>307.61006173886847</v>
      </c>
      <c r="F54" s="176">
        <f t="shared" si="8"/>
        <v>259.47476689847559</v>
      </c>
      <c r="G54" s="176">
        <f t="shared" si="8"/>
        <v>299.23072513270154</v>
      </c>
      <c r="H54" s="176">
        <f t="shared" si="8"/>
        <v>296.81</v>
      </c>
      <c r="I54" s="176">
        <f t="shared" si="8"/>
        <v>332.25000000000006</v>
      </c>
      <c r="J54" s="176">
        <f t="shared" si="8"/>
        <v>296.97999999999996</v>
      </c>
      <c r="K54" s="176">
        <f t="shared" si="8"/>
        <v>329.15000000000003</v>
      </c>
      <c r="L54" s="176">
        <f t="shared" si="8"/>
        <v>318.67999999999995</v>
      </c>
      <c r="M54" s="176">
        <f t="shared" si="8"/>
        <v>363.37999999999994</v>
      </c>
      <c r="N54" s="176">
        <f t="shared" si="8"/>
        <v>321.14000000000004</v>
      </c>
      <c r="O54" s="176">
        <f t="shared" si="8"/>
        <v>357.72999999999996</v>
      </c>
      <c r="P54" s="176">
        <f t="shared" si="8"/>
        <v>342.75</v>
      </c>
      <c r="Q54" s="176">
        <f t="shared" si="8"/>
        <v>394.88</v>
      </c>
      <c r="R54" s="176">
        <f t="shared" si="8"/>
        <v>345.91999999999996</v>
      </c>
      <c r="S54" s="176">
        <f t="shared" si="8"/>
        <v>389.06000000000006</v>
      </c>
      <c r="T54" s="176">
        <f t="shared" si="8"/>
        <v>370.33</v>
      </c>
      <c r="U54" s="176">
        <f t="shared" si="8"/>
        <v>425.49000000000007</v>
      </c>
      <c r="V54" s="176">
        <f t="shared" si="8"/>
        <v>373.38</v>
      </c>
      <c r="W54" s="176">
        <f t="shared" si="8"/>
        <v>418.24999999999994</v>
      </c>
      <c r="X54" s="176">
        <f t="shared" si="8"/>
        <v>776.55000000000007</v>
      </c>
      <c r="Y54" s="176">
        <f t="shared" si="8"/>
        <v>836.12999999999988</v>
      </c>
      <c r="Z54" s="176">
        <f t="shared" si="8"/>
        <v>780.33</v>
      </c>
      <c r="AA54" s="176">
        <f t="shared" si="8"/>
        <v>827.9699999999998</v>
      </c>
      <c r="AB54" s="176">
        <f t="shared" si="8"/>
        <v>805.34999999999991</v>
      </c>
      <c r="AC54" s="176">
        <f t="shared" si="8"/>
        <v>865.12000000000012</v>
      </c>
      <c r="AD54" s="176">
        <f t="shared" si="8"/>
        <v>807.62</v>
      </c>
      <c r="AE54" s="176">
        <f t="shared" si="8"/>
        <v>855.79999999999984</v>
      </c>
      <c r="AF54" s="176">
        <f t="shared" si="8"/>
        <v>832.79999999999984</v>
      </c>
      <c r="AG54" s="176">
        <f t="shared" si="8"/>
        <v>894.71</v>
      </c>
      <c r="AH54" s="176">
        <f t="shared" si="8"/>
        <v>834.41000000000008</v>
      </c>
      <c r="AI54" s="176">
        <f t="shared" si="8"/>
        <v>884.21999999999991</v>
      </c>
      <c r="AJ54" s="176">
        <f t="shared" si="8"/>
        <v>859.01</v>
      </c>
      <c r="AK54" s="176"/>
      <c r="AL54" s="176"/>
      <c r="AM54" s="176"/>
      <c r="AN54" s="176"/>
      <c r="AO54" s="176"/>
      <c r="AP54" s="176"/>
      <c r="AQ54" s="176"/>
      <c r="AR54" s="176"/>
      <c r="AS54" s="176"/>
      <c r="AT54" s="176"/>
      <c r="AU54" s="176"/>
      <c r="AV54" s="176"/>
      <c r="AW54" s="176"/>
      <c r="AX54" s="176"/>
      <c r="AY54" s="176"/>
      <c r="AZ54" s="176"/>
      <c r="BA54" s="176"/>
      <c r="BB54" s="176"/>
      <c r="BC54" s="176"/>
      <c r="BD54" s="177"/>
    </row>
    <row r="55" spans="1:56" ht="14.25" customHeight="1">
      <c r="A55" s="619"/>
      <c r="B55" s="619"/>
      <c r="C55" s="619"/>
      <c r="D55" s="619"/>
      <c r="E55" s="619"/>
      <c r="F55" s="619"/>
      <c r="G55" s="619"/>
      <c r="H55" s="619"/>
      <c r="I55" s="619"/>
      <c r="J55" s="619"/>
      <c r="K55" s="619"/>
      <c r="L55" s="619"/>
      <c r="M55" s="619"/>
      <c r="N55" s="619"/>
      <c r="O55" s="619"/>
      <c r="P55" s="619"/>
      <c r="Q55" s="619"/>
      <c r="R55" s="619"/>
      <c r="S55" s="619"/>
      <c r="T55" s="619"/>
      <c r="U55" s="619"/>
      <c r="V55" s="619"/>
      <c r="W55" s="619"/>
      <c r="X55" s="619"/>
      <c r="Y55" s="619"/>
      <c r="Z55" s="619"/>
      <c r="AA55" s="619"/>
      <c r="AB55" s="619"/>
      <c r="AC55" s="619"/>
      <c r="AD55" s="619"/>
      <c r="AE55" s="619"/>
      <c r="AF55" s="619"/>
      <c r="AG55" s="619"/>
      <c r="AH55" s="619"/>
      <c r="AI55" s="619"/>
      <c r="AJ55" s="619"/>
      <c r="AK55" s="3"/>
      <c r="AL55" s="1"/>
      <c r="AM55" s="8"/>
      <c r="AN55" s="8"/>
      <c r="AO55" s="8"/>
      <c r="AP55" s="8"/>
      <c r="AQ55" s="8"/>
      <c r="AR55" s="8"/>
      <c r="AS55" s="8"/>
      <c r="AT55" s="8"/>
      <c r="AU55" s="8"/>
      <c r="AV55" s="8"/>
      <c r="AW55" s="8"/>
      <c r="AX55" s="8"/>
      <c r="AY55" s="8"/>
      <c r="AZ55" s="8"/>
      <c r="BA55" s="8"/>
      <c r="BB55" s="8"/>
      <c r="BC55" s="8"/>
      <c r="BD55" s="8"/>
    </row>
    <row r="56" spans="1:56" ht="14.25" customHeight="1">
      <c r="A56" s="3"/>
      <c r="B56" s="7"/>
      <c r="C56" s="171" t="s">
        <v>35</v>
      </c>
      <c r="D56" s="172">
        <v>2018</v>
      </c>
      <c r="E56" s="172">
        <v>2019</v>
      </c>
      <c r="F56" s="172">
        <v>2020</v>
      </c>
      <c r="G56" s="172">
        <v>2021</v>
      </c>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1"/>
      <c r="AM56" s="8"/>
      <c r="AN56" s="8"/>
      <c r="AO56" s="8"/>
      <c r="AP56" s="8"/>
      <c r="AQ56" s="8"/>
      <c r="AR56" s="8"/>
      <c r="AS56" s="8"/>
      <c r="AT56" s="8"/>
      <c r="AU56" s="8"/>
      <c r="AV56" s="8"/>
      <c r="AW56" s="8"/>
      <c r="AX56" s="8"/>
      <c r="AY56" s="8"/>
      <c r="AZ56" s="8"/>
      <c r="BA56" s="8"/>
      <c r="BB56" s="8"/>
      <c r="BC56" s="8"/>
      <c r="BD56" s="8"/>
    </row>
    <row r="57" spans="1:56" ht="14.25" customHeight="1">
      <c r="A57" s="619"/>
      <c r="B57" s="155"/>
      <c r="C57" s="164"/>
      <c r="D57" s="181"/>
      <c r="E57" s="181"/>
      <c r="F57" s="181"/>
      <c r="G57" s="183"/>
      <c r="H57" s="619"/>
      <c r="I57" s="619"/>
      <c r="J57" s="619"/>
      <c r="K57" s="619"/>
      <c r="L57" s="619"/>
      <c r="M57" s="619"/>
      <c r="N57" s="619"/>
      <c r="O57" s="619"/>
      <c r="P57" s="619"/>
      <c r="Q57" s="619"/>
      <c r="R57" s="619"/>
      <c r="S57" s="619"/>
      <c r="T57" s="619"/>
      <c r="U57" s="619"/>
      <c r="V57" s="619"/>
      <c r="W57" s="619"/>
      <c r="X57" s="619"/>
      <c r="Y57" s="619"/>
      <c r="Z57" s="619"/>
      <c r="AA57" s="619"/>
      <c r="AB57" s="619"/>
      <c r="AC57" s="619"/>
      <c r="AD57" s="619"/>
      <c r="AE57" s="619"/>
      <c r="AF57" s="619"/>
      <c r="AG57" s="619"/>
      <c r="AH57" s="619"/>
      <c r="AI57" s="619"/>
      <c r="AJ57" s="619"/>
      <c r="AK57" s="3"/>
      <c r="AL57" s="1"/>
      <c r="AM57" s="8"/>
      <c r="AN57" s="8"/>
      <c r="AO57" s="8"/>
      <c r="AP57" s="8"/>
      <c r="AQ57" s="8"/>
      <c r="AR57" s="8"/>
      <c r="AS57" s="8"/>
      <c r="AT57" s="8"/>
      <c r="AU57" s="8"/>
      <c r="AV57" s="8"/>
      <c r="AW57" s="8"/>
      <c r="AX57" s="8"/>
      <c r="AY57" s="8"/>
      <c r="AZ57" s="8"/>
      <c r="BA57" s="8"/>
      <c r="BB57" s="8"/>
      <c r="BC57" s="8"/>
      <c r="BD57" s="8"/>
    </row>
    <row r="58" spans="1:56" ht="14.25" customHeight="1">
      <c r="A58" s="619"/>
      <c r="B58" s="155"/>
      <c r="C58" s="160" t="s">
        <v>36</v>
      </c>
      <c r="D58" s="181"/>
      <c r="E58" s="181"/>
      <c r="F58" s="181"/>
      <c r="G58" s="183"/>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3"/>
      <c r="AL58" s="1"/>
      <c r="AM58" s="8"/>
      <c r="AN58" s="8"/>
      <c r="AO58" s="8"/>
      <c r="AP58" s="8"/>
      <c r="AQ58" s="8"/>
      <c r="AR58" s="8"/>
      <c r="AS58" s="8"/>
      <c r="AT58" s="8"/>
      <c r="AU58" s="8"/>
      <c r="AV58" s="8"/>
      <c r="AW58" s="8"/>
      <c r="AX58" s="8"/>
      <c r="AY58" s="8"/>
      <c r="AZ58" s="8"/>
      <c r="BA58" s="8"/>
      <c r="BB58" s="8"/>
      <c r="BC58" s="8"/>
      <c r="BD58" s="8"/>
    </row>
    <row r="59" spans="1:56" ht="14.25" customHeight="1">
      <c r="A59" s="619">
        <v>1</v>
      </c>
      <c r="B59" s="155"/>
      <c r="C59" s="164" t="s">
        <v>21</v>
      </c>
      <c r="D59" s="165">
        <f>'Copia de Combustibles'!D55*$D$234</f>
        <v>-205.81510168580186</v>
      </c>
      <c r="E59" s="165">
        <f>'Copia de Combustibles'!E55*$D$234</f>
        <v>-186.99043256340056</v>
      </c>
      <c r="F59" s="165">
        <f>'Copia de Combustibles'!F55*$D$234</f>
        <v>-152.82312521336473</v>
      </c>
      <c r="G59" s="166">
        <f>'Copia de Combustibles'!G55*$D$234</f>
        <v>-191.3260229693748</v>
      </c>
      <c r="H59" s="619"/>
      <c r="I59" s="619"/>
      <c r="J59" s="619"/>
      <c r="K59" s="619"/>
      <c r="L59" s="619"/>
      <c r="M59" s="619"/>
      <c r="N59" s="619"/>
      <c r="O59" s="619"/>
      <c r="P59" s="619"/>
      <c r="Q59" s="619"/>
      <c r="R59" s="619"/>
      <c r="S59" s="619"/>
      <c r="T59" s="619"/>
      <c r="U59" s="619"/>
      <c r="V59" s="619"/>
      <c r="W59" s="619"/>
      <c r="X59" s="619"/>
      <c r="Y59" s="619"/>
      <c r="Z59" s="619"/>
      <c r="AA59" s="619"/>
      <c r="AB59" s="619"/>
      <c r="AC59" s="619"/>
      <c r="AD59" s="619"/>
      <c r="AE59" s="619"/>
      <c r="AF59" s="619"/>
      <c r="AG59" s="619"/>
      <c r="AH59" s="619"/>
      <c r="AI59" s="619"/>
      <c r="AJ59" s="619"/>
      <c r="AK59" s="3"/>
      <c r="AL59" s="1"/>
      <c r="AM59" s="8"/>
      <c r="AN59" s="8"/>
      <c r="AO59" s="8"/>
      <c r="AP59" s="8"/>
      <c r="AQ59" s="8"/>
      <c r="AR59" s="8"/>
      <c r="AS59" s="8"/>
      <c r="AT59" s="8"/>
      <c r="AU59" s="8"/>
      <c r="AV59" s="8"/>
      <c r="AW59" s="8"/>
      <c r="AX59" s="8"/>
      <c r="AY59" s="8"/>
      <c r="AZ59" s="8"/>
      <c r="BA59" s="8"/>
      <c r="BB59" s="8"/>
      <c r="BC59" s="8"/>
      <c r="BD59" s="8"/>
    </row>
    <row r="60" spans="1:56" ht="14.25" customHeight="1">
      <c r="A60" s="619"/>
      <c r="B60" s="155"/>
      <c r="C60" s="164"/>
      <c r="D60" s="165"/>
      <c r="E60" s="165"/>
      <c r="F60" s="165"/>
      <c r="G60" s="166"/>
      <c r="H60" s="619"/>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619"/>
      <c r="AJ60" s="619"/>
      <c r="AK60" s="3"/>
      <c r="AL60" s="1"/>
      <c r="AM60" s="8"/>
      <c r="AN60" s="8"/>
      <c r="AO60" s="8"/>
      <c r="AP60" s="8"/>
      <c r="AQ60" s="8"/>
      <c r="AR60" s="8"/>
      <c r="AS60" s="8"/>
      <c r="AT60" s="8"/>
      <c r="AU60" s="8"/>
      <c r="AV60" s="8"/>
      <c r="AW60" s="8"/>
      <c r="AX60" s="8"/>
      <c r="AY60" s="8"/>
      <c r="AZ60" s="8"/>
      <c r="BA60" s="8"/>
      <c r="BB60" s="8"/>
      <c r="BC60" s="8"/>
      <c r="BD60" s="8"/>
    </row>
    <row r="61" spans="1:56" ht="14.25" customHeight="1">
      <c r="A61" s="619"/>
      <c r="B61" s="155"/>
      <c r="C61" s="160" t="s">
        <v>37</v>
      </c>
      <c r="D61" s="165"/>
      <c r="E61" s="165"/>
      <c r="F61" s="165"/>
      <c r="G61" s="166"/>
      <c r="H61" s="619"/>
      <c r="I61" s="619"/>
      <c r="J61" s="619"/>
      <c r="K61" s="619"/>
      <c r="L61" s="619"/>
      <c r="M61" s="619"/>
      <c r="N61" s="619"/>
      <c r="O61" s="619"/>
      <c r="P61" s="619"/>
      <c r="Q61" s="619"/>
      <c r="R61" s="619"/>
      <c r="S61" s="619"/>
      <c r="T61" s="619"/>
      <c r="U61" s="619"/>
      <c r="V61" s="619"/>
      <c r="W61" s="619"/>
      <c r="X61" s="619"/>
      <c r="Y61" s="619"/>
      <c r="Z61" s="619"/>
      <c r="AA61" s="619"/>
      <c r="AB61" s="619"/>
      <c r="AC61" s="619"/>
      <c r="AD61" s="619"/>
      <c r="AE61" s="619"/>
      <c r="AF61" s="619"/>
      <c r="AG61" s="619"/>
      <c r="AH61" s="619"/>
      <c r="AI61" s="619"/>
      <c r="AJ61" s="619"/>
      <c r="AK61" s="3"/>
      <c r="AL61" s="1"/>
      <c r="AM61" s="8"/>
      <c r="AN61" s="8"/>
      <c r="AO61" s="8"/>
      <c r="AP61" s="8"/>
      <c r="AQ61" s="8"/>
      <c r="AR61" s="8"/>
      <c r="AS61" s="8"/>
      <c r="AT61" s="8"/>
      <c r="AU61" s="8"/>
      <c r="AV61" s="8"/>
      <c r="AW61" s="8"/>
      <c r="AX61" s="8"/>
      <c r="AY61" s="8"/>
      <c r="AZ61" s="8"/>
      <c r="BA61" s="8"/>
      <c r="BB61" s="8"/>
      <c r="BC61" s="8"/>
      <c r="BD61" s="8"/>
    </row>
    <row r="62" spans="1:56" ht="14.25" customHeight="1">
      <c r="A62" s="619">
        <v>1</v>
      </c>
      <c r="B62" s="155"/>
      <c r="C62" s="164" t="s">
        <v>21</v>
      </c>
      <c r="D62" s="165">
        <f>'Copia de Combustibles'!D58*$D$234</f>
        <v>-90.482729643428385</v>
      </c>
      <c r="E62" s="165">
        <f>'Copia de Combustibles'!E58*$D$234</f>
        <v>-78.871773390932589</v>
      </c>
      <c r="F62" s="165">
        <f>'Copia de Combustibles'!F58*$D$234</f>
        <v>-60.866776019514695</v>
      </c>
      <c r="G62" s="166">
        <f>'Copia de Combustibles'!G58*$D$234</f>
        <v>-78.600636650161562</v>
      </c>
      <c r="H62" s="619"/>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3"/>
      <c r="AL62" s="1"/>
      <c r="AM62" s="8"/>
      <c r="AN62" s="8"/>
      <c r="AO62" s="8"/>
      <c r="AP62" s="8"/>
      <c r="AQ62" s="8"/>
      <c r="AR62" s="8"/>
      <c r="AS62" s="8"/>
      <c r="AT62" s="8"/>
      <c r="AU62" s="8"/>
      <c r="AV62" s="8"/>
      <c r="AW62" s="8"/>
      <c r="AX62" s="8"/>
      <c r="AY62" s="8"/>
      <c r="AZ62" s="8"/>
      <c r="BA62" s="8"/>
      <c r="BB62" s="8"/>
      <c r="BC62" s="8"/>
      <c r="BD62" s="8"/>
    </row>
    <row r="63" spans="1:56" ht="14.25" customHeight="1">
      <c r="A63" s="619">
        <v>1</v>
      </c>
      <c r="B63" s="155"/>
      <c r="C63" s="164" t="s">
        <v>38</v>
      </c>
      <c r="D63" s="165">
        <f>'Copia de Combustibles'!D59*$D$234</f>
        <v>-9.8878394887020899E-3</v>
      </c>
      <c r="E63" s="165">
        <f>'Copia de Combustibles'!E59*$D$234</f>
        <v>-9.5444979265567054E-3</v>
      </c>
      <c r="F63" s="165">
        <f>'Copia de Combustibles'!F59*$D$234</f>
        <v>0</v>
      </c>
      <c r="G63" s="166">
        <f>'Copia de Combustibles'!G59*$D$234</f>
        <v>-1.573441794684587E-2</v>
      </c>
      <c r="H63" s="619"/>
      <c r="I63" s="619"/>
      <c r="J63" s="619"/>
      <c r="K63" s="619"/>
      <c r="L63" s="619"/>
      <c r="M63" s="619"/>
      <c r="N63" s="619"/>
      <c r="O63" s="619"/>
      <c r="P63" s="619"/>
      <c r="Q63" s="619"/>
      <c r="R63" s="619"/>
      <c r="S63" s="619"/>
      <c r="T63" s="619"/>
      <c r="U63" s="619"/>
      <c r="V63" s="619"/>
      <c r="W63" s="619"/>
      <c r="X63" s="619"/>
      <c r="Y63" s="619"/>
      <c r="Z63" s="619"/>
      <c r="AA63" s="619"/>
      <c r="AB63" s="619"/>
      <c r="AC63" s="619"/>
      <c r="AD63" s="619"/>
      <c r="AE63" s="619"/>
      <c r="AF63" s="619"/>
      <c r="AG63" s="619"/>
      <c r="AH63" s="619"/>
      <c r="AI63" s="619"/>
      <c r="AJ63" s="619"/>
      <c r="AK63" s="3"/>
      <c r="AL63" s="1"/>
      <c r="AM63" s="8"/>
      <c r="AN63" s="8"/>
      <c r="AO63" s="8"/>
      <c r="AP63" s="8"/>
      <c r="AQ63" s="8"/>
      <c r="AR63" s="8"/>
      <c r="AS63" s="8"/>
      <c r="AT63" s="8"/>
      <c r="AU63" s="8"/>
      <c r="AV63" s="8"/>
      <c r="AW63" s="8"/>
      <c r="AX63" s="8"/>
      <c r="AY63" s="8"/>
      <c r="AZ63" s="8"/>
      <c r="BA63" s="8"/>
      <c r="BB63" s="8"/>
      <c r="BC63" s="8"/>
      <c r="BD63" s="8"/>
    </row>
    <row r="64" spans="1:56" ht="14.25" customHeight="1">
      <c r="A64" s="619"/>
      <c r="B64" s="155"/>
      <c r="C64" s="164" t="s">
        <v>39</v>
      </c>
      <c r="D64" s="165">
        <f t="shared" ref="D64:G64" si="9">SUM(D62:D63)</f>
        <v>-90.492617482917083</v>
      </c>
      <c r="E64" s="165">
        <f t="shared" si="9"/>
        <v>-78.881317888859144</v>
      </c>
      <c r="F64" s="165">
        <f t="shared" si="9"/>
        <v>-60.866776019514695</v>
      </c>
      <c r="G64" s="166">
        <f t="shared" si="9"/>
        <v>-78.616371068108407</v>
      </c>
      <c r="H64" s="619"/>
      <c r="I64" s="619"/>
      <c r="J64" s="619"/>
      <c r="K64" s="619"/>
      <c r="L64" s="619"/>
      <c r="M64" s="619"/>
      <c r="N64" s="619"/>
      <c r="O64" s="619"/>
      <c r="P64" s="619"/>
      <c r="Q64" s="619"/>
      <c r="R64" s="619"/>
      <c r="S64" s="619"/>
      <c r="T64" s="619"/>
      <c r="U64" s="619"/>
      <c r="V64" s="619"/>
      <c r="W64" s="619"/>
      <c r="X64" s="619"/>
      <c r="Y64" s="619"/>
      <c r="Z64" s="619"/>
      <c r="AA64" s="619"/>
      <c r="AB64" s="619"/>
      <c r="AC64" s="619"/>
      <c r="AD64" s="619"/>
      <c r="AE64" s="619"/>
      <c r="AF64" s="619"/>
      <c r="AG64" s="619"/>
      <c r="AH64" s="619"/>
      <c r="AI64" s="619"/>
      <c r="AJ64" s="619"/>
      <c r="AK64" s="3"/>
      <c r="AL64" s="1"/>
      <c r="AM64" s="8"/>
      <c r="AN64" s="8"/>
      <c r="AO64" s="8"/>
      <c r="AP64" s="8"/>
      <c r="AQ64" s="8"/>
      <c r="AR64" s="8"/>
      <c r="AS64" s="8"/>
      <c r="AT64" s="8"/>
      <c r="AU64" s="8"/>
      <c r="AV64" s="8"/>
      <c r="AW64" s="8"/>
      <c r="AX64" s="8"/>
      <c r="AY64" s="8"/>
      <c r="AZ64" s="8"/>
      <c r="BA64" s="8"/>
      <c r="BB64" s="8"/>
      <c r="BC64" s="8"/>
      <c r="BD64" s="8"/>
    </row>
    <row r="65" spans="1:38" ht="13.5" customHeight="1">
      <c r="A65" s="619"/>
      <c r="B65" s="155"/>
      <c r="C65" s="164"/>
      <c r="D65" s="165"/>
      <c r="E65" s="165"/>
      <c r="F65" s="165"/>
      <c r="G65" s="166"/>
      <c r="H65" s="619"/>
      <c r="I65" s="619"/>
      <c r="J65" s="619"/>
      <c r="K65" s="619"/>
      <c r="L65" s="619"/>
      <c r="M65" s="619"/>
      <c r="N65" s="619"/>
      <c r="O65" s="619"/>
      <c r="P65" s="619"/>
      <c r="Q65" s="619"/>
      <c r="R65" s="619"/>
      <c r="S65" s="619"/>
      <c r="T65" s="619"/>
      <c r="U65" s="619"/>
      <c r="V65" s="619"/>
      <c r="W65" s="619"/>
      <c r="X65" s="619"/>
      <c r="Y65" s="619"/>
      <c r="Z65" s="619"/>
      <c r="AA65" s="619"/>
      <c r="AB65" s="619"/>
      <c r="AC65" s="619"/>
      <c r="AD65" s="619"/>
      <c r="AE65" s="619"/>
      <c r="AF65" s="619"/>
      <c r="AG65" s="619"/>
      <c r="AH65" s="619"/>
      <c r="AI65" s="619"/>
      <c r="AJ65" s="619"/>
      <c r="AK65" s="3"/>
      <c r="AL65" s="1"/>
    </row>
    <row r="66" spans="1:38" ht="14.25" customHeight="1">
      <c r="A66" s="619"/>
      <c r="B66" s="155"/>
      <c r="C66" s="160" t="s">
        <v>40</v>
      </c>
      <c r="D66" s="165"/>
      <c r="E66" s="165"/>
      <c r="F66" s="165"/>
      <c r="G66" s="166"/>
      <c r="H66" s="619"/>
      <c r="I66" s="619"/>
      <c r="J66" s="619"/>
      <c r="K66" s="619"/>
      <c r="L66" s="619"/>
      <c r="M66" s="619"/>
      <c r="N66" s="619"/>
      <c r="O66" s="619"/>
      <c r="P66" s="619"/>
      <c r="Q66" s="619"/>
      <c r="R66" s="619"/>
      <c r="S66" s="619"/>
      <c r="T66" s="619"/>
      <c r="U66" s="619"/>
      <c r="V66" s="619"/>
      <c r="W66" s="619"/>
      <c r="X66" s="619"/>
      <c r="Y66" s="619"/>
      <c r="Z66" s="619"/>
      <c r="AA66" s="619"/>
      <c r="AB66" s="619"/>
      <c r="AC66" s="619"/>
      <c r="AD66" s="619"/>
      <c r="AE66" s="619"/>
      <c r="AF66" s="619"/>
      <c r="AG66" s="619"/>
      <c r="AH66" s="619"/>
      <c r="AI66" s="619"/>
      <c r="AJ66" s="619"/>
      <c r="AK66" s="3"/>
      <c r="AL66" s="1"/>
    </row>
    <row r="67" spans="1:38" ht="14.25" customHeight="1">
      <c r="A67" s="619">
        <v>1</v>
      </c>
      <c r="B67" s="155"/>
      <c r="C67" s="164" t="s">
        <v>21</v>
      </c>
      <c r="D67" s="165">
        <f>'Copia de Combustibles'!D62*$D$234</f>
        <v>-41.734160399804601</v>
      </c>
      <c r="E67" s="165">
        <f>'Copia de Combustibles'!E62*$D$234</f>
        <v>-39.021069231178544</v>
      </c>
      <c r="F67" s="165">
        <f>'Copia de Combustibles'!F62*$D$234</f>
        <v>-34.9624437992343</v>
      </c>
      <c r="G67" s="166">
        <f>'Copia de Combustibles'!G62*$D$234</f>
        <v>-41.014580586678036</v>
      </c>
      <c r="H67" s="619"/>
      <c r="I67" s="619"/>
      <c r="J67" s="619"/>
      <c r="K67" s="619"/>
      <c r="L67" s="619"/>
      <c r="M67" s="619"/>
      <c r="N67" s="619"/>
      <c r="O67" s="619"/>
      <c r="P67" s="619"/>
      <c r="Q67" s="619"/>
      <c r="R67" s="619"/>
      <c r="S67" s="619"/>
      <c r="T67" s="619"/>
      <c r="U67" s="619"/>
      <c r="V67" s="619"/>
      <c r="W67" s="619"/>
      <c r="X67" s="619"/>
      <c r="Y67" s="619"/>
      <c r="Z67" s="619"/>
      <c r="AA67" s="619"/>
      <c r="AB67" s="619"/>
      <c r="AC67" s="619"/>
      <c r="AD67" s="619"/>
      <c r="AE67" s="619"/>
      <c r="AF67" s="619"/>
      <c r="AG67" s="619"/>
      <c r="AH67" s="619"/>
      <c r="AI67" s="619"/>
      <c r="AJ67" s="619"/>
      <c r="AK67" s="3"/>
      <c r="AL67" s="1"/>
    </row>
    <row r="68" spans="1:38" ht="14.25" customHeight="1">
      <c r="A68" s="619"/>
      <c r="B68" s="155"/>
      <c r="C68" s="164"/>
      <c r="D68" s="165"/>
      <c r="E68" s="165"/>
      <c r="F68" s="165"/>
      <c r="G68" s="166"/>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3"/>
      <c r="AL68" s="1"/>
    </row>
    <row r="69" spans="1:38" ht="14.25" customHeight="1">
      <c r="A69" s="619"/>
      <c r="B69" s="155"/>
      <c r="C69" s="160" t="s">
        <v>41</v>
      </c>
      <c r="D69" s="165"/>
      <c r="E69" s="165"/>
      <c r="F69" s="165"/>
      <c r="G69" s="166"/>
      <c r="H69" s="619"/>
      <c r="I69" s="619"/>
      <c r="J69" s="619"/>
      <c r="K69" s="619"/>
      <c r="L69" s="619"/>
      <c r="M69" s="619"/>
      <c r="N69" s="619"/>
      <c r="O69" s="619"/>
      <c r="P69" s="619"/>
      <c r="Q69" s="619"/>
      <c r="R69" s="619"/>
      <c r="S69" s="619"/>
      <c r="T69" s="619"/>
      <c r="U69" s="619"/>
      <c r="V69" s="619"/>
      <c r="W69" s="619"/>
      <c r="X69" s="619"/>
      <c r="Y69" s="619"/>
      <c r="Z69" s="619"/>
      <c r="AA69" s="619"/>
      <c r="AB69" s="619"/>
      <c r="AC69" s="619"/>
      <c r="AD69" s="619"/>
      <c r="AE69" s="619"/>
      <c r="AF69" s="619"/>
      <c r="AG69" s="619"/>
      <c r="AH69" s="619"/>
      <c r="AI69" s="619"/>
      <c r="AJ69" s="619"/>
      <c r="AK69" s="3"/>
      <c r="AL69" s="1"/>
    </row>
    <row r="70" spans="1:38" ht="14.25" customHeight="1">
      <c r="A70" s="619">
        <v>1</v>
      </c>
      <c r="B70" s="155"/>
      <c r="C70" s="164" t="s">
        <v>21</v>
      </c>
      <c r="D70" s="165">
        <f>'Copia de Combustibles'!D65*$D$234</f>
        <v>-20.224116942162627</v>
      </c>
      <c r="E70" s="165">
        <f>'Copia de Combustibles'!E65*$D$234</f>
        <v>-20.856188469836653</v>
      </c>
      <c r="F70" s="165">
        <f>'Copia de Combustibles'!F65*$D$234</f>
        <v>-19.223274906620794</v>
      </c>
      <c r="G70" s="166">
        <f>'Copia de Combustibles'!G65*$D$234</f>
        <v>-19.772460703163755</v>
      </c>
      <c r="H70" s="619"/>
      <c r="I70" s="619"/>
      <c r="J70" s="619"/>
      <c r="K70" s="619"/>
      <c r="L70" s="619"/>
      <c r="M70" s="619"/>
      <c r="N70" s="619"/>
      <c r="O70" s="619"/>
      <c r="P70" s="619"/>
      <c r="Q70" s="619"/>
      <c r="R70" s="619"/>
      <c r="S70" s="619"/>
      <c r="T70" s="619"/>
      <c r="U70" s="619"/>
      <c r="V70" s="619"/>
      <c r="W70" s="619"/>
      <c r="X70" s="619"/>
      <c r="Y70" s="619"/>
      <c r="Z70" s="619"/>
      <c r="AA70" s="619"/>
      <c r="AB70" s="619"/>
      <c r="AC70" s="619"/>
      <c r="AD70" s="619"/>
      <c r="AE70" s="619"/>
      <c r="AF70" s="619"/>
      <c r="AG70" s="619"/>
      <c r="AH70" s="619"/>
      <c r="AI70" s="619"/>
      <c r="AJ70" s="619"/>
      <c r="AK70" s="3"/>
      <c r="AL70" s="1"/>
    </row>
    <row r="71" spans="1:38" ht="14.25" customHeight="1">
      <c r="A71" s="619">
        <v>1</v>
      </c>
      <c r="B71" s="155"/>
      <c r="C71" s="164" t="s">
        <v>38</v>
      </c>
      <c r="D71" s="165">
        <f>'Copia de Combustibles'!D66*$D$234</f>
        <v>-0.65793672916127155</v>
      </c>
      <c r="E71" s="165">
        <f>'Copia de Combustibles'!E66*$D$234</f>
        <v>-0.70159510145111037</v>
      </c>
      <c r="F71" s="165">
        <f>'Copia de Combustibles'!F66*$D$234</f>
        <v>-0.61250610932577687</v>
      </c>
      <c r="G71" s="166">
        <f>'Copia de Combustibles'!G66*$D$234</f>
        <v>-0.58443259519956248</v>
      </c>
      <c r="H71" s="619"/>
      <c r="I71" s="619"/>
      <c r="J71" s="619"/>
      <c r="K71" s="619"/>
      <c r="L71" s="619"/>
      <c r="M71" s="619"/>
      <c r="N71" s="619"/>
      <c r="O71" s="619"/>
      <c r="P71" s="619"/>
      <c r="Q71" s="619"/>
      <c r="R71" s="619"/>
      <c r="S71" s="619"/>
      <c r="T71" s="619"/>
      <c r="U71" s="619"/>
      <c r="V71" s="619"/>
      <c r="W71" s="619"/>
      <c r="X71" s="619"/>
      <c r="Y71" s="619"/>
      <c r="Z71" s="619"/>
      <c r="AA71" s="619"/>
      <c r="AB71" s="619"/>
      <c r="AC71" s="619"/>
      <c r="AD71" s="619"/>
      <c r="AE71" s="619"/>
      <c r="AF71" s="619"/>
      <c r="AG71" s="619"/>
      <c r="AH71" s="619"/>
      <c r="AI71" s="619"/>
      <c r="AJ71" s="619"/>
      <c r="AK71" s="3"/>
      <c r="AL71" s="1"/>
    </row>
    <row r="72" spans="1:38" ht="14.25" customHeight="1">
      <c r="A72" s="619"/>
      <c r="B72" s="167"/>
      <c r="C72" s="168" t="s">
        <v>39</v>
      </c>
      <c r="D72" s="169">
        <f t="shared" ref="D72:G72" si="10">SUM(D70:D71)</f>
        <v>-20.882053671323899</v>
      </c>
      <c r="E72" s="169">
        <f t="shared" si="10"/>
        <v>-21.557783571287764</v>
      </c>
      <c r="F72" s="169">
        <f t="shared" si="10"/>
        <v>-19.835781015946573</v>
      </c>
      <c r="G72" s="170">
        <f t="shared" si="10"/>
        <v>-20.356893298363318</v>
      </c>
      <c r="H72" s="619"/>
      <c r="I72" s="619"/>
      <c r="J72" s="619"/>
      <c r="K72" s="619"/>
      <c r="L72" s="619"/>
      <c r="M72" s="619"/>
      <c r="N72" s="619"/>
      <c r="O72" s="619"/>
      <c r="P72" s="619"/>
      <c r="Q72" s="619"/>
      <c r="R72" s="619"/>
      <c r="S72" s="619"/>
      <c r="T72" s="619"/>
      <c r="U72" s="619"/>
      <c r="V72" s="619"/>
      <c r="W72" s="619"/>
      <c r="X72" s="619"/>
      <c r="Y72" s="619"/>
      <c r="Z72" s="619"/>
      <c r="AA72" s="619"/>
      <c r="AB72" s="619"/>
      <c r="AC72" s="619"/>
      <c r="AD72" s="619"/>
      <c r="AE72" s="619"/>
      <c r="AF72" s="619"/>
      <c r="AG72" s="619"/>
      <c r="AH72" s="619"/>
      <c r="AI72" s="619"/>
      <c r="AJ72" s="619"/>
      <c r="AK72" s="3"/>
      <c r="AL72" s="1"/>
    </row>
    <row r="73" spans="1:38" ht="14.25" customHeight="1">
      <c r="A73" s="619"/>
      <c r="B73" s="619"/>
      <c r="C73" s="619"/>
      <c r="D73" s="619"/>
      <c r="E73" s="619"/>
      <c r="F73" s="619"/>
      <c r="G73" s="619"/>
      <c r="H73" s="619"/>
      <c r="I73" s="619"/>
      <c r="J73" s="619"/>
      <c r="K73" s="619"/>
      <c r="L73" s="619"/>
      <c r="M73" s="619"/>
      <c r="N73" s="619"/>
      <c r="O73" s="619"/>
      <c r="P73" s="619"/>
      <c r="Q73" s="619"/>
      <c r="R73" s="619"/>
      <c r="S73" s="619"/>
      <c r="T73" s="619"/>
      <c r="U73" s="619"/>
      <c r="V73" s="619"/>
      <c r="W73" s="619"/>
      <c r="X73" s="619"/>
      <c r="Y73" s="619"/>
      <c r="Z73" s="619"/>
      <c r="AA73" s="619"/>
      <c r="AB73" s="619"/>
      <c r="AC73" s="619"/>
      <c r="AD73" s="619"/>
      <c r="AE73" s="619"/>
      <c r="AF73" s="619"/>
      <c r="AG73" s="619"/>
      <c r="AH73" s="619"/>
      <c r="AI73" s="619"/>
      <c r="AJ73" s="619"/>
      <c r="AK73" s="3"/>
      <c r="AL73" s="1"/>
    </row>
    <row r="74" spans="1:38" ht="14.25" customHeight="1">
      <c r="A74" s="3"/>
      <c r="B74" s="7"/>
      <c r="C74" s="171" t="s">
        <v>42</v>
      </c>
      <c r="D74" s="193"/>
      <c r="E74" s="193"/>
      <c r="F74" s="193"/>
      <c r="G74" s="194"/>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1"/>
    </row>
    <row r="75" spans="1:38" ht="14.25" customHeight="1">
      <c r="A75" s="619"/>
      <c r="B75" s="155"/>
      <c r="C75" s="164"/>
      <c r="D75" s="181"/>
      <c r="E75" s="181"/>
      <c r="F75" s="181"/>
      <c r="G75" s="183"/>
      <c r="H75" s="619"/>
      <c r="I75" s="619"/>
      <c r="J75" s="619"/>
      <c r="K75" s="619"/>
      <c r="L75" s="619"/>
      <c r="M75" s="619"/>
      <c r="N75" s="619"/>
      <c r="O75" s="619"/>
      <c r="P75" s="619"/>
      <c r="Q75" s="619"/>
      <c r="R75" s="619"/>
      <c r="S75" s="619"/>
      <c r="T75" s="619"/>
      <c r="U75" s="619"/>
      <c r="V75" s="619"/>
      <c r="W75" s="619"/>
      <c r="X75" s="619"/>
      <c r="Y75" s="619"/>
      <c r="Z75" s="619"/>
      <c r="AA75" s="619"/>
      <c r="AB75" s="619"/>
      <c r="AC75" s="619"/>
      <c r="AD75" s="619"/>
      <c r="AE75" s="619"/>
      <c r="AF75" s="619"/>
      <c r="AG75" s="619"/>
      <c r="AH75" s="619"/>
      <c r="AI75" s="619"/>
      <c r="AJ75" s="619"/>
      <c r="AK75" s="3"/>
      <c r="AL75" s="1"/>
    </row>
    <row r="76" spans="1:38" ht="14.25" customHeight="1">
      <c r="A76" s="619"/>
      <c r="B76" s="155"/>
      <c r="C76" s="160" t="s">
        <v>36</v>
      </c>
      <c r="D76" s="161">
        <v>2018</v>
      </c>
      <c r="E76" s="161">
        <v>2019</v>
      </c>
      <c r="F76" s="161">
        <v>2020</v>
      </c>
      <c r="G76" s="161">
        <v>2021</v>
      </c>
      <c r="H76" s="619"/>
      <c r="I76" s="619"/>
      <c r="J76" s="619"/>
      <c r="K76" s="619"/>
      <c r="L76" s="619"/>
      <c r="M76" s="619"/>
      <c r="N76" s="619"/>
      <c r="O76" s="619"/>
      <c r="P76" s="619"/>
      <c r="Q76" s="619"/>
      <c r="R76" s="619"/>
      <c r="S76" s="619"/>
      <c r="T76" s="619"/>
      <c r="U76" s="619"/>
      <c r="V76" s="619"/>
      <c r="W76" s="619"/>
      <c r="X76" s="619"/>
      <c r="Y76" s="619"/>
      <c r="Z76" s="619"/>
      <c r="AA76" s="619"/>
      <c r="AB76" s="619"/>
      <c r="AC76" s="619"/>
      <c r="AD76" s="619"/>
      <c r="AE76" s="619"/>
      <c r="AF76" s="619"/>
      <c r="AG76" s="619"/>
      <c r="AH76" s="619"/>
      <c r="AI76" s="619"/>
      <c r="AJ76" s="619"/>
      <c r="AK76" s="3"/>
      <c r="AL76" s="1"/>
    </row>
    <row r="77" spans="1:38" ht="14.25" customHeight="1">
      <c r="A77" s="619">
        <v>1</v>
      </c>
      <c r="B77" s="155"/>
      <c r="C77" s="164" t="s">
        <v>29</v>
      </c>
      <c r="D77" s="181">
        <f>'Copia de Combustibles'!D71*$D$234</f>
        <v>46.266364399412396</v>
      </c>
      <c r="E77" s="181">
        <f>'Copia de Combustibles'!E71*$D$234</f>
        <v>45.714524864740042</v>
      </c>
      <c r="F77" s="181">
        <f>'Copia de Combustibles'!F71*$D$234</f>
        <v>30.879314409784655</v>
      </c>
      <c r="G77" s="183">
        <f>'Copia de Combustibles'!G71*$D$234</f>
        <v>40.823367106478265</v>
      </c>
      <c r="H77" s="619"/>
      <c r="I77" s="619"/>
      <c r="J77" s="619"/>
      <c r="K77" s="619"/>
      <c r="L77" s="619"/>
      <c r="M77" s="619"/>
      <c r="N77" s="619"/>
      <c r="O77" s="619"/>
      <c r="P77" s="619"/>
      <c r="Q77" s="619"/>
      <c r="R77" s="619"/>
      <c r="S77" s="619"/>
      <c r="T77" s="619"/>
      <c r="U77" s="619"/>
      <c r="V77" s="619"/>
      <c r="W77" s="619"/>
      <c r="X77" s="619"/>
      <c r="Y77" s="619"/>
      <c r="Z77" s="619"/>
      <c r="AA77" s="619"/>
      <c r="AB77" s="619"/>
      <c r="AC77" s="619"/>
      <c r="AD77" s="619"/>
      <c r="AE77" s="619"/>
      <c r="AF77" s="619"/>
      <c r="AG77" s="619"/>
      <c r="AH77" s="619"/>
      <c r="AI77" s="619"/>
      <c r="AJ77" s="619"/>
      <c r="AK77" s="3"/>
      <c r="AL77" s="1"/>
    </row>
    <row r="78" spans="1:38" ht="14.25" customHeight="1">
      <c r="A78" s="619">
        <v>1</v>
      </c>
      <c r="B78" s="155"/>
      <c r="C78" s="164" t="s">
        <v>30</v>
      </c>
      <c r="D78" s="181">
        <f>'Copia de Combustibles'!D72*$D$234</f>
        <v>47.548200714364853</v>
      </c>
      <c r="E78" s="181">
        <f>'Copia de Combustibles'!E72*$D$234</f>
        <v>44.109716958021153</v>
      </c>
      <c r="F78" s="181">
        <f>'Copia de Combustibles'!F72*$D$234</f>
        <v>33.16901169326978</v>
      </c>
      <c r="G78" s="183">
        <f>'Copia de Combustibles'!G72*$D$234</f>
        <v>37.88868686713689</v>
      </c>
      <c r="H78" s="619"/>
      <c r="I78" s="619"/>
      <c r="J78" s="619"/>
      <c r="K78" s="619"/>
      <c r="L78" s="619"/>
      <c r="M78" s="619"/>
      <c r="N78" s="619"/>
      <c r="O78" s="619"/>
      <c r="P78" s="619"/>
      <c r="Q78" s="619"/>
      <c r="R78" s="619"/>
      <c r="S78" s="619"/>
      <c r="T78" s="619"/>
      <c r="U78" s="619"/>
      <c r="V78" s="619"/>
      <c r="W78" s="619"/>
      <c r="X78" s="619"/>
      <c r="Y78" s="619"/>
      <c r="Z78" s="619"/>
      <c r="AA78" s="619"/>
      <c r="AB78" s="619"/>
      <c r="AC78" s="619"/>
      <c r="AD78" s="619"/>
      <c r="AE78" s="619"/>
      <c r="AF78" s="619"/>
      <c r="AG78" s="619"/>
      <c r="AH78" s="619"/>
      <c r="AI78" s="619"/>
      <c r="AJ78" s="619"/>
      <c r="AK78" s="3"/>
      <c r="AL78" s="1"/>
    </row>
    <row r="79" spans="1:38" ht="14.25" customHeight="1">
      <c r="A79" s="619">
        <v>1</v>
      </c>
      <c r="B79" s="155"/>
      <c r="C79" s="164" t="s">
        <v>31</v>
      </c>
      <c r="D79" s="181">
        <f>'Copia de Combustibles'!D73*$D$234</f>
        <v>5.7008130639457786</v>
      </c>
      <c r="E79" s="181">
        <f>'Copia de Combustibles'!E73*$D$234</f>
        <v>3.2676672138864493</v>
      </c>
      <c r="F79" s="181">
        <f>'Copia de Combustibles'!F73*$D$234</f>
        <v>3.8438972066441988</v>
      </c>
      <c r="G79" s="183">
        <f>'Copia de Combustibles'!G73*$D$234</f>
        <v>3.999809652556455</v>
      </c>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3"/>
      <c r="AL79" s="1"/>
    </row>
    <row r="80" spans="1:38" ht="14.25" customHeight="1">
      <c r="A80" s="619">
        <v>1</v>
      </c>
      <c r="B80" s="155"/>
      <c r="C80" s="164" t="s">
        <v>32</v>
      </c>
      <c r="D80" s="181">
        <f>'Copia de Combustibles'!D74*$D$234</f>
        <v>79.093466240621282</v>
      </c>
      <c r="E80" s="181">
        <f>'Copia de Combustibles'!E74*$D$234</f>
        <v>55.54886574626191</v>
      </c>
      <c r="F80" s="181">
        <f>'Copia de Combustibles'!F74*$D$234</f>
        <v>59.806508648432704</v>
      </c>
      <c r="G80" s="183">
        <f>'Copia de Combustibles'!G74*$D$234</f>
        <v>77.99964190588409</v>
      </c>
      <c r="H80" s="619"/>
      <c r="I80" s="619"/>
      <c r="J80" s="619"/>
      <c r="K80" s="619"/>
      <c r="L80" s="619"/>
      <c r="M80" s="619"/>
      <c r="N80" s="619"/>
      <c r="O80" s="619"/>
      <c r="P80" s="619"/>
      <c r="Q80" s="619"/>
      <c r="R80" s="619"/>
      <c r="S80" s="619"/>
      <c r="T80" s="619"/>
      <c r="U80" s="619"/>
      <c r="V80" s="619"/>
      <c r="W80" s="619"/>
      <c r="X80" s="619"/>
      <c r="Y80" s="619"/>
      <c r="Z80" s="619"/>
      <c r="AA80" s="619"/>
      <c r="AB80" s="619"/>
      <c r="AC80" s="619"/>
      <c r="AD80" s="619"/>
      <c r="AE80" s="619"/>
      <c r="AF80" s="619"/>
      <c r="AG80" s="619"/>
      <c r="AH80" s="619"/>
      <c r="AI80" s="619"/>
      <c r="AJ80" s="619"/>
      <c r="AK80" s="3"/>
      <c r="AL80" s="1"/>
    </row>
    <row r="81" spans="1:38" ht="14.25" customHeight="1">
      <c r="A81" s="619">
        <v>1</v>
      </c>
      <c r="B81" s="155"/>
      <c r="C81" s="164" t="s">
        <v>33</v>
      </c>
      <c r="D81" s="181">
        <f>'Copia de Combustibles'!D75*$D$234</f>
        <v>13.142442449776416</v>
      </c>
      <c r="E81" s="181">
        <f>'Copia de Combustibles'!E75*$D$234</f>
        <v>12.939706405814173</v>
      </c>
      <c r="F81" s="181">
        <f>'Copia de Combustibles'!F75*$D$234</f>
        <v>7.7726740344615743</v>
      </c>
      <c r="G81" s="183">
        <f>'Copia de Combustibles'!G75*$D$234</f>
        <v>11.317183765649611</v>
      </c>
      <c r="H81" s="619"/>
      <c r="I81" s="619"/>
      <c r="J81" s="619"/>
      <c r="K81" s="619"/>
      <c r="L81" s="619"/>
      <c r="M81" s="619"/>
      <c r="N81" s="619"/>
      <c r="O81" s="619"/>
      <c r="P81" s="619"/>
      <c r="Q81" s="619"/>
      <c r="R81" s="619"/>
      <c r="S81" s="619"/>
      <c r="T81" s="619"/>
      <c r="U81" s="619"/>
      <c r="V81" s="619"/>
      <c r="W81" s="619"/>
      <c r="X81" s="619"/>
      <c r="Y81" s="619"/>
      <c r="Z81" s="619"/>
      <c r="AA81" s="619"/>
      <c r="AB81" s="619"/>
      <c r="AC81" s="619"/>
      <c r="AD81" s="619"/>
      <c r="AE81" s="619"/>
      <c r="AF81" s="619"/>
      <c r="AG81" s="619"/>
      <c r="AH81" s="619"/>
      <c r="AI81" s="619"/>
      <c r="AJ81" s="619"/>
      <c r="AK81" s="3"/>
      <c r="AL81" s="1"/>
    </row>
    <row r="82" spans="1:38" ht="14.25" customHeight="1">
      <c r="A82" s="619">
        <v>1</v>
      </c>
      <c r="B82" s="155"/>
      <c r="C82" s="195" t="s">
        <v>43</v>
      </c>
      <c r="D82" s="181">
        <f>'Copia de Combustibles'!D76*$D$234</f>
        <v>2.3406025561488519</v>
      </c>
      <c r="E82" s="181">
        <f>'Copia de Combustibles'!E76*$D$234</f>
        <v>2.2529303538088472</v>
      </c>
      <c r="F82" s="181">
        <f>'Copia de Combustibles'!F76*$D$234</f>
        <v>1.8116964666554052</v>
      </c>
      <c r="G82" s="183">
        <f>'Copia de Combustibles'!G76*$D$234</f>
        <v>2.0050208547727952</v>
      </c>
      <c r="H82" s="619"/>
      <c r="I82" s="619"/>
      <c r="J82" s="619"/>
      <c r="K82" s="619"/>
      <c r="L82" s="619"/>
      <c r="M82" s="619"/>
      <c r="N82" s="619"/>
      <c r="O82" s="619"/>
      <c r="P82" s="619"/>
      <c r="Q82" s="619"/>
      <c r="R82" s="619"/>
      <c r="S82" s="619"/>
      <c r="T82" s="619"/>
      <c r="U82" s="619"/>
      <c r="V82" s="619"/>
      <c r="W82" s="619"/>
      <c r="X82" s="619"/>
      <c r="Y82" s="619"/>
      <c r="Z82" s="619"/>
      <c r="AA82" s="619"/>
      <c r="AB82" s="619"/>
      <c r="AC82" s="619"/>
      <c r="AD82" s="619"/>
      <c r="AE82" s="619"/>
      <c r="AF82" s="619"/>
      <c r="AG82" s="619"/>
      <c r="AH82" s="619"/>
      <c r="AI82" s="619"/>
      <c r="AJ82" s="619"/>
      <c r="AK82" s="3"/>
      <c r="AL82" s="1"/>
    </row>
    <row r="83" spans="1:38" ht="14.25" customHeight="1">
      <c r="A83" s="619">
        <v>1</v>
      </c>
      <c r="B83" s="155"/>
      <c r="C83" s="195" t="s">
        <v>44</v>
      </c>
      <c r="D83" s="181">
        <f>'Copia de Combustibles'!D77*$D$234</f>
        <v>7.9542968597539403</v>
      </c>
      <c r="E83" s="181">
        <f>'Copia de Combustibles'!E77*$D$234</f>
        <v>7.6952091448430631</v>
      </c>
      <c r="F83" s="181">
        <f>'Copia de Combustibles'!F77*$D$234</f>
        <v>5.789140422710549</v>
      </c>
      <c r="G83" s="183">
        <f>'Copia de Combustibles'!G77*$D$234</f>
        <v>6.9855603679515346</v>
      </c>
      <c r="H83" s="619"/>
      <c r="I83" s="619"/>
      <c r="J83" s="619"/>
      <c r="K83" s="619"/>
      <c r="L83" s="619"/>
      <c r="M83" s="619"/>
      <c r="N83" s="619"/>
      <c r="O83" s="619"/>
      <c r="P83" s="619"/>
      <c r="Q83" s="619"/>
      <c r="R83" s="619"/>
      <c r="S83" s="619"/>
      <c r="T83" s="619"/>
      <c r="U83" s="619"/>
      <c r="V83" s="619"/>
      <c r="W83" s="619"/>
      <c r="X83" s="619"/>
      <c r="Y83" s="619"/>
      <c r="Z83" s="619"/>
      <c r="AA83" s="619"/>
      <c r="AB83" s="619"/>
      <c r="AC83" s="619"/>
      <c r="AD83" s="619"/>
      <c r="AE83" s="619"/>
      <c r="AF83" s="619"/>
      <c r="AG83" s="619"/>
      <c r="AH83" s="619"/>
      <c r="AI83" s="619"/>
      <c r="AJ83" s="619"/>
      <c r="AK83" s="3"/>
      <c r="AL83" s="1"/>
    </row>
    <row r="84" spans="1:38" ht="14.25" customHeight="1">
      <c r="A84" s="619"/>
      <c r="B84" s="155"/>
      <c r="C84" s="164" t="s">
        <v>39</v>
      </c>
      <c r="D84" s="165">
        <f t="shared" ref="D84:G84" si="11">SUM(D77:D83)</f>
        <v>202.04618628402349</v>
      </c>
      <c r="E84" s="165">
        <f t="shared" si="11"/>
        <v>171.52862068737562</v>
      </c>
      <c r="F84" s="165">
        <f t="shared" si="11"/>
        <v>143.07224288195886</v>
      </c>
      <c r="G84" s="166">
        <f t="shared" si="11"/>
        <v>181.01927052042964</v>
      </c>
      <c r="H84" s="619"/>
      <c r="I84" s="619"/>
      <c r="J84" s="619"/>
      <c r="K84" s="619"/>
      <c r="L84" s="619"/>
      <c r="M84" s="619"/>
      <c r="N84" s="619"/>
      <c r="O84" s="619"/>
      <c r="P84" s="619"/>
      <c r="Q84" s="619"/>
      <c r="R84" s="619"/>
      <c r="S84" s="619"/>
      <c r="T84" s="619"/>
      <c r="U84" s="619"/>
      <c r="V84" s="619"/>
      <c r="W84" s="619"/>
      <c r="X84" s="619"/>
      <c r="Y84" s="619"/>
      <c r="Z84" s="619"/>
      <c r="AA84" s="619"/>
      <c r="AB84" s="619"/>
      <c r="AC84" s="619"/>
      <c r="AD84" s="619"/>
      <c r="AE84" s="619"/>
      <c r="AF84" s="619"/>
      <c r="AG84" s="619"/>
      <c r="AH84" s="619"/>
      <c r="AI84" s="619"/>
      <c r="AJ84" s="619"/>
      <c r="AK84" s="3"/>
      <c r="AL84" s="1"/>
    </row>
    <row r="85" spans="1:38" ht="14.25" customHeight="1">
      <c r="A85" s="619"/>
      <c r="B85" s="155"/>
      <c r="C85" s="164"/>
      <c r="D85" s="181"/>
      <c r="E85" s="181"/>
      <c r="F85" s="181"/>
      <c r="G85" s="183"/>
      <c r="H85" s="619"/>
      <c r="I85" s="619"/>
      <c r="J85" s="619"/>
      <c r="K85" s="619"/>
      <c r="L85" s="619"/>
      <c r="M85" s="619"/>
      <c r="N85" s="619"/>
      <c r="O85" s="619"/>
      <c r="P85" s="619"/>
      <c r="Q85" s="619"/>
      <c r="R85" s="619"/>
      <c r="S85" s="619"/>
      <c r="T85" s="619"/>
      <c r="U85" s="619"/>
      <c r="V85" s="619"/>
      <c r="W85" s="619"/>
      <c r="X85" s="619"/>
      <c r="Y85" s="619"/>
      <c r="Z85" s="619"/>
      <c r="AA85" s="619"/>
      <c r="AB85" s="619"/>
      <c r="AC85" s="619"/>
      <c r="AD85" s="619"/>
      <c r="AE85" s="619"/>
      <c r="AF85" s="619"/>
      <c r="AG85" s="619"/>
      <c r="AH85" s="619"/>
      <c r="AI85" s="619"/>
      <c r="AJ85" s="619"/>
      <c r="AK85" s="3"/>
      <c r="AL85" s="1"/>
    </row>
    <row r="86" spans="1:38" ht="14.25" customHeight="1">
      <c r="A86" s="619"/>
      <c r="B86" s="155"/>
      <c r="C86" s="160" t="s">
        <v>37</v>
      </c>
      <c r="D86" s="161">
        <v>2018</v>
      </c>
      <c r="E86" s="161">
        <v>2019</v>
      </c>
      <c r="F86" s="161">
        <v>2020</v>
      </c>
      <c r="G86" s="161">
        <v>2021</v>
      </c>
      <c r="H86" s="619"/>
      <c r="I86" s="619"/>
      <c r="J86" s="619"/>
      <c r="K86" s="619"/>
      <c r="L86" s="619"/>
      <c r="M86" s="619"/>
      <c r="N86" s="619"/>
      <c r="O86" s="619"/>
      <c r="P86" s="619"/>
      <c r="Q86" s="619"/>
      <c r="R86" s="619"/>
      <c r="S86" s="619"/>
      <c r="T86" s="619"/>
      <c r="U86" s="619"/>
      <c r="V86" s="619"/>
      <c r="W86" s="619"/>
      <c r="X86" s="619"/>
      <c r="Y86" s="619"/>
      <c r="Z86" s="619"/>
      <c r="AA86" s="619"/>
      <c r="AB86" s="619"/>
      <c r="AC86" s="619"/>
      <c r="AD86" s="619"/>
      <c r="AE86" s="619"/>
      <c r="AF86" s="619"/>
      <c r="AG86" s="619"/>
      <c r="AH86" s="619"/>
      <c r="AI86" s="619"/>
      <c r="AJ86" s="619"/>
      <c r="AK86" s="3"/>
      <c r="AL86" s="1"/>
    </row>
    <row r="87" spans="1:38" ht="14.25" customHeight="1">
      <c r="A87" s="619">
        <v>1</v>
      </c>
      <c r="B87" s="155"/>
      <c r="C87" s="164" t="s">
        <v>29</v>
      </c>
      <c r="D87" s="181">
        <f>'Copia de Combustibles'!D80*$D$234</f>
        <v>16.283951428486343</v>
      </c>
      <c r="E87" s="181">
        <f>'Copia de Combustibles'!E80*$D$234</f>
        <v>13.587255934920117</v>
      </c>
      <c r="F87" s="181">
        <f>'Copia de Combustibles'!F80*$D$234</f>
        <v>11.56199177751617</v>
      </c>
      <c r="G87" s="183">
        <f>'Copia de Combustibles'!G80*$D$234</f>
        <v>14.675241406174742</v>
      </c>
      <c r="H87" s="619"/>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3"/>
      <c r="AL87" s="1"/>
    </row>
    <row r="88" spans="1:38" ht="14.25" customHeight="1">
      <c r="A88" s="619">
        <v>1</v>
      </c>
      <c r="B88" s="155"/>
      <c r="C88" s="164" t="s">
        <v>30</v>
      </c>
      <c r="D88" s="181">
        <f>'Copia de Combustibles'!D81*$D$234</f>
        <v>11.706538465386368</v>
      </c>
      <c r="E88" s="181">
        <f>'Copia de Combustibles'!E81*$D$234</f>
        <v>10.172931050819711</v>
      </c>
      <c r="F88" s="181">
        <f>'Copia de Combustibles'!F81*$D$234</f>
        <v>7.2746159856597163</v>
      </c>
      <c r="G88" s="183">
        <f>'Copia de Combustibles'!G81*$D$234</f>
        <v>9.6491393684518361</v>
      </c>
      <c r="H88" s="619"/>
      <c r="I88" s="619"/>
      <c r="J88" s="619"/>
      <c r="K88" s="619"/>
      <c r="L88" s="619"/>
      <c r="M88" s="619"/>
      <c r="N88" s="619"/>
      <c r="O88" s="619"/>
      <c r="P88" s="619"/>
      <c r="Q88" s="619"/>
      <c r="R88" s="619"/>
      <c r="S88" s="619"/>
      <c r="T88" s="619"/>
      <c r="U88" s="619"/>
      <c r="V88" s="619"/>
      <c r="W88" s="619"/>
      <c r="X88" s="619"/>
      <c r="Y88" s="619"/>
      <c r="Z88" s="619"/>
      <c r="AA88" s="619"/>
      <c r="AB88" s="619"/>
      <c r="AC88" s="619"/>
      <c r="AD88" s="619"/>
      <c r="AE88" s="619"/>
      <c r="AF88" s="619"/>
      <c r="AG88" s="619"/>
      <c r="AH88" s="619"/>
      <c r="AI88" s="619"/>
      <c r="AJ88" s="619"/>
      <c r="AK88" s="3"/>
      <c r="AL88" s="1"/>
    </row>
    <row r="89" spans="1:38" ht="14.25" customHeight="1">
      <c r="A89" s="619">
        <v>1</v>
      </c>
      <c r="B89" s="155"/>
      <c r="C89" s="164" t="s">
        <v>31</v>
      </c>
      <c r="D89" s="181">
        <f>'Copia de Combustibles'!D82*$D$234</f>
        <v>0.10132427698965631</v>
      </c>
      <c r="E89" s="181">
        <f>'Copia de Combustibles'!E82*$D$234</f>
        <v>8.1076043827369312E-2</v>
      </c>
      <c r="F89" s="181">
        <f>'Copia de Combustibles'!F82*$D$234</f>
        <v>2.0339165195762385E-2</v>
      </c>
      <c r="G89" s="183">
        <f>'Copia de Combustibles'!G82*$D$234</f>
        <v>1.0252868869876955E-2</v>
      </c>
      <c r="H89" s="619"/>
      <c r="I89" s="619"/>
      <c r="J89" s="619"/>
      <c r="K89" s="619"/>
      <c r="L89" s="619"/>
      <c r="M89" s="619"/>
      <c r="N89" s="619"/>
      <c r="O89" s="619"/>
      <c r="P89" s="619"/>
      <c r="Q89" s="619"/>
      <c r="R89" s="619"/>
      <c r="S89" s="619"/>
      <c r="T89" s="619"/>
      <c r="U89" s="619"/>
      <c r="V89" s="619"/>
      <c r="W89" s="619"/>
      <c r="X89" s="619"/>
      <c r="Y89" s="619"/>
      <c r="Z89" s="619"/>
      <c r="AA89" s="619"/>
      <c r="AB89" s="619"/>
      <c r="AC89" s="619"/>
      <c r="AD89" s="619"/>
      <c r="AE89" s="619"/>
      <c r="AF89" s="619"/>
      <c r="AG89" s="619"/>
      <c r="AH89" s="619"/>
      <c r="AI89" s="619"/>
      <c r="AJ89" s="619"/>
      <c r="AK89" s="3"/>
      <c r="AL89" s="1"/>
    </row>
    <row r="90" spans="1:38" ht="14.25" customHeight="1">
      <c r="A90" s="619">
        <v>1</v>
      </c>
      <c r="B90" s="155"/>
      <c r="C90" s="164" t="s">
        <v>32</v>
      </c>
      <c r="D90" s="181">
        <f>'Copia de Combustibles'!D83*$D$234</f>
        <v>56.454918376754058</v>
      </c>
      <c r="E90" s="181">
        <f>'Copia de Combustibles'!E83*$D$234</f>
        <v>49.836776829255641</v>
      </c>
      <c r="F90" s="181">
        <f>'Copia de Combustibles'!F83*$D$234</f>
        <v>39.399964020800773</v>
      </c>
      <c r="G90" s="183">
        <f>'Copia de Combustibles'!G83*$D$234</f>
        <v>50.685290136643751</v>
      </c>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3"/>
      <c r="AL90" s="1"/>
    </row>
    <row r="91" spans="1:38" ht="14.25" customHeight="1">
      <c r="A91" s="619">
        <v>1</v>
      </c>
      <c r="B91" s="155"/>
      <c r="C91" s="164" t="s">
        <v>33</v>
      </c>
      <c r="D91" s="181">
        <f>'Copia de Combustibles'!D84*$D$234</f>
        <v>3.2373556942443349</v>
      </c>
      <c r="E91" s="181">
        <f>'Copia de Combustibles'!E84*$D$234</f>
        <v>3.1136653255792943</v>
      </c>
      <c r="F91" s="181">
        <f>'Copia de Combustibles'!F84*$D$234</f>
        <v>0.78196822717287517</v>
      </c>
      <c r="G91" s="183">
        <f>'Copia de Combustibles'!G84*$D$234</f>
        <v>1.052008125652049</v>
      </c>
      <c r="H91" s="619"/>
      <c r="I91" s="619"/>
      <c r="J91" s="619"/>
      <c r="K91" s="619"/>
      <c r="L91" s="619"/>
      <c r="M91" s="619"/>
      <c r="N91" s="619"/>
      <c r="O91" s="619"/>
      <c r="P91" s="619"/>
      <c r="Q91" s="619"/>
      <c r="R91" s="619"/>
      <c r="S91" s="619"/>
      <c r="T91" s="619"/>
      <c r="U91" s="619"/>
      <c r="V91" s="619"/>
      <c r="W91" s="619"/>
      <c r="X91" s="619"/>
      <c r="Y91" s="619"/>
      <c r="Z91" s="619"/>
      <c r="AA91" s="619"/>
      <c r="AB91" s="619"/>
      <c r="AC91" s="619"/>
      <c r="AD91" s="619"/>
      <c r="AE91" s="619"/>
      <c r="AF91" s="619"/>
      <c r="AG91" s="619"/>
      <c r="AH91" s="619"/>
      <c r="AI91" s="619"/>
      <c r="AJ91" s="619"/>
      <c r="AK91" s="3"/>
      <c r="AL91" s="1"/>
    </row>
    <row r="92" spans="1:38" ht="14.25" customHeight="1">
      <c r="A92" s="619">
        <v>1</v>
      </c>
      <c r="B92" s="155"/>
      <c r="C92" s="164" t="s">
        <v>44</v>
      </c>
      <c r="D92" s="181">
        <f>'Copia de Combustibles'!D85*$D$234</f>
        <v>1.0072326711711881</v>
      </c>
      <c r="E92" s="181">
        <f>'Copia de Combustibles'!E85*$D$234</f>
        <v>0.87958748263096376</v>
      </c>
      <c r="F92" s="181">
        <f>'Copia de Combustibles'!F85*$D$234</f>
        <v>0.83409918305116448</v>
      </c>
      <c r="G92" s="183">
        <f>'Copia de Combustibles'!G85*$D$234</f>
        <v>0.98419035485519757</v>
      </c>
      <c r="H92" s="619"/>
      <c r="I92" s="619"/>
      <c r="J92" s="619"/>
      <c r="K92" s="619"/>
      <c r="L92" s="619"/>
      <c r="M92" s="619"/>
      <c r="N92" s="619"/>
      <c r="O92" s="619"/>
      <c r="P92" s="619"/>
      <c r="Q92" s="619"/>
      <c r="R92" s="619"/>
      <c r="S92" s="619"/>
      <c r="T92" s="619"/>
      <c r="U92" s="619"/>
      <c r="V92" s="619"/>
      <c r="W92" s="619"/>
      <c r="X92" s="619"/>
      <c r="Y92" s="619"/>
      <c r="Z92" s="619"/>
      <c r="AA92" s="619"/>
      <c r="AB92" s="619"/>
      <c r="AC92" s="619"/>
      <c r="AD92" s="619"/>
      <c r="AE92" s="619"/>
      <c r="AF92" s="619"/>
      <c r="AG92" s="619"/>
      <c r="AH92" s="619"/>
      <c r="AI92" s="619"/>
      <c r="AJ92" s="619"/>
      <c r="AK92" s="3"/>
      <c r="AL92" s="1"/>
    </row>
    <row r="93" spans="1:38" ht="14.25" customHeight="1">
      <c r="A93" s="619"/>
      <c r="B93" s="155"/>
      <c r="C93" s="164" t="s">
        <v>39</v>
      </c>
      <c r="D93" s="165">
        <f t="shared" ref="D93:G93" si="12">SUM(D87:D92)</f>
        <v>88.791320913031939</v>
      </c>
      <c r="E93" s="165">
        <f t="shared" si="12"/>
        <v>77.6712926670331</v>
      </c>
      <c r="F93" s="165">
        <f t="shared" si="12"/>
        <v>59.872978359396463</v>
      </c>
      <c r="G93" s="166">
        <f t="shared" si="12"/>
        <v>77.056122260647456</v>
      </c>
      <c r="H93" s="619"/>
      <c r="I93" s="619"/>
      <c r="J93" s="619"/>
      <c r="K93" s="619"/>
      <c r="L93" s="619"/>
      <c r="M93" s="619"/>
      <c r="N93" s="619"/>
      <c r="O93" s="619"/>
      <c r="P93" s="619"/>
      <c r="Q93" s="619"/>
      <c r="R93" s="619"/>
      <c r="S93" s="619"/>
      <c r="T93" s="619"/>
      <c r="U93" s="619"/>
      <c r="V93" s="619"/>
      <c r="W93" s="619"/>
      <c r="X93" s="619"/>
      <c r="Y93" s="619"/>
      <c r="Z93" s="619"/>
      <c r="AA93" s="619"/>
      <c r="AB93" s="619"/>
      <c r="AC93" s="619"/>
      <c r="AD93" s="619"/>
      <c r="AE93" s="619"/>
      <c r="AF93" s="619"/>
      <c r="AG93" s="619"/>
      <c r="AH93" s="619"/>
      <c r="AI93" s="619"/>
      <c r="AJ93" s="619"/>
      <c r="AK93" s="3"/>
      <c r="AL93" s="1"/>
    </row>
    <row r="94" spans="1:38" ht="14.25" customHeight="1">
      <c r="A94" s="619"/>
      <c r="B94" s="155"/>
      <c r="C94" s="164"/>
      <c r="D94" s="181"/>
      <c r="E94" s="181"/>
      <c r="F94" s="181"/>
      <c r="G94" s="183"/>
      <c r="H94" s="619"/>
      <c r="I94" s="619"/>
      <c r="J94" s="619"/>
      <c r="K94" s="619"/>
      <c r="L94" s="619"/>
      <c r="M94" s="619"/>
      <c r="N94" s="619"/>
      <c r="O94" s="619"/>
      <c r="P94" s="619"/>
      <c r="Q94" s="619"/>
      <c r="R94" s="619"/>
      <c r="S94" s="619"/>
      <c r="T94" s="619"/>
      <c r="U94" s="619"/>
      <c r="V94" s="619"/>
      <c r="W94" s="619"/>
      <c r="X94" s="619"/>
      <c r="Y94" s="619"/>
      <c r="Z94" s="619"/>
      <c r="AA94" s="619"/>
      <c r="AB94" s="619"/>
      <c r="AC94" s="619"/>
      <c r="AD94" s="619"/>
      <c r="AE94" s="619"/>
      <c r="AF94" s="619"/>
      <c r="AG94" s="619"/>
      <c r="AH94" s="619"/>
      <c r="AI94" s="619"/>
      <c r="AJ94" s="619"/>
      <c r="AK94" s="3"/>
      <c r="AL94" s="1"/>
    </row>
    <row r="95" spans="1:38" ht="14.25" customHeight="1">
      <c r="A95" s="619"/>
      <c r="B95" s="155"/>
      <c r="C95" s="160" t="s">
        <v>40</v>
      </c>
      <c r="D95" s="161">
        <v>2018</v>
      </c>
      <c r="E95" s="161">
        <v>2019</v>
      </c>
      <c r="F95" s="161">
        <v>2020</v>
      </c>
      <c r="G95" s="161">
        <v>2021</v>
      </c>
      <c r="H95" s="619"/>
      <c r="I95" s="619"/>
      <c r="J95" s="619"/>
      <c r="K95" s="619"/>
      <c r="L95" s="619"/>
      <c r="M95" s="619"/>
      <c r="N95" s="619"/>
      <c r="O95" s="619"/>
      <c r="P95" s="619"/>
      <c r="Q95" s="619"/>
      <c r="R95" s="619"/>
      <c r="S95" s="619"/>
      <c r="T95" s="619"/>
      <c r="U95" s="619"/>
      <c r="V95" s="619"/>
      <c r="W95" s="619"/>
      <c r="X95" s="619"/>
      <c r="Y95" s="619"/>
      <c r="Z95" s="619"/>
      <c r="AA95" s="619"/>
      <c r="AB95" s="619"/>
      <c r="AC95" s="619"/>
      <c r="AD95" s="619"/>
      <c r="AE95" s="619"/>
      <c r="AF95" s="619"/>
      <c r="AG95" s="619"/>
      <c r="AH95" s="619"/>
      <c r="AI95" s="619"/>
      <c r="AJ95" s="619"/>
      <c r="AK95" s="3"/>
      <c r="AL95" s="1"/>
    </row>
    <row r="96" spans="1:38" ht="14.25" customHeight="1">
      <c r="A96" s="619">
        <v>1</v>
      </c>
      <c r="B96" s="155"/>
      <c r="C96" s="164" t="s">
        <v>29</v>
      </c>
      <c r="D96" s="181">
        <f>'Copia de Combustibles'!D88*$D$234</f>
        <v>12.229113536930985</v>
      </c>
      <c r="E96" s="181">
        <f>'Copia de Combustibles'!E88*$D$234</f>
        <v>11.932751978378185</v>
      </c>
      <c r="F96" s="181">
        <f>'Copia de Combustibles'!F88*$D$234</f>
        <v>10.411495752484031</v>
      </c>
      <c r="G96" s="183">
        <f>'Copia de Combustibles'!G88*$D$234</f>
        <v>13.295668825416282</v>
      </c>
      <c r="H96" s="619"/>
      <c r="I96" s="619"/>
      <c r="J96" s="619"/>
      <c r="K96" s="619"/>
      <c r="L96" s="619"/>
      <c r="M96" s="619"/>
      <c r="N96" s="619"/>
      <c r="O96" s="619"/>
      <c r="P96" s="619"/>
      <c r="Q96" s="619"/>
      <c r="R96" s="619"/>
      <c r="S96" s="619"/>
      <c r="T96" s="619"/>
      <c r="U96" s="619"/>
      <c r="V96" s="619"/>
      <c r="W96" s="619"/>
      <c r="X96" s="619"/>
      <c r="Y96" s="619"/>
      <c r="Z96" s="619"/>
      <c r="AA96" s="619"/>
      <c r="AB96" s="619"/>
      <c r="AC96" s="619"/>
      <c r="AD96" s="619"/>
      <c r="AE96" s="619"/>
      <c r="AF96" s="619"/>
      <c r="AG96" s="619"/>
      <c r="AH96" s="619"/>
      <c r="AI96" s="619"/>
      <c r="AJ96" s="619"/>
      <c r="AK96" s="3"/>
      <c r="AL96" s="1"/>
    </row>
    <row r="97" spans="1:38" ht="14.25" customHeight="1">
      <c r="A97" s="619">
        <v>1</v>
      </c>
      <c r="B97" s="155"/>
      <c r="C97" s="164" t="s">
        <v>30</v>
      </c>
      <c r="D97" s="181">
        <f>'Copia de Combustibles'!D89*$D$234</f>
        <v>6.0869229732088694</v>
      </c>
      <c r="E97" s="181">
        <f>'Copia de Combustibles'!E89*$D$234</f>
        <v>5.8355775215229055</v>
      </c>
      <c r="F97" s="181">
        <f>'Copia de Combustibles'!F89*$D$234</f>
        <v>5.556740455872597</v>
      </c>
      <c r="G97" s="183">
        <f>'Copia de Combustibles'!G89*$D$234</f>
        <v>5.455105071625967</v>
      </c>
      <c r="H97" s="619"/>
      <c r="I97" s="619"/>
      <c r="J97" s="619"/>
      <c r="K97" s="619"/>
      <c r="L97" s="619"/>
      <c r="M97" s="619"/>
      <c r="N97" s="619"/>
      <c r="O97" s="619"/>
      <c r="P97" s="619"/>
      <c r="Q97" s="619"/>
      <c r="R97" s="619"/>
      <c r="S97" s="619"/>
      <c r="T97" s="619"/>
      <c r="U97" s="619"/>
      <c r="V97" s="619"/>
      <c r="W97" s="619"/>
      <c r="X97" s="619"/>
      <c r="Y97" s="619"/>
      <c r="Z97" s="619"/>
      <c r="AA97" s="619"/>
      <c r="AB97" s="619"/>
      <c r="AC97" s="619"/>
      <c r="AD97" s="619"/>
      <c r="AE97" s="619"/>
      <c r="AF97" s="619"/>
      <c r="AG97" s="619"/>
      <c r="AH97" s="619"/>
      <c r="AI97" s="619"/>
      <c r="AJ97" s="619"/>
      <c r="AK97" s="3"/>
      <c r="AL97" s="1"/>
    </row>
    <row r="98" spans="1:38" ht="14.25" customHeight="1">
      <c r="A98" s="619">
        <v>1</v>
      </c>
      <c r="B98" s="155"/>
      <c r="C98" s="164" t="s">
        <v>31</v>
      </c>
      <c r="D98" s="181"/>
      <c r="E98" s="181"/>
      <c r="F98" s="181"/>
      <c r="G98" s="183"/>
      <c r="H98" s="619"/>
      <c r="I98" s="619"/>
      <c r="J98" s="619"/>
      <c r="K98" s="619"/>
      <c r="L98" s="619"/>
      <c r="M98" s="619"/>
      <c r="N98" s="619"/>
      <c r="O98" s="619"/>
      <c r="P98" s="619"/>
      <c r="Q98" s="619"/>
      <c r="R98" s="619"/>
      <c r="S98" s="619"/>
      <c r="T98" s="619"/>
      <c r="U98" s="619"/>
      <c r="V98" s="619"/>
      <c r="W98" s="619"/>
      <c r="X98" s="619"/>
      <c r="Y98" s="619"/>
      <c r="Z98" s="619"/>
      <c r="AA98" s="619"/>
      <c r="AB98" s="619"/>
      <c r="AC98" s="619"/>
      <c r="AD98" s="619"/>
      <c r="AE98" s="619"/>
      <c r="AF98" s="619"/>
      <c r="AG98" s="619"/>
      <c r="AH98" s="619"/>
      <c r="AI98" s="619"/>
      <c r="AJ98" s="619"/>
      <c r="AK98" s="3"/>
      <c r="AL98" s="1"/>
    </row>
    <row r="99" spans="1:38" ht="14.25" customHeight="1">
      <c r="A99" s="619">
        <v>1</v>
      </c>
      <c r="B99" s="155"/>
      <c r="C99" s="164" t="s">
        <v>32</v>
      </c>
      <c r="D99" s="181">
        <f>'Copia de Combustibles'!D91*$D$234</f>
        <v>2.1804689200417724</v>
      </c>
      <c r="E99" s="181">
        <f>'Copia de Combustibles'!E91*$D$234</f>
        <v>1.404743066514397</v>
      </c>
      <c r="F99" s="181">
        <f>'Copia de Combustibles'!F91*$D$234</f>
        <v>1.3323434953844018</v>
      </c>
      <c r="G99" s="183">
        <f>'Copia de Combustibles'!G91*$D$234</f>
        <v>1.6630183995468224</v>
      </c>
      <c r="H99" s="619"/>
      <c r="I99" s="619"/>
      <c r="J99" s="619"/>
      <c r="K99" s="619"/>
      <c r="L99" s="619"/>
      <c r="M99" s="619"/>
      <c r="N99" s="619"/>
      <c r="O99" s="619"/>
      <c r="P99" s="619"/>
      <c r="Q99" s="619"/>
      <c r="R99" s="619"/>
      <c r="S99" s="619"/>
      <c r="T99" s="619"/>
      <c r="U99" s="619"/>
      <c r="V99" s="619"/>
      <c r="W99" s="619"/>
      <c r="X99" s="619"/>
      <c r="Y99" s="619"/>
      <c r="Z99" s="619"/>
      <c r="AA99" s="619"/>
      <c r="AB99" s="619"/>
      <c r="AC99" s="619"/>
      <c r="AD99" s="619"/>
      <c r="AE99" s="619"/>
      <c r="AF99" s="619"/>
      <c r="AG99" s="619"/>
      <c r="AH99" s="619"/>
      <c r="AI99" s="619"/>
      <c r="AJ99" s="619"/>
      <c r="AK99" s="3"/>
      <c r="AL99" s="1"/>
    </row>
    <row r="100" spans="1:38" ht="14.25" customHeight="1">
      <c r="A100" s="619">
        <v>1</v>
      </c>
      <c r="B100" s="155"/>
      <c r="C100" s="164" t="s">
        <v>33</v>
      </c>
      <c r="D100" s="181"/>
      <c r="E100" s="181">
        <f>'Copia de Combustibles'!E92*$D$234</f>
        <v>8.5135656982459187E-2</v>
      </c>
      <c r="F100" s="181"/>
      <c r="G100" s="183"/>
      <c r="H100" s="619"/>
      <c r="I100" s="619"/>
      <c r="J100" s="619"/>
      <c r="K100" s="619"/>
      <c r="L100" s="619"/>
      <c r="M100" s="619"/>
      <c r="N100" s="619"/>
      <c r="O100" s="619"/>
      <c r="P100" s="619"/>
      <c r="Q100" s="619"/>
      <c r="R100" s="619"/>
      <c r="S100" s="619"/>
      <c r="T100" s="619"/>
      <c r="U100" s="619"/>
      <c r="V100" s="619"/>
      <c r="W100" s="619"/>
      <c r="X100" s="619"/>
      <c r="Y100" s="619"/>
      <c r="Z100" s="619"/>
      <c r="AA100" s="619"/>
      <c r="AB100" s="619"/>
      <c r="AC100" s="619"/>
      <c r="AD100" s="619"/>
      <c r="AE100" s="619"/>
      <c r="AF100" s="619"/>
      <c r="AG100" s="619"/>
      <c r="AH100" s="619"/>
      <c r="AI100" s="619"/>
      <c r="AJ100" s="619"/>
      <c r="AK100" s="3"/>
      <c r="AL100" s="1"/>
    </row>
    <row r="101" spans="1:38" ht="14.25" customHeight="1">
      <c r="A101" s="619">
        <v>1</v>
      </c>
      <c r="B101" s="155"/>
      <c r="C101" s="164" t="s">
        <v>45</v>
      </c>
      <c r="D101" s="181">
        <f>'Copia de Combustibles'!D93*$D$234</f>
        <v>20.381724859493499</v>
      </c>
      <c r="E101" s="181">
        <f>'Copia de Combustibles'!E93*$D$234</f>
        <v>18.849829370468555</v>
      </c>
      <c r="F101" s="181">
        <f>'Copia de Combustibles'!F93*$D$234</f>
        <v>17.056602154547665</v>
      </c>
      <c r="G101" s="183">
        <f>'Copia de Combustibles'!G93*$D$234</f>
        <v>19.73800836883084</v>
      </c>
      <c r="H101" s="619"/>
      <c r="I101" s="619"/>
      <c r="J101" s="619"/>
      <c r="K101" s="619"/>
      <c r="L101" s="619"/>
      <c r="M101" s="619"/>
      <c r="N101" s="619"/>
      <c r="O101" s="619"/>
      <c r="P101" s="619"/>
      <c r="Q101" s="619"/>
      <c r="R101" s="619"/>
      <c r="S101" s="619"/>
      <c r="T101" s="619"/>
      <c r="U101" s="619"/>
      <c r="V101" s="619"/>
      <c r="W101" s="619"/>
      <c r="X101" s="619"/>
      <c r="Y101" s="619"/>
      <c r="Z101" s="619"/>
      <c r="AA101" s="619"/>
      <c r="AB101" s="619"/>
      <c r="AC101" s="619"/>
      <c r="AD101" s="619"/>
      <c r="AE101" s="619"/>
      <c r="AF101" s="619"/>
      <c r="AG101" s="619"/>
      <c r="AH101" s="619"/>
      <c r="AI101" s="619"/>
      <c r="AJ101" s="619"/>
      <c r="AK101" s="3"/>
      <c r="AL101" s="1"/>
    </row>
    <row r="102" spans="1:38" ht="14.25" customHeight="1">
      <c r="A102" s="619"/>
      <c r="B102" s="155"/>
      <c r="C102" s="164" t="s">
        <v>39</v>
      </c>
      <c r="D102" s="165">
        <f t="shared" ref="D102:G102" si="13">SUM(D96:D101)</f>
        <v>40.878230289675123</v>
      </c>
      <c r="E102" s="165">
        <f t="shared" si="13"/>
        <v>38.108037593866499</v>
      </c>
      <c r="F102" s="165">
        <f t="shared" si="13"/>
        <v>34.357181858288698</v>
      </c>
      <c r="G102" s="166">
        <f t="shared" si="13"/>
        <v>40.151800665419913</v>
      </c>
      <c r="H102" s="619"/>
      <c r="I102" s="619"/>
      <c r="J102" s="619"/>
      <c r="K102" s="619"/>
      <c r="L102" s="619"/>
      <c r="M102" s="619"/>
      <c r="N102" s="619"/>
      <c r="O102" s="619"/>
      <c r="P102" s="619"/>
      <c r="Q102" s="619"/>
      <c r="R102" s="619"/>
      <c r="S102" s="619"/>
      <c r="T102" s="619"/>
      <c r="U102" s="619"/>
      <c r="V102" s="619"/>
      <c r="W102" s="619"/>
      <c r="X102" s="619"/>
      <c r="Y102" s="619"/>
      <c r="Z102" s="619"/>
      <c r="AA102" s="619"/>
      <c r="AB102" s="619"/>
      <c r="AC102" s="619"/>
      <c r="AD102" s="619"/>
      <c r="AE102" s="619"/>
      <c r="AF102" s="619"/>
      <c r="AG102" s="619"/>
      <c r="AH102" s="619"/>
      <c r="AI102" s="619"/>
      <c r="AJ102" s="619"/>
      <c r="AK102" s="3"/>
      <c r="AL102" s="1"/>
    </row>
    <row r="103" spans="1:38" ht="14.25" customHeight="1">
      <c r="A103" s="619"/>
      <c r="B103" s="155"/>
      <c r="C103" s="164"/>
      <c r="D103" s="181"/>
      <c r="E103" s="181"/>
      <c r="F103" s="181"/>
      <c r="G103" s="183"/>
      <c r="H103" s="619"/>
      <c r="I103" s="619"/>
      <c r="J103" s="619"/>
      <c r="K103" s="619"/>
      <c r="L103" s="619"/>
      <c r="M103" s="619"/>
      <c r="N103" s="619"/>
      <c r="O103" s="619"/>
      <c r="P103" s="619"/>
      <c r="Q103" s="619"/>
      <c r="R103" s="619"/>
      <c r="S103" s="619"/>
      <c r="T103" s="619"/>
      <c r="U103" s="619"/>
      <c r="V103" s="619"/>
      <c r="W103" s="619"/>
      <c r="X103" s="619"/>
      <c r="Y103" s="619"/>
      <c r="Z103" s="619"/>
      <c r="AA103" s="619"/>
      <c r="AB103" s="619"/>
      <c r="AC103" s="619"/>
      <c r="AD103" s="619"/>
      <c r="AE103" s="619"/>
      <c r="AF103" s="619"/>
      <c r="AG103" s="619"/>
      <c r="AH103" s="619"/>
      <c r="AI103" s="619"/>
      <c r="AJ103" s="619"/>
      <c r="AK103" s="3"/>
      <c r="AL103" s="1"/>
    </row>
    <row r="104" spans="1:38" ht="14.25" customHeight="1">
      <c r="A104" s="619"/>
      <c r="B104" s="155"/>
      <c r="C104" s="160" t="s">
        <v>41</v>
      </c>
      <c r="D104" s="161">
        <v>2018</v>
      </c>
      <c r="E104" s="161">
        <v>2019</v>
      </c>
      <c r="F104" s="161">
        <v>2020</v>
      </c>
      <c r="G104" s="161">
        <v>2021</v>
      </c>
      <c r="H104" s="619"/>
      <c r="I104" s="619"/>
      <c r="J104" s="619"/>
      <c r="K104" s="619"/>
      <c r="L104" s="619"/>
      <c r="M104" s="619"/>
      <c r="N104" s="619"/>
      <c r="O104" s="619"/>
      <c r="P104" s="619"/>
      <c r="Q104" s="619"/>
      <c r="R104" s="619"/>
      <c r="S104" s="619"/>
      <c r="T104" s="619"/>
      <c r="U104" s="619"/>
      <c r="V104" s="619"/>
      <c r="W104" s="619"/>
      <c r="X104" s="619"/>
      <c r="Y104" s="619"/>
      <c r="Z104" s="619"/>
      <c r="AA104" s="619"/>
      <c r="AB104" s="619"/>
      <c r="AC104" s="619"/>
      <c r="AD104" s="619"/>
      <c r="AE104" s="619"/>
      <c r="AF104" s="619"/>
      <c r="AG104" s="619"/>
      <c r="AH104" s="619"/>
      <c r="AI104" s="619"/>
      <c r="AJ104" s="619"/>
      <c r="AK104" s="3"/>
      <c r="AL104" s="1"/>
    </row>
    <row r="105" spans="1:38" ht="14.25" customHeight="1">
      <c r="A105" s="619">
        <v>1</v>
      </c>
      <c r="B105" s="155"/>
      <c r="C105" s="164" t="s">
        <v>29</v>
      </c>
      <c r="D105" s="181">
        <f>'Copia de Combustibles'!D96*$D$234</f>
        <v>4.4931343147012583</v>
      </c>
      <c r="E105" s="181">
        <f>'Copia de Combustibles'!E96*$D$234</f>
        <v>4.6004329944370594</v>
      </c>
      <c r="F105" s="181">
        <f>'Copia de Combustibles'!F96*$D$234</f>
        <v>4.2077092346799585</v>
      </c>
      <c r="G105" s="183">
        <f>'Copia de Combustibles'!G96*$D$234</f>
        <v>4.3458945907186992</v>
      </c>
      <c r="H105" s="619"/>
      <c r="I105" s="619"/>
      <c r="J105" s="619"/>
      <c r="K105" s="619"/>
      <c r="L105" s="619"/>
      <c r="M105" s="619"/>
      <c r="N105" s="619"/>
      <c r="O105" s="619"/>
      <c r="P105" s="619"/>
      <c r="Q105" s="619"/>
      <c r="R105" s="619"/>
      <c r="S105" s="619"/>
      <c r="T105" s="619"/>
      <c r="U105" s="619"/>
      <c r="V105" s="619"/>
      <c r="W105" s="619"/>
      <c r="X105" s="619"/>
      <c r="Y105" s="619"/>
      <c r="Z105" s="619"/>
      <c r="AA105" s="619"/>
      <c r="AB105" s="619"/>
      <c r="AC105" s="619"/>
      <c r="AD105" s="619"/>
      <c r="AE105" s="619"/>
      <c r="AF105" s="619"/>
      <c r="AG105" s="619"/>
      <c r="AH105" s="619"/>
      <c r="AI105" s="619"/>
      <c r="AJ105" s="619"/>
      <c r="AK105" s="3"/>
      <c r="AL105" s="1"/>
    </row>
    <row r="106" spans="1:38" ht="14.25" customHeight="1">
      <c r="A106" s="619">
        <v>1</v>
      </c>
      <c r="B106" s="155"/>
      <c r="C106" s="164" t="s">
        <v>30</v>
      </c>
      <c r="D106" s="181">
        <f>'Copia de Combustibles'!D97*$D$234</f>
        <v>0.66375275788970567</v>
      </c>
      <c r="E106" s="181">
        <f>'Copia de Combustibles'!E97*$D$234</f>
        <v>0.69664852975682834</v>
      </c>
      <c r="F106" s="181">
        <f>'Copia de Combustibles'!F97*$D$234</f>
        <v>0.62576885528509085</v>
      </c>
      <c r="G106" s="183">
        <f>'Copia de Combustibles'!G97*$D$234</f>
        <v>0.85512479235533145</v>
      </c>
      <c r="H106" s="619"/>
      <c r="I106" s="619"/>
      <c r="J106" s="619"/>
      <c r="K106" s="619"/>
      <c r="L106" s="619"/>
      <c r="M106" s="619"/>
      <c r="N106" s="619"/>
      <c r="O106" s="619"/>
      <c r="P106" s="619"/>
      <c r="Q106" s="619"/>
      <c r="R106" s="619"/>
      <c r="S106" s="619"/>
      <c r="T106" s="619"/>
      <c r="U106" s="619"/>
      <c r="V106" s="619"/>
      <c r="W106" s="619"/>
      <c r="X106" s="619"/>
      <c r="Y106" s="619"/>
      <c r="Z106" s="619"/>
      <c r="AA106" s="619"/>
      <c r="AB106" s="619"/>
      <c r="AC106" s="619"/>
      <c r="AD106" s="619"/>
      <c r="AE106" s="619"/>
      <c r="AF106" s="619"/>
      <c r="AG106" s="619"/>
      <c r="AH106" s="619"/>
      <c r="AI106" s="619"/>
      <c r="AJ106" s="619"/>
      <c r="AK106" s="3"/>
      <c r="AL106" s="1"/>
    </row>
    <row r="107" spans="1:38" ht="14.25" customHeight="1">
      <c r="A107" s="619">
        <v>1</v>
      </c>
      <c r="B107" s="155"/>
      <c r="C107" s="164" t="s">
        <v>31</v>
      </c>
      <c r="D107" s="181">
        <f>'Copia de Combustibles'!D98*$D$234</f>
        <v>0.77798109386923497</v>
      </c>
      <c r="E107" s="181">
        <f>'Copia de Combustibles'!E98*$D$234</f>
        <v>0.63579094160086902</v>
      </c>
      <c r="F107" s="181">
        <f>'Copia de Combustibles'!F98*$D$234</f>
        <v>0.66004166280572385</v>
      </c>
      <c r="G107" s="183">
        <f>'Copia de Combustibles'!G98*$D$234</f>
        <v>0.62190974062933135</v>
      </c>
      <c r="H107" s="619"/>
      <c r="I107" s="619"/>
      <c r="J107" s="619"/>
      <c r="K107" s="619"/>
      <c r="L107" s="619"/>
      <c r="M107" s="619"/>
      <c r="N107" s="619"/>
      <c r="O107" s="619"/>
      <c r="P107" s="619"/>
      <c r="Q107" s="619"/>
      <c r="R107" s="619"/>
      <c r="S107" s="619"/>
      <c r="T107" s="619"/>
      <c r="U107" s="619"/>
      <c r="V107" s="619"/>
      <c r="W107" s="619"/>
      <c r="X107" s="619"/>
      <c r="Y107" s="619"/>
      <c r="Z107" s="619"/>
      <c r="AA107" s="619"/>
      <c r="AB107" s="619"/>
      <c r="AC107" s="619"/>
      <c r="AD107" s="619"/>
      <c r="AE107" s="619"/>
      <c r="AF107" s="619"/>
      <c r="AG107" s="619"/>
      <c r="AH107" s="619"/>
      <c r="AI107" s="619"/>
      <c r="AJ107" s="619"/>
      <c r="AK107" s="3"/>
      <c r="AL107" s="1"/>
    </row>
    <row r="108" spans="1:38" ht="14.25" customHeight="1">
      <c r="A108" s="619">
        <v>1</v>
      </c>
      <c r="B108" s="155"/>
      <c r="C108" s="164" t="s">
        <v>32</v>
      </c>
      <c r="D108" s="181"/>
      <c r="E108" s="181"/>
      <c r="F108" s="181"/>
      <c r="G108" s="183"/>
      <c r="H108" s="619"/>
      <c r="I108" s="619"/>
      <c r="J108" s="619"/>
      <c r="K108" s="619"/>
      <c r="L108" s="619"/>
      <c r="M108" s="619"/>
      <c r="N108" s="619"/>
      <c r="O108" s="619"/>
      <c r="P108" s="619"/>
      <c r="Q108" s="619"/>
      <c r="R108" s="619"/>
      <c r="S108" s="619"/>
      <c r="T108" s="619"/>
      <c r="U108" s="619"/>
      <c r="V108" s="619"/>
      <c r="W108" s="619"/>
      <c r="X108" s="619"/>
      <c r="Y108" s="619"/>
      <c r="Z108" s="619"/>
      <c r="AA108" s="619"/>
      <c r="AB108" s="619"/>
      <c r="AC108" s="619"/>
      <c r="AD108" s="619"/>
      <c r="AE108" s="619"/>
      <c r="AF108" s="619"/>
      <c r="AG108" s="619"/>
      <c r="AH108" s="619"/>
      <c r="AI108" s="619"/>
      <c r="AJ108" s="619"/>
      <c r="AK108" s="3"/>
      <c r="AL108" s="1"/>
    </row>
    <row r="109" spans="1:38" ht="14.25" customHeight="1">
      <c r="A109" s="619">
        <v>1</v>
      </c>
      <c r="B109" s="155"/>
      <c r="C109" s="164" t="s">
        <v>33</v>
      </c>
      <c r="D109" s="181">
        <f>'Copia de Combustibles'!D100*$D$234</f>
        <v>0.12442047647894035</v>
      </c>
      <c r="E109" s="181">
        <f>'Copia de Combustibles'!E100*$D$234</f>
        <v>0.14258380720871638</v>
      </c>
      <c r="F109" s="181">
        <f>'Copia de Combustibles'!F100*$D$234</f>
        <v>0.12970100169222232</v>
      </c>
      <c r="G109" s="183">
        <f>'Copia de Combustibles'!G100*$D$234</f>
        <v>0.14019566856402801</v>
      </c>
      <c r="H109" s="619"/>
      <c r="I109" s="619"/>
      <c r="J109" s="619"/>
      <c r="K109" s="619"/>
      <c r="L109" s="619"/>
      <c r="M109" s="619"/>
      <c r="N109" s="619"/>
      <c r="O109" s="619"/>
      <c r="P109" s="619"/>
      <c r="Q109" s="619"/>
      <c r="R109" s="619"/>
      <c r="S109" s="619"/>
      <c r="T109" s="619"/>
      <c r="U109" s="619"/>
      <c r="V109" s="619"/>
      <c r="W109" s="619"/>
      <c r="X109" s="619"/>
      <c r="Y109" s="619"/>
      <c r="Z109" s="619"/>
      <c r="AA109" s="619"/>
      <c r="AB109" s="619"/>
      <c r="AC109" s="619"/>
      <c r="AD109" s="619"/>
      <c r="AE109" s="619"/>
      <c r="AF109" s="619"/>
      <c r="AG109" s="619"/>
      <c r="AH109" s="619"/>
      <c r="AI109" s="619"/>
      <c r="AJ109" s="619"/>
      <c r="AK109" s="3"/>
      <c r="AL109" s="1"/>
    </row>
    <row r="110" spans="1:38" ht="14.25" customHeight="1">
      <c r="A110" s="619">
        <v>1</v>
      </c>
      <c r="B110" s="155"/>
      <c r="C110" s="164" t="s">
        <v>45</v>
      </c>
      <c r="D110" s="181">
        <f>'Copia de Combustibles'!D101*$D$234</f>
        <v>14.604240124374861</v>
      </c>
      <c r="E110" s="181">
        <f>'Copia de Combustibles'!E101*$D$234</f>
        <v>15.154856981662647</v>
      </c>
      <c r="F110" s="181">
        <f>'Copia de Combustibles'!F101*$D$234</f>
        <v>14.17825884940769</v>
      </c>
      <c r="G110" s="183">
        <f>'Copia de Combustibles'!G101*$D$234</f>
        <v>14.464054351499296</v>
      </c>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3"/>
      <c r="AL110" s="1"/>
    </row>
    <row r="111" spans="1:38" ht="14.25" customHeight="1">
      <c r="A111" s="619">
        <v>1</v>
      </c>
      <c r="B111" s="155"/>
      <c r="C111" s="164" t="s">
        <v>43</v>
      </c>
      <c r="D111" s="181">
        <f>'Copia de Combustibles'!D102*$D$234</f>
        <v>5.6913783192343512E-2</v>
      </c>
      <c r="E111" s="181">
        <f>'Copia de Combustibles'!E102*$D$234</f>
        <v>5.49481542564772E-2</v>
      </c>
      <c r="F111" s="181">
        <f>'Copia de Combustibles'!F102*$D$234</f>
        <v>3.894748759275532E-2</v>
      </c>
      <c r="G111" s="183">
        <f>'Copia de Combustibles'!G102*$D$234</f>
        <v>4.1105793246438961E-2</v>
      </c>
      <c r="H111" s="619"/>
      <c r="I111" s="619"/>
      <c r="J111" s="619"/>
      <c r="K111" s="619"/>
      <c r="L111" s="619"/>
      <c r="M111" s="619"/>
      <c r="N111" s="619"/>
      <c r="O111" s="619"/>
      <c r="P111" s="619"/>
      <c r="Q111" s="619"/>
      <c r="R111" s="619"/>
      <c r="S111" s="619"/>
      <c r="T111" s="619"/>
      <c r="U111" s="619"/>
      <c r="V111" s="619"/>
      <c r="W111" s="619"/>
      <c r="X111" s="619"/>
      <c r="Y111" s="619"/>
      <c r="Z111" s="619"/>
      <c r="AA111" s="619"/>
      <c r="AB111" s="619"/>
      <c r="AC111" s="619"/>
      <c r="AD111" s="619"/>
      <c r="AE111" s="619"/>
      <c r="AF111" s="619"/>
      <c r="AG111" s="619"/>
      <c r="AH111" s="619"/>
      <c r="AI111" s="619"/>
      <c r="AJ111" s="619"/>
      <c r="AK111" s="3"/>
      <c r="AL111" s="1"/>
    </row>
    <row r="112" spans="1:38" ht="14.25" customHeight="1">
      <c r="A112" s="619"/>
      <c r="B112" s="155"/>
      <c r="C112" s="164" t="s">
        <v>39</v>
      </c>
      <c r="D112" s="165">
        <f t="shared" ref="D112:G112" si="14">SUM(D105:D111)</f>
        <v>20.720442550506341</v>
      </c>
      <c r="E112" s="165">
        <f t="shared" si="14"/>
        <v>21.285261408922597</v>
      </c>
      <c r="F112" s="196">
        <f t="shared" si="14"/>
        <v>19.84042709146344</v>
      </c>
      <c r="G112" s="197">
        <f t="shared" si="14"/>
        <v>20.468284937013124</v>
      </c>
      <c r="H112" s="619"/>
      <c r="I112" s="619"/>
      <c r="J112" s="619"/>
      <c r="K112" s="619"/>
      <c r="L112" s="619"/>
      <c r="M112" s="619"/>
      <c r="N112" s="619"/>
      <c r="O112" s="619"/>
      <c r="P112" s="619"/>
      <c r="Q112" s="619"/>
      <c r="R112" s="619"/>
      <c r="S112" s="619"/>
      <c r="T112" s="619"/>
      <c r="U112" s="619"/>
      <c r="V112" s="619"/>
      <c r="W112" s="619"/>
      <c r="X112" s="619"/>
      <c r="Y112" s="619"/>
      <c r="Z112" s="619"/>
      <c r="AA112" s="619"/>
      <c r="AB112" s="619"/>
      <c r="AC112" s="619"/>
      <c r="AD112" s="619"/>
      <c r="AE112" s="619"/>
      <c r="AF112" s="619"/>
      <c r="AG112" s="619"/>
      <c r="AH112" s="619"/>
      <c r="AI112" s="619"/>
      <c r="AJ112" s="619"/>
      <c r="AK112" s="3"/>
      <c r="AL112" s="1"/>
    </row>
    <row r="113" spans="1:38" ht="14.25" customHeight="1">
      <c r="A113" s="619"/>
      <c r="B113" s="167"/>
      <c r="C113" s="168"/>
      <c r="D113" s="169"/>
      <c r="E113" s="169"/>
      <c r="F113" s="169"/>
      <c r="G113" s="198"/>
      <c r="H113" s="619"/>
      <c r="I113" s="619"/>
      <c r="J113" s="619"/>
      <c r="K113" s="619"/>
      <c r="L113" s="619"/>
      <c r="M113" s="619"/>
      <c r="N113" s="619"/>
      <c r="O113" s="619"/>
      <c r="P113" s="619"/>
      <c r="Q113" s="619"/>
      <c r="R113" s="619"/>
      <c r="S113" s="619"/>
      <c r="T113" s="619"/>
      <c r="U113" s="619"/>
      <c r="V113" s="619"/>
      <c r="W113" s="619"/>
      <c r="X113" s="619"/>
      <c r="Y113" s="619"/>
      <c r="Z113" s="619"/>
      <c r="AA113" s="619"/>
      <c r="AB113" s="619"/>
      <c r="AC113" s="619"/>
      <c r="AD113" s="619"/>
      <c r="AE113" s="619"/>
      <c r="AF113" s="619"/>
      <c r="AG113" s="619"/>
      <c r="AH113" s="619"/>
      <c r="AI113" s="619"/>
      <c r="AJ113" s="619"/>
      <c r="AK113" s="3"/>
      <c r="AL113" s="1"/>
    </row>
    <row r="114" spans="1:38" ht="14.25" customHeight="1">
      <c r="A114" s="619"/>
      <c r="B114" s="619"/>
      <c r="C114" s="619"/>
      <c r="D114" s="619"/>
      <c r="E114" s="619"/>
      <c r="F114" s="619"/>
      <c r="G114" s="619"/>
      <c r="H114" s="619"/>
      <c r="I114" s="619"/>
      <c r="J114" s="619"/>
      <c r="K114" s="619"/>
      <c r="L114" s="619"/>
      <c r="M114" s="619"/>
      <c r="N114" s="619"/>
      <c r="O114" s="619"/>
      <c r="P114" s="619"/>
      <c r="Q114" s="619"/>
      <c r="R114" s="619"/>
      <c r="S114" s="619"/>
      <c r="T114" s="619"/>
      <c r="U114" s="619"/>
      <c r="V114" s="619"/>
      <c r="W114" s="619"/>
      <c r="X114" s="619"/>
      <c r="Y114" s="619"/>
      <c r="Z114" s="619"/>
      <c r="AA114" s="619"/>
      <c r="AB114" s="619"/>
      <c r="AC114" s="619"/>
      <c r="AD114" s="619"/>
      <c r="AE114" s="619"/>
      <c r="AF114" s="619"/>
      <c r="AG114" s="619"/>
      <c r="AH114" s="619"/>
      <c r="AI114" s="619"/>
      <c r="AJ114" s="619"/>
      <c r="AK114" s="3"/>
      <c r="AL114" s="1"/>
    </row>
    <row r="115" spans="1:38" ht="14.25" customHeight="1">
      <c r="A115" s="619"/>
      <c r="B115" s="6"/>
      <c r="C115" s="199"/>
      <c r="D115" s="200"/>
      <c r="E115" s="200"/>
      <c r="F115" s="200"/>
      <c r="G115" s="200"/>
      <c r="H115" s="201"/>
      <c r="I115" s="619"/>
      <c r="J115" s="619"/>
      <c r="K115" s="619"/>
      <c r="L115" s="619"/>
      <c r="M115" s="619"/>
      <c r="N115" s="619"/>
      <c r="O115" s="619"/>
      <c r="P115" s="619"/>
      <c r="Q115" s="619"/>
      <c r="R115" s="619"/>
      <c r="S115" s="619"/>
      <c r="T115" s="619"/>
      <c r="U115" s="619"/>
      <c r="V115" s="619"/>
      <c r="W115" s="619"/>
      <c r="X115" s="619"/>
      <c r="Y115" s="619"/>
      <c r="Z115" s="619"/>
      <c r="AA115" s="619"/>
      <c r="AB115" s="619"/>
      <c r="AC115" s="619"/>
      <c r="AD115" s="619"/>
      <c r="AE115" s="619"/>
      <c r="AF115" s="619"/>
      <c r="AG115" s="619"/>
      <c r="AH115" s="619"/>
      <c r="AI115" s="619"/>
      <c r="AJ115" s="619"/>
      <c r="AK115" s="3"/>
      <c r="AL115" s="1"/>
    </row>
    <row r="116" spans="1:38" ht="14.25" customHeight="1">
      <c r="A116" s="3"/>
      <c r="B116" s="202"/>
      <c r="C116" s="160" t="s">
        <v>46</v>
      </c>
      <c r="D116" s="161">
        <v>2018</v>
      </c>
      <c r="E116" s="161">
        <v>2019</v>
      </c>
      <c r="F116" s="161">
        <v>2020</v>
      </c>
      <c r="G116" s="161">
        <v>2021</v>
      </c>
      <c r="H116" s="203" t="s">
        <v>25</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1"/>
    </row>
    <row r="117" spans="1:38" ht="14.25" customHeight="1">
      <c r="A117" s="619"/>
      <c r="B117" s="155"/>
      <c r="C117" s="164" t="s">
        <v>47</v>
      </c>
      <c r="D117" s="204">
        <f t="shared" ref="D117:G117" si="15">ABS(D59/D84)</f>
        <v>1.0186537319565154</v>
      </c>
      <c r="E117" s="204">
        <f t="shared" si="15"/>
        <v>1.0901412942870059</v>
      </c>
      <c r="F117" s="204">
        <f t="shared" si="15"/>
        <v>1.0681535574964796</v>
      </c>
      <c r="G117" s="204">
        <f t="shared" si="15"/>
        <v>1.0569373217520615</v>
      </c>
      <c r="H117" s="186">
        <f t="shared" ref="H117:H121" si="16">AVERAGE(D117:G117)</f>
        <v>1.0584714763730156</v>
      </c>
      <c r="I117" s="619"/>
      <c r="J117" s="619"/>
      <c r="K117" s="619"/>
      <c r="L117" s="619"/>
      <c r="M117" s="619"/>
      <c r="N117" s="619"/>
      <c r="O117" s="619"/>
      <c r="P117" s="619"/>
      <c r="Q117" s="619"/>
      <c r="R117" s="619"/>
      <c r="S117" s="619"/>
      <c r="T117" s="619"/>
      <c r="U117" s="619"/>
      <c r="V117" s="619"/>
      <c r="W117" s="619"/>
      <c r="X117" s="619"/>
      <c r="Y117" s="619"/>
      <c r="Z117" s="619"/>
      <c r="AA117" s="619"/>
      <c r="AB117" s="619"/>
      <c r="AC117" s="619"/>
      <c r="AD117" s="619"/>
      <c r="AE117" s="619"/>
      <c r="AF117" s="619"/>
      <c r="AG117" s="619"/>
      <c r="AH117" s="619"/>
      <c r="AI117" s="619"/>
      <c r="AJ117" s="619"/>
      <c r="AK117" s="3"/>
      <c r="AL117" s="1"/>
    </row>
    <row r="118" spans="1:38" ht="14.25" customHeight="1">
      <c r="A118" s="619"/>
      <c r="B118" s="155"/>
      <c r="C118" s="164" t="s">
        <v>48</v>
      </c>
      <c r="D118" s="204">
        <f t="shared" ref="D118:G118" si="17">ABS(D64/D93)</f>
        <v>1.0191606178665988</v>
      </c>
      <c r="E118" s="204">
        <f t="shared" si="17"/>
        <v>1.0155787959782421</v>
      </c>
      <c r="F118" s="204">
        <f t="shared" si="17"/>
        <v>1.0165984336732476</v>
      </c>
      <c r="G118" s="204">
        <f t="shared" si="17"/>
        <v>1.0202482134019579</v>
      </c>
      <c r="H118" s="186">
        <f t="shared" si="16"/>
        <v>1.0178965152300117</v>
      </c>
      <c r="I118" s="619"/>
      <c r="J118" s="619"/>
      <c r="K118" s="619"/>
      <c r="L118" s="619"/>
      <c r="M118" s="619"/>
      <c r="N118" s="619"/>
      <c r="O118" s="619"/>
      <c r="P118" s="619"/>
      <c r="Q118" s="619"/>
      <c r="R118" s="619"/>
      <c r="S118" s="619"/>
      <c r="T118" s="619"/>
      <c r="U118" s="619"/>
      <c r="V118" s="619"/>
      <c r="W118" s="619"/>
      <c r="X118" s="619"/>
      <c r="Y118" s="619"/>
      <c r="Z118" s="619"/>
      <c r="AA118" s="619"/>
      <c r="AB118" s="619"/>
      <c r="AC118" s="619"/>
      <c r="AD118" s="619"/>
      <c r="AE118" s="619"/>
      <c r="AF118" s="619"/>
      <c r="AG118" s="619"/>
      <c r="AH118" s="619"/>
      <c r="AI118" s="619"/>
      <c r="AJ118" s="619"/>
      <c r="AK118" s="3"/>
      <c r="AL118" s="1"/>
    </row>
    <row r="119" spans="1:38" ht="14.25" customHeight="1">
      <c r="A119" s="619"/>
      <c r="B119" s="155"/>
      <c r="C119" s="164" t="s">
        <v>49</v>
      </c>
      <c r="D119" s="204">
        <f t="shared" ref="D119:G119" si="18">ABS(D67/D102)</f>
        <v>1.0209385314399402</v>
      </c>
      <c r="E119" s="204">
        <f t="shared" si="18"/>
        <v>1.0239590305604978</v>
      </c>
      <c r="F119" s="204">
        <f t="shared" si="18"/>
        <v>1.017616751671953</v>
      </c>
      <c r="G119" s="204">
        <f t="shared" si="18"/>
        <v>1.0214879509003236</v>
      </c>
      <c r="H119" s="186">
        <f t="shared" si="16"/>
        <v>1.0210005661431787</v>
      </c>
      <c r="I119" s="619"/>
      <c r="J119" s="619"/>
      <c r="K119" s="619"/>
      <c r="L119" s="619"/>
      <c r="M119" s="619"/>
      <c r="N119" s="619"/>
      <c r="O119" s="619"/>
      <c r="P119" s="619"/>
      <c r="Q119" s="619"/>
      <c r="R119" s="619"/>
      <c r="S119" s="619"/>
      <c r="T119" s="619"/>
      <c r="U119" s="619"/>
      <c r="V119" s="619"/>
      <c r="W119" s="619"/>
      <c r="X119" s="619"/>
      <c r="Y119" s="619"/>
      <c r="Z119" s="619"/>
      <c r="AA119" s="619"/>
      <c r="AB119" s="619"/>
      <c r="AC119" s="619"/>
      <c r="AD119" s="619"/>
      <c r="AE119" s="619"/>
      <c r="AF119" s="619"/>
      <c r="AG119" s="619"/>
      <c r="AH119" s="619"/>
      <c r="AI119" s="619"/>
      <c r="AJ119" s="619"/>
      <c r="AK119" s="3"/>
      <c r="AL119" s="1"/>
    </row>
    <row r="120" spans="1:38" ht="14.25" customHeight="1">
      <c r="A120" s="619"/>
      <c r="B120" s="155"/>
      <c r="C120" s="164" t="s">
        <v>50</v>
      </c>
      <c r="D120" s="204">
        <f t="shared" ref="D120:G120" si="19">ABS(D72/D112)</f>
        <v>1.0077995979296113</v>
      </c>
      <c r="E120" s="204">
        <f t="shared" si="19"/>
        <v>1.0128033270125087</v>
      </c>
      <c r="F120" s="205">
        <f t="shared" si="19"/>
        <v>0.99976582784758372</v>
      </c>
      <c r="G120" s="206">
        <f t="shared" si="19"/>
        <v>0.99455784209607245</v>
      </c>
      <c r="H120" s="186">
        <f t="shared" si="16"/>
        <v>1.003731648721444</v>
      </c>
      <c r="I120" s="619"/>
      <c r="J120" s="619"/>
      <c r="K120" s="619"/>
      <c r="L120" s="619"/>
      <c r="M120" s="619"/>
      <c r="N120" s="619"/>
      <c r="O120" s="619"/>
      <c r="P120" s="619"/>
      <c r="Q120" s="619"/>
      <c r="R120" s="619"/>
      <c r="S120" s="619"/>
      <c r="T120" s="619"/>
      <c r="U120" s="619"/>
      <c r="V120" s="619"/>
      <c r="W120" s="619"/>
      <c r="X120" s="619"/>
      <c r="Y120" s="619"/>
      <c r="Z120" s="619"/>
      <c r="AA120" s="619"/>
      <c r="AB120" s="619"/>
      <c r="AC120" s="619"/>
      <c r="AD120" s="619"/>
      <c r="AE120" s="619"/>
      <c r="AF120" s="619"/>
      <c r="AG120" s="619"/>
      <c r="AH120" s="619"/>
      <c r="AI120" s="619"/>
      <c r="AJ120" s="619"/>
      <c r="AK120" s="3"/>
      <c r="AL120" s="1"/>
    </row>
    <row r="121" spans="1:38" ht="13.5" customHeight="1">
      <c r="A121" s="619"/>
      <c r="B121" s="207"/>
      <c r="C121" s="208" t="s">
        <v>51</v>
      </c>
      <c r="D121" s="209">
        <f t="shared" ref="D121:G121" si="20">ROUND(AVERAGE(D117:D119),4)</f>
        <v>1.0196000000000001</v>
      </c>
      <c r="E121" s="209">
        <f t="shared" si="20"/>
        <v>1.0431999999999999</v>
      </c>
      <c r="F121" s="209">
        <f t="shared" si="20"/>
        <v>1.0341</v>
      </c>
      <c r="G121" s="210">
        <f t="shared" si="20"/>
        <v>1.0328999999999999</v>
      </c>
      <c r="H121" s="187">
        <f t="shared" si="16"/>
        <v>1.0324500000000001</v>
      </c>
      <c r="I121" s="619"/>
      <c r="J121" s="619"/>
      <c r="K121" s="619"/>
      <c r="L121" s="619"/>
      <c r="M121" s="619"/>
      <c r="N121" s="619"/>
      <c r="O121" s="619"/>
      <c r="P121" s="619"/>
      <c r="Q121" s="619"/>
      <c r="R121" s="619"/>
      <c r="S121" s="619"/>
      <c r="T121" s="619"/>
      <c r="U121" s="619"/>
      <c r="V121" s="619"/>
      <c r="W121" s="619"/>
      <c r="X121" s="619"/>
      <c r="Y121" s="619"/>
      <c r="Z121" s="619"/>
      <c r="AA121" s="619"/>
      <c r="AB121" s="619"/>
      <c r="AC121" s="619"/>
      <c r="AD121" s="619"/>
      <c r="AE121" s="619"/>
      <c r="AF121" s="619"/>
      <c r="AG121" s="619"/>
      <c r="AH121" s="619"/>
      <c r="AI121" s="619"/>
      <c r="AJ121" s="619"/>
      <c r="AK121" s="3"/>
      <c r="AL121" s="1"/>
    </row>
    <row r="122" spans="1:38" ht="14.25" customHeight="1">
      <c r="A122" s="619"/>
      <c r="B122" s="619"/>
      <c r="C122" s="619"/>
      <c r="D122" s="619"/>
      <c r="E122" s="619"/>
      <c r="F122" s="619"/>
      <c r="G122" s="619"/>
      <c r="H122" s="619"/>
      <c r="I122" s="619"/>
      <c r="J122" s="619"/>
      <c r="K122" s="619"/>
      <c r="L122" s="619"/>
      <c r="M122" s="619"/>
      <c r="N122" s="619"/>
      <c r="O122" s="619"/>
      <c r="P122" s="619"/>
      <c r="Q122" s="619"/>
      <c r="R122" s="619"/>
      <c r="S122" s="619"/>
      <c r="T122" s="619"/>
      <c r="U122" s="619"/>
      <c r="V122" s="619"/>
      <c r="W122" s="619"/>
      <c r="X122" s="619"/>
      <c r="Y122" s="619"/>
      <c r="Z122" s="619"/>
      <c r="AA122" s="619"/>
      <c r="AB122" s="619"/>
      <c r="AC122" s="619"/>
      <c r="AD122" s="619"/>
      <c r="AE122" s="619"/>
      <c r="AF122" s="619"/>
      <c r="AG122" s="619"/>
      <c r="AH122" s="619"/>
      <c r="AI122" s="619"/>
      <c r="AJ122" s="619"/>
      <c r="AK122" s="3"/>
      <c r="AL122" s="1"/>
    </row>
    <row r="123" spans="1:38" ht="14.25" customHeight="1">
      <c r="A123" s="3"/>
      <c r="B123" s="7"/>
      <c r="C123" s="9" t="s">
        <v>52</v>
      </c>
      <c r="D123" s="172">
        <v>2018</v>
      </c>
      <c r="E123" s="172">
        <v>2019</v>
      </c>
      <c r="F123" s="172">
        <v>2020</v>
      </c>
      <c r="G123" s="173">
        <v>2021</v>
      </c>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1"/>
    </row>
    <row r="124" spans="1:38" ht="14.25" customHeight="1">
      <c r="A124" s="619">
        <v>1</v>
      </c>
      <c r="B124" s="155"/>
      <c r="C124" s="211" t="s">
        <v>38</v>
      </c>
      <c r="D124" s="181">
        <f>'Copia de Combustibles'!D117*$D$234</f>
        <v>-5.6001653272296901</v>
      </c>
      <c r="E124" s="181">
        <f>'Copia de Combustibles'!E117*$D$234</f>
        <v>-5.4410256574438014</v>
      </c>
      <c r="F124" s="181">
        <f>'Copia de Combustibles'!F117*$D$234</f>
        <v>-5.4222713354208416</v>
      </c>
      <c r="G124" s="183">
        <f>'Copia de Combustibles'!G117*$D$234</f>
        <v>-5.8635981295987074</v>
      </c>
      <c r="H124" s="619"/>
      <c r="I124" s="619"/>
      <c r="J124" s="619"/>
      <c r="K124" s="619"/>
      <c r="L124" s="619"/>
      <c r="M124" s="619"/>
      <c r="N124" s="619"/>
      <c r="O124" s="619"/>
      <c r="P124" s="619"/>
      <c r="Q124" s="619"/>
      <c r="R124" s="619"/>
      <c r="S124" s="619"/>
      <c r="T124" s="619"/>
      <c r="U124" s="619"/>
      <c r="V124" s="619"/>
      <c r="W124" s="619"/>
      <c r="X124" s="619"/>
      <c r="Y124" s="619"/>
      <c r="Z124" s="619"/>
      <c r="AA124" s="619"/>
      <c r="AB124" s="619"/>
      <c r="AC124" s="619"/>
      <c r="AD124" s="619"/>
      <c r="AE124" s="619"/>
      <c r="AF124" s="619"/>
      <c r="AG124" s="619"/>
      <c r="AH124" s="619"/>
      <c r="AI124" s="619"/>
      <c r="AJ124" s="619"/>
      <c r="AK124" s="3"/>
      <c r="AL124" s="1"/>
    </row>
    <row r="125" spans="1:38" ht="14.25" customHeight="1">
      <c r="A125" s="619">
        <v>1</v>
      </c>
      <c r="B125" s="155"/>
      <c r="C125" s="212" t="s">
        <v>53</v>
      </c>
      <c r="D125" s="181">
        <f>'Copia de Combustibles'!D118*$D$234</f>
        <v>-5.7472313040556946</v>
      </c>
      <c r="E125" s="181">
        <f>'Copia de Combustibles'!E118*$D$234</f>
        <v>-5.2896827550958827</v>
      </c>
      <c r="F125" s="181">
        <f>'Copia de Combustibles'!F118*$D$234</f>
        <v>-4.6394714514193272</v>
      </c>
      <c r="G125" s="183">
        <f>'Copia de Combustibles'!G118*$D$234</f>
        <v>-5.1296151882242125</v>
      </c>
      <c r="H125" s="619"/>
      <c r="I125" s="619"/>
      <c r="J125" s="619"/>
      <c r="K125" s="619"/>
      <c r="L125" s="619"/>
      <c r="M125" s="619"/>
      <c r="N125" s="619"/>
      <c r="O125" s="619"/>
      <c r="P125" s="619"/>
      <c r="Q125" s="619"/>
      <c r="R125" s="619"/>
      <c r="S125" s="619"/>
      <c r="T125" s="619"/>
      <c r="U125" s="619"/>
      <c r="V125" s="619"/>
      <c r="W125" s="619"/>
      <c r="X125" s="619"/>
      <c r="Y125" s="619"/>
      <c r="Z125" s="619"/>
      <c r="AA125" s="619"/>
      <c r="AB125" s="619"/>
      <c r="AC125" s="619"/>
      <c r="AD125" s="619"/>
      <c r="AE125" s="619"/>
      <c r="AF125" s="619"/>
      <c r="AG125" s="619"/>
      <c r="AH125" s="619"/>
      <c r="AI125" s="619"/>
      <c r="AJ125" s="619"/>
      <c r="AK125" s="619"/>
      <c r="AL125" s="619"/>
    </row>
    <row r="126" spans="1:38" ht="14.25" customHeight="1">
      <c r="A126" s="619"/>
      <c r="B126" s="155"/>
      <c r="C126" s="212"/>
      <c r="D126" s="181"/>
      <c r="E126" s="181"/>
      <c r="F126" s="181"/>
      <c r="G126" s="183"/>
      <c r="H126" s="619"/>
      <c r="I126" s="619"/>
      <c r="J126" s="619"/>
      <c r="K126" s="619"/>
      <c r="L126" s="619"/>
      <c r="M126" s="619"/>
      <c r="N126" s="619"/>
      <c r="O126" s="619"/>
      <c r="P126" s="619"/>
      <c r="Q126" s="619"/>
      <c r="R126" s="619"/>
      <c r="S126" s="619"/>
      <c r="T126" s="619"/>
      <c r="U126" s="619"/>
      <c r="V126" s="619"/>
      <c r="W126" s="619"/>
      <c r="X126" s="619"/>
      <c r="Y126" s="619"/>
      <c r="Z126" s="619"/>
      <c r="AA126" s="619"/>
      <c r="AB126" s="619"/>
      <c r="AC126" s="619"/>
      <c r="AD126" s="619"/>
      <c r="AE126" s="619"/>
      <c r="AF126" s="619"/>
      <c r="AG126" s="619"/>
      <c r="AH126" s="619"/>
      <c r="AI126" s="619"/>
      <c r="AJ126" s="619"/>
      <c r="AK126" s="619"/>
      <c r="AL126" s="619"/>
    </row>
    <row r="127" spans="1:38" ht="14.25" customHeight="1">
      <c r="A127" s="619"/>
      <c r="B127" s="167"/>
      <c r="C127" s="213" t="s">
        <v>13</v>
      </c>
      <c r="D127" s="176">
        <f t="shared" ref="D127:G127" si="21">SUM(D124:D125)</f>
        <v>-11.347396631285385</v>
      </c>
      <c r="E127" s="176">
        <f t="shared" si="21"/>
        <v>-10.730708412539684</v>
      </c>
      <c r="F127" s="176">
        <f t="shared" si="21"/>
        <v>-10.061742786840169</v>
      </c>
      <c r="G127" s="177">
        <f t="shared" si="21"/>
        <v>-10.993213317822921</v>
      </c>
      <c r="H127" s="619"/>
      <c r="I127" s="619"/>
      <c r="J127" s="619"/>
      <c r="K127" s="619"/>
      <c r="L127" s="619"/>
      <c r="M127" s="619"/>
      <c r="N127" s="619"/>
      <c r="O127" s="619"/>
      <c r="P127" s="619"/>
      <c r="Q127" s="619"/>
      <c r="R127" s="619"/>
      <c r="S127" s="619"/>
      <c r="T127" s="619"/>
      <c r="U127" s="619"/>
      <c r="V127" s="619"/>
      <c r="W127" s="619"/>
      <c r="X127" s="619"/>
      <c r="Y127" s="619"/>
      <c r="Z127" s="619"/>
      <c r="AA127" s="619"/>
      <c r="AB127" s="619"/>
      <c r="AC127" s="619"/>
      <c r="AD127" s="619"/>
      <c r="AE127" s="619"/>
      <c r="AF127" s="619"/>
      <c r="AG127" s="619"/>
      <c r="AH127" s="619"/>
      <c r="AI127" s="619"/>
      <c r="AJ127" s="619"/>
      <c r="AK127" s="619"/>
      <c r="AL127" s="619"/>
    </row>
    <row r="128" spans="1:38" ht="14.25" customHeight="1">
      <c r="A128" s="619"/>
      <c r="B128" s="619"/>
      <c r="C128" s="619"/>
      <c r="D128" s="619"/>
      <c r="E128" s="619"/>
      <c r="F128" s="619"/>
      <c r="G128" s="619"/>
      <c r="H128" s="619"/>
      <c r="I128" s="619"/>
      <c r="J128" s="619"/>
      <c r="K128" s="619"/>
      <c r="L128" s="619"/>
      <c r="M128" s="619"/>
      <c r="N128" s="619"/>
      <c r="O128" s="619"/>
      <c r="P128" s="619"/>
      <c r="Q128" s="619"/>
      <c r="R128" s="619"/>
      <c r="S128" s="619"/>
      <c r="T128" s="619"/>
      <c r="U128" s="619"/>
      <c r="V128" s="619"/>
      <c r="W128" s="619"/>
      <c r="X128" s="619"/>
      <c r="Y128" s="619"/>
      <c r="Z128" s="619"/>
      <c r="AA128" s="619"/>
      <c r="AB128" s="619"/>
      <c r="AC128" s="619"/>
      <c r="AD128" s="619"/>
      <c r="AE128" s="619"/>
      <c r="AF128" s="619"/>
      <c r="AG128" s="619"/>
      <c r="AH128" s="619"/>
      <c r="AI128" s="619"/>
      <c r="AJ128" s="619"/>
      <c r="AK128" s="619"/>
      <c r="AL128" s="619"/>
    </row>
    <row r="129" spans="1:56" ht="14.25" customHeight="1">
      <c r="A129" s="3"/>
      <c r="B129" s="7"/>
      <c r="C129" s="171" t="s">
        <v>54</v>
      </c>
      <c r="D129" s="172">
        <v>2018</v>
      </c>
      <c r="E129" s="172">
        <v>2019</v>
      </c>
      <c r="F129" s="172">
        <v>2020</v>
      </c>
      <c r="G129" s="173">
        <v>2021</v>
      </c>
      <c r="H129" s="619"/>
      <c r="I129" s="619"/>
      <c r="J129" s="619"/>
      <c r="K129" s="619"/>
      <c r="L129" s="619"/>
      <c r="M129" s="619"/>
      <c r="N129" s="619"/>
      <c r="O129" s="619"/>
      <c r="P129" s="619"/>
      <c r="Q129" s="619"/>
      <c r="R129" s="619"/>
      <c r="S129" s="619"/>
      <c r="T129" s="619"/>
      <c r="U129" s="619"/>
      <c r="V129" s="619"/>
      <c r="W129" s="619"/>
      <c r="X129" s="619"/>
      <c r="Y129" s="619"/>
      <c r="Z129" s="619"/>
      <c r="AA129" s="619"/>
      <c r="AB129" s="619"/>
      <c r="AC129" s="619"/>
      <c r="AD129" s="619"/>
      <c r="AE129" s="619"/>
      <c r="AF129" s="619"/>
      <c r="AG129" s="619"/>
      <c r="AH129" s="619"/>
      <c r="AI129" s="619"/>
      <c r="AJ129" s="619"/>
      <c r="AK129" s="619"/>
      <c r="AL129" s="619"/>
      <c r="AM129" s="8"/>
      <c r="AN129" s="8"/>
      <c r="AO129" s="8"/>
      <c r="AP129" s="8"/>
      <c r="AQ129" s="8"/>
      <c r="AR129" s="8"/>
      <c r="AS129" s="8"/>
      <c r="AT129" s="8"/>
      <c r="AU129" s="8"/>
      <c r="AV129" s="8"/>
      <c r="AW129" s="8"/>
      <c r="AX129" s="8"/>
      <c r="AY129" s="8"/>
      <c r="AZ129" s="8"/>
      <c r="BA129" s="8"/>
      <c r="BB129" s="8"/>
      <c r="BC129" s="8"/>
      <c r="BD129" s="8"/>
    </row>
    <row r="130" spans="1:56" ht="14.25" customHeight="1">
      <c r="A130" s="619">
        <v>1</v>
      </c>
      <c r="B130" s="155"/>
      <c r="C130" s="195" t="s">
        <v>31</v>
      </c>
      <c r="D130" s="181">
        <f>'Copia de Combustibles'!D123*$D$234</f>
        <v>4.5212344768406005</v>
      </c>
      <c r="E130" s="181">
        <f>'Copia de Combustibles'!E123*$D$234</f>
        <v>4.1318381792662402</v>
      </c>
      <c r="F130" s="181">
        <f>'Copia de Combustibles'!F123*$D$234</f>
        <v>3.5638522628699238</v>
      </c>
      <c r="G130" s="183">
        <f>'Copia de Combustibles'!G123*$D$234</f>
        <v>4.3019085521329501</v>
      </c>
      <c r="H130" s="619"/>
      <c r="I130" s="619"/>
      <c r="J130" s="619"/>
      <c r="K130" s="619"/>
      <c r="L130" s="619"/>
      <c r="M130" s="619"/>
      <c r="N130" s="619"/>
      <c r="O130" s="619"/>
      <c r="P130" s="619"/>
      <c r="Q130" s="619"/>
      <c r="R130" s="619"/>
      <c r="S130" s="619"/>
      <c r="T130" s="619"/>
      <c r="U130" s="619"/>
      <c r="V130" s="619"/>
      <c r="W130" s="619"/>
      <c r="X130" s="619"/>
      <c r="Y130" s="619"/>
      <c r="Z130" s="619"/>
      <c r="AA130" s="619"/>
      <c r="AB130" s="619"/>
      <c r="AC130" s="619"/>
      <c r="AD130" s="619"/>
      <c r="AE130" s="619"/>
      <c r="AF130" s="619"/>
      <c r="AG130" s="619"/>
      <c r="AH130" s="619"/>
      <c r="AI130" s="619"/>
      <c r="AJ130" s="619"/>
      <c r="AK130" s="619"/>
      <c r="AL130" s="619"/>
      <c r="AM130" s="8"/>
      <c r="AN130" s="8"/>
      <c r="AO130" s="8"/>
      <c r="AP130" s="8"/>
      <c r="AQ130" s="8"/>
      <c r="AR130" s="8"/>
      <c r="AS130" s="8"/>
      <c r="AT130" s="8"/>
      <c r="AU130" s="8"/>
      <c r="AV130" s="8"/>
      <c r="AW130" s="8"/>
      <c r="AX130" s="8"/>
      <c r="AY130" s="8"/>
      <c r="AZ130" s="8"/>
      <c r="BA130" s="8"/>
      <c r="BB130" s="8"/>
      <c r="BC130" s="8"/>
      <c r="BD130" s="8"/>
    </row>
    <row r="131" spans="1:56" ht="14.25" customHeight="1">
      <c r="A131" s="619">
        <v>1</v>
      </c>
      <c r="B131" s="155"/>
      <c r="C131" s="164" t="s">
        <v>30</v>
      </c>
      <c r="D131" s="181">
        <f>'Copia de Combustibles'!D124*$D$234</f>
        <v>3.486019402900407</v>
      </c>
      <c r="E131" s="181">
        <f>'Copia de Combustibles'!E124*$D$234</f>
        <v>3.1865183746829682</v>
      </c>
      <c r="F131" s="181">
        <f>'Copia de Combustibles'!F124*$D$234</f>
        <v>3.1758161223377481</v>
      </c>
      <c r="G131" s="183">
        <f>'Copia de Combustibles'!G124*$D$234</f>
        <v>3.3733010673564703</v>
      </c>
      <c r="H131" s="619"/>
      <c r="I131" s="619"/>
      <c r="J131" s="619"/>
      <c r="K131" s="619"/>
      <c r="L131" s="619"/>
      <c r="M131" s="619"/>
      <c r="N131" s="619"/>
      <c r="O131" s="619"/>
      <c r="P131" s="619"/>
      <c r="Q131" s="619"/>
      <c r="R131" s="619"/>
      <c r="S131" s="619"/>
      <c r="T131" s="619"/>
      <c r="U131" s="619"/>
      <c r="V131" s="619"/>
      <c r="W131" s="619"/>
      <c r="X131" s="619"/>
      <c r="Y131" s="619"/>
      <c r="Z131" s="619"/>
      <c r="AA131" s="619"/>
      <c r="AB131" s="619"/>
      <c r="AC131" s="619"/>
      <c r="AD131" s="619"/>
      <c r="AE131" s="619"/>
      <c r="AF131" s="619"/>
      <c r="AG131" s="619"/>
      <c r="AH131" s="619"/>
      <c r="AI131" s="619"/>
      <c r="AJ131" s="619"/>
      <c r="AK131" s="619"/>
      <c r="AL131" s="619"/>
      <c r="AM131" s="8"/>
      <c r="AN131" s="8"/>
      <c r="AO131" s="8"/>
      <c r="AP131" s="8"/>
      <c r="AQ131" s="8"/>
      <c r="AR131" s="8"/>
      <c r="AS131" s="8"/>
      <c r="AT131" s="8"/>
      <c r="AU131" s="8"/>
      <c r="AV131" s="8"/>
      <c r="AW131" s="8"/>
      <c r="AX131" s="8"/>
      <c r="AY131" s="8"/>
      <c r="AZ131" s="8"/>
      <c r="BA131" s="8"/>
      <c r="BB131" s="8"/>
      <c r="BC131" s="8"/>
      <c r="BD131" s="8"/>
    </row>
    <row r="132" spans="1:56" ht="14.25" customHeight="1">
      <c r="A132" s="619">
        <v>1</v>
      </c>
      <c r="B132" s="155"/>
      <c r="C132" s="164" t="s">
        <v>55</v>
      </c>
      <c r="D132" s="181">
        <f>'Copia de Combustibles'!D125*$D$234</f>
        <v>1.6162785786570382</v>
      </c>
      <c r="E132" s="181">
        <f>'Copia de Combustibles'!E125*$D$234</f>
        <v>1.5668813159082935</v>
      </c>
      <c r="F132" s="181">
        <f>'Copia de Combustibles'!F125*$D$234</f>
        <v>1.4792549398191686</v>
      </c>
      <c r="G132" s="183">
        <f>'Copia de Combustibles'!G125*$D$234</f>
        <v>1.5084116925338837</v>
      </c>
      <c r="H132" s="619"/>
      <c r="I132" s="619"/>
      <c r="J132" s="619"/>
      <c r="K132" s="619"/>
      <c r="L132" s="619"/>
      <c r="M132" s="619"/>
      <c r="N132" s="619"/>
      <c r="O132" s="619"/>
      <c r="P132" s="619"/>
      <c r="Q132" s="619"/>
      <c r="R132" s="619"/>
      <c r="S132" s="619"/>
      <c r="T132" s="619"/>
      <c r="U132" s="619"/>
      <c r="V132" s="619"/>
      <c r="W132" s="619"/>
      <c r="X132" s="619"/>
      <c r="Y132" s="619"/>
      <c r="Z132" s="619"/>
      <c r="AA132" s="619"/>
      <c r="AB132" s="619"/>
      <c r="AC132" s="619"/>
      <c r="AD132" s="619"/>
      <c r="AE132" s="619"/>
      <c r="AF132" s="619"/>
      <c r="AG132" s="619"/>
      <c r="AH132" s="619"/>
      <c r="AI132" s="619"/>
      <c r="AJ132" s="619"/>
      <c r="AK132" s="619"/>
      <c r="AL132" s="619"/>
      <c r="AM132" s="8"/>
      <c r="AN132" s="8"/>
      <c r="AO132" s="8"/>
      <c r="AP132" s="8"/>
      <c r="AQ132" s="8"/>
      <c r="AR132" s="8"/>
      <c r="AS132" s="8"/>
      <c r="AT132" s="8"/>
      <c r="AU132" s="8"/>
      <c r="AV132" s="8"/>
      <c r="AW132" s="8"/>
      <c r="AX132" s="8"/>
      <c r="AY132" s="8"/>
      <c r="AZ132" s="8"/>
      <c r="BA132" s="8"/>
      <c r="BB132" s="8"/>
      <c r="BC132" s="8"/>
      <c r="BD132" s="8"/>
    </row>
    <row r="133" spans="1:56" ht="14.25" customHeight="1">
      <c r="A133" s="619"/>
      <c r="B133" s="155"/>
      <c r="C133" s="164"/>
      <c r="D133" s="181"/>
      <c r="E133" s="181"/>
      <c r="F133" s="181"/>
      <c r="G133" s="183"/>
      <c r="H133" s="619"/>
      <c r="I133" s="619"/>
      <c r="J133" s="619"/>
      <c r="K133" s="619"/>
      <c r="L133" s="619"/>
      <c r="M133" s="619"/>
      <c r="N133" s="619"/>
      <c r="O133" s="619"/>
      <c r="P133" s="619"/>
      <c r="Q133" s="619"/>
      <c r="R133" s="619"/>
      <c r="S133" s="619"/>
      <c r="T133" s="619"/>
      <c r="U133" s="619"/>
      <c r="V133" s="619"/>
      <c r="W133" s="619"/>
      <c r="X133" s="619"/>
      <c r="Y133" s="619"/>
      <c r="Z133" s="619"/>
      <c r="AA133" s="619"/>
      <c r="AB133" s="619"/>
      <c r="AC133" s="619"/>
      <c r="AD133" s="619"/>
      <c r="AE133" s="619"/>
      <c r="AF133" s="619"/>
      <c r="AG133" s="619"/>
      <c r="AH133" s="619"/>
      <c r="AI133" s="619"/>
      <c r="AJ133" s="619"/>
      <c r="AK133" s="619"/>
      <c r="AL133" s="619"/>
      <c r="AM133" s="8"/>
      <c r="AN133" s="8"/>
      <c r="AO133" s="8"/>
      <c r="AP133" s="8"/>
      <c r="AQ133" s="8"/>
      <c r="AR133" s="8"/>
      <c r="AS133" s="8"/>
      <c r="AT133" s="8"/>
      <c r="AU133" s="8"/>
      <c r="AV133" s="8"/>
      <c r="AW133" s="8"/>
      <c r="AX133" s="8"/>
      <c r="AY133" s="8"/>
      <c r="AZ133" s="8"/>
      <c r="BA133" s="8"/>
      <c r="BB133" s="8"/>
      <c r="BC133" s="8"/>
      <c r="BD133" s="8"/>
    </row>
    <row r="134" spans="1:56" ht="13.5" customHeight="1">
      <c r="A134" s="619"/>
      <c r="B134" s="167"/>
      <c r="C134" s="168" t="s">
        <v>13</v>
      </c>
      <c r="D134" s="176">
        <f t="shared" ref="D134:G134" si="22">SUM(D130:D132)</f>
        <v>9.6235324583980457</v>
      </c>
      <c r="E134" s="176">
        <f t="shared" si="22"/>
        <v>8.8852378698575016</v>
      </c>
      <c r="F134" s="176">
        <f t="shared" si="22"/>
        <v>8.2189233250268412</v>
      </c>
      <c r="G134" s="177">
        <f t="shared" si="22"/>
        <v>9.1836213120233037</v>
      </c>
      <c r="H134" s="619"/>
      <c r="I134" s="619"/>
      <c r="J134" s="619"/>
      <c r="K134" s="619"/>
      <c r="L134" s="619"/>
      <c r="M134" s="619"/>
      <c r="N134" s="619"/>
      <c r="O134" s="619"/>
      <c r="P134" s="619"/>
      <c r="Q134" s="619"/>
      <c r="R134" s="619"/>
      <c r="S134" s="619"/>
      <c r="T134" s="619"/>
      <c r="U134" s="619"/>
      <c r="V134" s="619"/>
      <c r="W134" s="619"/>
      <c r="X134" s="619"/>
      <c r="Y134" s="619"/>
      <c r="Z134" s="619"/>
      <c r="AA134" s="619"/>
      <c r="AB134" s="619"/>
      <c r="AC134" s="619"/>
      <c r="AD134" s="619"/>
      <c r="AE134" s="619"/>
      <c r="AF134" s="619"/>
      <c r="AG134" s="619"/>
      <c r="AH134" s="619"/>
      <c r="AI134" s="619"/>
      <c r="AJ134" s="619"/>
      <c r="AK134" s="619"/>
      <c r="AL134" s="619"/>
      <c r="AM134" s="8"/>
      <c r="AN134" s="8"/>
      <c r="AO134" s="8"/>
      <c r="AP134" s="8"/>
      <c r="AQ134" s="8"/>
      <c r="AR134" s="8"/>
      <c r="AS134" s="8"/>
      <c r="AT134" s="8"/>
      <c r="AU134" s="8"/>
      <c r="AV134" s="8"/>
      <c r="AW134" s="8"/>
      <c r="AX134" s="8"/>
      <c r="AY134" s="8"/>
      <c r="AZ134" s="8"/>
      <c r="BA134" s="8"/>
      <c r="BB134" s="8"/>
      <c r="BC134" s="8"/>
      <c r="BD134" s="8"/>
    </row>
    <row r="135" spans="1:56" ht="14.25" customHeight="1">
      <c r="A135" s="619"/>
      <c r="B135" s="619"/>
      <c r="C135" s="619"/>
      <c r="D135" s="619"/>
      <c r="E135" s="619"/>
      <c r="F135" s="619"/>
      <c r="G135" s="619"/>
      <c r="H135" s="619"/>
      <c r="I135" s="619"/>
      <c r="J135" s="619"/>
      <c r="K135" s="619"/>
      <c r="L135" s="619"/>
      <c r="M135" s="619"/>
      <c r="N135" s="619"/>
      <c r="O135" s="619"/>
      <c r="P135" s="619"/>
      <c r="Q135" s="619"/>
      <c r="R135" s="619"/>
      <c r="S135" s="619"/>
      <c r="T135" s="619"/>
      <c r="U135" s="619"/>
      <c r="V135" s="619"/>
      <c r="W135" s="619"/>
      <c r="X135" s="619"/>
      <c r="Y135" s="619"/>
      <c r="Z135" s="619"/>
      <c r="AA135" s="619"/>
      <c r="AB135" s="619"/>
      <c r="AC135" s="619"/>
      <c r="AD135" s="619"/>
      <c r="AE135" s="619"/>
      <c r="AF135" s="619"/>
      <c r="AG135" s="619"/>
      <c r="AH135" s="619"/>
      <c r="AI135" s="619"/>
      <c r="AJ135" s="619"/>
      <c r="AK135" s="619"/>
      <c r="AL135" s="619"/>
      <c r="AM135" s="8"/>
      <c r="AN135" s="8"/>
      <c r="AO135" s="8"/>
      <c r="AP135" s="8"/>
      <c r="AQ135" s="8"/>
      <c r="AR135" s="8"/>
      <c r="AS135" s="8"/>
      <c r="AT135" s="8"/>
      <c r="AU135" s="8"/>
      <c r="AV135" s="8"/>
      <c r="AW135" s="8"/>
      <c r="AX135" s="8"/>
      <c r="AY135" s="8"/>
      <c r="AZ135" s="8"/>
      <c r="BA135" s="8"/>
      <c r="BB135" s="8"/>
      <c r="BC135" s="8"/>
      <c r="BD135" s="8"/>
    </row>
    <row r="136" spans="1:56" ht="14.25" customHeight="1">
      <c r="A136" s="619"/>
      <c r="B136" s="6"/>
      <c r="C136" s="171" t="s">
        <v>56</v>
      </c>
      <c r="D136" s="172">
        <v>2018</v>
      </c>
      <c r="E136" s="172">
        <v>2019</v>
      </c>
      <c r="F136" s="172">
        <v>2020</v>
      </c>
      <c r="G136" s="172">
        <v>2021</v>
      </c>
      <c r="H136" s="185" t="s">
        <v>25</v>
      </c>
      <c r="I136" s="619"/>
      <c r="J136" s="619"/>
      <c r="K136" s="619"/>
      <c r="L136" s="619"/>
      <c r="M136" s="619"/>
      <c r="N136" s="619"/>
      <c r="O136" s="619"/>
      <c r="P136" s="619"/>
      <c r="Q136" s="619"/>
      <c r="R136" s="619"/>
      <c r="S136" s="619"/>
      <c r="T136" s="619"/>
      <c r="U136" s="619"/>
      <c r="V136" s="619"/>
      <c r="W136" s="619"/>
      <c r="X136" s="619"/>
      <c r="Y136" s="619"/>
      <c r="Z136" s="619"/>
      <c r="AA136" s="619"/>
      <c r="AB136" s="619"/>
      <c r="AC136" s="619"/>
      <c r="AD136" s="619"/>
      <c r="AE136" s="619"/>
      <c r="AF136" s="619"/>
      <c r="AG136" s="619"/>
      <c r="AH136" s="619"/>
      <c r="AI136" s="619"/>
      <c r="AJ136" s="619"/>
      <c r="AK136" s="619"/>
      <c r="AL136" s="619"/>
      <c r="AM136" s="8"/>
      <c r="AN136" s="8"/>
      <c r="AO136" s="8"/>
      <c r="AP136" s="8"/>
      <c r="AQ136" s="8"/>
      <c r="AR136" s="8"/>
      <c r="AS136" s="8"/>
      <c r="AT136" s="8"/>
      <c r="AU136" s="8"/>
      <c r="AV136" s="8"/>
      <c r="AW136" s="8"/>
      <c r="AX136" s="8"/>
      <c r="AY136" s="8"/>
      <c r="AZ136" s="8"/>
      <c r="BA136" s="8"/>
      <c r="BB136" s="8"/>
      <c r="BC136" s="8"/>
      <c r="BD136" s="8"/>
    </row>
    <row r="137" spans="1:56" ht="14.25" customHeight="1">
      <c r="A137" s="619"/>
      <c r="B137" s="167"/>
      <c r="C137" s="208"/>
      <c r="D137" s="214">
        <f t="shared" ref="D137:G137" si="23">ABS(D127/D134)</f>
        <v>1.1791300835051475</v>
      </c>
      <c r="E137" s="214">
        <f t="shared" si="23"/>
        <v>1.2077007469820027</v>
      </c>
      <c r="F137" s="214">
        <f t="shared" si="23"/>
        <v>1.2242166508844161</v>
      </c>
      <c r="G137" s="214">
        <f t="shared" si="23"/>
        <v>1.1970455819460324</v>
      </c>
      <c r="H137" s="187">
        <f>AVERAGE(D137:G137)</f>
        <v>1.2020232658293994</v>
      </c>
      <c r="I137" s="619"/>
      <c r="J137" s="619"/>
      <c r="K137" s="619"/>
      <c r="L137" s="619"/>
      <c r="M137" s="619"/>
      <c r="N137" s="619"/>
      <c r="O137" s="619"/>
      <c r="P137" s="619"/>
      <c r="Q137" s="619"/>
      <c r="R137" s="619"/>
      <c r="S137" s="619"/>
      <c r="T137" s="619"/>
      <c r="U137" s="619"/>
      <c r="V137" s="619"/>
      <c r="W137" s="619"/>
      <c r="X137" s="619"/>
      <c r="Y137" s="619"/>
      <c r="Z137" s="619"/>
      <c r="AA137" s="619"/>
      <c r="AB137" s="619"/>
      <c r="AC137" s="619"/>
      <c r="AD137" s="619"/>
      <c r="AE137" s="619"/>
      <c r="AF137" s="619"/>
      <c r="AG137" s="619"/>
      <c r="AH137" s="619"/>
      <c r="AI137" s="619"/>
      <c r="AJ137" s="619"/>
      <c r="AK137" s="619"/>
      <c r="AL137" s="619"/>
      <c r="AM137" s="8"/>
      <c r="AN137" s="8"/>
      <c r="AO137" s="8"/>
      <c r="AP137" s="8"/>
      <c r="AQ137" s="8"/>
      <c r="AR137" s="8"/>
      <c r="AS137" s="8"/>
      <c r="AT137" s="8"/>
      <c r="AU137" s="8"/>
      <c r="AV137" s="8"/>
      <c r="AW137" s="8"/>
      <c r="AX137" s="8"/>
      <c r="AY137" s="8"/>
      <c r="AZ137" s="8"/>
      <c r="BA137" s="8"/>
      <c r="BB137" s="8"/>
      <c r="BC137" s="8"/>
      <c r="BD137" s="8"/>
    </row>
    <row r="138" spans="1:56" ht="14.25" customHeight="1">
      <c r="A138" s="619"/>
      <c r="B138" s="619"/>
      <c r="C138" s="619"/>
      <c r="D138" s="619"/>
      <c r="E138" s="619"/>
      <c r="F138" s="619"/>
      <c r="G138" s="619"/>
      <c r="H138" s="619"/>
      <c r="I138" s="619"/>
      <c r="J138" s="619"/>
      <c r="K138" s="619"/>
      <c r="L138" s="619"/>
      <c r="M138" s="619"/>
      <c r="N138" s="619"/>
      <c r="O138" s="619"/>
      <c r="P138" s="619"/>
      <c r="Q138" s="619"/>
      <c r="R138" s="619"/>
      <c r="S138" s="619"/>
      <c r="T138" s="619"/>
      <c r="U138" s="619"/>
      <c r="V138" s="619"/>
      <c r="W138" s="619"/>
      <c r="X138" s="619"/>
      <c r="Y138" s="619"/>
      <c r="Z138" s="619"/>
      <c r="AA138" s="619"/>
      <c r="AB138" s="619"/>
      <c r="AC138" s="619"/>
      <c r="AD138" s="619"/>
      <c r="AE138" s="619"/>
      <c r="AF138" s="619"/>
      <c r="AG138" s="619"/>
      <c r="AH138" s="619"/>
      <c r="AI138" s="619"/>
      <c r="AJ138" s="619"/>
      <c r="AK138" s="619"/>
      <c r="AL138" s="619"/>
      <c r="AM138" s="8"/>
      <c r="AN138" s="8"/>
      <c r="AO138" s="8"/>
      <c r="AP138" s="8"/>
      <c r="AQ138" s="8"/>
      <c r="AR138" s="8"/>
      <c r="AS138" s="8"/>
      <c r="AT138" s="8"/>
      <c r="AU138" s="8"/>
      <c r="AV138" s="8"/>
      <c r="AW138" s="8"/>
      <c r="AX138" s="8"/>
      <c r="AY138" s="8"/>
      <c r="AZ138" s="8"/>
      <c r="BA138" s="8"/>
      <c r="BB138" s="8"/>
      <c r="BC138" s="8"/>
      <c r="BD138" s="8"/>
    </row>
    <row r="139" spans="1:56" ht="14.25" customHeight="1">
      <c r="A139" s="3"/>
      <c r="B139" s="7"/>
      <c r="C139" s="171" t="s">
        <v>56</v>
      </c>
      <c r="D139" s="172">
        <v>2018</v>
      </c>
      <c r="E139" s="172">
        <v>2019</v>
      </c>
      <c r="F139" s="172">
        <v>2020</v>
      </c>
      <c r="G139" s="172">
        <v>2021</v>
      </c>
      <c r="H139" s="215" t="s">
        <v>25</v>
      </c>
      <c r="I139" s="619"/>
      <c r="J139" s="619"/>
      <c r="K139" s="619"/>
      <c r="L139" s="619"/>
      <c r="M139" s="619"/>
      <c r="N139" s="619"/>
      <c r="O139" s="619"/>
      <c r="P139" s="619"/>
      <c r="Q139" s="619"/>
      <c r="R139" s="619"/>
      <c r="S139" s="619"/>
      <c r="T139" s="619"/>
      <c r="U139" s="619"/>
      <c r="V139" s="619"/>
      <c r="W139" s="619"/>
      <c r="X139" s="619"/>
      <c r="Y139" s="619"/>
      <c r="Z139" s="619"/>
      <c r="AA139" s="619"/>
      <c r="AB139" s="619"/>
      <c r="AC139" s="619"/>
      <c r="AD139" s="619"/>
      <c r="AE139" s="619"/>
      <c r="AF139" s="619"/>
      <c r="AG139" s="619"/>
      <c r="AH139" s="619"/>
      <c r="AI139" s="619"/>
      <c r="AJ139" s="619"/>
      <c r="AK139" s="619"/>
      <c r="AL139" s="619"/>
      <c r="AM139" s="8"/>
      <c r="AN139" s="8"/>
      <c r="AO139" s="8"/>
      <c r="AP139" s="8"/>
      <c r="AQ139" s="8"/>
      <c r="AR139" s="8"/>
      <c r="AS139" s="8"/>
      <c r="AT139" s="8"/>
      <c r="AU139" s="8"/>
      <c r="AV139" s="8"/>
      <c r="AW139" s="8"/>
      <c r="AX139" s="8"/>
      <c r="AY139" s="8"/>
      <c r="AZ139" s="8"/>
      <c r="BA139" s="8"/>
      <c r="BB139" s="8"/>
      <c r="BC139" s="8"/>
      <c r="BD139" s="8"/>
    </row>
    <row r="140" spans="1:56" ht="14.25" customHeight="1">
      <c r="A140" s="3"/>
      <c r="B140" s="202"/>
      <c r="C140" s="160" t="s">
        <v>31</v>
      </c>
      <c r="D140" s="620">
        <f t="shared" ref="D140:G140" si="24">$D$134/D130</f>
        <v>2.1285187724045862</v>
      </c>
      <c r="E140" s="620">
        <f t="shared" si="24"/>
        <v>2.3291164950963927</v>
      </c>
      <c r="F140" s="620">
        <f t="shared" si="24"/>
        <v>2.700317451051784</v>
      </c>
      <c r="G140" s="620">
        <f t="shared" si="24"/>
        <v>2.2370378964998117</v>
      </c>
      <c r="H140" s="203">
        <f t="shared" ref="H140:H142" si="25">AVERAGE(D140:G140)</f>
        <v>2.348747653763144</v>
      </c>
      <c r="I140" s="619"/>
      <c r="J140" s="619"/>
      <c r="K140" s="619"/>
      <c r="L140" s="619"/>
      <c r="M140" s="619"/>
      <c r="N140" s="619"/>
      <c r="O140" s="619"/>
      <c r="P140" s="619"/>
      <c r="Q140" s="619"/>
      <c r="R140" s="619"/>
      <c r="S140" s="619"/>
      <c r="T140" s="619"/>
      <c r="U140" s="619"/>
      <c r="V140" s="619"/>
      <c r="W140" s="619"/>
      <c r="X140" s="619"/>
      <c r="Y140" s="619"/>
      <c r="Z140" s="619"/>
      <c r="AA140" s="619"/>
      <c r="AB140" s="619"/>
      <c r="AC140" s="619"/>
      <c r="AD140" s="619"/>
      <c r="AE140" s="619"/>
      <c r="AF140" s="619"/>
      <c r="AG140" s="619"/>
      <c r="AH140" s="619"/>
      <c r="AI140" s="619"/>
      <c r="AJ140" s="619"/>
      <c r="AK140" s="619"/>
      <c r="AL140" s="619"/>
      <c r="AM140" s="8"/>
      <c r="AN140" s="8"/>
      <c r="AO140" s="8"/>
      <c r="AP140" s="8"/>
      <c r="AQ140" s="8"/>
      <c r="AR140" s="8"/>
      <c r="AS140" s="8"/>
      <c r="AT140" s="8"/>
      <c r="AU140" s="8"/>
      <c r="AV140" s="8"/>
      <c r="AW140" s="8"/>
      <c r="AX140" s="8"/>
      <c r="AY140" s="8"/>
      <c r="AZ140" s="8"/>
      <c r="BA140" s="8"/>
      <c r="BB140" s="8"/>
      <c r="BC140" s="8"/>
      <c r="BD140" s="8"/>
    </row>
    <row r="141" spans="1:56" ht="14.25" customHeight="1">
      <c r="A141" s="3"/>
      <c r="B141" s="202"/>
      <c r="C141" s="160" t="s">
        <v>30</v>
      </c>
      <c r="D141" s="620">
        <f t="shared" ref="D141:G141" si="26">$D$134/D131</f>
        <v>2.7606078297760361</v>
      </c>
      <c r="E141" s="620">
        <f t="shared" si="26"/>
        <v>3.0200775036658958</v>
      </c>
      <c r="F141" s="620">
        <f t="shared" si="26"/>
        <v>3.0302549290272109</v>
      </c>
      <c r="G141" s="620">
        <f t="shared" si="26"/>
        <v>2.8528531151652134</v>
      </c>
      <c r="H141" s="203">
        <f t="shared" si="25"/>
        <v>2.915948344408589</v>
      </c>
      <c r="I141" s="619"/>
      <c r="J141" s="619"/>
      <c r="K141" s="619"/>
      <c r="L141" s="619"/>
      <c r="M141" s="619"/>
      <c r="N141" s="619"/>
      <c r="O141" s="619"/>
      <c r="P141" s="619"/>
      <c r="Q141" s="619"/>
      <c r="R141" s="619"/>
      <c r="S141" s="619"/>
      <c r="T141" s="619"/>
      <c r="U141" s="619"/>
      <c r="V141" s="619"/>
      <c r="W141" s="619"/>
      <c r="X141" s="619"/>
      <c r="Y141" s="619"/>
      <c r="Z141" s="619"/>
      <c r="AA141" s="619"/>
      <c r="AB141" s="619"/>
      <c r="AC141" s="619"/>
      <c r="AD141" s="619"/>
      <c r="AE141" s="619"/>
      <c r="AF141" s="619"/>
      <c r="AG141" s="619"/>
      <c r="AH141" s="619"/>
      <c r="AI141" s="619"/>
      <c r="AJ141" s="619"/>
      <c r="AK141" s="619"/>
      <c r="AL141" s="619"/>
      <c r="AM141" s="8"/>
      <c r="AN141" s="8"/>
      <c r="AO141" s="8"/>
      <c r="AP141" s="8"/>
      <c r="AQ141" s="8"/>
      <c r="AR141" s="8"/>
      <c r="AS141" s="8"/>
      <c r="AT141" s="8"/>
      <c r="AU141" s="8"/>
      <c r="AV141" s="8"/>
      <c r="AW141" s="8"/>
      <c r="AX141" s="8"/>
      <c r="AY141" s="8"/>
      <c r="AZ141" s="8"/>
      <c r="BA141" s="8"/>
      <c r="BB141" s="8"/>
      <c r="BC141" s="8"/>
      <c r="BD141" s="8"/>
    </row>
    <row r="142" spans="1:56" ht="14.25" customHeight="1">
      <c r="A142" s="3"/>
      <c r="B142" s="188"/>
      <c r="C142" s="208" t="s">
        <v>55</v>
      </c>
      <c r="D142" s="216">
        <f t="shared" ref="D142:G142" si="27">$D$134/D132</f>
        <v>5.9541298050205027</v>
      </c>
      <c r="E142" s="216">
        <f t="shared" si="27"/>
        <v>6.1418387983134854</v>
      </c>
      <c r="F142" s="216">
        <f t="shared" si="27"/>
        <v>6.5056618702753655</v>
      </c>
      <c r="G142" s="216">
        <f t="shared" si="27"/>
        <v>6.3799110720443251</v>
      </c>
      <c r="H142" s="217">
        <f t="shared" si="25"/>
        <v>6.2453853864134201</v>
      </c>
      <c r="I142" s="619"/>
      <c r="J142" s="619"/>
      <c r="K142" s="619"/>
      <c r="L142" s="619"/>
      <c r="M142" s="619"/>
      <c r="N142" s="619"/>
      <c r="O142" s="619"/>
      <c r="P142" s="619"/>
      <c r="Q142" s="619"/>
      <c r="R142" s="619"/>
      <c r="S142" s="619"/>
      <c r="T142" s="619"/>
      <c r="U142" s="619"/>
      <c r="V142" s="619"/>
      <c r="W142" s="619"/>
      <c r="X142" s="619"/>
      <c r="Y142" s="619"/>
      <c r="Z142" s="619"/>
      <c r="AA142" s="619"/>
      <c r="AB142" s="619"/>
      <c r="AC142" s="619"/>
      <c r="AD142" s="619"/>
      <c r="AE142" s="619"/>
      <c r="AF142" s="619"/>
      <c r="AG142" s="619"/>
      <c r="AH142" s="619"/>
      <c r="AI142" s="619"/>
      <c r="AJ142" s="619"/>
      <c r="AK142" s="619"/>
      <c r="AL142" s="619"/>
      <c r="AM142" s="8"/>
      <c r="AN142" s="8"/>
      <c r="AO142" s="8"/>
      <c r="AP142" s="8"/>
      <c r="AQ142" s="8"/>
      <c r="AR142" s="8"/>
      <c r="AS142" s="8"/>
      <c r="AT142" s="8"/>
      <c r="AU142" s="8"/>
      <c r="AV142" s="8"/>
      <c r="AW142" s="8"/>
      <c r="AX142" s="8"/>
      <c r="AY142" s="8"/>
      <c r="AZ142" s="8"/>
      <c r="BA142" s="8"/>
      <c r="BB142" s="8"/>
      <c r="BC142" s="8"/>
      <c r="BD142" s="8"/>
    </row>
    <row r="143" spans="1:56" ht="14.25" customHeight="1">
      <c r="A143" s="619"/>
      <c r="B143" s="619"/>
      <c r="C143" s="619"/>
      <c r="D143" s="619"/>
      <c r="E143" s="619"/>
      <c r="F143" s="619"/>
      <c r="G143" s="619"/>
      <c r="H143" s="619"/>
      <c r="I143" s="619"/>
      <c r="J143" s="619"/>
      <c r="K143" s="619"/>
      <c r="L143" s="619"/>
      <c r="M143" s="619"/>
      <c r="N143" s="619"/>
      <c r="O143" s="619"/>
      <c r="P143" s="619"/>
      <c r="Q143" s="619"/>
      <c r="R143" s="619"/>
      <c r="S143" s="619"/>
      <c r="T143" s="619"/>
      <c r="U143" s="619"/>
      <c r="V143" s="619"/>
      <c r="W143" s="619"/>
      <c r="X143" s="619"/>
      <c r="Y143" s="619"/>
      <c r="Z143" s="619"/>
      <c r="AA143" s="619"/>
      <c r="AB143" s="619"/>
      <c r="AC143" s="619"/>
      <c r="AD143" s="619"/>
      <c r="AE143" s="619"/>
      <c r="AF143" s="619"/>
      <c r="AG143" s="619"/>
      <c r="AH143" s="619"/>
      <c r="AI143" s="619"/>
      <c r="AJ143" s="619"/>
      <c r="AK143" s="619"/>
      <c r="AL143" s="619"/>
      <c r="AM143" s="8"/>
      <c r="AN143" s="8"/>
      <c r="AO143" s="8"/>
      <c r="AP143" s="8"/>
      <c r="AQ143" s="8"/>
      <c r="AR143" s="8"/>
      <c r="AS143" s="8"/>
      <c r="AT143" s="8"/>
      <c r="AU143" s="8"/>
      <c r="AV143" s="8"/>
      <c r="AW143" s="8"/>
      <c r="AX143" s="8"/>
      <c r="AY143" s="8"/>
      <c r="AZ143" s="8"/>
      <c r="BA143" s="8"/>
      <c r="BB143" s="8"/>
      <c r="BC143" s="8"/>
      <c r="BD143" s="8"/>
    </row>
    <row r="144" spans="1:56" ht="14.25" customHeight="1">
      <c r="A144" s="3"/>
      <c r="B144" s="7"/>
      <c r="C144" s="171" t="s">
        <v>57</v>
      </c>
      <c r="D144" s="172">
        <v>2018</v>
      </c>
      <c r="E144" s="172">
        <v>2019</v>
      </c>
      <c r="F144" s="172">
        <v>2020</v>
      </c>
      <c r="G144" s="172">
        <v>2021</v>
      </c>
      <c r="H144" s="189">
        <v>2022</v>
      </c>
      <c r="I144" s="189">
        <v>2023</v>
      </c>
      <c r="J144" s="189">
        <v>2024</v>
      </c>
      <c r="K144" s="189">
        <v>2025</v>
      </c>
      <c r="L144" s="189">
        <v>2026</v>
      </c>
      <c r="M144" s="189">
        <v>2027</v>
      </c>
      <c r="N144" s="189">
        <v>2028</v>
      </c>
      <c r="O144" s="189">
        <v>2029</v>
      </c>
      <c r="P144" s="189">
        <v>2030</v>
      </c>
      <c r="Q144" s="189">
        <v>2031</v>
      </c>
      <c r="R144" s="189">
        <v>2032</v>
      </c>
      <c r="S144" s="189">
        <v>2033</v>
      </c>
      <c r="T144" s="189">
        <v>2034</v>
      </c>
      <c r="U144" s="189">
        <v>2035</v>
      </c>
      <c r="V144" s="189">
        <v>2036</v>
      </c>
      <c r="W144" s="189">
        <v>2037</v>
      </c>
      <c r="X144" s="189">
        <v>2038</v>
      </c>
      <c r="Y144" s="189">
        <v>2039</v>
      </c>
      <c r="Z144" s="189">
        <v>2040</v>
      </c>
      <c r="AA144" s="189">
        <v>2041</v>
      </c>
      <c r="AB144" s="189">
        <v>2042</v>
      </c>
      <c r="AC144" s="189">
        <v>2043</v>
      </c>
      <c r="AD144" s="189">
        <v>2044</v>
      </c>
      <c r="AE144" s="189">
        <v>2045</v>
      </c>
      <c r="AF144" s="189">
        <v>2046</v>
      </c>
      <c r="AG144" s="189">
        <v>2047</v>
      </c>
      <c r="AH144" s="189">
        <v>2048</v>
      </c>
      <c r="AI144" s="189">
        <v>2049</v>
      </c>
      <c r="AJ144" s="189">
        <v>2050</v>
      </c>
      <c r="AK144" s="189">
        <v>2051</v>
      </c>
      <c r="AL144" s="189">
        <v>2052</v>
      </c>
      <c r="AM144" s="189">
        <v>2053</v>
      </c>
      <c r="AN144" s="189">
        <v>2054</v>
      </c>
      <c r="AO144" s="189">
        <v>2055</v>
      </c>
      <c r="AP144" s="189">
        <v>2056</v>
      </c>
      <c r="AQ144" s="189">
        <v>2057</v>
      </c>
      <c r="AR144" s="189">
        <v>2058</v>
      </c>
      <c r="AS144" s="218">
        <v>2059</v>
      </c>
      <c r="AT144" s="189">
        <v>2060</v>
      </c>
      <c r="AU144" s="189">
        <v>2061</v>
      </c>
      <c r="AV144" s="189">
        <v>2062</v>
      </c>
      <c r="AW144" s="189">
        <v>2063</v>
      </c>
      <c r="AX144" s="189">
        <v>2064</v>
      </c>
      <c r="AY144" s="189">
        <v>2065</v>
      </c>
      <c r="AZ144" s="189">
        <v>2066</v>
      </c>
      <c r="BA144" s="189">
        <v>2067</v>
      </c>
      <c r="BB144" s="218">
        <v>2068</v>
      </c>
      <c r="BC144" s="189">
        <v>2069</v>
      </c>
      <c r="BD144" s="189">
        <v>2070</v>
      </c>
    </row>
    <row r="145" spans="1:56" ht="14.25" customHeight="1">
      <c r="A145" s="619">
        <v>1</v>
      </c>
      <c r="B145" s="179"/>
      <c r="C145" s="164" t="s">
        <v>28</v>
      </c>
      <c r="D145" s="181">
        <f>'Copia de Combustibles'!D130*$D$234</f>
        <v>753.92003052583027</v>
      </c>
      <c r="E145" s="181">
        <f>'Copia de Combustibles'!E130*$D$234</f>
        <v>796.96985310197272</v>
      </c>
      <c r="F145" s="181">
        <f>'Copia de Combustibles'!F130*$D$234</f>
        <v>735.29581033893191</v>
      </c>
      <c r="G145" s="181">
        <f>'Copia de Combustibles'!G130*$D$234</f>
        <v>682.98298374602746</v>
      </c>
      <c r="H145" s="219">
        <v>685.57</v>
      </c>
      <c r="I145" s="219">
        <v>638.6</v>
      </c>
      <c r="J145" s="219">
        <v>586.91</v>
      </c>
      <c r="K145" s="219">
        <v>541.05999999999995</v>
      </c>
      <c r="L145" s="219">
        <v>317.37</v>
      </c>
      <c r="M145" s="219">
        <v>323.52</v>
      </c>
      <c r="N145" s="219">
        <v>341.26</v>
      </c>
      <c r="O145" s="219">
        <v>359.94</v>
      </c>
      <c r="P145" s="219">
        <v>379.08</v>
      </c>
      <c r="Q145" s="219">
        <v>381.88</v>
      </c>
      <c r="R145" s="219">
        <v>357.9</v>
      </c>
      <c r="S145" s="219">
        <v>335</v>
      </c>
      <c r="T145" s="219">
        <v>311.81</v>
      </c>
      <c r="U145" s="219">
        <v>286.07</v>
      </c>
      <c r="V145" s="219">
        <v>259.54000000000002</v>
      </c>
      <c r="W145" s="219">
        <v>236.7</v>
      </c>
      <c r="X145" s="181">
        <v>0</v>
      </c>
      <c r="Y145" s="181">
        <v>0</v>
      </c>
      <c r="Z145" s="181">
        <v>0</v>
      </c>
      <c r="AA145" s="181">
        <v>0</v>
      </c>
      <c r="AB145" s="181">
        <v>0</v>
      </c>
      <c r="AC145" s="181">
        <v>0</v>
      </c>
      <c r="AD145" s="181">
        <v>0</v>
      </c>
      <c r="AE145" s="181">
        <v>0</v>
      </c>
      <c r="AF145" s="181">
        <v>0</v>
      </c>
      <c r="AG145" s="181">
        <v>0</v>
      </c>
      <c r="AH145" s="181">
        <v>0</v>
      </c>
      <c r="AI145" s="181">
        <v>0</v>
      </c>
      <c r="AJ145" s="181">
        <v>0</v>
      </c>
      <c r="AK145" s="181"/>
      <c r="AL145" s="181"/>
      <c r="AM145" s="181"/>
      <c r="AN145" s="181"/>
      <c r="AO145" s="181"/>
      <c r="AP145" s="181"/>
      <c r="AQ145" s="181"/>
      <c r="AR145" s="181"/>
      <c r="AS145" s="181"/>
      <c r="AT145" s="181"/>
      <c r="AU145" s="181"/>
      <c r="AV145" s="181"/>
      <c r="AW145" s="181"/>
      <c r="AX145" s="181"/>
      <c r="AY145" s="181"/>
      <c r="AZ145" s="181"/>
      <c r="BA145" s="181"/>
      <c r="BB145" s="181"/>
      <c r="BC145" s="181"/>
      <c r="BD145" s="181"/>
    </row>
    <row r="146" spans="1:56" ht="14.25" customHeight="1">
      <c r="A146" s="619">
        <v>1</v>
      </c>
      <c r="B146" s="179"/>
      <c r="C146" s="164" t="s">
        <v>29</v>
      </c>
      <c r="D146" s="181"/>
      <c r="E146" s="181">
        <f>'Copia de Combustibles'!E131*$D$234</f>
        <v>0.12451092049162038</v>
      </c>
      <c r="F146" s="181"/>
      <c r="G146" s="181">
        <f>'Copia de Combustibles'!G131*$D$234</f>
        <v>3.9361462349684806</v>
      </c>
      <c r="H146" s="181">
        <v>0</v>
      </c>
      <c r="I146" s="181">
        <v>0</v>
      </c>
      <c r="J146" s="181">
        <v>0</v>
      </c>
      <c r="K146" s="181">
        <v>0</v>
      </c>
      <c r="L146" s="181">
        <v>0</v>
      </c>
      <c r="M146" s="181">
        <v>0</v>
      </c>
      <c r="N146" s="181">
        <v>0</v>
      </c>
      <c r="O146" s="181">
        <v>0</v>
      </c>
      <c r="P146" s="181">
        <v>0</v>
      </c>
      <c r="Q146" s="181">
        <v>0</v>
      </c>
      <c r="R146" s="181">
        <v>0</v>
      </c>
      <c r="S146" s="181">
        <v>0</v>
      </c>
      <c r="T146" s="181">
        <v>0</v>
      </c>
      <c r="U146" s="181">
        <v>0</v>
      </c>
      <c r="V146" s="181">
        <v>0</v>
      </c>
      <c r="W146" s="181">
        <v>0</v>
      </c>
      <c r="X146" s="181">
        <v>0</v>
      </c>
      <c r="Y146" s="181">
        <v>0</v>
      </c>
      <c r="Z146" s="181">
        <v>0</v>
      </c>
      <c r="AA146" s="181">
        <v>0</v>
      </c>
      <c r="AB146" s="181">
        <v>0</v>
      </c>
      <c r="AC146" s="181">
        <v>0</v>
      </c>
      <c r="AD146" s="181">
        <v>0</v>
      </c>
      <c r="AE146" s="181">
        <v>0</v>
      </c>
      <c r="AF146" s="181">
        <v>0</v>
      </c>
      <c r="AG146" s="181">
        <v>0</v>
      </c>
      <c r="AH146" s="181">
        <v>0</v>
      </c>
      <c r="AI146" s="181">
        <v>0</v>
      </c>
      <c r="AJ146" s="181">
        <v>0</v>
      </c>
      <c r="AK146" s="181"/>
      <c r="AL146" s="181"/>
      <c r="AM146" s="181"/>
      <c r="AN146" s="181"/>
      <c r="AO146" s="181"/>
      <c r="AP146" s="181"/>
      <c r="AQ146" s="181"/>
      <c r="AR146" s="181"/>
      <c r="AS146" s="181"/>
      <c r="AT146" s="181"/>
      <c r="AU146" s="181"/>
      <c r="AV146" s="181"/>
      <c r="AW146" s="181"/>
      <c r="AX146" s="181"/>
      <c r="AY146" s="181"/>
      <c r="AZ146" s="181"/>
      <c r="BA146" s="181"/>
      <c r="BB146" s="181"/>
      <c r="BC146" s="181"/>
      <c r="BD146" s="181"/>
    </row>
    <row r="147" spans="1:56" ht="14.25" customHeight="1">
      <c r="A147" s="619">
        <v>1</v>
      </c>
      <c r="B147" s="179"/>
      <c r="C147" s="164" t="s">
        <v>30</v>
      </c>
      <c r="D147" s="181"/>
      <c r="E147" s="181">
        <f>'Copia de Combustibles'!E132*$D$234</f>
        <v>0.17331841572061829</v>
      </c>
      <c r="F147" s="181"/>
      <c r="G147" s="181"/>
      <c r="H147" s="181">
        <v>0</v>
      </c>
      <c r="I147" s="181">
        <v>0</v>
      </c>
      <c r="J147" s="181">
        <v>0</v>
      </c>
      <c r="K147" s="181">
        <v>0</v>
      </c>
      <c r="L147" s="181">
        <v>0</v>
      </c>
      <c r="M147" s="181">
        <v>0</v>
      </c>
      <c r="N147" s="181">
        <v>0</v>
      </c>
      <c r="O147" s="181">
        <v>0</v>
      </c>
      <c r="P147" s="181">
        <v>0</v>
      </c>
      <c r="Q147" s="181">
        <v>0</v>
      </c>
      <c r="R147" s="181">
        <v>0</v>
      </c>
      <c r="S147" s="181">
        <v>0</v>
      </c>
      <c r="T147" s="181">
        <v>0</v>
      </c>
      <c r="U147" s="181">
        <v>0</v>
      </c>
      <c r="V147" s="181">
        <v>0</v>
      </c>
      <c r="W147" s="181">
        <v>0</v>
      </c>
      <c r="X147" s="181">
        <v>0</v>
      </c>
      <c r="Y147" s="181">
        <v>0</v>
      </c>
      <c r="Z147" s="181">
        <v>0</v>
      </c>
      <c r="AA147" s="181">
        <v>0</v>
      </c>
      <c r="AB147" s="181">
        <v>0</v>
      </c>
      <c r="AC147" s="181">
        <v>0</v>
      </c>
      <c r="AD147" s="181">
        <v>0</v>
      </c>
      <c r="AE147" s="181">
        <v>0</v>
      </c>
      <c r="AF147" s="181">
        <v>0</v>
      </c>
      <c r="AG147" s="181">
        <v>0</v>
      </c>
      <c r="AH147" s="181">
        <v>0</v>
      </c>
      <c r="AI147" s="181">
        <v>0</v>
      </c>
      <c r="AJ147" s="181">
        <v>0</v>
      </c>
      <c r="AK147" s="181"/>
      <c r="AL147" s="181"/>
      <c r="AM147" s="181"/>
      <c r="AN147" s="181"/>
      <c r="AO147" s="181"/>
      <c r="AP147" s="181"/>
      <c r="AQ147" s="181"/>
      <c r="AR147" s="181"/>
      <c r="AS147" s="181"/>
      <c r="AT147" s="181"/>
      <c r="AU147" s="181"/>
      <c r="AV147" s="181"/>
      <c r="AW147" s="181"/>
      <c r="AX147" s="181"/>
      <c r="AY147" s="181"/>
      <c r="AZ147" s="181"/>
      <c r="BA147" s="181"/>
      <c r="BB147" s="181"/>
      <c r="BC147" s="181"/>
      <c r="BD147" s="181"/>
    </row>
    <row r="148" spans="1:56" ht="14.25" customHeight="1">
      <c r="A148" s="619">
        <v>1</v>
      </c>
      <c r="B148" s="179"/>
      <c r="C148" s="164" t="s">
        <v>31</v>
      </c>
      <c r="D148" s="181"/>
      <c r="E148" s="181"/>
      <c r="F148" s="181"/>
      <c r="G148" s="181"/>
      <c r="H148" s="181">
        <v>0</v>
      </c>
      <c r="I148" s="181">
        <v>0</v>
      </c>
      <c r="J148" s="181">
        <v>0</v>
      </c>
      <c r="K148" s="181">
        <v>0</v>
      </c>
      <c r="L148" s="181">
        <v>0</v>
      </c>
      <c r="M148" s="181">
        <v>0</v>
      </c>
      <c r="N148" s="181">
        <v>0</v>
      </c>
      <c r="O148" s="181">
        <v>0</v>
      </c>
      <c r="P148" s="181">
        <v>0</v>
      </c>
      <c r="Q148" s="181">
        <v>0</v>
      </c>
      <c r="R148" s="181">
        <v>0</v>
      </c>
      <c r="S148" s="181">
        <v>0</v>
      </c>
      <c r="T148" s="181">
        <v>0</v>
      </c>
      <c r="U148" s="181">
        <v>0</v>
      </c>
      <c r="V148" s="181">
        <v>0</v>
      </c>
      <c r="W148" s="181">
        <v>0</v>
      </c>
      <c r="X148" s="181">
        <v>0</v>
      </c>
      <c r="Y148" s="181">
        <v>0</v>
      </c>
      <c r="Z148" s="181">
        <v>0</v>
      </c>
      <c r="AA148" s="181">
        <v>0</v>
      </c>
      <c r="AB148" s="181">
        <v>0</v>
      </c>
      <c r="AC148" s="181">
        <v>0</v>
      </c>
      <c r="AD148" s="181">
        <v>0</v>
      </c>
      <c r="AE148" s="181">
        <v>0</v>
      </c>
      <c r="AF148" s="181">
        <v>0</v>
      </c>
      <c r="AG148" s="181">
        <v>0</v>
      </c>
      <c r="AH148" s="181">
        <v>0</v>
      </c>
      <c r="AI148" s="181">
        <v>0</v>
      </c>
      <c r="AJ148" s="181">
        <v>0</v>
      </c>
      <c r="AK148" s="181"/>
      <c r="AL148" s="181"/>
      <c r="AM148" s="181"/>
      <c r="AN148" s="181"/>
      <c r="AO148" s="181"/>
      <c r="AP148" s="181"/>
      <c r="AQ148" s="181"/>
      <c r="AR148" s="181"/>
      <c r="AS148" s="181"/>
      <c r="AT148" s="181"/>
      <c r="AU148" s="181"/>
      <c r="AV148" s="181"/>
      <c r="AW148" s="181"/>
      <c r="AX148" s="181"/>
      <c r="AY148" s="181"/>
      <c r="AZ148" s="181"/>
      <c r="BA148" s="181"/>
      <c r="BB148" s="181"/>
      <c r="BC148" s="181"/>
      <c r="BD148" s="181"/>
    </row>
    <row r="149" spans="1:56" ht="14.25" customHeight="1">
      <c r="A149" s="619">
        <v>1</v>
      </c>
      <c r="B149" s="179"/>
      <c r="C149" s="164" t="s">
        <v>32</v>
      </c>
      <c r="D149" s="181">
        <f>'Copia de Combustibles'!D134*$D$234</f>
        <v>92.112073053208121</v>
      </c>
      <c r="E149" s="181">
        <f>'Copia de Combustibles'!E134*$D$234</f>
        <v>85.703651555256656</v>
      </c>
      <c r="F149" s="181">
        <f>'Copia de Combustibles'!F134*$D$234</f>
        <v>85.165860315981391</v>
      </c>
      <c r="G149" s="181">
        <f>'Copia de Combustibles'!G134*$D$234</f>
        <v>88.949461306124121</v>
      </c>
      <c r="H149" s="181">
        <v>91.65</v>
      </c>
      <c r="I149" s="181">
        <v>89.88</v>
      </c>
      <c r="J149" s="181">
        <v>91.46</v>
      </c>
      <c r="K149" s="181">
        <v>90.16</v>
      </c>
      <c r="L149" s="181">
        <v>91.68</v>
      </c>
      <c r="M149" s="181">
        <v>90.04</v>
      </c>
      <c r="N149" s="181">
        <v>91.36</v>
      </c>
      <c r="O149" s="181">
        <v>90.61</v>
      </c>
      <c r="P149" s="181">
        <v>91.51</v>
      </c>
      <c r="Q149" s="181">
        <v>90.24</v>
      </c>
      <c r="R149" s="181">
        <v>91.39</v>
      </c>
      <c r="S149" s="181">
        <v>90.45</v>
      </c>
      <c r="T149" s="181">
        <v>91.37</v>
      </c>
      <c r="U149" s="181">
        <v>90.76</v>
      </c>
      <c r="V149" s="181">
        <v>91.23</v>
      </c>
      <c r="W149" s="181">
        <v>90.86</v>
      </c>
      <c r="X149" s="181">
        <v>91.27</v>
      </c>
      <c r="Y149" s="181">
        <v>90.79</v>
      </c>
      <c r="Z149" s="181">
        <v>91.27</v>
      </c>
      <c r="AA149" s="181">
        <v>90.93</v>
      </c>
      <c r="AB149" s="181">
        <v>91.26</v>
      </c>
      <c r="AC149" s="181">
        <v>91.21</v>
      </c>
      <c r="AD149" s="181">
        <v>91.25</v>
      </c>
      <c r="AE149" s="181">
        <v>91.18</v>
      </c>
      <c r="AF149" s="181">
        <v>91.18</v>
      </c>
      <c r="AG149" s="181">
        <v>91.21</v>
      </c>
      <c r="AH149" s="181">
        <v>91.39</v>
      </c>
      <c r="AI149" s="181">
        <v>91.23</v>
      </c>
      <c r="AJ149" s="181">
        <v>91.37</v>
      </c>
      <c r="AK149" s="181"/>
      <c r="AL149" s="181"/>
      <c r="AM149" s="181"/>
      <c r="AN149" s="181"/>
      <c r="AO149" s="181"/>
      <c r="AP149" s="181"/>
      <c r="AQ149" s="181"/>
      <c r="AR149" s="181"/>
      <c r="AS149" s="181"/>
      <c r="AT149" s="181"/>
      <c r="AU149" s="181"/>
      <c r="AV149" s="181"/>
      <c r="AW149" s="181"/>
      <c r="AX149" s="181"/>
      <c r="AY149" s="181"/>
      <c r="AZ149" s="181"/>
      <c r="BA149" s="181"/>
      <c r="BB149" s="181"/>
      <c r="BC149" s="181"/>
      <c r="BD149" s="181"/>
    </row>
    <row r="150" spans="1:56" ht="14.25" customHeight="1">
      <c r="A150" s="619">
        <v>1</v>
      </c>
      <c r="B150" s="179"/>
      <c r="C150" s="164" t="s">
        <v>33</v>
      </c>
      <c r="D150" s="181"/>
      <c r="E150" s="181"/>
      <c r="F150" s="181"/>
      <c r="G150" s="181"/>
      <c r="H150" s="181">
        <v>0</v>
      </c>
      <c r="I150" s="181">
        <v>0</v>
      </c>
      <c r="J150" s="181">
        <v>0</v>
      </c>
      <c r="K150" s="181">
        <v>0</v>
      </c>
      <c r="L150" s="181">
        <v>0</v>
      </c>
      <c r="M150" s="181">
        <v>0</v>
      </c>
      <c r="N150" s="181">
        <v>0</v>
      </c>
      <c r="O150" s="181">
        <v>0</v>
      </c>
      <c r="P150" s="181">
        <v>0</v>
      </c>
      <c r="Q150" s="181">
        <v>0</v>
      </c>
      <c r="R150" s="181">
        <v>0</v>
      </c>
      <c r="S150" s="181">
        <v>0</v>
      </c>
      <c r="T150" s="181">
        <v>0</v>
      </c>
      <c r="U150" s="181">
        <v>0</v>
      </c>
      <c r="V150" s="181">
        <v>0</v>
      </c>
      <c r="W150" s="181">
        <v>0</v>
      </c>
      <c r="X150" s="181">
        <v>0</v>
      </c>
      <c r="Y150" s="181">
        <v>0</v>
      </c>
      <c r="Z150" s="181">
        <v>0</v>
      </c>
      <c r="AA150" s="181">
        <v>0</v>
      </c>
      <c r="AB150" s="181">
        <v>0</v>
      </c>
      <c r="AC150" s="181">
        <v>0</v>
      </c>
      <c r="AD150" s="181">
        <v>0</v>
      </c>
      <c r="AE150" s="181">
        <v>0</v>
      </c>
      <c r="AF150" s="181">
        <v>0</v>
      </c>
      <c r="AG150" s="181">
        <v>0</v>
      </c>
      <c r="AH150" s="181">
        <v>0</v>
      </c>
      <c r="AI150" s="181">
        <v>0</v>
      </c>
      <c r="AJ150" s="181">
        <v>0</v>
      </c>
      <c r="AK150" s="181"/>
      <c r="AL150" s="181"/>
      <c r="AM150" s="181"/>
      <c r="AN150" s="181"/>
      <c r="AO150" s="181"/>
      <c r="AP150" s="181"/>
      <c r="AQ150" s="181"/>
      <c r="AR150" s="181"/>
      <c r="AS150" s="181"/>
      <c r="AT150" s="181"/>
      <c r="AU150" s="181"/>
      <c r="AV150" s="181"/>
      <c r="AW150" s="181"/>
      <c r="AX150" s="181"/>
      <c r="AY150" s="181"/>
      <c r="AZ150" s="181"/>
      <c r="BA150" s="181"/>
      <c r="BB150" s="181"/>
      <c r="BC150" s="181"/>
      <c r="BD150" s="181"/>
    </row>
    <row r="151" spans="1:56" ht="14.25" customHeight="1">
      <c r="A151" s="619">
        <v>1</v>
      </c>
      <c r="B151" s="179"/>
      <c r="C151" s="164" t="s">
        <v>45</v>
      </c>
      <c r="D151" s="181">
        <f>'Copia de Combustibles'!D136*$D$234</f>
        <v>30.911147622538447</v>
      </c>
      <c r="E151" s="181">
        <f>'Copia de Combustibles'!E136*$D$234</f>
        <v>31.780154282943105</v>
      </c>
      <c r="F151" s="181">
        <f>'Copia de Combustibles'!F136*$D$234</f>
        <v>29.868855667073657</v>
      </c>
      <c r="G151" s="181">
        <f>'Copia de Combustibles'!G136*$D$234</f>
        <v>32.50662425289385</v>
      </c>
      <c r="H151" s="181">
        <v>28.78</v>
      </c>
      <c r="I151" s="181">
        <v>24.34</v>
      </c>
      <c r="J151" s="181">
        <v>19.48</v>
      </c>
      <c r="K151" s="181">
        <v>14.67</v>
      </c>
      <c r="L151" s="181">
        <v>10.49</v>
      </c>
      <c r="M151" s="181">
        <v>7.15</v>
      </c>
      <c r="N151" s="181">
        <v>3.83</v>
      </c>
      <c r="O151" s="181">
        <v>0.16</v>
      </c>
      <c r="P151" s="181">
        <v>0</v>
      </c>
      <c r="Q151" s="181">
        <v>0</v>
      </c>
      <c r="R151" s="181">
        <v>0</v>
      </c>
      <c r="S151" s="181">
        <v>0</v>
      </c>
      <c r="T151" s="181">
        <v>0</v>
      </c>
      <c r="U151" s="181">
        <v>0</v>
      </c>
      <c r="V151" s="181">
        <v>0</v>
      </c>
      <c r="W151" s="181">
        <v>0</v>
      </c>
      <c r="X151" s="181">
        <v>0</v>
      </c>
      <c r="Y151" s="181">
        <v>0</v>
      </c>
      <c r="Z151" s="181">
        <v>0</v>
      </c>
      <c r="AA151" s="181">
        <v>0</v>
      </c>
      <c r="AB151" s="181">
        <v>0</v>
      </c>
      <c r="AC151" s="181">
        <v>0</v>
      </c>
      <c r="AD151" s="181">
        <v>0</v>
      </c>
      <c r="AE151" s="181">
        <v>0</v>
      </c>
      <c r="AF151" s="181">
        <v>0</v>
      </c>
      <c r="AG151" s="181">
        <v>0</v>
      </c>
      <c r="AH151" s="181">
        <v>0</v>
      </c>
      <c r="AI151" s="181">
        <v>0</v>
      </c>
      <c r="AJ151" s="181">
        <v>0</v>
      </c>
      <c r="AK151" s="181"/>
      <c r="AL151" s="181"/>
      <c r="AM151" s="181"/>
      <c r="AN151" s="181"/>
      <c r="AO151" s="181"/>
      <c r="AP151" s="181"/>
      <c r="AQ151" s="181"/>
      <c r="AR151" s="181"/>
      <c r="AS151" s="181"/>
      <c r="AT151" s="181"/>
      <c r="AU151" s="181"/>
      <c r="AV151" s="181"/>
      <c r="AW151" s="181"/>
      <c r="AX151" s="181"/>
      <c r="AY151" s="181"/>
      <c r="AZ151" s="181"/>
      <c r="BA151" s="181"/>
      <c r="BB151" s="181"/>
      <c r="BC151" s="181"/>
      <c r="BD151" s="181"/>
    </row>
    <row r="152" spans="1:56" ht="14.25" customHeight="1">
      <c r="A152" s="619"/>
      <c r="B152" s="155"/>
      <c r="C152" s="164"/>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1"/>
      <c r="AJ152" s="191"/>
      <c r="AK152" s="191"/>
      <c r="AL152" s="191"/>
      <c r="AM152" s="191"/>
      <c r="AN152" s="191"/>
      <c r="AO152" s="191"/>
      <c r="AP152" s="191"/>
      <c r="AQ152" s="191"/>
      <c r="AR152" s="191"/>
      <c r="AS152" s="191"/>
      <c r="AT152" s="191"/>
      <c r="AU152" s="191"/>
      <c r="AV152" s="191"/>
      <c r="AW152" s="191"/>
      <c r="AX152" s="191"/>
      <c r="AY152" s="191"/>
      <c r="AZ152" s="191"/>
      <c r="BA152" s="191"/>
      <c r="BB152" s="191"/>
      <c r="BC152" s="191"/>
      <c r="BD152" s="191"/>
    </row>
    <row r="153" spans="1:56" ht="14.25" customHeight="1">
      <c r="A153" s="619"/>
      <c r="B153" s="167"/>
      <c r="C153" s="168" t="s">
        <v>13</v>
      </c>
      <c r="D153" s="176">
        <f t="shared" ref="D153:G153" si="28">SUM(D145:D151)</f>
        <v>876.94325120157691</v>
      </c>
      <c r="E153" s="176">
        <f t="shared" si="28"/>
        <v>914.75148827638475</v>
      </c>
      <c r="F153" s="176">
        <f t="shared" si="28"/>
        <v>850.33052632198689</v>
      </c>
      <c r="G153" s="176">
        <f t="shared" si="28"/>
        <v>808.37521554001398</v>
      </c>
      <c r="H153" s="176">
        <f t="shared" ref="H153:BD153" si="29">SUM(H146:H150)</f>
        <v>91.65</v>
      </c>
      <c r="I153" s="176">
        <f t="shared" si="29"/>
        <v>89.88</v>
      </c>
      <c r="J153" s="176">
        <f t="shared" si="29"/>
        <v>91.46</v>
      </c>
      <c r="K153" s="176">
        <f t="shared" si="29"/>
        <v>90.16</v>
      </c>
      <c r="L153" s="176">
        <f t="shared" si="29"/>
        <v>91.68</v>
      </c>
      <c r="M153" s="176">
        <f t="shared" si="29"/>
        <v>90.04</v>
      </c>
      <c r="N153" s="176">
        <f t="shared" si="29"/>
        <v>91.36</v>
      </c>
      <c r="O153" s="176">
        <f t="shared" si="29"/>
        <v>90.61</v>
      </c>
      <c r="P153" s="176">
        <f t="shared" si="29"/>
        <v>91.51</v>
      </c>
      <c r="Q153" s="176">
        <f t="shared" si="29"/>
        <v>90.24</v>
      </c>
      <c r="R153" s="176">
        <f t="shared" si="29"/>
        <v>91.39</v>
      </c>
      <c r="S153" s="176">
        <f t="shared" si="29"/>
        <v>90.45</v>
      </c>
      <c r="T153" s="176">
        <f t="shared" si="29"/>
        <v>91.37</v>
      </c>
      <c r="U153" s="176">
        <f t="shared" si="29"/>
        <v>90.76</v>
      </c>
      <c r="V153" s="176">
        <f t="shared" si="29"/>
        <v>91.23</v>
      </c>
      <c r="W153" s="176">
        <f t="shared" si="29"/>
        <v>90.86</v>
      </c>
      <c r="X153" s="176">
        <f t="shared" si="29"/>
        <v>91.27</v>
      </c>
      <c r="Y153" s="176">
        <f t="shared" si="29"/>
        <v>90.79</v>
      </c>
      <c r="Z153" s="176">
        <f t="shared" si="29"/>
        <v>91.27</v>
      </c>
      <c r="AA153" s="176">
        <f t="shared" si="29"/>
        <v>90.93</v>
      </c>
      <c r="AB153" s="176">
        <f t="shared" si="29"/>
        <v>91.26</v>
      </c>
      <c r="AC153" s="176">
        <f t="shared" si="29"/>
        <v>91.21</v>
      </c>
      <c r="AD153" s="176">
        <f t="shared" si="29"/>
        <v>91.25</v>
      </c>
      <c r="AE153" s="176">
        <f t="shared" si="29"/>
        <v>91.18</v>
      </c>
      <c r="AF153" s="176">
        <f t="shared" si="29"/>
        <v>91.18</v>
      </c>
      <c r="AG153" s="176">
        <f t="shared" si="29"/>
        <v>91.21</v>
      </c>
      <c r="AH153" s="176">
        <f t="shared" si="29"/>
        <v>91.39</v>
      </c>
      <c r="AI153" s="176">
        <f t="shared" si="29"/>
        <v>91.23</v>
      </c>
      <c r="AJ153" s="176">
        <f t="shared" si="29"/>
        <v>91.37</v>
      </c>
      <c r="AK153" s="176">
        <f t="shared" si="29"/>
        <v>0</v>
      </c>
      <c r="AL153" s="176">
        <f t="shared" si="29"/>
        <v>0</v>
      </c>
      <c r="AM153" s="176">
        <f t="shared" si="29"/>
        <v>0</v>
      </c>
      <c r="AN153" s="176">
        <f t="shared" si="29"/>
        <v>0</v>
      </c>
      <c r="AO153" s="176">
        <f t="shared" si="29"/>
        <v>0</v>
      </c>
      <c r="AP153" s="176">
        <f t="shared" si="29"/>
        <v>0</v>
      </c>
      <c r="AQ153" s="176">
        <f t="shared" si="29"/>
        <v>0</v>
      </c>
      <c r="AR153" s="176">
        <f t="shared" si="29"/>
        <v>0</v>
      </c>
      <c r="AS153" s="176">
        <f t="shared" si="29"/>
        <v>0</v>
      </c>
      <c r="AT153" s="176">
        <f t="shared" si="29"/>
        <v>0</v>
      </c>
      <c r="AU153" s="176">
        <f t="shared" si="29"/>
        <v>0</v>
      </c>
      <c r="AV153" s="176">
        <f t="shared" si="29"/>
        <v>0</v>
      </c>
      <c r="AW153" s="176">
        <f t="shared" si="29"/>
        <v>0</v>
      </c>
      <c r="AX153" s="176">
        <f t="shared" si="29"/>
        <v>0</v>
      </c>
      <c r="AY153" s="176">
        <f t="shared" si="29"/>
        <v>0</v>
      </c>
      <c r="AZ153" s="176">
        <f t="shared" si="29"/>
        <v>0</v>
      </c>
      <c r="BA153" s="176">
        <f t="shared" si="29"/>
        <v>0</v>
      </c>
      <c r="BB153" s="176">
        <f t="shared" si="29"/>
        <v>0</v>
      </c>
      <c r="BC153" s="176">
        <f t="shared" si="29"/>
        <v>0</v>
      </c>
      <c r="BD153" s="176">
        <f t="shared" si="29"/>
        <v>0</v>
      </c>
    </row>
    <row r="154" spans="1:56" ht="14.25" customHeight="1">
      <c r="A154" s="619"/>
      <c r="B154" s="619"/>
      <c r="C154" s="619"/>
      <c r="D154" s="619"/>
      <c r="E154" s="619"/>
      <c r="F154" s="619"/>
      <c r="G154" s="619"/>
      <c r="H154" s="619"/>
      <c r="I154" s="619"/>
      <c r="J154" s="619"/>
      <c r="K154" s="619"/>
      <c r="L154" s="619"/>
      <c r="M154" s="619"/>
      <c r="N154" s="619"/>
      <c r="O154" s="619"/>
      <c r="P154" s="619"/>
      <c r="Q154" s="619"/>
      <c r="R154" s="619"/>
      <c r="S154" s="619"/>
      <c r="T154" s="619"/>
      <c r="U154" s="619"/>
      <c r="V154" s="619"/>
      <c r="W154" s="619"/>
      <c r="X154" s="619"/>
      <c r="Y154" s="619"/>
      <c r="Z154" s="619"/>
      <c r="AA154" s="619"/>
      <c r="AB154" s="619"/>
      <c r="AC154" s="619"/>
      <c r="AD154" s="619"/>
      <c r="AE154" s="619"/>
      <c r="AF154" s="619"/>
      <c r="AG154" s="619"/>
      <c r="AH154" s="619"/>
      <c r="AI154" s="619"/>
      <c r="AJ154" s="619"/>
      <c r="AK154" s="619"/>
      <c r="AL154" s="619"/>
      <c r="AM154" s="8"/>
      <c r="AN154" s="8"/>
      <c r="AO154" s="8"/>
      <c r="AP154" s="8"/>
      <c r="AQ154" s="8"/>
      <c r="AR154" s="8"/>
      <c r="AS154" s="8"/>
      <c r="AT154" s="8"/>
      <c r="AU154" s="8"/>
      <c r="AV154" s="8"/>
      <c r="AW154" s="8"/>
      <c r="AX154" s="8"/>
      <c r="AY154" s="8"/>
      <c r="AZ154" s="8"/>
      <c r="BA154" s="8"/>
      <c r="BB154" s="8"/>
      <c r="BC154" s="8"/>
      <c r="BD154" s="8"/>
    </row>
    <row r="155" spans="1:56" ht="14.25" customHeight="1">
      <c r="A155" s="3"/>
      <c r="B155" s="7"/>
      <c r="C155" s="171" t="s">
        <v>58</v>
      </c>
      <c r="D155" s="193"/>
      <c r="E155" s="193"/>
      <c r="F155" s="193"/>
      <c r="G155" s="194"/>
      <c r="H155" s="619"/>
      <c r="I155" s="619"/>
      <c r="J155" s="619"/>
      <c r="K155" s="619"/>
      <c r="L155" s="619"/>
      <c r="M155" s="619"/>
      <c r="N155" s="619"/>
      <c r="O155" s="619"/>
      <c r="P155" s="619"/>
      <c r="Q155" s="619"/>
      <c r="R155" s="619"/>
      <c r="S155" s="619"/>
      <c r="T155" s="619"/>
      <c r="U155" s="619"/>
      <c r="V155" s="619"/>
      <c r="W155" s="619"/>
      <c r="X155" s="619"/>
      <c r="Y155" s="619"/>
      <c r="Z155" s="619"/>
      <c r="AA155" s="619"/>
      <c r="AB155" s="619"/>
      <c r="AC155" s="619"/>
      <c r="AD155" s="619"/>
      <c r="AE155" s="619"/>
      <c r="AF155" s="619"/>
      <c r="AG155" s="619"/>
      <c r="AH155" s="619"/>
      <c r="AI155" s="619"/>
      <c r="AJ155" s="619"/>
      <c r="AK155" s="619"/>
      <c r="AL155" s="619"/>
      <c r="AM155" s="8"/>
      <c r="AN155" s="8"/>
      <c r="AO155" s="8"/>
      <c r="AP155" s="8"/>
      <c r="AQ155" s="8"/>
      <c r="AR155" s="8"/>
      <c r="AS155" s="8"/>
      <c r="AT155" s="8"/>
      <c r="AU155" s="8"/>
      <c r="AV155" s="8"/>
      <c r="AW155" s="8"/>
      <c r="AX155" s="8"/>
      <c r="AY155" s="8"/>
      <c r="AZ155" s="8"/>
      <c r="BA155" s="8"/>
      <c r="BB155" s="8"/>
      <c r="BC155" s="8"/>
      <c r="BD155" s="8"/>
    </row>
    <row r="156" spans="1:56" ht="14.25" customHeight="1">
      <c r="A156" s="619"/>
      <c r="B156" s="207"/>
      <c r="C156" s="168" t="s">
        <v>59</v>
      </c>
      <c r="D156" s="176">
        <v>70</v>
      </c>
      <c r="E156" s="220"/>
      <c r="F156" s="220"/>
      <c r="G156" s="221"/>
      <c r="H156" s="619"/>
      <c r="I156" s="619"/>
      <c r="J156" s="619"/>
      <c r="K156" s="619"/>
      <c r="L156" s="619"/>
      <c r="M156" s="619"/>
      <c r="N156" s="619"/>
      <c r="O156" s="619"/>
      <c r="P156" s="619"/>
      <c r="Q156" s="619"/>
      <c r="R156" s="619"/>
      <c r="S156" s="619"/>
      <c r="T156" s="619"/>
      <c r="U156" s="619"/>
      <c r="V156" s="619"/>
      <c r="W156" s="619"/>
      <c r="X156" s="619"/>
      <c r="Y156" s="619"/>
      <c r="Z156" s="619"/>
      <c r="AA156" s="619"/>
      <c r="AB156" s="619"/>
      <c r="AC156" s="619"/>
      <c r="AD156" s="619"/>
      <c r="AE156" s="619"/>
      <c r="AF156" s="619"/>
      <c r="AG156" s="619"/>
      <c r="AH156" s="619"/>
      <c r="AI156" s="619"/>
      <c r="AJ156" s="619"/>
      <c r="AK156" s="619"/>
      <c r="AL156" s="619"/>
      <c r="AM156" s="8"/>
      <c r="AN156" s="8"/>
      <c r="AO156" s="8"/>
      <c r="AP156" s="8"/>
      <c r="AQ156" s="8"/>
      <c r="AR156" s="8"/>
      <c r="AS156" s="8"/>
      <c r="AT156" s="8"/>
      <c r="AU156" s="8"/>
      <c r="AV156" s="8"/>
      <c r="AW156" s="8"/>
      <c r="AX156" s="8"/>
      <c r="AY156" s="8"/>
      <c r="AZ156" s="8"/>
      <c r="BA156" s="8"/>
      <c r="BB156" s="8"/>
      <c r="BC156" s="8"/>
      <c r="BD156" s="8"/>
    </row>
    <row r="157" spans="1:56" ht="14.25" customHeight="1">
      <c r="A157" s="619"/>
      <c r="B157" s="619"/>
      <c r="C157" s="619"/>
      <c r="D157" s="619"/>
      <c r="E157" s="619"/>
      <c r="F157" s="619"/>
      <c r="G157" s="619"/>
      <c r="H157" s="619"/>
      <c r="I157" s="619"/>
      <c r="J157" s="619"/>
      <c r="K157" s="619"/>
      <c r="L157" s="619"/>
      <c r="M157" s="619"/>
      <c r="N157" s="619"/>
      <c r="O157" s="619"/>
      <c r="P157" s="619"/>
      <c r="Q157" s="619"/>
      <c r="R157" s="619"/>
      <c r="S157" s="619"/>
      <c r="T157" s="619"/>
      <c r="U157" s="619"/>
      <c r="V157" s="619"/>
      <c r="W157" s="619"/>
      <c r="X157" s="619"/>
      <c r="Y157" s="619"/>
      <c r="Z157" s="619"/>
      <c r="AA157" s="619"/>
      <c r="AB157" s="619"/>
      <c r="AC157" s="619"/>
      <c r="AD157" s="619"/>
      <c r="AE157" s="619"/>
      <c r="AF157" s="619"/>
      <c r="AG157" s="619"/>
      <c r="AH157" s="619"/>
      <c r="AI157" s="619"/>
      <c r="AJ157" s="619"/>
      <c r="AK157" s="619"/>
      <c r="AL157" s="619"/>
      <c r="AM157" s="8"/>
      <c r="AN157" s="8"/>
      <c r="AO157" s="8"/>
      <c r="AP157" s="8"/>
      <c r="AQ157" s="8"/>
      <c r="AR157" s="8"/>
      <c r="AS157" s="8"/>
      <c r="AT157" s="8"/>
      <c r="AU157" s="8"/>
      <c r="AV157" s="8"/>
      <c r="AW157" s="8"/>
      <c r="AX157" s="8"/>
      <c r="AY157" s="8"/>
      <c r="AZ157" s="8"/>
      <c r="BA157" s="8"/>
      <c r="BB157" s="8"/>
      <c r="BC157" s="8"/>
      <c r="BD157" s="8"/>
    </row>
    <row r="158" spans="1:56" ht="14.25" customHeight="1">
      <c r="A158" s="619"/>
      <c r="B158" s="619"/>
      <c r="C158" s="4"/>
      <c r="D158" s="5"/>
      <c r="E158" s="5"/>
      <c r="F158" s="5"/>
      <c r="G158" s="5"/>
      <c r="H158" s="619"/>
      <c r="I158" s="619"/>
      <c r="J158" s="619"/>
      <c r="K158" s="619"/>
      <c r="L158" s="619"/>
      <c r="M158" s="619"/>
      <c r="N158" s="619"/>
      <c r="O158" s="619"/>
      <c r="P158" s="619"/>
      <c r="Q158" s="619"/>
      <c r="R158" s="619"/>
      <c r="S158" s="619"/>
      <c r="T158" s="619"/>
      <c r="U158" s="619"/>
      <c r="V158" s="619"/>
      <c r="W158" s="619"/>
      <c r="X158" s="619"/>
      <c r="Y158" s="619"/>
      <c r="Z158" s="619"/>
      <c r="AA158" s="619"/>
      <c r="AB158" s="619"/>
      <c r="AC158" s="619"/>
      <c r="AD158" s="619"/>
      <c r="AE158" s="619"/>
      <c r="AF158" s="619"/>
      <c r="AG158" s="619"/>
      <c r="AH158" s="619"/>
      <c r="AI158" s="619"/>
      <c r="AJ158" s="619"/>
      <c r="AK158" s="619"/>
      <c r="AL158" s="619"/>
      <c r="AM158" s="8"/>
      <c r="AN158" s="8"/>
      <c r="AO158" s="8"/>
      <c r="AP158" s="8"/>
      <c r="AQ158" s="8"/>
      <c r="AR158" s="8"/>
      <c r="AS158" s="8"/>
      <c r="AT158" s="8"/>
      <c r="AU158" s="8"/>
      <c r="AV158" s="8"/>
      <c r="AW158" s="8"/>
      <c r="AX158" s="8"/>
      <c r="AY158" s="8"/>
      <c r="AZ158" s="8"/>
      <c r="BA158" s="8"/>
      <c r="BB158" s="8"/>
      <c r="BC158" s="8"/>
      <c r="BD158" s="8"/>
    </row>
    <row r="159" spans="1:56" ht="14.25" customHeight="1">
      <c r="A159" s="619"/>
      <c r="B159" s="6"/>
      <c r="C159" s="152"/>
      <c r="D159" s="153"/>
      <c r="E159" s="153"/>
      <c r="F159" s="153"/>
      <c r="G159" s="154"/>
      <c r="H159" s="619"/>
      <c r="I159" s="619"/>
      <c r="J159" s="619"/>
      <c r="K159" s="619"/>
      <c r="L159" s="619"/>
      <c r="M159" s="619"/>
      <c r="N159" s="619"/>
      <c r="O159" s="619"/>
      <c r="P159" s="619"/>
      <c r="Q159" s="619"/>
      <c r="R159" s="619"/>
      <c r="S159" s="619"/>
      <c r="T159" s="619"/>
      <c r="U159" s="619"/>
      <c r="V159" s="619"/>
      <c r="W159" s="619"/>
      <c r="X159" s="619"/>
      <c r="Y159" s="619"/>
      <c r="Z159" s="619"/>
      <c r="AA159" s="619"/>
      <c r="AB159" s="619"/>
      <c r="AC159" s="619"/>
      <c r="AD159" s="619"/>
      <c r="AE159" s="619"/>
      <c r="AF159" s="619"/>
      <c r="AG159" s="619"/>
      <c r="AH159" s="619"/>
      <c r="AI159" s="619"/>
      <c r="AJ159" s="619"/>
      <c r="AK159" s="619"/>
      <c r="AL159" s="619"/>
      <c r="AM159" s="8"/>
      <c r="AN159" s="8"/>
      <c r="AO159" s="8"/>
      <c r="AP159" s="8"/>
      <c r="AQ159" s="8"/>
      <c r="AR159" s="8"/>
      <c r="AS159" s="8"/>
      <c r="AT159" s="8"/>
      <c r="AU159" s="8"/>
      <c r="AV159" s="8"/>
      <c r="AW159" s="8"/>
      <c r="AX159" s="8"/>
      <c r="AY159" s="8"/>
      <c r="AZ159" s="8"/>
      <c r="BA159" s="8"/>
      <c r="BB159" s="8"/>
      <c r="BC159" s="8"/>
      <c r="BD159" s="8"/>
    </row>
    <row r="160" spans="1:56" ht="14.25" customHeight="1">
      <c r="A160" s="619"/>
      <c r="B160" s="155"/>
      <c r="C160" s="156" t="s">
        <v>60</v>
      </c>
      <c r="D160" s="157"/>
      <c r="E160" s="157"/>
      <c r="F160" s="157"/>
      <c r="G160" s="158"/>
      <c r="H160" s="619"/>
      <c r="I160" s="619"/>
      <c r="J160" s="619"/>
      <c r="K160" s="619"/>
      <c r="L160" s="619"/>
      <c r="M160" s="619"/>
      <c r="N160" s="619"/>
      <c r="O160" s="619"/>
      <c r="P160" s="619"/>
      <c r="Q160" s="619"/>
      <c r="R160" s="619"/>
      <c r="S160" s="619"/>
      <c r="T160" s="619"/>
      <c r="U160" s="619"/>
      <c r="V160" s="619"/>
      <c r="W160" s="619"/>
      <c r="X160" s="619"/>
      <c r="Y160" s="619"/>
      <c r="Z160" s="619"/>
      <c r="AA160" s="619"/>
      <c r="AB160" s="619"/>
      <c r="AC160" s="619"/>
      <c r="AD160" s="619"/>
      <c r="AE160" s="619"/>
      <c r="AF160" s="619"/>
      <c r="AG160" s="619"/>
      <c r="AH160" s="619"/>
      <c r="AI160" s="619"/>
      <c r="AJ160" s="619"/>
      <c r="AK160" s="619"/>
      <c r="AL160" s="619"/>
      <c r="AM160" s="8"/>
      <c r="AN160" s="8"/>
      <c r="AO160" s="8"/>
      <c r="AP160" s="8"/>
      <c r="AQ160" s="8"/>
      <c r="AR160" s="8"/>
      <c r="AS160" s="8"/>
      <c r="AT160" s="8"/>
      <c r="AU160" s="8"/>
      <c r="AV160" s="8"/>
      <c r="AW160" s="8"/>
      <c r="AX160" s="8"/>
      <c r="AY160" s="8"/>
      <c r="AZ160" s="8"/>
      <c r="BA160" s="8"/>
      <c r="BB160" s="8"/>
      <c r="BC160" s="8"/>
      <c r="BD160" s="8"/>
    </row>
    <row r="161" spans="1:38" ht="14.25" customHeight="1">
      <c r="A161" s="619"/>
      <c r="B161" s="202"/>
      <c r="C161" s="160" t="s">
        <v>61</v>
      </c>
      <c r="D161" s="161">
        <v>2018</v>
      </c>
      <c r="E161" s="161">
        <v>2019</v>
      </c>
      <c r="F161" s="161">
        <v>2020</v>
      </c>
      <c r="G161" s="162">
        <v>2021</v>
      </c>
      <c r="H161" s="619"/>
      <c r="I161" s="619"/>
      <c r="J161" s="619"/>
      <c r="K161" s="619"/>
      <c r="L161" s="619"/>
      <c r="M161" s="619"/>
      <c r="N161" s="619"/>
      <c r="O161" s="619"/>
      <c r="P161" s="619"/>
      <c r="Q161" s="619"/>
      <c r="R161" s="619"/>
      <c r="S161" s="619"/>
      <c r="T161" s="619"/>
      <c r="U161" s="619"/>
      <c r="V161" s="619"/>
      <c r="W161" s="619"/>
      <c r="X161" s="619"/>
      <c r="Y161" s="619"/>
      <c r="Z161" s="619"/>
      <c r="AA161" s="619"/>
      <c r="AB161" s="619"/>
      <c r="AC161" s="619"/>
      <c r="AD161" s="619"/>
      <c r="AE161" s="619"/>
      <c r="AF161" s="619"/>
      <c r="AG161" s="619"/>
      <c r="AH161" s="619"/>
      <c r="AI161" s="619"/>
      <c r="AJ161" s="619"/>
      <c r="AK161" s="619"/>
      <c r="AL161" s="619"/>
    </row>
    <row r="162" spans="1:38" ht="14.25" customHeight="1">
      <c r="A162" s="619">
        <v>1</v>
      </c>
      <c r="B162" s="155"/>
      <c r="C162" s="164" t="s">
        <v>62</v>
      </c>
      <c r="D162" s="181">
        <f>'Copia de Combustibles'!D147*$D$234</f>
        <v>10.121108976373842</v>
      </c>
      <c r="E162" s="181">
        <f>'Copia de Combustibles'!E147*$D$234</f>
        <v>9.809412923986331</v>
      </c>
      <c r="F162" s="181">
        <f>'Copia de Combustibles'!F147*$D$234</f>
        <v>9.4608765506667574</v>
      </c>
      <c r="G162" s="183">
        <f>'Copia de Combustibles'!G147*$D$234</f>
        <v>9.0898252546639533</v>
      </c>
      <c r="H162" s="619"/>
      <c r="I162" s="619"/>
      <c r="J162" s="619"/>
      <c r="K162" s="619"/>
      <c r="L162" s="619"/>
      <c r="M162" s="619"/>
      <c r="N162" s="619"/>
      <c r="O162" s="619"/>
      <c r="P162" s="619"/>
      <c r="Q162" s="619"/>
      <c r="R162" s="619"/>
      <c r="S162" s="619"/>
      <c r="T162" s="619"/>
      <c r="U162" s="619"/>
      <c r="V162" s="619"/>
      <c r="W162" s="619"/>
      <c r="X162" s="619"/>
      <c r="Y162" s="619"/>
      <c r="Z162" s="619"/>
      <c r="AA162" s="619"/>
      <c r="AB162" s="619"/>
      <c r="AC162" s="619"/>
      <c r="AD162" s="619"/>
      <c r="AE162" s="619"/>
      <c r="AF162" s="619"/>
      <c r="AG162" s="619"/>
      <c r="AH162" s="619"/>
      <c r="AI162" s="619"/>
      <c r="AJ162" s="619"/>
      <c r="AK162" s="619"/>
      <c r="AL162" s="619"/>
    </row>
    <row r="163" spans="1:38" ht="14.25" customHeight="1">
      <c r="A163" s="619">
        <v>1</v>
      </c>
      <c r="B163" s="155"/>
      <c r="C163" s="164" t="s">
        <v>63</v>
      </c>
      <c r="D163" s="181">
        <f>'Copia de Combustibles'!D148*$D$234</f>
        <v>12.162918048479431</v>
      </c>
      <c r="E163" s="181">
        <f>'Copia de Combustibles'!E148*$D$234</f>
        <v>13.515971351404671</v>
      </c>
      <c r="F163" s="181">
        <f>'Copia de Combustibles'!F148*$D$234</f>
        <v>12.951554567699301</v>
      </c>
      <c r="G163" s="183">
        <f>'Copia de Combustibles'!G148*$D$234</f>
        <v>11.647203790450069</v>
      </c>
      <c r="H163" s="619"/>
      <c r="I163" s="619"/>
      <c r="J163" s="619"/>
      <c r="K163" s="619"/>
      <c r="L163" s="619"/>
      <c r="M163" s="619"/>
      <c r="N163" s="619"/>
      <c r="O163" s="619"/>
      <c r="P163" s="619"/>
      <c r="Q163" s="619"/>
      <c r="R163" s="619"/>
      <c r="S163" s="619"/>
      <c r="T163" s="619"/>
      <c r="U163" s="619"/>
      <c r="V163" s="619"/>
      <c r="W163" s="619"/>
      <c r="X163" s="619"/>
      <c r="Y163" s="619"/>
      <c r="Z163" s="619"/>
      <c r="AA163" s="619"/>
      <c r="AB163" s="619"/>
      <c r="AC163" s="619"/>
      <c r="AD163" s="619"/>
      <c r="AE163" s="619"/>
      <c r="AF163" s="619"/>
      <c r="AG163" s="619"/>
      <c r="AH163" s="619"/>
      <c r="AI163" s="619"/>
      <c r="AJ163" s="619"/>
      <c r="AK163" s="619"/>
      <c r="AL163" s="619"/>
    </row>
    <row r="164" spans="1:38" ht="14.25" customHeight="1">
      <c r="A164" s="619"/>
      <c r="B164" s="155"/>
      <c r="C164" s="164" t="s">
        <v>64</v>
      </c>
      <c r="D164" s="181"/>
      <c r="E164" s="181"/>
      <c r="F164" s="181"/>
      <c r="G164" s="183"/>
      <c r="H164" s="619"/>
      <c r="I164" s="619"/>
      <c r="J164" s="619"/>
      <c r="K164" s="619"/>
      <c r="L164" s="619"/>
      <c r="M164" s="619"/>
      <c r="N164" s="619"/>
      <c r="O164" s="619"/>
      <c r="P164" s="619"/>
      <c r="Q164" s="619"/>
      <c r="R164" s="619"/>
      <c r="S164" s="619"/>
      <c r="T164" s="619"/>
      <c r="U164" s="619"/>
      <c r="V164" s="619"/>
      <c r="W164" s="619"/>
      <c r="X164" s="619"/>
      <c r="Y164" s="619"/>
      <c r="Z164" s="619"/>
      <c r="AA164" s="619"/>
      <c r="AB164" s="619"/>
      <c r="AC164" s="619"/>
      <c r="AD164" s="619"/>
      <c r="AE164" s="619"/>
      <c r="AF164" s="619"/>
      <c r="AG164" s="619"/>
      <c r="AH164" s="619"/>
      <c r="AI164" s="619"/>
      <c r="AJ164" s="619"/>
      <c r="AK164" s="619"/>
      <c r="AL164" s="619"/>
    </row>
    <row r="165" spans="1:38" ht="14.25" customHeight="1">
      <c r="A165" s="619"/>
      <c r="B165" s="155"/>
      <c r="C165" s="164" t="s">
        <v>65</v>
      </c>
      <c r="D165" s="181"/>
      <c r="E165" s="181"/>
      <c r="F165" s="181"/>
      <c r="G165" s="183"/>
      <c r="H165" s="619"/>
      <c r="I165" s="619"/>
      <c r="J165" s="619"/>
      <c r="K165" s="619"/>
      <c r="L165" s="619"/>
      <c r="M165" s="619"/>
      <c r="N165" s="619"/>
      <c r="O165" s="619"/>
      <c r="P165" s="619"/>
      <c r="Q165" s="619"/>
      <c r="R165" s="619"/>
      <c r="S165" s="619"/>
      <c r="T165" s="619"/>
      <c r="U165" s="619"/>
      <c r="V165" s="619"/>
      <c r="W165" s="619"/>
      <c r="X165" s="619"/>
      <c r="Y165" s="619"/>
      <c r="Z165" s="619"/>
      <c r="AA165" s="619"/>
      <c r="AB165" s="619"/>
      <c r="AC165" s="619"/>
      <c r="AD165" s="619"/>
      <c r="AE165" s="619"/>
      <c r="AF165" s="619"/>
      <c r="AG165" s="619"/>
      <c r="AH165" s="619"/>
      <c r="AI165" s="619"/>
      <c r="AJ165" s="619"/>
      <c r="AK165" s="619"/>
      <c r="AL165" s="619"/>
    </row>
    <row r="166" spans="1:38" ht="14.25" customHeight="1">
      <c r="A166" s="619"/>
      <c r="B166" s="155"/>
      <c r="C166" s="164" t="s">
        <v>12</v>
      </c>
      <c r="D166" s="181"/>
      <c r="E166" s="181"/>
      <c r="F166" s="181"/>
      <c r="G166" s="183"/>
      <c r="H166" s="619"/>
      <c r="I166" s="619"/>
      <c r="J166" s="619"/>
      <c r="K166" s="619"/>
      <c r="L166" s="619"/>
      <c r="M166" s="619"/>
      <c r="N166" s="619"/>
      <c r="O166" s="619"/>
      <c r="P166" s="619"/>
      <c r="Q166" s="619"/>
      <c r="R166" s="619"/>
      <c r="S166" s="619"/>
      <c r="T166" s="619"/>
      <c r="U166" s="619"/>
      <c r="V166" s="619"/>
      <c r="W166" s="619"/>
      <c r="X166" s="619"/>
      <c r="Y166" s="619"/>
      <c r="Z166" s="619"/>
      <c r="AA166" s="619"/>
      <c r="AB166" s="619"/>
      <c r="AC166" s="619"/>
      <c r="AD166" s="619"/>
      <c r="AE166" s="619"/>
      <c r="AF166" s="619"/>
      <c r="AG166" s="619"/>
      <c r="AH166" s="619"/>
      <c r="AI166" s="619"/>
      <c r="AJ166" s="619"/>
      <c r="AK166" s="619"/>
      <c r="AL166" s="619"/>
    </row>
    <row r="167" spans="1:38" ht="14.25" customHeight="1">
      <c r="A167" s="619"/>
      <c r="B167" s="155"/>
      <c r="C167" s="164" t="s">
        <v>13</v>
      </c>
      <c r="D167" s="181">
        <f t="shared" ref="D167:G167" si="30">SUM(D162:D165)</f>
        <v>22.284027024853273</v>
      </c>
      <c r="E167" s="181">
        <f t="shared" si="30"/>
        <v>23.325384275391002</v>
      </c>
      <c r="F167" s="181">
        <f t="shared" si="30"/>
        <v>22.412431118366058</v>
      </c>
      <c r="G167" s="183">
        <f t="shared" si="30"/>
        <v>20.737029045114021</v>
      </c>
      <c r="H167" s="619"/>
      <c r="I167" s="619"/>
      <c r="J167" s="619"/>
      <c r="K167" s="619"/>
      <c r="L167" s="619"/>
      <c r="M167" s="619"/>
      <c r="N167" s="619"/>
      <c r="O167" s="619"/>
      <c r="P167" s="619"/>
      <c r="Q167" s="619"/>
      <c r="R167" s="619"/>
      <c r="S167" s="619"/>
      <c r="T167" s="619"/>
      <c r="U167" s="619"/>
      <c r="V167" s="619"/>
      <c r="W167" s="619"/>
      <c r="X167" s="619"/>
      <c r="Y167" s="619"/>
      <c r="Z167" s="619"/>
      <c r="AA167" s="619"/>
      <c r="AB167" s="619"/>
      <c r="AC167" s="619"/>
      <c r="AD167" s="619"/>
      <c r="AE167" s="619"/>
      <c r="AF167" s="619"/>
      <c r="AG167" s="619"/>
      <c r="AH167" s="619"/>
      <c r="AI167" s="619"/>
      <c r="AJ167" s="619"/>
      <c r="AK167" s="619"/>
      <c r="AL167" s="619"/>
    </row>
    <row r="168" spans="1:38" ht="14.25" customHeight="1">
      <c r="A168" s="619"/>
      <c r="B168" s="167"/>
      <c r="C168" s="222"/>
      <c r="D168" s="214"/>
      <c r="E168" s="214"/>
      <c r="F168" s="214"/>
      <c r="G168" s="223"/>
      <c r="H168" s="619"/>
      <c r="I168" s="619"/>
      <c r="J168" s="619"/>
      <c r="K168" s="619"/>
      <c r="L168" s="619"/>
      <c r="M168" s="619"/>
      <c r="N168" s="619"/>
      <c r="O168" s="619"/>
      <c r="P168" s="619"/>
      <c r="Q168" s="619"/>
      <c r="R168" s="619"/>
      <c r="S168" s="619"/>
      <c r="T168" s="619"/>
      <c r="U168" s="619"/>
      <c r="V168" s="619"/>
      <c r="W168" s="619"/>
      <c r="X168" s="619"/>
      <c r="Y168" s="619"/>
      <c r="Z168" s="619"/>
      <c r="AA168" s="619"/>
      <c r="AB168" s="619"/>
      <c r="AC168" s="619"/>
      <c r="AD168" s="619"/>
      <c r="AE168" s="619"/>
      <c r="AF168" s="619"/>
      <c r="AG168" s="619"/>
      <c r="AH168" s="619"/>
      <c r="AI168" s="619"/>
      <c r="AJ168" s="619"/>
      <c r="AK168" s="619"/>
      <c r="AL168" s="619"/>
    </row>
    <row r="169" spans="1:38" ht="14.25" customHeight="1">
      <c r="A169" s="619"/>
      <c r="B169" s="619"/>
      <c r="C169" s="4"/>
      <c r="D169" s="5"/>
      <c r="E169" s="5"/>
      <c r="F169" s="5"/>
      <c r="G169" s="5"/>
      <c r="H169" s="619"/>
      <c r="I169" s="619"/>
      <c r="J169" s="619"/>
      <c r="K169" s="619"/>
      <c r="L169" s="619"/>
      <c r="M169" s="619"/>
      <c r="N169" s="619"/>
      <c r="O169" s="619"/>
      <c r="P169" s="619"/>
      <c r="Q169" s="619"/>
      <c r="R169" s="619"/>
      <c r="S169" s="619"/>
      <c r="T169" s="619"/>
      <c r="U169" s="619"/>
      <c r="V169" s="619"/>
      <c r="W169" s="619"/>
      <c r="X169" s="619"/>
      <c r="Y169" s="619"/>
      <c r="Z169" s="619"/>
      <c r="AA169" s="619"/>
      <c r="AB169" s="619"/>
      <c r="AC169" s="619"/>
      <c r="AD169" s="619"/>
      <c r="AE169" s="619"/>
      <c r="AF169" s="619"/>
      <c r="AG169" s="619"/>
      <c r="AH169" s="619"/>
      <c r="AI169" s="619"/>
      <c r="AJ169" s="619"/>
      <c r="AK169" s="619"/>
      <c r="AL169" s="619"/>
    </row>
    <row r="170" spans="1:38" ht="14.25" customHeight="1">
      <c r="A170" s="619"/>
      <c r="B170" s="6"/>
      <c r="C170" s="152"/>
      <c r="D170" s="200"/>
      <c r="E170" s="200"/>
      <c r="F170" s="200"/>
      <c r="G170" s="201"/>
      <c r="H170" s="619"/>
      <c r="I170" s="619"/>
      <c r="J170" s="619"/>
      <c r="K170" s="619"/>
      <c r="L170" s="619"/>
      <c r="M170" s="619"/>
      <c r="N170" s="619"/>
      <c r="O170" s="619"/>
      <c r="P170" s="619"/>
      <c r="Q170" s="619"/>
      <c r="R170" s="619"/>
      <c r="S170" s="619"/>
      <c r="T170" s="619"/>
      <c r="U170" s="619"/>
      <c r="V170" s="619"/>
      <c r="W170" s="619"/>
      <c r="X170" s="619"/>
      <c r="Y170" s="619"/>
      <c r="Z170" s="619"/>
      <c r="AA170" s="619"/>
      <c r="AB170" s="619"/>
      <c r="AC170" s="619"/>
      <c r="AD170" s="619"/>
      <c r="AE170" s="619"/>
      <c r="AF170" s="619"/>
      <c r="AG170" s="619"/>
      <c r="AH170" s="619"/>
      <c r="AI170" s="619"/>
      <c r="AJ170" s="619"/>
      <c r="AK170" s="619"/>
      <c r="AL170" s="619"/>
    </row>
    <row r="171" spans="1:38" ht="23.25" customHeight="1">
      <c r="A171" s="619"/>
      <c r="B171" s="155"/>
      <c r="C171" s="156" t="s">
        <v>66</v>
      </c>
      <c r="D171" s="143"/>
      <c r="E171" s="143"/>
      <c r="F171" s="143"/>
      <c r="G171" s="142"/>
      <c r="H171" s="619"/>
      <c r="I171" s="619"/>
      <c r="J171" s="619"/>
      <c r="K171" s="619"/>
      <c r="L171" s="619"/>
      <c r="M171" s="619"/>
      <c r="N171" s="619"/>
      <c r="O171" s="619"/>
      <c r="P171" s="619"/>
      <c r="Q171" s="619"/>
      <c r="R171" s="619"/>
      <c r="S171" s="619"/>
      <c r="T171" s="619"/>
      <c r="U171" s="619"/>
      <c r="V171" s="619"/>
      <c r="W171" s="619"/>
      <c r="X171" s="619"/>
      <c r="Y171" s="619"/>
      <c r="Z171" s="619"/>
      <c r="AA171" s="619"/>
      <c r="AB171" s="619"/>
      <c r="AC171" s="619"/>
      <c r="AD171" s="619"/>
      <c r="AE171" s="619"/>
      <c r="AF171" s="619"/>
      <c r="AG171" s="619"/>
      <c r="AH171" s="619"/>
      <c r="AI171" s="619"/>
      <c r="AJ171" s="619"/>
      <c r="AK171" s="619"/>
      <c r="AL171" s="619"/>
    </row>
    <row r="172" spans="1:38" ht="14.25" customHeight="1">
      <c r="A172" s="619"/>
      <c r="B172" s="155"/>
      <c r="C172" s="160"/>
      <c r="D172" s="160"/>
      <c r="E172" s="160"/>
      <c r="F172" s="160"/>
      <c r="G172" s="224"/>
      <c r="H172" s="619"/>
      <c r="I172" s="619"/>
      <c r="J172" s="619"/>
      <c r="K172" s="619"/>
      <c r="L172" s="619"/>
      <c r="M172" s="619"/>
      <c r="N172" s="619"/>
      <c r="O172" s="619"/>
      <c r="P172" s="619"/>
      <c r="Q172" s="619"/>
      <c r="R172" s="619"/>
      <c r="S172" s="619"/>
      <c r="T172" s="619"/>
      <c r="U172" s="619"/>
      <c r="V172" s="619"/>
      <c r="W172" s="619"/>
      <c r="X172" s="619"/>
      <c r="Y172" s="619"/>
      <c r="Z172" s="619"/>
      <c r="AA172" s="619"/>
      <c r="AB172" s="619"/>
      <c r="AC172" s="619"/>
      <c r="AD172" s="619"/>
      <c r="AE172" s="619"/>
      <c r="AF172" s="619"/>
      <c r="AG172" s="619"/>
      <c r="AH172" s="619"/>
      <c r="AI172" s="619"/>
      <c r="AJ172" s="619"/>
      <c r="AK172" s="619"/>
      <c r="AL172" s="619"/>
    </row>
    <row r="173" spans="1:38" ht="14.25" customHeight="1">
      <c r="A173" s="619"/>
      <c r="B173" s="155"/>
      <c r="C173" s="164" t="s">
        <v>67</v>
      </c>
      <c r="D173" s="225">
        <f>('Copia de Combustibles'!D173/1000)*$D$234</f>
        <v>4.0585789843496407</v>
      </c>
      <c r="E173" s="225">
        <f>('Copia de Combustibles'!E173/1000)*$D$234</f>
        <v>4.1944117344600045</v>
      </c>
      <c r="F173" s="225">
        <f>('Copia de Combustibles'!F173/1000)*$D$234</f>
        <v>3.9184900291424136</v>
      </c>
      <c r="G173" s="226">
        <f>('Copia de Combustibles'!G173/1000)*$D$234</f>
        <v>3.6900253009826045</v>
      </c>
      <c r="H173" s="619"/>
      <c r="I173" s="619"/>
      <c r="J173" s="619"/>
      <c r="K173" s="619"/>
      <c r="L173" s="619"/>
      <c r="M173" s="619"/>
      <c r="N173" s="619"/>
      <c r="O173" s="619"/>
      <c r="P173" s="619"/>
      <c r="Q173" s="619"/>
      <c r="R173" s="619"/>
      <c r="S173" s="619"/>
      <c r="T173" s="619"/>
      <c r="U173" s="619"/>
      <c r="V173" s="619"/>
      <c r="W173" s="619"/>
      <c r="X173" s="619"/>
      <c r="Y173" s="619"/>
      <c r="Z173" s="619"/>
      <c r="AA173" s="619"/>
      <c r="AB173" s="619"/>
      <c r="AC173" s="619"/>
      <c r="AD173" s="619"/>
      <c r="AE173" s="619"/>
      <c r="AF173" s="619"/>
      <c r="AG173" s="619"/>
      <c r="AH173" s="619"/>
      <c r="AI173" s="619"/>
      <c r="AJ173" s="619"/>
      <c r="AK173" s="619"/>
      <c r="AL173" s="619"/>
    </row>
    <row r="174" spans="1:38" ht="14.25" customHeight="1">
      <c r="A174" s="619"/>
      <c r="B174" s="155"/>
      <c r="C174" s="160"/>
      <c r="D174" s="160"/>
      <c r="E174" s="160"/>
      <c r="F174" s="160"/>
      <c r="G174" s="224"/>
      <c r="H174" s="619"/>
      <c r="I174" s="619"/>
      <c r="J174" s="619"/>
      <c r="K174" s="619"/>
      <c r="L174" s="619"/>
      <c r="M174" s="619"/>
      <c r="N174" s="619"/>
      <c r="O174" s="619"/>
      <c r="P174" s="619"/>
      <c r="Q174" s="619"/>
      <c r="R174" s="619"/>
      <c r="S174" s="619"/>
      <c r="T174" s="619"/>
      <c r="U174" s="619"/>
      <c r="V174" s="619"/>
      <c r="W174" s="619"/>
      <c r="X174" s="619"/>
      <c r="Y174" s="619"/>
      <c r="Z174" s="619"/>
      <c r="AA174" s="619"/>
      <c r="AB174" s="619"/>
      <c r="AC174" s="619"/>
      <c r="AD174" s="619"/>
      <c r="AE174" s="619"/>
      <c r="AF174" s="619"/>
      <c r="AG174" s="619"/>
      <c r="AH174" s="619"/>
      <c r="AI174" s="619"/>
      <c r="AJ174" s="619"/>
      <c r="AK174" s="619"/>
      <c r="AL174" s="619"/>
    </row>
    <row r="175" spans="1:38" ht="14.25" customHeight="1">
      <c r="A175" s="619"/>
      <c r="B175" s="155"/>
      <c r="C175" s="227" t="s">
        <v>68</v>
      </c>
      <c r="D175" s="228">
        <f>('Copia de Combustibles'!D175/1000)*$D$234</f>
        <v>1084.2884378187171</v>
      </c>
      <c r="E175" s="228">
        <f>('Copia de Combustibles'!E175/1000)*$D$234</f>
        <v>1119.1236010191449</v>
      </c>
      <c r="F175" s="228">
        <f>('Copia de Combustibles'!F175/1000)*$D$234</f>
        <v>1000.3884390483078</v>
      </c>
      <c r="G175" s="229">
        <f>('Copia de Combustibles'!G175/1000)*$D$234</f>
        <v>957.99807050274035</v>
      </c>
      <c r="H175" s="619"/>
      <c r="I175" s="619"/>
      <c r="J175" s="619"/>
      <c r="K175" s="619"/>
      <c r="L175" s="619"/>
      <c r="M175" s="619"/>
      <c r="N175" s="619"/>
      <c r="O175" s="619"/>
      <c r="P175" s="619"/>
      <c r="Q175" s="619"/>
      <c r="R175" s="619"/>
      <c r="S175" s="619"/>
      <c r="T175" s="619"/>
      <c r="U175" s="619"/>
      <c r="V175" s="619"/>
      <c r="W175" s="619"/>
      <c r="X175" s="619"/>
      <c r="Y175" s="619"/>
      <c r="Z175" s="619"/>
      <c r="AA175" s="619"/>
      <c r="AB175" s="619"/>
      <c r="AC175" s="619"/>
      <c r="AD175" s="619"/>
      <c r="AE175" s="619"/>
      <c r="AF175" s="619"/>
      <c r="AG175" s="619"/>
      <c r="AH175" s="619"/>
      <c r="AI175" s="619"/>
      <c r="AJ175" s="619"/>
      <c r="AK175" s="619"/>
      <c r="AL175" s="619"/>
    </row>
    <row r="176" spans="1:38" ht="14.25" customHeight="1">
      <c r="A176" s="619"/>
      <c r="B176" s="155"/>
      <c r="C176" s="164"/>
      <c r="D176" s="160"/>
      <c r="E176" s="160"/>
      <c r="F176" s="160"/>
      <c r="G176" s="224"/>
      <c r="H176" s="619"/>
      <c r="I176" s="619"/>
      <c r="J176" s="619"/>
      <c r="K176" s="619"/>
      <c r="L176" s="619"/>
      <c r="M176" s="619"/>
      <c r="N176" s="619"/>
      <c r="O176" s="619"/>
      <c r="P176" s="619"/>
      <c r="Q176" s="619"/>
      <c r="R176" s="619"/>
      <c r="S176" s="619"/>
      <c r="T176" s="619"/>
      <c r="U176" s="619"/>
      <c r="V176" s="619"/>
      <c r="W176" s="619"/>
      <c r="X176" s="619"/>
      <c r="Y176" s="619"/>
      <c r="Z176" s="619"/>
      <c r="AA176" s="619"/>
      <c r="AB176" s="619"/>
      <c r="AC176" s="619"/>
      <c r="AD176" s="619"/>
      <c r="AE176" s="619"/>
      <c r="AF176" s="619"/>
      <c r="AG176" s="619"/>
      <c r="AH176" s="619"/>
      <c r="AI176" s="619"/>
      <c r="AJ176" s="619"/>
      <c r="AK176" s="619"/>
      <c r="AL176" s="619"/>
    </row>
    <row r="177" spans="1:38" ht="14.25" customHeight="1">
      <c r="A177" s="619"/>
      <c r="B177" s="155"/>
      <c r="C177" s="227" t="s">
        <v>69</v>
      </c>
      <c r="D177" s="228">
        <v>101150</v>
      </c>
      <c r="E177" s="160"/>
      <c r="F177" s="160"/>
      <c r="G177" s="224"/>
      <c r="H177" s="619"/>
      <c r="I177" s="619"/>
      <c r="J177" s="619"/>
      <c r="K177" s="619"/>
      <c r="L177" s="619"/>
      <c r="M177" s="619"/>
      <c r="N177" s="619"/>
      <c r="O177" s="619"/>
      <c r="P177" s="619"/>
      <c r="Q177" s="619"/>
      <c r="R177" s="619"/>
      <c r="S177" s="619"/>
      <c r="T177" s="619"/>
      <c r="U177" s="619"/>
      <c r="V177" s="619"/>
      <c r="W177" s="619"/>
      <c r="X177" s="619"/>
      <c r="Y177" s="619"/>
      <c r="Z177" s="619"/>
      <c r="AA177" s="619"/>
      <c r="AB177" s="619"/>
      <c r="AC177" s="619"/>
      <c r="AD177" s="619"/>
      <c r="AE177" s="619"/>
      <c r="AF177" s="619"/>
      <c r="AG177" s="619"/>
      <c r="AH177" s="619"/>
      <c r="AI177" s="619"/>
      <c r="AJ177" s="619"/>
      <c r="AK177" s="619"/>
      <c r="AL177" s="619"/>
    </row>
    <row r="178" spans="1:38" ht="14.25" customHeight="1">
      <c r="A178" s="619"/>
      <c r="B178" s="155"/>
      <c r="C178" s="160"/>
      <c r="D178" s="160"/>
      <c r="E178" s="160"/>
      <c r="F178" s="160"/>
      <c r="G178" s="224"/>
      <c r="H178" s="619"/>
      <c r="I178" s="619"/>
      <c r="J178" s="619"/>
      <c r="K178" s="619"/>
      <c r="L178" s="619"/>
      <c r="M178" s="619"/>
      <c r="N178" s="619"/>
      <c r="O178" s="619"/>
      <c r="P178" s="619"/>
      <c r="Q178" s="619"/>
      <c r="R178" s="619"/>
      <c r="S178" s="619"/>
      <c r="T178" s="619"/>
      <c r="U178" s="619"/>
      <c r="V178" s="619"/>
      <c r="W178" s="619"/>
      <c r="X178" s="619"/>
      <c r="Y178" s="619"/>
      <c r="Z178" s="619"/>
      <c r="AA178" s="619"/>
      <c r="AB178" s="619"/>
      <c r="AC178" s="619"/>
      <c r="AD178" s="619"/>
      <c r="AE178" s="619"/>
      <c r="AF178" s="619"/>
      <c r="AG178" s="619"/>
      <c r="AH178" s="619"/>
      <c r="AI178" s="619"/>
      <c r="AJ178" s="619"/>
      <c r="AK178" s="619"/>
      <c r="AL178" s="619"/>
    </row>
    <row r="179" spans="1:38" ht="14.25" customHeight="1">
      <c r="A179" s="619"/>
      <c r="B179" s="167"/>
      <c r="C179" s="222"/>
      <c r="D179" s="230"/>
      <c r="E179" s="230"/>
      <c r="F179" s="230"/>
      <c r="G179" s="231"/>
      <c r="H179" s="619"/>
      <c r="I179" s="619"/>
      <c r="J179" s="619"/>
      <c r="K179" s="619"/>
      <c r="L179" s="619"/>
      <c r="M179" s="619"/>
      <c r="N179" s="619"/>
      <c r="O179" s="619"/>
      <c r="P179" s="619"/>
      <c r="Q179" s="619"/>
      <c r="R179" s="619"/>
      <c r="S179" s="619"/>
      <c r="T179" s="619"/>
      <c r="U179" s="619"/>
      <c r="V179" s="619"/>
      <c r="W179" s="619"/>
      <c r="X179" s="619"/>
      <c r="Y179" s="619"/>
      <c r="Z179" s="619"/>
      <c r="AA179" s="619"/>
      <c r="AB179" s="619"/>
      <c r="AC179" s="619"/>
      <c r="AD179" s="619"/>
      <c r="AE179" s="619"/>
      <c r="AF179" s="619"/>
      <c r="AG179" s="619"/>
      <c r="AH179" s="619"/>
      <c r="AI179" s="619"/>
      <c r="AJ179" s="619"/>
      <c r="AK179" s="619"/>
      <c r="AL179" s="619"/>
    </row>
    <row r="180" spans="1:38" ht="14.25" customHeight="1">
      <c r="A180" s="619"/>
      <c r="B180" s="619"/>
      <c r="C180" s="10"/>
      <c r="D180" s="11"/>
      <c r="E180" s="619"/>
      <c r="F180" s="619"/>
      <c r="G180" s="619"/>
      <c r="H180" s="619"/>
      <c r="I180" s="619"/>
      <c r="J180" s="619"/>
      <c r="K180" s="619"/>
      <c r="L180" s="619"/>
      <c r="M180" s="619"/>
      <c r="N180" s="619"/>
      <c r="O180" s="619"/>
      <c r="P180" s="619"/>
      <c r="Q180" s="619"/>
      <c r="R180" s="619"/>
      <c r="S180" s="619"/>
      <c r="T180" s="619"/>
      <c r="U180" s="619"/>
      <c r="V180" s="619"/>
      <c r="W180" s="619"/>
      <c r="X180" s="619"/>
      <c r="Y180" s="619"/>
      <c r="Z180" s="619"/>
      <c r="AA180" s="619"/>
      <c r="AB180" s="619"/>
      <c r="AC180" s="619"/>
      <c r="AD180" s="619"/>
      <c r="AE180" s="619"/>
      <c r="AF180" s="619"/>
      <c r="AG180" s="619"/>
      <c r="AH180" s="619"/>
      <c r="AI180" s="619"/>
      <c r="AJ180" s="619"/>
      <c r="AK180" s="619"/>
      <c r="AL180" s="619"/>
    </row>
    <row r="181" spans="1:38" ht="14.25" customHeight="1">
      <c r="A181" s="619"/>
      <c r="B181" s="6"/>
      <c r="C181" s="152"/>
      <c r="D181" s="232" t="s">
        <v>70</v>
      </c>
      <c r="E181" s="200"/>
      <c r="F181" s="200"/>
      <c r="G181" s="201"/>
      <c r="H181" s="619"/>
      <c r="I181" s="619"/>
      <c r="J181" s="619"/>
      <c r="K181" s="619"/>
      <c r="L181" s="619"/>
      <c r="M181" s="619"/>
      <c r="N181" s="619"/>
      <c r="O181" s="619"/>
      <c r="P181" s="619"/>
      <c r="Q181" s="619"/>
      <c r="R181" s="619"/>
      <c r="S181" s="619"/>
      <c r="T181" s="619"/>
      <c r="U181" s="619"/>
      <c r="V181" s="619"/>
      <c r="W181" s="619"/>
      <c r="X181" s="619"/>
      <c r="Y181" s="619"/>
      <c r="Z181" s="619"/>
      <c r="AA181" s="619"/>
      <c r="AB181" s="619"/>
      <c r="AC181" s="619"/>
      <c r="AD181" s="619"/>
      <c r="AE181" s="619"/>
      <c r="AF181" s="619"/>
      <c r="AG181" s="619"/>
      <c r="AH181" s="619"/>
      <c r="AI181" s="619"/>
      <c r="AJ181" s="619"/>
      <c r="AK181" s="619"/>
      <c r="AL181" s="619"/>
    </row>
    <row r="182" spans="1:38" ht="14.25" customHeight="1">
      <c r="A182" s="619"/>
      <c r="B182" s="155"/>
      <c r="C182" s="156" t="s">
        <v>71</v>
      </c>
      <c r="D182" s="161">
        <v>2018</v>
      </c>
      <c r="E182" s="161">
        <v>2019</v>
      </c>
      <c r="F182" s="161">
        <v>2020</v>
      </c>
      <c r="G182" s="162">
        <v>2021</v>
      </c>
      <c r="H182" s="619"/>
      <c r="I182" s="619"/>
      <c r="J182" s="619"/>
      <c r="K182" s="619"/>
      <c r="L182" s="619"/>
      <c r="M182" s="619"/>
      <c r="N182" s="619"/>
      <c r="O182" s="619"/>
      <c r="P182" s="619"/>
      <c r="Q182" s="619"/>
      <c r="R182" s="619"/>
      <c r="S182" s="619"/>
      <c r="T182" s="619"/>
      <c r="U182" s="619"/>
      <c r="V182" s="619"/>
      <c r="W182" s="619"/>
      <c r="X182" s="619"/>
      <c r="Y182" s="619"/>
      <c r="Z182" s="619"/>
      <c r="AA182" s="619"/>
      <c r="AB182" s="619"/>
      <c r="AC182" s="619"/>
      <c r="AD182" s="619"/>
      <c r="AE182" s="619"/>
      <c r="AF182" s="619"/>
      <c r="AG182" s="619"/>
      <c r="AH182" s="619"/>
      <c r="AI182" s="619"/>
      <c r="AJ182" s="619"/>
      <c r="AK182" s="619"/>
      <c r="AL182" s="619"/>
    </row>
    <row r="183" spans="1:38" ht="14.25" customHeight="1">
      <c r="A183" s="619">
        <v>2</v>
      </c>
      <c r="B183" s="155"/>
      <c r="C183" s="160" t="s">
        <v>72</v>
      </c>
      <c r="D183" s="233">
        <f>'Copia de Combustibles'!D157*$D$234</f>
        <v>15.491889765932257</v>
      </c>
      <c r="E183" s="233">
        <f>'Copia de Combustibles'!E157*$D$234</f>
        <v>16.328033741304914</v>
      </c>
      <c r="F183" s="233">
        <f>'Copia de Combustibles'!F157*$D$234</f>
        <v>16.44997140438009</v>
      </c>
      <c r="G183" s="234">
        <f>'Copia de Combustibles'!G157*$D$234</f>
        <v>15.904155198234053</v>
      </c>
      <c r="H183" s="619"/>
      <c r="I183" s="619"/>
      <c r="J183" s="619"/>
      <c r="K183" s="619"/>
      <c r="L183" s="619"/>
      <c r="M183" s="619"/>
      <c r="N183" s="619"/>
      <c r="O183" s="619"/>
      <c r="P183" s="619"/>
      <c r="Q183" s="619"/>
      <c r="R183" s="619"/>
      <c r="S183" s="619"/>
      <c r="T183" s="619"/>
      <c r="U183" s="619"/>
      <c r="V183" s="619"/>
      <c r="W183" s="619"/>
      <c r="X183" s="619"/>
      <c r="Y183" s="619"/>
      <c r="Z183" s="619"/>
      <c r="AA183" s="619"/>
      <c r="AB183" s="619"/>
      <c r="AC183" s="619"/>
      <c r="AD183" s="619"/>
      <c r="AE183" s="619"/>
      <c r="AF183" s="619"/>
      <c r="AG183" s="619"/>
      <c r="AH183" s="619"/>
      <c r="AI183" s="619"/>
      <c r="AJ183" s="619"/>
      <c r="AK183" s="619"/>
      <c r="AL183" s="619"/>
    </row>
    <row r="184" spans="1:38" ht="14.25" customHeight="1">
      <c r="A184" s="619">
        <v>2</v>
      </c>
      <c r="B184" s="155"/>
      <c r="C184" s="160" t="s">
        <v>73</v>
      </c>
      <c r="D184" s="233">
        <f>'Copia de Combustibles'!D158*$D$234</f>
        <v>19.875839081254167</v>
      </c>
      <c r="E184" s="233">
        <f>'Copia de Combustibles'!E158*$D$234</f>
        <v>17.762252921284396</v>
      </c>
      <c r="F184" s="233">
        <f>'Copia de Combustibles'!F158*$D$234</f>
        <v>15.340919325934417</v>
      </c>
      <c r="G184" s="234">
        <f>'Copia de Combustibles'!G158*$D$234</f>
        <v>15.282853772089092</v>
      </c>
      <c r="H184" s="619"/>
      <c r="I184" s="619"/>
      <c r="J184" s="619"/>
      <c r="K184" s="619"/>
      <c r="L184" s="619"/>
      <c r="M184" s="619"/>
      <c r="N184" s="619"/>
      <c r="O184" s="619"/>
      <c r="P184" s="619"/>
      <c r="Q184" s="619"/>
      <c r="R184" s="619"/>
      <c r="S184" s="619"/>
      <c r="T184" s="619"/>
      <c r="U184" s="619"/>
      <c r="V184" s="619"/>
      <c r="W184" s="619"/>
      <c r="X184" s="619"/>
      <c r="Y184" s="619"/>
      <c r="Z184" s="619"/>
      <c r="AA184" s="619"/>
      <c r="AB184" s="619"/>
      <c r="AC184" s="619"/>
      <c r="AD184" s="619"/>
      <c r="AE184" s="619"/>
      <c r="AF184" s="619"/>
      <c r="AG184" s="619"/>
      <c r="AH184" s="619"/>
      <c r="AI184" s="619"/>
      <c r="AJ184" s="619"/>
      <c r="AK184" s="619"/>
      <c r="AL184" s="619"/>
    </row>
    <row r="185" spans="1:38" ht="14.25" customHeight="1">
      <c r="A185" s="619"/>
      <c r="B185" s="155"/>
      <c r="C185" s="160" t="s">
        <v>74</v>
      </c>
      <c r="D185" s="233">
        <f>'Copia de Combustibles'!D159*$D$234</f>
        <v>2.7290810307301951</v>
      </c>
      <c r="E185" s="233">
        <f>'Copia de Combustibles'!E159*$D$234</f>
        <v>2.9497301353424237</v>
      </c>
      <c r="F185" s="233">
        <f>'Copia de Combustibles'!F159*$D$234</f>
        <v>3.0426350214949411</v>
      </c>
      <c r="G185" s="234">
        <f>'Copia de Combustibles'!G159*$D$234</f>
        <v>2.659402366115807</v>
      </c>
      <c r="H185" s="619"/>
      <c r="I185" s="619"/>
      <c r="J185" s="619"/>
      <c r="K185" s="619"/>
      <c r="L185" s="619"/>
      <c r="M185" s="619"/>
      <c r="N185" s="619"/>
      <c r="O185" s="619"/>
      <c r="P185" s="619"/>
      <c r="Q185" s="619"/>
      <c r="R185" s="619"/>
      <c r="S185" s="619"/>
      <c r="T185" s="619"/>
      <c r="U185" s="619"/>
      <c r="V185" s="619"/>
      <c r="W185" s="619"/>
      <c r="X185" s="619"/>
      <c r="Y185" s="619"/>
      <c r="Z185" s="619"/>
      <c r="AA185" s="619"/>
      <c r="AB185" s="619"/>
      <c r="AC185" s="619"/>
      <c r="AD185" s="619"/>
      <c r="AE185" s="619"/>
      <c r="AF185" s="619"/>
      <c r="AG185" s="619"/>
      <c r="AH185" s="619"/>
      <c r="AI185" s="619"/>
      <c r="AJ185" s="619"/>
      <c r="AK185" s="619"/>
      <c r="AL185" s="619"/>
    </row>
    <row r="186" spans="1:38" ht="14.25" customHeight="1">
      <c r="A186" s="619"/>
      <c r="B186" s="155"/>
      <c r="C186" s="160" t="s">
        <v>75</v>
      </c>
      <c r="D186" s="233">
        <f>'Copia de Combustibles'!D160*$D$234</f>
        <v>0.73162597845107358</v>
      </c>
      <c r="E186" s="233">
        <f>'Copia de Combustibles'!E160*$D$234</f>
        <v>0.58646209383776537</v>
      </c>
      <c r="F186" s="233">
        <f>'Copia de Combustibles'!F160*$D$234</f>
        <v>0.61549487076042697</v>
      </c>
      <c r="G186" s="234">
        <f>'Copia de Combustibles'!G160*$D$234</f>
        <v>0.57484898306870069</v>
      </c>
      <c r="H186" s="619"/>
      <c r="I186" s="619"/>
      <c r="J186" s="619"/>
      <c r="K186" s="619"/>
      <c r="L186" s="619"/>
      <c r="M186" s="619"/>
      <c r="N186" s="619"/>
      <c r="O186" s="619"/>
      <c r="P186" s="619"/>
      <c r="Q186" s="619"/>
      <c r="R186" s="619"/>
      <c r="S186" s="619"/>
      <c r="T186" s="619"/>
      <c r="U186" s="619"/>
      <c r="V186" s="619"/>
      <c r="W186" s="619"/>
      <c r="X186" s="619"/>
      <c r="Y186" s="619"/>
      <c r="Z186" s="619"/>
      <c r="AA186" s="619"/>
      <c r="AB186" s="619"/>
      <c r="AC186" s="619"/>
      <c r="AD186" s="619"/>
      <c r="AE186" s="619"/>
      <c r="AF186" s="619"/>
      <c r="AG186" s="619"/>
      <c r="AH186" s="619"/>
      <c r="AI186" s="619"/>
      <c r="AJ186" s="619"/>
      <c r="AK186" s="619"/>
      <c r="AL186" s="619"/>
    </row>
    <row r="187" spans="1:38" ht="14.25" customHeight="1">
      <c r="A187" s="619"/>
      <c r="B187" s="155"/>
      <c r="C187" s="160" t="s">
        <v>76</v>
      </c>
      <c r="D187" s="233">
        <f>'Copia de Combustibles'!D161*$D$234</f>
        <v>0</v>
      </c>
      <c r="E187" s="233">
        <f>'Copia de Combustibles'!E161*$D$234</f>
        <v>0</v>
      </c>
      <c r="F187" s="233">
        <f>'Copia de Combustibles'!F161*$D$234</f>
        <v>0</v>
      </c>
      <c r="G187" s="234">
        <f>'Copia de Combustibles'!G161*$D$234</f>
        <v>0</v>
      </c>
      <c r="H187" s="619"/>
      <c r="I187" s="619"/>
      <c r="J187" s="619"/>
      <c r="K187" s="619"/>
      <c r="L187" s="619"/>
      <c r="M187" s="619"/>
      <c r="N187" s="619"/>
      <c r="O187" s="619"/>
      <c r="P187" s="619"/>
      <c r="Q187" s="619"/>
      <c r="R187" s="619"/>
      <c r="S187" s="619"/>
      <c r="T187" s="619"/>
      <c r="U187" s="619"/>
      <c r="V187" s="619"/>
      <c r="W187" s="619"/>
      <c r="X187" s="619"/>
      <c r="Y187" s="619"/>
      <c r="Z187" s="619"/>
      <c r="AA187" s="619"/>
      <c r="AB187" s="619"/>
      <c r="AC187" s="619"/>
      <c r="AD187" s="619"/>
      <c r="AE187" s="619"/>
      <c r="AF187" s="619"/>
      <c r="AG187" s="619"/>
      <c r="AH187" s="619"/>
      <c r="AI187" s="619"/>
      <c r="AJ187" s="619"/>
      <c r="AK187" s="619"/>
      <c r="AL187" s="619"/>
    </row>
    <row r="188" spans="1:38" ht="14.25" customHeight="1">
      <c r="A188" s="619"/>
      <c r="B188" s="155"/>
      <c r="C188" s="160" t="s">
        <v>77</v>
      </c>
      <c r="D188" s="233">
        <f>'Copia de Combustibles'!D162*$D$234</f>
        <v>15.828669978235132</v>
      </c>
      <c r="E188" s="233">
        <f>'Copia de Combustibles'!E162*$D$234</f>
        <v>17.62289559205562</v>
      </c>
      <c r="F188" s="233">
        <f>'Copia de Combustibles'!F162*$D$234</f>
        <v>16.693846730530449</v>
      </c>
      <c r="G188" s="234">
        <f>'Copia de Combustibles'!G162*$D$234</f>
        <v>17.379020265905265</v>
      </c>
      <c r="H188" s="619"/>
      <c r="I188" s="619"/>
      <c r="J188" s="619"/>
      <c r="K188" s="619"/>
      <c r="L188" s="619"/>
      <c r="M188" s="619"/>
      <c r="N188" s="619"/>
      <c r="O188" s="619"/>
      <c r="P188" s="619"/>
      <c r="Q188" s="619"/>
      <c r="R188" s="619"/>
      <c r="S188" s="619"/>
      <c r="T188" s="619"/>
      <c r="U188" s="619"/>
      <c r="V188" s="619"/>
      <c r="W188" s="619"/>
      <c r="X188" s="619"/>
      <c r="Y188" s="619"/>
      <c r="Z188" s="619"/>
      <c r="AA188" s="619"/>
      <c r="AB188" s="619"/>
      <c r="AC188" s="619"/>
      <c r="AD188" s="619"/>
      <c r="AE188" s="619"/>
      <c r="AF188" s="619"/>
      <c r="AG188" s="619"/>
      <c r="AH188" s="619"/>
      <c r="AI188" s="619"/>
      <c r="AJ188" s="619"/>
      <c r="AK188" s="619"/>
      <c r="AL188" s="619"/>
    </row>
    <row r="189" spans="1:38" ht="14.25" customHeight="1">
      <c r="A189" s="619"/>
      <c r="B189" s="155"/>
      <c r="C189" s="160" t="s">
        <v>78</v>
      </c>
      <c r="D189" s="233">
        <f>'Copia de Combustibles'!D163*$D$234</f>
        <v>26.495312219621024</v>
      </c>
      <c r="E189" s="233">
        <f>'Copia de Combustibles'!E163*$D$234</f>
        <v>19.091954104342303</v>
      </c>
      <c r="F189" s="233">
        <f>'Copia de Combustibles'!F163*$D$234</f>
        <v>14.864781784402766</v>
      </c>
      <c r="G189" s="234">
        <f>'Copia de Combustibles'!G163*$D$234</f>
        <v>13.3086249413481</v>
      </c>
      <c r="H189" s="619"/>
      <c r="I189" s="619"/>
      <c r="J189" s="619"/>
      <c r="K189" s="619"/>
      <c r="L189" s="619"/>
      <c r="M189" s="619"/>
      <c r="N189" s="619"/>
      <c r="O189" s="619"/>
      <c r="P189" s="619"/>
      <c r="Q189" s="619"/>
      <c r="R189" s="619"/>
      <c r="S189" s="619"/>
      <c r="T189" s="619"/>
      <c r="U189" s="619"/>
      <c r="V189" s="619"/>
      <c r="W189" s="619"/>
      <c r="X189" s="619"/>
      <c r="Y189" s="619"/>
      <c r="Z189" s="619"/>
      <c r="AA189" s="619"/>
      <c r="AB189" s="619"/>
      <c r="AC189" s="619"/>
      <c r="AD189" s="619"/>
      <c r="AE189" s="619"/>
      <c r="AF189" s="619"/>
      <c r="AG189" s="619"/>
      <c r="AH189" s="619"/>
      <c r="AI189" s="619"/>
      <c r="AJ189" s="619"/>
      <c r="AK189" s="619"/>
      <c r="AL189" s="619"/>
    </row>
    <row r="190" spans="1:38" ht="14.25" customHeight="1">
      <c r="A190" s="619"/>
      <c r="B190" s="155"/>
      <c r="C190" s="160" t="s">
        <v>79</v>
      </c>
      <c r="D190" s="233">
        <f>'Copia de Combustibles'!D164*$D$234</f>
        <v>4.0762018799416957</v>
      </c>
      <c r="E190" s="233">
        <f>'Copia de Combustibles'!E164*$D$234</f>
        <v>2.2239107122758823</v>
      </c>
      <c r="F190" s="233">
        <f>'Copia de Combustibles'!F164*$D$234</f>
        <v>1.3645405153650976</v>
      </c>
      <c r="G190" s="234">
        <f>'Copia de Combustibles'!G164*$D$234</f>
        <v>1.6955141722834404</v>
      </c>
      <c r="H190" s="619"/>
      <c r="I190" s="619"/>
      <c r="J190" s="619"/>
      <c r="K190" s="619"/>
      <c r="L190" s="619"/>
      <c r="M190" s="619"/>
      <c r="N190" s="619"/>
      <c r="O190" s="619"/>
      <c r="P190" s="619"/>
      <c r="Q190" s="619"/>
      <c r="R190" s="619"/>
      <c r="S190" s="619"/>
      <c r="T190" s="619"/>
      <c r="U190" s="619"/>
      <c r="V190" s="619"/>
      <c r="W190" s="619"/>
      <c r="X190" s="619"/>
      <c r="Y190" s="619"/>
      <c r="Z190" s="619"/>
      <c r="AA190" s="619"/>
      <c r="AB190" s="619"/>
      <c r="AC190" s="619"/>
      <c r="AD190" s="619"/>
      <c r="AE190" s="619"/>
      <c r="AF190" s="619"/>
      <c r="AG190" s="619"/>
      <c r="AH190" s="619"/>
      <c r="AI190" s="619"/>
      <c r="AJ190" s="619"/>
      <c r="AK190" s="619"/>
      <c r="AL190" s="619"/>
    </row>
    <row r="191" spans="1:38" ht="14.25" customHeight="1">
      <c r="A191" s="619"/>
      <c r="B191" s="155"/>
      <c r="C191" s="160" t="s">
        <v>80</v>
      </c>
      <c r="D191" s="233">
        <f>'Copia de Combustibles'!D165*$D$234</f>
        <v>0.92324230614064051</v>
      </c>
      <c r="E191" s="233">
        <f>'Copia de Combustibles'!E165*$D$234</f>
        <v>0.86517675229531721</v>
      </c>
      <c r="F191" s="233">
        <f>'Copia de Combustibles'!F165*$D$234</f>
        <v>0.92904886152517285</v>
      </c>
      <c r="G191" s="234">
        <f>'Copia de Combustibles'!G165*$D$234</f>
        <v>0.88259641844891423</v>
      </c>
      <c r="H191" s="619"/>
      <c r="I191" s="619"/>
      <c r="J191" s="619"/>
      <c r="K191" s="619"/>
      <c r="L191" s="619"/>
      <c r="M191" s="619"/>
      <c r="N191" s="619"/>
      <c r="O191" s="619"/>
      <c r="P191" s="619"/>
      <c r="Q191" s="619"/>
      <c r="R191" s="619"/>
      <c r="S191" s="619"/>
      <c r="T191" s="619"/>
      <c r="U191" s="619"/>
      <c r="V191" s="619"/>
      <c r="W191" s="619"/>
      <c r="X191" s="619"/>
      <c r="Y191" s="619"/>
      <c r="Z191" s="619"/>
      <c r="AA191" s="619"/>
      <c r="AB191" s="619"/>
      <c r="AC191" s="619"/>
      <c r="AD191" s="619"/>
      <c r="AE191" s="619"/>
      <c r="AF191" s="619"/>
      <c r="AG191" s="619"/>
      <c r="AH191" s="619"/>
      <c r="AI191" s="619"/>
      <c r="AJ191" s="619"/>
      <c r="AK191" s="619"/>
      <c r="AL191" s="619"/>
    </row>
    <row r="192" spans="1:38" ht="14.25" customHeight="1">
      <c r="A192" s="619"/>
      <c r="B192" s="155"/>
      <c r="C192" s="160" t="s">
        <v>81</v>
      </c>
      <c r="D192" s="233">
        <f t="shared" ref="D192:G192" si="31">925.07/1000</f>
        <v>0.92507000000000006</v>
      </c>
      <c r="E192" s="233">
        <f t="shared" si="31"/>
        <v>0.92507000000000006</v>
      </c>
      <c r="F192" s="233">
        <f t="shared" si="31"/>
        <v>0.92507000000000006</v>
      </c>
      <c r="G192" s="234">
        <f t="shared" si="31"/>
        <v>0.92507000000000006</v>
      </c>
      <c r="H192" s="619"/>
      <c r="I192" s="619"/>
      <c r="J192" s="619"/>
      <c r="K192" s="619"/>
      <c r="L192" s="619"/>
      <c r="M192" s="619"/>
      <c r="N192" s="619"/>
      <c r="O192" s="619"/>
      <c r="P192" s="619"/>
      <c r="Q192" s="619"/>
      <c r="R192" s="619"/>
      <c r="S192" s="619"/>
      <c r="T192" s="619"/>
      <c r="U192" s="619"/>
      <c r="V192" s="619"/>
      <c r="W192" s="619"/>
      <c r="X192" s="619"/>
      <c r="Y192" s="619"/>
      <c r="Z192" s="619"/>
      <c r="AA192" s="619"/>
      <c r="AB192" s="619"/>
      <c r="AC192" s="619"/>
      <c r="AD192" s="619"/>
      <c r="AE192" s="619"/>
      <c r="AF192" s="619"/>
      <c r="AG192" s="619"/>
      <c r="AH192" s="619"/>
      <c r="AI192" s="619"/>
      <c r="AJ192" s="619"/>
      <c r="AK192" s="619"/>
      <c r="AL192" s="619"/>
    </row>
    <row r="193" spans="1:38" ht="14.25" customHeight="1">
      <c r="A193" s="619"/>
      <c r="B193" s="155"/>
      <c r="C193" s="164" t="s">
        <v>39</v>
      </c>
      <c r="D193" s="233">
        <f t="shared" ref="D193:G193" si="32">SUM(D183:D191)</f>
        <v>86.151862240306173</v>
      </c>
      <c r="E193" s="233">
        <f t="shared" si="32"/>
        <v>77.430416052738607</v>
      </c>
      <c r="F193" s="233">
        <f t="shared" si="32"/>
        <v>69.301238514393361</v>
      </c>
      <c r="G193" s="234">
        <f t="shared" si="32"/>
        <v>67.687016117493371</v>
      </c>
      <c r="H193" s="619"/>
      <c r="I193" s="619"/>
      <c r="J193" s="619"/>
      <c r="K193" s="619"/>
      <c r="L193" s="619"/>
      <c r="M193" s="619"/>
      <c r="N193" s="619"/>
      <c r="O193" s="619"/>
      <c r="P193" s="619"/>
      <c r="Q193" s="619"/>
      <c r="R193" s="619"/>
      <c r="S193" s="619"/>
      <c r="T193" s="619"/>
      <c r="U193" s="619"/>
      <c r="V193" s="619"/>
      <c r="W193" s="619"/>
      <c r="X193" s="619"/>
      <c r="Y193" s="619"/>
      <c r="Z193" s="619"/>
      <c r="AA193" s="619"/>
      <c r="AB193" s="619"/>
      <c r="AC193" s="619"/>
      <c r="AD193" s="619"/>
      <c r="AE193" s="619"/>
      <c r="AF193" s="619"/>
      <c r="AG193" s="619"/>
      <c r="AH193" s="619"/>
      <c r="AI193" s="619"/>
      <c r="AJ193" s="619"/>
      <c r="AK193" s="619"/>
      <c r="AL193" s="619"/>
    </row>
    <row r="194" spans="1:38" ht="14.25" customHeight="1">
      <c r="A194" s="619"/>
      <c r="B194" s="167"/>
      <c r="C194" s="222"/>
      <c r="D194" s="230"/>
      <c r="E194" s="230"/>
      <c r="F194" s="230"/>
      <c r="G194" s="231"/>
      <c r="H194" s="619"/>
      <c r="I194" s="619"/>
      <c r="J194" s="619"/>
      <c r="K194" s="619"/>
      <c r="L194" s="619"/>
      <c r="M194" s="619"/>
      <c r="N194" s="619"/>
      <c r="O194" s="619"/>
      <c r="P194" s="619"/>
      <c r="Q194" s="619"/>
      <c r="R194" s="619"/>
      <c r="S194" s="619"/>
      <c r="T194" s="619"/>
      <c r="U194" s="619"/>
      <c r="V194" s="619"/>
      <c r="W194" s="619"/>
      <c r="X194" s="619"/>
      <c r="Y194" s="619"/>
      <c r="Z194" s="619"/>
      <c r="AA194" s="619"/>
      <c r="AB194" s="619"/>
      <c r="AC194" s="619"/>
      <c r="AD194" s="619"/>
      <c r="AE194" s="619"/>
      <c r="AF194" s="619"/>
      <c r="AG194" s="619"/>
      <c r="AH194" s="619"/>
      <c r="AI194" s="619"/>
      <c r="AJ194" s="619"/>
      <c r="AK194" s="619"/>
      <c r="AL194" s="619"/>
    </row>
    <row r="195" spans="1:38" ht="14.25" customHeight="1">
      <c r="A195" s="619"/>
      <c r="B195" s="619"/>
      <c r="C195" s="4"/>
      <c r="D195" s="5"/>
      <c r="E195" s="5"/>
      <c r="F195" s="5"/>
      <c r="G195" s="5"/>
      <c r="H195" s="619"/>
      <c r="I195" s="619"/>
      <c r="J195" s="619"/>
      <c r="K195" s="619"/>
      <c r="L195" s="619"/>
      <c r="M195" s="619"/>
      <c r="N195" s="619"/>
      <c r="O195" s="619"/>
      <c r="P195" s="619"/>
      <c r="Q195" s="619"/>
      <c r="R195" s="619"/>
      <c r="S195" s="619"/>
      <c r="T195" s="619"/>
      <c r="U195" s="619"/>
      <c r="V195" s="619"/>
      <c r="W195" s="619"/>
      <c r="X195" s="619"/>
      <c r="Y195" s="619"/>
      <c r="Z195" s="619"/>
      <c r="AA195" s="619"/>
      <c r="AB195" s="619"/>
      <c r="AC195" s="619"/>
      <c r="AD195" s="619"/>
      <c r="AE195" s="619"/>
      <c r="AF195" s="619"/>
      <c r="AG195" s="619"/>
      <c r="AH195" s="619"/>
      <c r="AI195" s="619"/>
      <c r="AJ195" s="619"/>
      <c r="AK195" s="619"/>
      <c r="AL195" s="619"/>
    </row>
    <row r="196" spans="1:38" ht="14.25" customHeight="1">
      <c r="A196" s="619"/>
      <c r="B196" s="6"/>
      <c r="C196" s="152"/>
      <c r="D196" s="232" t="s">
        <v>70</v>
      </c>
      <c r="E196" s="200"/>
      <c r="F196" s="200"/>
      <c r="G196" s="201"/>
      <c r="H196" s="619"/>
      <c r="I196" s="619"/>
      <c r="J196" s="619"/>
      <c r="K196" s="619"/>
      <c r="L196" s="619"/>
      <c r="M196" s="619"/>
      <c r="N196" s="619"/>
      <c r="O196" s="619"/>
      <c r="P196" s="619"/>
      <c r="Q196" s="619"/>
      <c r="R196" s="619"/>
      <c r="S196" s="619"/>
      <c r="T196" s="619"/>
      <c r="U196" s="619"/>
      <c r="V196" s="619"/>
      <c r="W196" s="619"/>
      <c r="X196" s="619"/>
      <c r="Y196" s="619"/>
      <c r="Z196" s="619"/>
      <c r="AA196" s="619"/>
      <c r="AB196" s="619"/>
      <c r="AC196" s="619"/>
      <c r="AD196" s="619"/>
      <c r="AE196" s="619"/>
      <c r="AF196" s="619"/>
      <c r="AG196" s="619"/>
      <c r="AH196" s="619"/>
      <c r="AI196" s="619"/>
      <c r="AJ196" s="619"/>
      <c r="AK196" s="619"/>
      <c r="AL196" s="619"/>
    </row>
    <row r="197" spans="1:38" ht="14.25" customHeight="1">
      <c r="A197" s="619"/>
      <c r="B197" s="155"/>
      <c r="C197" s="156" t="s">
        <v>82</v>
      </c>
      <c r="D197" s="161">
        <v>2018</v>
      </c>
      <c r="E197" s="161">
        <v>2019</v>
      </c>
      <c r="F197" s="161">
        <v>2020</v>
      </c>
      <c r="G197" s="162">
        <v>2021</v>
      </c>
      <c r="H197" s="619"/>
      <c r="I197" s="619"/>
      <c r="J197" s="619"/>
      <c r="K197" s="619"/>
      <c r="L197" s="619"/>
      <c r="M197" s="619"/>
      <c r="N197" s="619"/>
      <c r="O197" s="619"/>
      <c r="P197" s="619"/>
      <c r="Q197" s="619"/>
      <c r="R197" s="619"/>
      <c r="S197" s="619"/>
      <c r="T197" s="619"/>
      <c r="U197" s="619"/>
      <c r="V197" s="619"/>
      <c r="W197" s="619"/>
      <c r="X197" s="619"/>
      <c r="Y197" s="619"/>
      <c r="Z197" s="619"/>
      <c r="AA197" s="619"/>
      <c r="AB197" s="619"/>
      <c r="AC197" s="619"/>
      <c r="AD197" s="619"/>
      <c r="AE197" s="619"/>
      <c r="AF197" s="619"/>
      <c r="AG197" s="619"/>
      <c r="AH197" s="619"/>
      <c r="AI197" s="619"/>
      <c r="AJ197" s="619"/>
      <c r="AK197" s="619"/>
      <c r="AL197" s="619"/>
    </row>
    <row r="198" spans="1:38" ht="14.25" customHeight="1">
      <c r="A198" s="619">
        <v>2</v>
      </c>
      <c r="B198" s="155"/>
      <c r="C198" s="160" t="s">
        <v>72</v>
      </c>
      <c r="D198" s="235">
        <f>Electricidad!E314+Electricidad!E322</f>
        <v>6.2195600145607974</v>
      </c>
      <c r="E198" s="235">
        <f>Electricidad!F314+Electricidad!F322</f>
        <v>6.1103192265878521</v>
      </c>
      <c r="F198" s="235">
        <f>Electricidad!G314+Electricidad!G322</f>
        <v>5.9126750523086171</v>
      </c>
      <c r="G198" s="224"/>
      <c r="H198" s="619"/>
      <c r="I198" s="619"/>
      <c r="J198" s="619"/>
      <c r="K198" s="619"/>
      <c r="L198" s="619"/>
      <c r="M198" s="619"/>
      <c r="N198" s="619"/>
      <c r="O198" s="619"/>
      <c r="P198" s="619"/>
      <c r="Q198" s="619"/>
      <c r="R198" s="619"/>
      <c r="S198" s="619"/>
      <c r="T198" s="619"/>
      <c r="U198" s="619"/>
      <c r="V198" s="619"/>
      <c r="W198" s="619"/>
      <c r="X198" s="619"/>
      <c r="Y198" s="619"/>
      <c r="Z198" s="619"/>
      <c r="AA198" s="619"/>
      <c r="AB198" s="619"/>
      <c r="AC198" s="619"/>
      <c r="AD198" s="619"/>
      <c r="AE198" s="619"/>
      <c r="AF198" s="619"/>
      <c r="AG198" s="619"/>
      <c r="AH198" s="619"/>
      <c r="AI198" s="619"/>
      <c r="AJ198" s="619"/>
      <c r="AK198" s="619"/>
      <c r="AL198" s="619"/>
    </row>
    <row r="199" spans="1:38" ht="14.25" customHeight="1">
      <c r="A199" s="619">
        <v>2</v>
      </c>
      <c r="B199" s="155"/>
      <c r="C199" s="160" t="s">
        <v>73</v>
      </c>
      <c r="D199" s="235">
        <f>Electricidad!E270+Electricidad!E317+Electricidad!E321+Electricidad!E329</f>
        <v>6.0353556386884799</v>
      </c>
      <c r="E199" s="235">
        <f>Electricidad!F270+Electricidad!F317+Electricidad!F321+Electricidad!F329</f>
        <v>5.5821378527306615</v>
      </c>
      <c r="F199" s="235">
        <f>Electricidad!G270+Electricidad!G317+Electricidad!G321+Electricidad!G329</f>
        <v>4.9290096192611195</v>
      </c>
      <c r="G199" s="224"/>
      <c r="H199" s="619"/>
      <c r="I199" s="619"/>
      <c r="J199" s="619"/>
      <c r="K199" s="619"/>
      <c r="L199" s="619"/>
      <c r="M199" s="619"/>
      <c r="N199" s="619"/>
      <c r="O199" s="619"/>
      <c r="P199" s="619"/>
      <c r="Q199" s="619"/>
      <c r="R199" s="619"/>
      <c r="S199" s="619"/>
      <c r="T199" s="619"/>
      <c r="U199" s="619"/>
      <c r="V199" s="619"/>
      <c r="W199" s="619"/>
      <c r="X199" s="619"/>
      <c r="Y199" s="619"/>
      <c r="Z199" s="619"/>
      <c r="AA199" s="619"/>
      <c r="AB199" s="619"/>
      <c r="AC199" s="619"/>
      <c r="AD199" s="619"/>
      <c r="AE199" s="619"/>
      <c r="AF199" s="619"/>
      <c r="AG199" s="619"/>
      <c r="AH199" s="619"/>
      <c r="AI199" s="619"/>
      <c r="AJ199" s="619"/>
      <c r="AK199" s="619"/>
      <c r="AL199" s="619"/>
    </row>
    <row r="200" spans="1:38" ht="14.25" customHeight="1">
      <c r="A200" s="619"/>
      <c r="B200" s="155"/>
      <c r="C200" s="160" t="s">
        <v>74</v>
      </c>
      <c r="D200" s="235">
        <f>Electricidad!E252</f>
        <v>1.3759203419650334</v>
      </c>
      <c r="E200" s="235">
        <f>Electricidad!F252</f>
        <v>1.4878806610556581</v>
      </c>
      <c r="F200" s="235">
        <f>Electricidad!G252</f>
        <v>1.5347486942352482</v>
      </c>
      <c r="G200" s="224"/>
      <c r="H200" s="619"/>
      <c r="I200" s="619"/>
      <c r="J200" s="619"/>
      <c r="K200" s="619"/>
      <c r="L200" s="619"/>
      <c r="M200" s="619"/>
      <c r="N200" s="619"/>
      <c r="O200" s="619"/>
      <c r="P200" s="619"/>
      <c r="Q200" s="619"/>
      <c r="R200" s="619"/>
      <c r="S200" s="619"/>
      <c r="T200" s="619"/>
      <c r="U200" s="619"/>
      <c r="V200" s="619"/>
      <c r="W200" s="619"/>
      <c r="X200" s="619"/>
      <c r="Y200" s="619"/>
      <c r="Z200" s="619"/>
      <c r="AA200" s="619"/>
      <c r="AB200" s="619"/>
      <c r="AC200" s="619"/>
      <c r="AD200" s="619"/>
      <c r="AE200" s="619"/>
      <c r="AF200" s="619"/>
      <c r="AG200" s="619"/>
      <c r="AH200" s="619"/>
      <c r="AI200" s="619"/>
      <c r="AJ200" s="619"/>
      <c r="AK200" s="619"/>
      <c r="AL200" s="619"/>
    </row>
    <row r="201" spans="1:38" ht="14.25" customHeight="1">
      <c r="A201" s="619"/>
      <c r="B201" s="155"/>
      <c r="C201" s="160" t="s">
        <v>75</v>
      </c>
      <c r="D201" s="160"/>
      <c r="E201" s="160"/>
      <c r="F201" s="160"/>
      <c r="G201" s="224"/>
      <c r="H201" s="619"/>
      <c r="I201" s="619"/>
      <c r="J201" s="619"/>
      <c r="K201" s="619"/>
      <c r="L201" s="619"/>
      <c r="M201" s="619"/>
      <c r="N201" s="619"/>
      <c r="O201" s="619"/>
      <c r="P201" s="619"/>
      <c r="Q201" s="619"/>
      <c r="R201" s="619"/>
      <c r="S201" s="619"/>
      <c r="T201" s="619"/>
      <c r="U201" s="619"/>
      <c r="V201" s="619"/>
      <c r="W201" s="619"/>
      <c r="X201" s="619"/>
      <c r="Y201" s="619"/>
      <c r="Z201" s="619"/>
      <c r="AA201" s="619"/>
      <c r="AB201" s="619"/>
      <c r="AC201" s="619"/>
      <c r="AD201" s="619"/>
      <c r="AE201" s="619"/>
      <c r="AF201" s="619"/>
      <c r="AG201" s="619"/>
      <c r="AH201" s="619"/>
      <c r="AI201" s="619"/>
      <c r="AJ201" s="619"/>
      <c r="AK201" s="619"/>
      <c r="AL201" s="619"/>
    </row>
    <row r="202" spans="1:38" ht="14.25" customHeight="1">
      <c r="A202" s="619"/>
      <c r="B202" s="155"/>
      <c r="C202" s="160" t="s">
        <v>76</v>
      </c>
      <c r="D202" s="160"/>
      <c r="E202" s="160"/>
      <c r="F202" s="160"/>
      <c r="G202" s="224"/>
      <c r="H202" s="619"/>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619"/>
    </row>
    <row r="203" spans="1:38" ht="14.25" customHeight="1">
      <c r="A203" s="619"/>
      <c r="B203" s="155"/>
      <c r="C203" s="160" t="s">
        <v>77</v>
      </c>
      <c r="D203" s="235">
        <f>Electricidad!E264+Electricidad!E269+Electricidad!E310+Electricidad!E312+Electricidad!E315+Electricidad!E320+Electricidad!E325+Electricidad!E327</f>
        <v>5.7717985720869835</v>
      </c>
      <c r="E203" s="235">
        <f>Electricidad!F264+Electricidad!F269+Electricidad!F310+Electricidad!F315+Electricidad!F320+Electricidad!F325</f>
        <v>5.8879874353752326</v>
      </c>
      <c r="F203" s="235">
        <f>Electricidad!G264+Electricidad!G269+Electricidad!G310+Electricidad!G315+Electricidad!G320+Electricidad!G325</f>
        <v>5.6880162266002365</v>
      </c>
      <c r="G203" s="224"/>
      <c r="H203" s="619"/>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619"/>
    </row>
    <row r="204" spans="1:38" ht="14.25" customHeight="1">
      <c r="A204" s="619"/>
      <c r="B204" s="155"/>
      <c r="C204" s="160" t="s">
        <v>78</v>
      </c>
      <c r="D204" s="235">
        <f>Electricidad!E265+Electricidad!E272+Electricidad!E316</f>
        <v>9.9722642736357106</v>
      </c>
      <c r="E204" s="235">
        <f>Electricidad!F265+Electricidad!F272+Electricidad!F316</f>
        <v>7.0932098359841209</v>
      </c>
      <c r="F204" s="235">
        <f>Electricidad!G265+Electricidad!G272+Electricidad!G316</f>
        <v>5.5318052998432536</v>
      </c>
      <c r="G204" s="224"/>
      <c r="H204" s="619"/>
      <c r="I204" s="619"/>
      <c r="J204" s="619"/>
      <c r="K204" s="619"/>
      <c r="L204" s="619"/>
      <c r="M204" s="619"/>
      <c r="N204" s="619"/>
      <c r="O204" s="619"/>
      <c r="P204" s="619"/>
      <c r="Q204" s="619"/>
      <c r="R204" s="619"/>
      <c r="S204" s="619"/>
      <c r="T204" s="619"/>
      <c r="U204" s="619"/>
      <c r="V204" s="619"/>
      <c r="W204" s="619"/>
      <c r="X204" s="619"/>
      <c r="Y204" s="619"/>
      <c r="Z204" s="619"/>
      <c r="AA204" s="619"/>
      <c r="AB204" s="619"/>
      <c r="AC204" s="619"/>
      <c r="AD204" s="619"/>
      <c r="AE204" s="619"/>
      <c r="AF204" s="619"/>
      <c r="AG204" s="619"/>
      <c r="AH204" s="619"/>
      <c r="AI204" s="619"/>
      <c r="AJ204" s="619"/>
      <c r="AK204" s="619"/>
      <c r="AL204" s="619"/>
    </row>
    <row r="205" spans="1:38" ht="14.25" customHeight="1">
      <c r="A205" s="619"/>
      <c r="B205" s="155"/>
      <c r="C205" s="160" t="s">
        <v>79</v>
      </c>
      <c r="D205" s="160"/>
      <c r="E205" s="160"/>
      <c r="F205" s="160"/>
      <c r="G205" s="224"/>
      <c r="H205" s="619"/>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619"/>
    </row>
    <row r="206" spans="1:38" ht="14.25" customHeight="1">
      <c r="A206" s="619"/>
      <c r="B206" s="155"/>
      <c r="C206" s="160" t="s">
        <v>80</v>
      </c>
      <c r="D206" s="235">
        <f>Electricidad!E275+Electricidad!E330</f>
        <v>0.16380518034114624</v>
      </c>
      <c r="E206" s="235">
        <f>Electricidad!F273+Electricidad!F330</f>
        <v>0.1480830490411065</v>
      </c>
      <c r="F206" s="235">
        <f>Electricidad!G273+Electricidad!G330</f>
        <v>0.15826465809811166</v>
      </c>
      <c r="G206" s="224"/>
      <c r="H206" s="619"/>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619"/>
    </row>
    <row r="207" spans="1:38" ht="14.25" customHeight="1">
      <c r="A207" s="619"/>
      <c r="B207" s="155"/>
      <c r="C207" s="160" t="s">
        <v>81</v>
      </c>
      <c r="D207" s="235">
        <f>Electricidad!E267</f>
        <v>0.85036223205432315</v>
      </c>
      <c r="E207" s="235">
        <f>Electricidad!F267</f>
        <v>0.57359787560150388</v>
      </c>
      <c r="F207" s="235">
        <f>Electricidad!G267</f>
        <v>0.55806665693659674</v>
      </c>
      <c r="G207" s="224"/>
      <c r="H207" s="619"/>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619"/>
    </row>
    <row r="208" spans="1:38" ht="14.25" customHeight="1">
      <c r="A208" s="619"/>
      <c r="B208" s="155"/>
      <c r="C208" s="164" t="s">
        <v>39</v>
      </c>
      <c r="D208" s="236"/>
      <c r="E208" s="236"/>
      <c r="F208" s="236"/>
      <c r="G208" s="224"/>
      <c r="H208" s="619"/>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619"/>
    </row>
    <row r="209" spans="1:38" ht="14.25" customHeight="1">
      <c r="A209" s="619"/>
      <c r="B209" s="167"/>
      <c r="C209" s="222"/>
      <c r="D209" s="230"/>
      <c r="E209" s="230"/>
      <c r="F209" s="230"/>
      <c r="G209" s="231"/>
      <c r="H209" s="619"/>
      <c r="I209" s="619"/>
      <c r="J209" s="619"/>
      <c r="K209" s="619"/>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619"/>
    </row>
    <row r="210" spans="1:38" ht="14.25" customHeight="1">
      <c r="A210" s="619"/>
      <c r="B210" s="619"/>
      <c r="C210" s="4"/>
      <c r="D210" s="5"/>
      <c r="E210" s="5"/>
      <c r="F210" s="5"/>
      <c r="G210" s="5"/>
      <c r="H210" s="619"/>
      <c r="I210" s="619"/>
      <c r="J210" s="619"/>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619"/>
    </row>
    <row r="211" spans="1:38" ht="14.25" customHeight="1">
      <c r="A211" s="619"/>
      <c r="B211" s="6"/>
      <c r="C211" s="152"/>
      <c r="D211" s="232" t="s">
        <v>83</v>
      </c>
      <c r="E211" s="200"/>
      <c r="F211" s="200"/>
      <c r="G211" s="201"/>
      <c r="H211" s="619"/>
      <c r="I211" s="619"/>
      <c r="J211" s="619"/>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619"/>
    </row>
    <row r="212" spans="1:38" ht="14.25" customHeight="1">
      <c r="A212" s="619"/>
      <c r="B212" s="155"/>
      <c r="C212" s="156" t="s">
        <v>46</v>
      </c>
      <c r="D212" s="161">
        <v>2018</v>
      </c>
      <c r="E212" s="161">
        <v>2019</v>
      </c>
      <c r="F212" s="161">
        <v>2020</v>
      </c>
      <c r="G212" s="203" t="s">
        <v>84</v>
      </c>
      <c r="H212" s="619"/>
      <c r="I212" s="619"/>
      <c r="J212" s="619"/>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619"/>
    </row>
    <row r="213" spans="1:38" ht="14.25" customHeight="1">
      <c r="A213" s="619">
        <v>2</v>
      </c>
      <c r="B213" s="179"/>
      <c r="C213" s="160" t="s">
        <v>85</v>
      </c>
      <c r="D213" s="160">
        <f t="shared" ref="D213:F213" si="33">ROUND(IFERROR(D183/D198,0),4)</f>
        <v>2.4908000000000001</v>
      </c>
      <c r="E213" s="160">
        <f t="shared" si="33"/>
        <v>2.6722000000000001</v>
      </c>
      <c r="F213" s="160">
        <f t="shared" si="33"/>
        <v>2.7822</v>
      </c>
      <c r="G213" s="224">
        <f t="shared" ref="G213:G221" si="34">ROUND(AVERAGE(D213:F213),4)</f>
        <v>2.6484000000000001</v>
      </c>
      <c r="H213" s="619"/>
      <c r="I213" s="619"/>
      <c r="J213" s="619"/>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619"/>
    </row>
    <row r="214" spans="1:38" ht="14.25" customHeight="1">
      <c r="A214" s="619">
        <v>2</v>
      </c>
      <c r="B214" s="179"/>
      <c r="C214" s="160" t="s">
        <v>86</v>
      </c>
      <c r="D214" s="160">
        <f t="shared" ref="D214:F214" si="35">ROUND(IFERROR(D184/D199,0),4)</f>
        <v>3.2932000000000001</v>
      </c>
      <c r="E214" s="160">
        <f t="shared" si="35"/>
        <v>3.1819999999999999</v>
      </c>
      <c r="F214" s="160">
        <f t="shared" si="35"/>
        <v>3.1124000000000001</v>
      </c>
      <c r="G214" s="224">
        <f t="shared" si="34"/>
        <v>3.1959</v>
      </c>
      <c r="H214" s="619"/>
      <c r="I214" s="619"/>
      <c r="J214" s="619"/>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619"/>
    </row>
    <row r="215" spans="1:38" ht="14.25" customHeight="1">
      <c r="A215" s="619"/>
      <c r="B215" s="179"/>
      <c r="C215" s="160" t="s">
        <v>87</v>
      </c>
      <c r="D215" s="160">
        <f t="shared" ref="D215:F215" si="36">ROUND(IFERROR(D185/D200,0),4)</f>
        <v>1.9835</v>
      </c>
      <c r="E215" s="160">
        <f t="shared" si="36"/>
        <v>1.9824999999999999</v>
      </c>
      <c r="F215" s="160">
        <f t="shared" si="36"/>
        <v>1.9824999999999999</v>
      </c>
      <c r="G215" s="224">
        <f t="shared" si="34"/>
        <v>1.9827999999999999</v>
      </c>
      <c r="H215" s="619"/>
      <c r="I215" s="619"/>
      <c r="J215" s="619"/>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619"/>
    </row>
    <row r="216" spans="1:38" ht="14.25" customHeight="1">
      <c r="A216" s="619"/>
      <c r="B216" s="179"/>
      <c r="C216" s="160" t="s">
        <v>88</v>
      </c>
      <c r="D216" s="160">
        <f t="shared" ref="D216:F216" si="37">ROUND(IFERROR(D186/D201,0),4)</f>
        <v>0</v>
      </c>
      <c r="E216" s="160">
        <f t="shared" si="37"/>
        <v>0</v>
      </c>
      <c r="F216" s="160">
        <f t="shared" si="37"/>
        <v>0</v>
      </c>
      <c r="G216" s="224">
        <f t="shared" si="34"/>
        <v>0</v>
      </c>
      <c r="H216" s="619"/>
      <c r="I216" s="619"/>
      <c r="J216" s="619"/>
      <c r="K216" s="619"/>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619"/>
    </row>
    <row r="217" spans="1:38" ht="14.25" customHeight="1">
      <c r="A217" s="619"/>
      <c r="B217" s="179"/>
      <c r="C217" s="160" t="s">
        <v>89</v>
      </c>
      <c r="D217" s="160">
        <f t="shared" ref="D217:F217" si="38">ROUND(IFERROR(D187/D202,0),4)</f>
        <v>0</v>
      </c>
      <c r="E217" s="160">
        <f t="shared" si="38"/>
        <v>0</v>
      </c>
      <c r="F217" s="160">
        <f t="shared" si="38"/>
        <v>0</v>
      </c>
      <c r="G217" s="224">
        <f t="shared" si="34"/>
        <v>0</v>
      </c>
      <c r="H217" s="619"/>
      <c r="I217" s="619"/>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619"/>
    </row>
    <row r="218" spans="1:38" ht="14.25" customHeight="1">
      <c r="A218" s="619"/>
      <c r="B218" s="179"/>
      <c r="C218" s="160" t="s">
        <v>90</v>
      </c>
      <c r="D218" s="160">
        <f t="shared" ref="D218:F218" si="39">ROUND(IFERROR(D188/D203,0),4)</f>
        <v>2.7423999999999999</v>
      </c>
      <c r="E218" s="160">
        <f t="shared" si="39"/>
        <v>2.9929999999999999</v>
      </c>
      <c r="F218" s="160">
        <f t="shared" si="39"/>
        <v>2.9348999999999998</v>
      </c>
      <c r="G218" s="224">
        <f t="shared" si="34"/>
        <v>2.8900999999999999</v>
      </c>
      <c r="H218" s="619"/>
      <c r="I218" s="619"/>
      <c r="J218" s="619"/>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619"/>
    </row>
    <row r="219" spans="1:38" ht="14.25" customHeight="1">
      <c r="A219" s="619"/>
      <c r="B219" s="179"/>
      <c r="C219" s="160" t="s">
        <v>91</v>
      </c>
      <c r="D219" s="160">
        <f t="shared" ref="D219:F219" si="40">ROUND(IFERROR(D189/D204,0),4)</f>
        <v>2.6568999999999998</v>
      </c>
      <c r="E219" s="160">
        <f t="shared" si="40"/>
        <v>2.6916000000000002</v>
      </c>
      <c r="F219" s="160">
        <f t="shared" si="40"/>
        <v>2.6871</v>
      </c>
      <c r="G219" s="224">
        <f t="shared" si="34"/>
        <v>2.6785000000000001</v>
      </c>
      <c r="H219" s="619"/>
      <c r="I219" s="619"/>
      <c r="J219" s="619"/>
      <c r="K219" s="619"/>
      <c r="L219" s="619"/>
      <c r="M219" s="619"/>
      <c r="N219" s="619"/>
      <c r="O219" s="619"/>
      <c r="P219" s="619"/>
      <c r="Q219" s="619"/>
      <c r="R219" s="619"/>
      <c r="S219" s="619"/>
      <c r="T219" s="619"/>
      <c r="U219" s="619"/>
      <c r="V219" s="619"/>
      <c r="W219" s="619"/>
      <c r="X219" s="619"/>
      <c r="Y219" s="619"/>
      <c r="Z219" s="619"/>
      <c r="AA219" s="619"/>
      <c r="AB219" s="619"/>
      <c r="AC219" s="619"/>
      <c r="AD219" s="619"/>
      <c r="AE219" s="619"/>
      <c r="AF219" s="619"/>
      <c r="AG219" s="619"/>
      <c r="AH219" s="619"/>
      <c r="AI219" s="619"/>
      <c r="AJ219" s="619"/>
      <c r="AK219" s="619"/>
      <c r="AL219" s="619"/>
    </row>
    <row r="220" spans="1:38" ht="14.25" customHeight="1">
      <c r="A220" s="619"/>
      <c r="B220" s="179"/>
      <c r="C220" s="160" t="s">
        <v>92</v>
      </c>
      <c r="D220" s="160">
        <f t="shared" ref="D220:F220" si="41">ROUND(IFERROR(D190/D205,0),4)</f>
        <v>0</v>
      </c>
      <c r="E220" s="160">
        <f t="shared" si="41"/>
        <v>0</v>
      </c>
      <c r="F220" s="160">
        <f t="shared" si="41"/>
        <v>0</v>
      </c>
      <c r="G220" s="224">
        <f t="shared" si="34"/>
        <v>0</v>
      </c>
      <c r="H220" s="619"/>
      <c r="I220" s="619"/>
      <c r="J220" s="619"/>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619"/>
    </row>
    <row r="221" spans="1:38" ht="14.25" customHeight="1">
      <c r="A221" s="619"/>
      <c r="B221" s="179"/>
      <c r="C221" s="160" t="s">
        <v>93</v>
      </c>
      <c r="D221" s="160">
        <f t="shared" ref="D221:F221" si="42">ROUND(IFERROR(D191/D206,0),4)</f>
        <v>5.6361999999999997</v>
      </c>
      <c r="E221" s="160">
        <f t="shared" si="42"/>
        <v>5.8425000000000002</v>
      </c>
      <c r="F221" s="160">
        <f t="shared" si="42"/>
        <v>5.8701999999999996</v>
      </c>
      <c r="G221" s="224">
        <f t="shared" si="34"/>
        <v>5.7830000000000004</v>
      </c>
      <c r="H221" s="619"/>
      <c r="I221" s="619"/>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619"/>
    </row>
    <row r="222" spans="1:38" ht="14.25" customHeight="1">
      <c r="A222" s="619"/>
      <c r="B222" s="179"/>
      <c r="C222" s="160" t="s">
        <v>81</v>
      </c>
      <c r="D222" s="160">
        <f>ROUND(IFERROR(D192/D207,0),4)</f>
        <v>1.0879000000000001</v>
      </c>
      <c r="E222" s="160"/>
      <c r="F222" s="160"/>
      <c r="G222" s="224"/>
      <c r="H222" s="619"/>
      <c r="I222" s="619"/>
      <c r="J222" s="619"/>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619"/>
    </row>
    <row r="223" spans="1:38" ht="14.25" customHeight="1">
      <c r="A223" s="619"/>
      <c r="B223" s="167"/>
      <c r="C223" s="222"/>
      <c r="D223" s="230"/>
      <c r="E223" s="230"/>
      <c r="F223" s="230"/>
      <c r="G223" s="231"/>
      <c r="H223" s="619"/>
      <c r="I223" s="619"/>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619"/>
    </row>
    <row r="224" spans="1:38" ht="14.25" customHeight="1">
      <c r="A224" s="619"/>
      <c r="B224" s="619"/>
      <c r="C224" s="4" t="s">
        <v>94</v>
      </c>
      <c r="D224" s="5"/>
      <c r="E224" s="5"/>
      <c r="F224" s="5"/>
      <c r="G224" s="5"/>
      <c r="H224" s="619"/>
      <c r="I224" s="619"/>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3"/>
      <c r="AL224" s="1"/>
    </row>
    <row r="225" spans="1:56" ht="14.25" customHeight="1">
      <c r="A225" s="619"/>
      <c r="B225" s="619"/>
      <c r="C225" s="12"/>
      <c r="D225" s="5"/>
      <c r="E225" s="5"/>
      <c r="F225" s="5"/>
      <c r="G225" s="5"/>
      <c r="H225" s="8"/>
      <c r="I225" s="619"/>
      <c r="J225" s="619"/>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3"/>
      <c r="AL225" s="1"/>
      <c r="AM225" s="8"/>
      <c r="AN225" s="8"/>
      <c r="AO225" s="8"/>
      <c r="AP225" s="8"/>
      <c r="AQ225" s="8"/>
      <c r="AR225" s="8"/>
      <c r="AS225" s="8"/>
      <c r="AT225" s="8"/>
      <c r="AU225" s="8"/>
      <c r="AV225" s="8"/>
      <c r="AW225" s="8"/>
      <c r="AX225" s="8"/>
      <c r="AY225" s="8"/>
      <c r="AZ225" s="8"/>
      <c r="BA225" s="8"/>
      <c r="BB225" s="8"/>
      <c r="BC225" s="8"/>
      <c r="BD225" s="8"/>
    </row>
    <row r="226" spans="1:56" ht="14.25" customHeight="1">
      <c r="A226" s="619"/>
      <c r="B226" s="619"/>
      <c r="C226" s="12" t="s">
        <v>95</v>
      </c>
      <c r="D226" s="5"/>
      <c r="E226" s="5"/>
      <c r="F226" s="5"/>
      <c r="G226" s="5"/>
      <c r="H226" s="619"/>
      <c r="I226" s="619"/>
      <c r="J226" s="619"/>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3"/>
      <c r="AL226" s="1"/>
      <c r="AM226" s="8"/>
      <c r="AN226" s="8"/>
      <c r="AO226" s="8"/>
      <c r="AP226" s="8"/>
      <c r="AQ226" s="8"/>
      <c r="AR226" s="8"/>
      <c r="AS226" s="8"/>
      <c r="AT226" s="8"/>
      <c r="AU226" s="8"/>
      <c r="AV226" s="8"/>
      <c r="AW226" s="8"/>
      <c r="AX226" s="8"/>
      <c r="AY226" s="8"/>
      <c r="AZ226" s="8"/>
      <c r="BA226" s="8"/>
      <c r="BB226" s="8"/>
      <c r="BC226" s="8"/>
      <c r="BD226" s="8"/>
    </row>
    <row r="227" spans="1:56" ht="14.25" customHeight="1">
      <c r="A227" s="619"/>
      <c r="B227" s="619"/>
      <c r="C227" s="4"/>
      <c r="D227" s="5"/>
      <c r="E227" s="5"/>
      <c r="F227" s="5"/>
      <c r="G227" s="5"/>
      <c r="H227" s="619"/>
      <c r="I227" s="619"/>
      <c r="J227" s="619"/>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3"/>
      <c r="AL227" s="1"/>
      <c r="AM227" s="8"/>
      <c r="AN227" s="8"/>
      <c r="AO227" s="8"/>
      <c r="AP227" s="8"/>
      <c r="AQ227" s="8"/>
      <c r="AR227" s="8"/>
      <c r="AS227" s="8"/>
      <c r="AT227" s="8"/>
      <c r="AU227" s="8"/>
      <c r="AV227" s="8"/>
      <c r="AW227" s="8"/>
      <c r="AX227" s="8"/>
      <c r="AY227" s="8"/>
      <c r="AZ227" s="8"/>
      <c r="BA227" s="8"/>
      <c r="BB227" s="8"/>
      <c r="BC227" s="8"/>
      <c r="BD227" s="8"/>
    </row>
    <row r="228" spans="1:56" ht="18">
      <c r="A228" s="619"/>
      <c r="B228" s="619"/>
      <c r="C228" s="237" t="s">
        <v>96</v>
      </c>
      <c r="D228" s="238">
        <f>(F228*H228*J228*L228*N228)/(H229*J229*L229*N229)</f>
        <v>1001.5</v>
      </c>
      <c r="E228" s="239" t="s">
        <v>97</v>
      </c>
      <c r="F228" s="13">
        <v>1</v>
      </c>
      <c r="G228" s="240" t="s">
        <v>98</v>
      </c>
      <c r="H228" s="13">
        <v>1000000</v>
      </c>
      <c r="I228" s="5" t="s">
        <v>99</v>
      </c>
      <c r="J228" s="619">
        <v>1</v>
      </c>
      <c r="K228" s="619" t="s">
        <v>100</v>
      </c>
      <c r="L228" s="619">
        <v>1</v>
      </c>
      <c r="M228" s="619" t="s">
        <v>101</v>
      </c>
      <c r="N228" s="14">
        <v>1.0015000000000001</v>
      </c>
      <c r="O228" s="619" t="s">
        <v>97</v>
      </c>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3"/>
      <c r="AL228" s="1"/>
      <c r="AM228" s="8"/>
      <c r="AN228" s="8"/>
      <c r="AO228" s="8"/>
      <c r="AP228" s="8"/>
      <c r="AQ228" s="8"/>
      <c r="AR228" s="8"/>
      <c r="AS228" s="8"/>
      <c r="AT228" s="8"/>
      <c r="AU228" s="8"/>
      <c r="AV228" s="8"/>
      <c r="AW228" s="8"/>
      <c r="AX228" s="8"/>
      <c r="AY228" s="8"/>
      <c r="AZ228" s="8"/>
      <c r="BA228" s="8"/>
      <c r="BB228" s="8"/>
      <c r="BC228" s="8"/>
      <c r="BD228" s="8"/>
    </row>
    <row r="229" spans="1:56" ht="14.25" customHeight="1">
      <c r="A229" s="619"/>
      <c r="B229" s="619"/>
      <c r="C229" s="4"/>
      <c r="D229" s="8"/>
      <c r="E229" s="8"/>
      <c r="F229" s="5"/>
      <c r="G229" s="5"/>
      <c r="H229" s="13">
        <v>1</v>
      </c>
      <c r="I229" s="5" t="s">
        <v>98</v>
      </c>
      <c r="J229" s="619">
        <v>1</v>
      </c>
      <c r="K229" s="619" t="s">
        <v>99</v>
      </c>
      <c r="L229" s="619">
        <v>1000</v>
      </c>
      <c r="M229" s="619" t="s">
        <v>100</v>
      </c>
      <c r="N229" s="619">
        <v>1</v>
      </c>
      <c r="O229" s="619" t="s">
        <v>101</v>
      </c>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3"/>
      <c r="AL229" s="1"/>
      <c r="AM229" s="8"/>
      <c r="AN229" s="8"/>
      <c r="AO229" s="8"/>
      <c r="AP229" s="8"/>
      <c r="AQ229" s="8"/>
      <c r="AR229" s="8"/>
      <c r="AS229" s="8"/>
      <c r="AT229" s="8"/>
      <c r="AU229" s="8"/>
      <c r="AV229" s="8"/>
      <c r="AW229" s="8"/>
      <c r="AX229" s="8"/>
      <c r="AY229" s="8"/>
      <c r="AZ229" s="8"/>
      <c r="BA229" s="8"/>
      <c r="BB229" s="8"/>
      <c r="BC229" s="8"/>
      <c r="BD229" s="8"/>
    </row>
    <row r="230" spans="1:56" ht="14.25" customHeight="1">
      <c r="A230" s="619"/>
      <c r="B230" s="619"/>
      <c r="C230" s="4"/>
      <c r="D230" s="5"/>
      <c r="E230" s="5"/>
      <c r="F230" s="5"/>
      <c r="G230" s="5"/>
      <c r="H230" s="619"/>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3"/>
      <c r="AL230" s="1"/>
      <c r="AM230" s="8"/>
      <c r="AN230" s="8"/>
      <c r="AO230" s="8"/>
      <c r="AP230" s="8"/>
      <c r="AQ230" s="8"/>
      <c r="AR230" s="8"/>
      <c r="AS230" s="8"/>
      <c r="AT230" s="8"/>
      <c r="AU230" s="8"/>
      <c r="AV230" s="8"/>
      <c r="AW230" s="8"/>
      <c r="AX230" s="8"/>
      <c r="AY230" s="8"/>
      <c r="AZ230" s="8"/>
      <c r="BA230" s="8"/>
      <c r="BB230" s="8"/>
      <c r="BC230" s="8"/>
      <c r="BD230" s="8"/>
    </row>
    <row r="231" spans="1:56" ht="19.5" customHeight="1">
      <c r="A231" s="619"/>
      <c r="B231" s="619"/>
      <c r="C231" s="237" t="s">
        <v>102</v>
      </c>
      <c r="D231" s="238">
        <f>(F231*H231*J231*L231*N231*P231)/(H232*J232*L232*N232*P232)</f>
        <v>0.16935157314092994</v>
      </c>
      <c r="E231" s="239" t="s">
        <v>97</v>
      </c>
      <c r="F231" s="13">
        <v>1</v>
      </c>
      <c r="G231" s="240" t="s">
        <v>103</v>
      </c>
      <c r="H231" s="13">
        <v>1000000</v>
      </c>
      <c r="I231" s="5" t="s">
        <v>104</v>
      </c>
      <c r="J231" s="619">
        <v>1</v>
      </c>
      <c r="K231" s="619" t="s">
        <v>105</v>
      </c>
      <c r="L231" s="619">
        <v>1</v>
      </c>
      <c r="M231" s="619" t="s">
        <v>106</v>
      </c>
      <c r="N231" s="14">
        <v>5.9805999999999999</v>
      </c>
      <c r="O231" s="619" t="s">
        <v>107</v>
      </c>
      <c r="P231" s="619">
        <v>1</v>
      </c>
      <c r="Q231" s="619" t="s">
        <v>97</v>
      </c>
      <c r="R231" s="619"/>
      <c r="S231" s="619"/>
      <c r="T231" s="619"/>
      <c r="U231" s="619"/>
      <c r="V231" s="619"/>
      <c r="W231" s="619"/>
      <c r="X231" s="619"/>
      <c r="Y231" s="619"/>
      <c r="Z231" s="619"/>
      <c r="AA231" s="619"/>
      <c r="AB231" s="619"/>
      <c r="AC231" s="619"/>
      <c r="AD231" s="619"/>
      <c r="AE231" s="619"/>
      <c r="AF231" s="619"/>
      <c r="AG231" s="619"/>
      <c r="AH231" s="619"/>
      <c r="AI231" s="619"/>
      <c r="AJ231" s="619"/>
      <c r="AK231" s="3"/>
      <c r="AL231" s="1"/>
      <c r="AM231" s="8"/>
      <c r="AN231" s="8"/>
      <c r="AO231" s="8"/>
      <c r="AP231" s="8"/>
      <c r="AQ231" s="8"/>
      <c r="AR231" s="8"/>
      <c r="AS231" s="8"/>
      <c r="AT231" s="8"/>
      <c r="AU231" s="8"/>
      <c r="AV231" s="8"/>
      <c r="AW231" s="8"/>
      <c r="AX231" s="8"/>
      <c r="AY231" s="8"/>
      <c r="AZ231" s="8"/>
      <c r="BA231" s="8"/>
      <c r="BB231" s="8"/>
      <c r="BC231" s="8"/>
      <c r="BD231" s="8"/>
    </row>
    <row r="232" spans="1:56" ht="14.25" customHeight="1">
      <c r="A232" s="619"/>
      <c r="B232" s="619"/>
      <c r="C232" s="4"/>
      <c r="D232" s="5"/>
      <c r="E232" s="5"/>
      <c r="F232" s="5"/>
      <c r="G232" s="5"/>
      <c r="H232" s="13">
        <v>1</v>
      </c>
      <c r="I232" s="5" t="s">
        <v>103</v>
      </c>
      <c r="J232" s="619">
        <v>1</v>
      </c>
      <c r="K232" s="5" t="s">
        <v>104</v>
      </c>
      <c r="L232" s="14">
        <v>35.314700000000002</v>
      </c>
      <c r="M232" s="619" t="s">
        <v>105</v>
      </c>
      <c r="N232" s="619">
        <v>1000</v>
      </c>
      <c r="O232" s="619" t="s">
        <v>106</v>
      </c>
      <c r="P232" s="619">
        <v>1000</v>
      </c>
      <c r="Q232" s="619" t="s">
        <v>107</v>
      </c>
      <c r="R232" s="619"/>
      <c r="S232" s="619"/>
      <c r="T232" s="619"/>
      <c r="U232" s="619"/>
      <c r="V232" s="619"/>
      <c r="W232" s="619"/>
      <c r="X232" s="619"/>
      <c r="Y232" s="619"/>
      <c r="Z232" s="619"/>
      <c r="AA232" s="619"/>
      <c r="AB232" s="619"/>
      <c r="AC232" s="619"/>
      <c r="AD232" s="619"/>
      <c r="AE232" s="619"/>
      <c r="AF232" s="619"/>
      <c r="AG232" s="619"/>
      <c r="AH232" s="619"/>
      <c r="AI232" s="619"/>
      <c r="AJ232" s="619"/>
      <c r="AK232" s="3"/>
      <c r="AL232" s="1"/>
      <c r="AM232" s="8"/>
      <c r="AN232" s="8"/>
      <c r="AO232" s="8"/>
      <c r="AP232" s="8"/>
      <c r="AQ232" s="8"/>
      <c r="AR232" s="8"/>
      <c r="AS232" s="8"/>
      <c r="AT232" s="8"/>
      <c r="AU232" s="8"/>
      <c r="AV232" s="8"/>
      <c r="AW232" s="8"/>
      <c r="AX232" s="8"/>
      <c r="AY232" s="8"/>
      <c r="AZ232" s="8"/>
      <c r="BA232" s="8"/>
      <c r="BB232" s="8"/>
      <c r="BC232" s="8"/>
      <c r="BD232" s="8"/>
    </row>
    <row r="233" spans="1:56" ht="14.25" customHeight="1">
      <c r="A233" s="619"/>
      <c r="B233" s="619"/>
      <c r="C233" s="4"/>
      <c r="D233" s="8"/>
      <c r="E233" s="8"/>
      <c r="F233" s="5"/>
      <c r="G233" s="5"/>
      <c r="H233" s="619"/>
      <c r="I233" s="619"/>
      <c r="J233" s="619"/>
      <c r="K233" s="619"/>
      <c r="L233" s="619"/>
      <c r="M233" s="619"/>
      <c r="N233" s="619"/>
      <c r="O233" s="8"/>
      <c r="P233" s="619"/>
      <c r="Q233" s="619"/>
      <c r="R233" s="619"/>
      <c r="S233" s="619"/>
      <c r="T233" s="619"/>
      <c r="U233" s="619"/>
      <c r="V233" s="619"/>
      <c r="W233" s="619"/>
      <c r="X233" s="619"/>
      <c r="Y233" s="619"/>
      <c r="Z233" s="619"/>
      <c r="AA233" s="619"/>
      <c r="AB233" s="619"/>
      <c r="AC233" s="619"/>
      <c r="AD233" s="619"/>
      <c r="AE233" s="619"/>
      <c r="AF233" s="619"/>
      <c r="AG233" s="619"/>
      <c r="AH233" s="619"/>
      <c r="AI233" s="619"/>
      <c r="AJ233" s="619"/>
      <c r="AK233" s="3"/>
      <c r="AL233" s="1"/>
      <c r="AM233" s="8"/>
      <c r="AN233" s="8"/>
      <c r="AO233" s="8"/>
      <c r="AP233" s="8"/>
      <c r="AQ233" s="8"/>
      <c r="AR233" s="8"/>
      <c r="AS233" s="8"/>
      <c r="AT233" s="8"/>
      <c r="AU233" s="8"/>
      <c r="AV233" s="8"/>
      <c r="AW233" s="8"/>
      <c r="AX233" s="8"/>
      <c r="AY233" s="8"/>
      <c r="AZ233" s="8"/>
      <c r="BA233" s="8"/>
      <c r="BB233" s="8"/>
      <c r="BC233" s="8"/>
      <c r="BD233" s="8"/>
    </row>
    <row r="234" spans="1:56" ht="18">
      <c r="A234" s="619"/>
      <c r="B234" s="619"/>
      <c r="C234" s="237" t="s">
        <v>108</v>
      </c>
      <c r="D234" s="241">
        <f>(F234*H234*J234*L234*N234)/(H235*J235*L235*N235)</f>
        <v>5.8065553845323302E-3</v>
      </c>
      <c r="E234" s="239" t="s">
        <v>109</v>
      </c>
      <c r="F234" s="13">
        <v>1</v>
      </c>
      <c r="G234" s="240" t="s">
        <v>97</v>
      </c>
      <c r="H234" s="13">
        <v>1000</v>
      </c>
      <c r="I234" s="5" t="s">
        <v>107</v>
      </c>
      <c r="J234" s="13">
        <v>1</v>
      </c>
      <c r="K234" s="5" t="s">
        <v>110</v>
      </c>
      <c r="L234" s="242">
        <v>41.84</v>
      </c>
      <c r="M234" s="5" t="s">
        <v>111</v>
      </c>
      <c r="N234" s="13">
        <v>1</v>
      </c>
      <c r="O234" s="5" t="s">
        <v>109</v>
      </c>
      <c r="P234" s="619"/>
      <c r="Q234" s="619"/>
      <c r="R234" s="619"/>
      <c r="S234" s="619"/>
      <c r="T234" s="619"/>
      <c r="U234" s="619"/>
      <c r="V234" s="619"/>
      <c r="W234" s="619"/>
      <c r="X234" s="619"/>
      <c r="Y234" s="619"/>
      <c r="Z234" s="619"/>
      <c r="AA234" s="619"/>
      <c r="AB234" s="619"/>
      <c r="AC234" s="619"/>
      <c r="AD234" s="619"/>
      <c r="AE234" s="619"/>
      <c r="AF234" s="619"/>
      <c r="AG234" s="619"/>
      <c r="AH234" s="619"/>
      <c r="AI234" s="619"/>
      <c r="AJ234" s="619"/>
      <c r="AK234" s="3"/>
      <c r="AL234" s="1"/>
      <c r="AM234" s="8"/>
      <c r="AN234" s="8"/>
      <c r="AO234" s="8"/>
      <c r="AP234" s="8"/>
      <c r="AQ234" s="8"/>
      <c r="AR234" s="8"/>
      <c r="AS234" s="8"/>
      <c r="AT234" s="8"/>
      <c r="AU234" s="8"/>
      <c r="AV234" s="8"/>
      <c r="AW234" s="8"/>
      <c r="AX234" s="8"/>
      <c r="AY234" s="8"/>
      <c r="AZ234" s="8"/>
      <c r="BA234" s="8"/>
      <c r="BB234" s="8"/>
      <c r="BC234" s="8"/>
      <c r="BD234" s="8"/>
    </row>
    <row r="235" spans="1:56" ht="14.25" customHeight="1">
      <c r="A235" s="619"/>
      <c r="B235" s="619"/>
      <c r="C235" s="4"/>
      <c r="D235" s="8"/>
      <c r="E235" s="8"/>
      <c r="F235" s="8"/>
      <c r="G235" s="8"/>
      <c r="H235" s="13">
        <v>1</v>
      </c>
      <c r="I235" s="5" t="s">
        <v>97</v>
      </c>
      <c r="J235" s="243">
        <v>7.2056490000000002</v>
      </c>
      <c r="K235" s="5" t="s">
        <v>107</v>
      </c>
      <c r="L235" s="13">
        <v>1000</v>
      </c>
      <c r="M235" s="5" t="s">
        <v>110</v>
      </c>
      <c r="N235" s="13">
        <v>1000</v>
      </c>
      <c r="O235" s="5" t="s">
        <v>111</v>
      </c>
      <c r="P235" s="619"/>
      <c r="Q235" s="619"/>
      <c r="R235" s="619"/>
      <c r="S235" s="619"/>
      <c r="T235" s="619"/>
      <c r="U235" s="619"/>
      <c r="V235" s="619"/>
      <c r="W235" s="619"/>
      <c r="X235" s="619"/>
      <c r="Y235" s="619"/>
      <c r="Z235" s="619"/>
      <c r="AA235" s="619"/>
      <c r="AB235" s="619"/>
      <c r="AC235" s="619"/>
      <c r="AD235" s="619"/>
      <c r="AE235" s="619"/>
      <c r="AF235" s="619"/>
      <c r="AG235" s="619"/>
      <c r="AH235" s="619"/>
      <c r="AI235" s="619"/>
      <c r="AJ235" s="619"/>
      <c r="AK235" s="3"/>
      <c r="AL235" s="1"/>
      <c r="AM235" s="8"/>
      <c r="AN235" s="8"/>
      <c r="AO235" s="8"/>
      <c r="AP235" s="8"/>
      <c r="AQ235" s="8"/>
      <c r="AR235" s="8"/>
      <c r="AS235" s="8"/>
      <c r="AT235" s="8"/>
      <c r="AU235" s="8"/>
      <c r="AV235" s="8"/>
      <c r="AW235" s="8"/>
      <c r="AX235" s="8"/>
      <c r="AY235" s="8"/>
      <c r="AZ235" s="8"/>
      <c r="BA235" s="8"/>
      <c r="BB235" s="8"/>
      <c r="BC235" s="8"/>
      <c r="BD235" s="8"/>
    </row>
    <row r="236" spans="1:5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15"/>
      <c r="AM236" s="16"/>
      <c r="AN236" s="16"/>
      <c r="AO236" s="16"/>
      <c r="AP236" s="16"/>
      <c r="AQ236" s="16"/>
      <c r="AR236" s="16"/>
      <c r="AS236" s="16"/>
      <c r="AT236" s="8"/>
      <c r="AU236" s="8"/>
      <c r="AV236" s="8"/>
      <c r="AW236" s="8"/>
      <c r="AX236" s="8"/>
      <c r="AY236" s="8"/>
      <c r="AZ236" s="8"/>
      <c r="BA236" s="8"/>
      <c r="BB236" s="8"/>
      <c r="BC236" s="8"/>
      <c r="BD236" s="8"/>
    </row>
    <row r="237" spans="1:56" ht="14.25" customHeight="1">
      <c r="A237" s="619"/>
      <c r="B237" s="6"/>
      <c r="C237" s="199"/>
      <c r="D237" s="244">
        <v>0.99</v>
      </c>
      <c r="E237" s="153"/>
      <c r="F237" s="153"/>
      <c r="G237" s="153"/>
      <c r="H237" s="153"/>
      <c r="I237" s="153"/>
      <c r="J237" s="153"/>
      <c r="K237" s="153"/>
      <c r="L237" s="153"/>
      <c r="M237" s="153"/>
      <c r="N237" s="153"/>
      <c r="O237" s="153"/>
      <c r="P237" s="153"/>
      <c r="Q237" s="153"/>
      <c r="R237" s="153"/>
      <c r="S237" s="153"/>
      <c r="T237" s="153"/>
      <c r="U237" s="153"/>
      <c r="V237" s="153"/>
      <c r="W237" s="153"/>
      <c r="X237" s="153"/>
      <c r="Y237" s="153"/>
      <c r="Z237" s="153"/>
      <c r="AA237" s="153"/>
      <c r="AB237" s="153"/>
      <c r="AC237" s="153"/>
      <c r="AD237" s="153"/>
      <c r="AE237" s="153"/>
      <c r="AF237" s="153"/>
      <c r="AG237" s="153"/>
      <c r="AH237" s="153"/>
      <c r="AI237" s="153"/>
      <c r="AJ237" s="154"/>
      <c r="AK237" s="3"/>
      <c r="AL237" s="1"/>
      <c r="AM237" s="8"/>
      <c r="AN237" s="8"/>
      <c r="AO237" s="8"/>
      <c r="AP237" s="8"/>
      <c r="AQ237" s="8"/>
      <c r="AR237" s="8"/>
      <c r="AS237" s="8"/>
      <c r="AT237" s="8"/>
      <c r="AU237" s="8"/>
      <c r="AV237" s="8"/>
      <c r="AW237" s="8"/>
      <c r="AX237" s="8"/>
      <c r="AY237" s="8"/>
      <c r="AZ237" s="8"/>
      <c r="BA237" s="8"/>
      <c r="BB237" s="8"/>
      <c r="BC237" s="8"/>
      <c r="BD237" s="8"/>
    </row>
    <row r="238" spans="1:56" ht="14.25" customHeight="1">
      <c r="A238" s="3"/>
      <c r="B238" s="202"/>
      <c r="C238" s="160" t="s">
        <v>112</v>
      </c>
      <c r="D238" s="172">
        <v>2018</v>
      </c>
      <c r="E238" s="172">
        <v>2019</v>
      </c>
      <c r="F238" s="172">
        <v>2020</v>
      </c>
      <c r="G238" s="172">
        <v>2021</v>
      </c>
      <c r="H238" s="189">
        <v>2022</v>
      </c>
      <c r="I238" s="189">
        <v>2023</v>
      </c>
      <c r="J238" s="189">
        <v>2024</v>
      </c>
      <c r="K238" s="189">
        <v>2025</v>
      </c>
      <c r="L238" s="189">
        <v>2026</v>
      </c>
      <c r="M238" s="189">
        <v>2027</v>
      </c>
      <c r="N238" s="189">
        <v>2028</v>
      </c>
      <c r="O238" s="189">
        <v>2029</v>
      </c>
      <c r="P238" s="189">
        <v>2030</v>
      </c>
      <c r="Q238" s="189">
        <v>2031</v>
      </c>
      <c r="R238" s="189">
        <v>2032</v>
      </c>
      <c r="S238" s="189">
        <v>2033</v>
      </c>
      <c r="T238" s="189">
        <v>2034</v>
      </c>
      <c r="U238" s="189">
        <v>2035</v>
      </c>
      <c r="V238" s="189">
        <v>2036</v>
      </c>
      <c r="W238" s="189">
        <v>2037</v>
      </c>
      <c r="X238" s="189">
        <v>2038</v>
      </c>
      <c r="Y238" s="189">
        <v>2039</v>
      </c>
      <c r="Z238" s="189">
        <v>2040</v>
      </c>
      <c r="AA238" s="189">
        <v>2041</v>
      </c>
      <c r="AB238" s="189">
        <v>2042</v>
      </c>
      <c r="AC238" s="189">
        <v>2043</v>
      </c>
      <c r="AD238" s="189">
        <v>2044</v>
      </c>
      <c r="AE238" s="189">
        <v>2045</v>
      </c>
      <c r="AF238" s="189">
        <v>2046</v>
      </c>
      <c r="AG238" s="189">
        <v>2047</v>
      </c>
      <c r="AH238" s="189">
        <v>2048</v>
      </c>
      <c r="AI238" s="189">
        <v>2049</v>
      </c>
      <c r="AJ238" s="218">
        <v>2050</v>
      </c>
      <c r="AK238" s="189">
        <v>2051</v>
      </c>
      <c r="AL238" s="189">
        <v>2052</v>
      </c>
      <c r="AM238" s="189">
        <v>2053</v>
      </c>
      <c r="AN238" s="189">
        <v>2054</v>
      </c>
      <c r="AO238" s="189">
        <v>2055</v>
      </c>
      <c r="AP238" s="189">
        <v>2056</v>
      </c>
      <c r="AQ238" s="189">
        <v>2057</v>
      </c>
      <c r="AR238" s="189">
        <v>2058</v>
      </c>
      <c r="AS238" s="218">
        <v>2059</v>
      </c>
      <c r="AT238" s="189">
        <v>2060</v>
      </c>
      <c r="AU238" s="189">
        <v>2061</v>
      </c>
      <c r="AV238" s="189">
        <v>2062</v>
      </c>
      <c r="AW238" s="189">
        <v>2063</v>
      </c>
      <c r="AX238" s="189">
        <v>2064</v>
      </c>
      <c r="AY238" s="189">
        <v>2065</v>
      </c>
      <c r="AZ238" s="189">
        <v>2066</v>
      </c>
      <c r="BA238" s="189">
        <v>2067</v>
      </c>
      <c r="BB238" s="218">
        <v>2068</v>
      </c>
      <c r="BC238" s="189">
        <v>2069</v>
      </c>
      <c r="BD238" s="189">
        <v>2070</v>
      </c>
    </row>
    <row r="239" spans="1:56" ht="14.25" customHeight="1">
      <c r="A239" s="619">
        <v>1</v>
      </c>
      <c r="B239" s="175"/>
      <c r="C239" s="164" t="s">
        <v>21</v>
      </c>
      <c r="D239" s="165">
        <f t="shared" ref="D239:G239" si="43">$D$237*D23</f>
        <v>1086.8996146133891</v>
      </c>
      <c r="E239" s="165">
        <f t="shared" si="43"/>
        <v>1115.8210078528355</v>
      </c>
      <c r="F239" s="165">
        <f t="shared" si="43"/>
        <v>1010.0919300131517</v>
      </c>
      <c r="G239" s="165">
        <f t="shared" si="43"/>
        <v>993.66942897861531</v>
      </c>
      <c r="H239" s="190">
        <v>872.76</v>
      </c>
      <c r="I239" s="190">
        <v>759.79</v>
      </c>
      <c r="J239" s="190">
        <v>651.80999999999995</v>
      </c>
      <c r="K239" s="190">
        <v>552.47</v>
      </c>
      <c r="L239" s="190">
        <v>345.18</v>
      </c>
      <c r="M239" s="190">
        <v>222.36</v>
      </c>
      <c r="N239" s="190">
        <v>153.80000000000001</v>
      </c>
      <c r="O239" s="190">
        <v>113.81</v>
      </c>
      <c r="P239" s="190">
        <v>119.15</v>
      </c>
      <c r="Q239" s="190">
        <v>129.13999999999999</v>
      </c>
      <c r="R239" s="190">
        <v>139.87</v>
      </c>
      <c r="S239" s="190">
        <v>144.04</v>
      </c>
      <c r="T239" s="190">
        <v>140.61000000000001</v>
      </c>
      <c r="U239" s="190">
        <v>129.91999999999999</v>
      </c>
      <c r="V239" s="190">
        <v>113.76</v>
      </c>
      <c r="W239" s="190">
        <v>99.21</v>
      </c>
      <c r="X239" s="165">
        <v>0</v>
      </c>
      <c r="Y239" s="165">
        <v>0</v>
      </c>
      <c r="Z239" s="165">
        <v>0</v>
      </c>
      <c r="AA239" s="165">
        <v>0</v>
      </c>
      <c r="AB239" s="165">
        <v>0</v>
      </c>
      <c r="AC239" s="165">
        <v>0</v>
      </c>
      <c r="AD239" s="165">
        <v>0</v>
      </c>
      <c r="AE239" s="165">
        <v>0</v>
      </c>
      <c r="AF239" s="165">
        <v>0</v>
      </c>
      <c r="AG239" s="165">
        <v>0</v>
      </c>
      <c r="AH239" s="165">
        <v>0</v>
      </c>
      <c r="AI239" s="165">
        <v>0</v>
      </c>
      <c r="AJ239" s="166">
        <v>0</v>
      </c>
      <c r="AK239" s="3"/>
      <c r="AL239" s="1"/>
      <c r="AM239" s="8"/>
      <c r="AN239" s="8"/>
      <c r="AO239" s="8"/>
      <c r="AP239" s="8"/>
      <c r="AQ239" s="8"/>
      <c r="AR239" s="8"/>
      <c r="AS239" s="8"/>
      <c r="AT239" s="8"/>
      <c r="AU239" s="8"/>
      <c r="AV239" s="8"/>
      <c r="AW239" s="8"/>
      <c r="AX239" s="8"/>
      <c r="AY239" s="8"/>
      <c r="AZ239" s="8"/>
      <c r="BA239" s="8"/>
      <c r="BB239" s="8"/>
      <c r="BC239" s="8"/>
      <c r="BD239" s="8"/>
    </row>
    <row r="240" spans="1:56" ht="14.25" customHeight="1">
      <c r="A240" s="619">
        <v>1</v>
      </c>
      <c r="B240" s="245"/>
      <c r="C240" s="168" t="s">
        <v>10</v>
      </c>
      <c r="D240" s="169">
        <f t="shared" ref="D240:G240" si="44">$D$237*D24</f>
        <v>52.326907849136063</v>
      </c>
      <c r="E240" s="169">
        <f t="shared" si="44"/>
        <v>49.881231977244354</v>
      </c>
      <c r="F240" s="169">
        <f t="shared" si="44"/>
        <v>44.461651622847093</v>
      </c>
      <c r="G240" s="169">
        <f t="shared" si="44"/>
        <v>44.892019408415948</v>
      </c>
      <c r="H240" s="165">
        <v>36.520000000000003</v>
      </c>
      <c r="I240" s="165">
        <v>33.130000000000003</v>
      </c>
      <c r="J240" s="165">
        <v>29.42</v>
      </c>
      <c r="K240" s="165">
        <v>25.72</v>
      </c>
      <c r="L240" s="165">
        <v>22.33</v>
      </c>
      <c r="M240" s="165">
        <v>19.34</v>
      </c>
      <c r="N240" s="165">
        <v>16.739999999999998</v>
      </c>
      <c r="O240" s="165">
        <v>13.85</v>
      </c>
      <c r="P240" s="165">
        <v>10.69</v>
      </c>
      <c r="Q240" s="165">
        <v>8.93</v>
      </c>
      <c r="R240" s="165">
        <v>7.49</v>
      </c>
      <c r="S240" s="165">
        <v>5.77</v>
      </c>
      <c r="T240" s="165">
        <v>4.16</v>
      </c>
      <c r="U240" s="165">
        <v>1.31</v>
      </c>
      <c r="V240" s="165">
        <v>0</v>
      </c>
      <c r="W240" s="165">
        <v>0</v>
      </c>
      <c r="X240" s="165">
        <v>0</v>
      </c>
      <c r="Y240" s="165">
        <v>0</v>
      </c>
      <c r="Z240" s="165">
        <v>0</v>
      </c>
      <c r="AA240" s="165">
        <v>0</v>
      </c>
      <c r="AB240" s="165">
        <v>0</v>
      </c>
      <c r="AC240" s="165">
        <v>0</v>
      </c>
      <c r="AD240" s="165">
        <v>0</v>
      </c>
      <c r="AE240" s="165">
        <v>0</v>
      </c>
      <c r="AF240" s="165">
        <v>0</v>
      </c>
      <c r="AG240" s="165">
        <v>0</v>
      </c>
      <c r="AH240" s="165">
        <v>0</v>
      </c>
      <c r="AI240" s="165">
        <v>0</v>
      </c>
      <c r="AJ240" s="166">
        <v>0</v>
      </c>
      <c r="AK240" s="3"/>
      <c r="AL240" s="1"/>
      <c r="AM240" s="8"/>
      <c r="AN240" s="8"/>
      <c r="AO240" s="8"/>
      <c r="AP240" s="8"/>
      <c r="AQ240" s="8"/>
      <c r="AR240" s="8"/>
      <c r="AS240" s="8"/>
      <c r="AT240" s="8"/>
      <c r="AU240" s="8"/>
      <c r="AV240" s="8"/>
      <c r="AW240" s="8"/>
      <c r="AX240" s="8"/>
      <c r="AY240" s="8"/>
      <c r="AZ240" s="8"/>
      <c r="BA240" s="8"/>
      <c r="BB240" s="8"/>
      <c r="BC240" s="8"/>
      <c r="BD240" s="8"/>
    </row>
    <row r="241" spans="1:56" ht="14.25" customHeight="1">
      <c r="A241" s="619"/>
      <c r="B241" s="619"/>
      <c r="C241" s="619"/>
      <c r="D241" s="619"/>
      <c r="E241" s="619"/>
      <c r="F241" s="619"/>
      <c r="G241" s="619"/>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3"/>
      <c r="AL241" s="1"/>
      <c r="AM241" s="8"/>
      <c r="AN241" s="8"/>
      <c r="AO241" s="8"/>
      <c r="AP241" s="8"/>
      <c r="AQ241" s="8"/>
      <c r="AR241" s="8"/>
      <c r="AS241" s="8"/>
      <c r="AT241" s="8"/>
      <c r="AU241" s="8"/>
      <c r="AV241" s="8"/>
      <c r="AW241" s="8"/>
      <c r="AX241" s="8"/>
      <c r="AY241" s="8"/>
      <c r="AZ241" s="8"/>
      <c r="BA241" s="8"/>
      <c r="BB241" s="8"/>
      <c r="BC241" s="8"/>
      <c r="BD241" s="8"/>
    </row>
    <row r="242" spans="1:56" ht="14.25" customHeight="1">
      <c r="A242" s="619"/>
      <c r="B242" s="6"/>
      <c r="C242" s="199"/>
      <c r="D242" s="193">
        <v>0.99</v>
      </c>
      <c r="E242" s="153"/>
      <c r="F242" s="153"/>
      <c r="G242" s="153"/>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3"/>
      <c r="AL242" s="1"/>
      <c r="AM242" s="8"/>
      <c r="AN242" s="8"/>
      <c r="AO242" s="8"/>
      <c r="AP242" s="8"/>
      <c r="AQ242" s="8"/>
      <c r="AR242" s="8"/>
      <c r="AS242" s="8"/>
      <c r="AT242" s="8"/>
      <c r="AU242" s="8"/>
      <c r="AV242" s="8"/>
      <c r="AW242" s="8"/>
      <c r="AX242" s="8"/>
      <c r="AY242" s="8"/>
      <c r="AZ242" s="8"/>
      <c r="BA242" s="8"/>
      <c r="BB242" s="8"/>
      <c r="BC242" s="8"/>
      <c r="BD242" s="8"/>
    </row>
    <row r="243" spans="1:56" ht="14.25" customHeight="1">
      <c r="A243" s="3"/>
      <c r="B243" s="202"/>
      <c r="C243" s="160" t="s">
        <v>113</v>
      </c>
      <c r="D243" s="172">
        <v>2018</v>
      </c>
      <c r="E243" s="172">
        <v>2019</v>
      </c>
      <c r="F243" s="172">
        <v>2020</v>
      </c>
      <c r="G243" s="172">
        <v>2021</v>
      </c>
      <c r="H243" s="189">
        <v>2022</v>
      </c>
      <c r="I243" s="189">
        <v>2023</v>
      </c>
      <c r="J243" s="189">
        <v>2024</v>
      </c>
      <c r="K243" s="189">
        <v>2025</v>
      </c>
      <c r="L243" s="189">
        <v>2026</v>
      </c>
      <c r="M243" s="189">
        <v>2027</v>
      </c>
      <c r="N243" s="189">
        <v>2028</v>
      </c>
      <c r="O243" s="189">
        <v>2029</v>
      </c>
      <c r="P243" s="189">
        <v>2030</v>
      </c>
      <c r="Q243" s="189">
        <v>2031</v>
      </c>
      <c r="R243" s="189">
        <v>2032</v>
      </c>
      <c r="S243" s="189">
        <v>2033</v>
      </c>
      <c r="T243" s="189">
        <v>2034</v>
      </c>
      <c r="U243" s="189">
        <v>2035</v>
      </c>
      <c r="V243" s="189">
        <v>2036</v>
      </c>
      <c r="W243" s="189">
        <v>2037</v>
      </c>
      <c r="X243" s="189">
        <v>2038</v>
      </c>
      <c r="Y243" s="189">
        <v>2039</v>
      </c>
      <c r="Z243" s="189">
        <v>2040</v>
      </c>
      <c r="AA243" s="189">
        <v>2041</v>
      </c>
      <c r="AB243" s="189">
        <v>2042</v>
      </c>
      <c r="AC243" s="189">
        <v>2043</v>
      </c>
      <c r="AD243" s="189">
        <v>2044</v>
      </c>
      <c r="AE243" s="189">
        <v>2045</v>
      </c>
      <c r="AF243" s="189">
        <v>2046</v>
      </c>
      <c r="AG243" s="189">
        <v>2047</v>
      </c>
      <c r="AH243" s="189">
        <v>2048</v>
      </c>
      <c r="AI243" s="189">
        <v>2049</v>
      </c>
      <c r="AJ243" s="218">
        <v>2050</v>
      </c>
      <c r="AK243" s="189">
        <v>2051</v>
      </c>
      <c r="AL243" s="189">
        <v>2052</v>
      </c>
      <c r="AM243" s="189">
        <v>2053</v>
      </c>
      <c r="AN243" s="189">
        <v>2054</v>
      </c>
      <c r="AO243" s="189">
        <v>2055</v>
      </c>
      <c r="AP243" s="189">
        <v>2056</v>
      </c>
      <c r="AQ243" s="189">
        <v>2057</v>
      </c>
      <c r="AR243" s="189">
        <v>2058</v>
      </c>
      <c r="AS243" s="218">
        <v>2059</v>
      </c>
      <c r="AT243" s="189">
        <v>2060</v>
      </c>
      <c r="AU243" s="189">
        <v>2061</v>
      </c>
      <c r="AV243" s="189">
        <v>2062</v>
      </c>
      <c r="AW243" s="189">
        <v>2063</v>
      </c>
      <c r="AX243" s="189">
        <v>2064</v>
      </c>
      <c r="AY243" s="189">
        <v>2065</v>
      </c>
      <c r="AZ243" s="189">
        <v>2066</v>
      </c>
      <c r="BA243" s="189">
        <v>2067</v>
      </c>
      <c r="BB243" s="218">
        <v>2068</v>
      </c>
      <c r="BC243" s="189">
        <v>2069</v>
      </c>
      <c r="BD243" s="189">
        <v>2070</v>
      </c>
    </row>
    <row r="244" spans="1:56" ht="14.25" customHeight="1">
      <c r="A244" s="619">
        <v>1</v>
      </c>
      <c r="B244" s="175"/>
      <c r="C244" s="164" t="s">
        <v>21</v>
      </c>
      <c r="D244" s="165">
        <f t="shared" ref="D244:G244" si="45">$D$242*D23</f>
        <v>1086.8996146133891</v>
      </c>
      <c r="E244" s="165">
        <f t="shared" si="45"/>
        <v>1115.8210078528355</v>
      </c>
      <c r="F244" s="165">
        <f t="shared" si="45"/>
        <v>1010.0919300131517</v>
      </c>
      <c r="G244" s="165">
        <f t="shared" si="45"/>
        <v>993.66942897861531</v>
      </c>
      <c r="H244" s="190">
        <v>872.76</v>
      </c>
      <c r="I244" s="190">
        <v>759.79</v>
      </c>
      <c r="J244" s="190">
        <v>651.80999999999995</v>
      </c>
      <c r="K244" s="190">
        <v>552.47</v>
      </c>
      <c r="L244" s="190">
        <v>345.18</v>
      </c>
      <c r="M244" s="190">
        <v>222.36</v>
      </c>
      <c r="N244" s="190">
        <v>153.80000000000001</v>
      </c>
      <c r="O244" s="190">
        <v>113.81</v>
      </c>
      <c r="P244" s="190">
        <v>119.15</v>
      </c>
      <c r="Q244" s="190">
        <v>129.13999999999999</v>
      </c>
      <c r="R244" s="190">
        <v>139.87</v>
      </c>
      <c r="S244" s="190">
        <v>144.04</v>
      </c>
      <c r="T244" s="190">
        <v>140.61000000000001</v>
      </c>
      <c r="U244" s="190">
        <v>129.91999999999999</v>
      </c>
      <c r="V244" s="190">
        <v>113.76</v>
      </c>
      <c r="W244" s="190">
        <v>99.21</v>
      </c>
      <c r="X244" s="165">
        <v>0</v>
      </c>
      <c r="Y244" s="165">
        <v>0</v>
      </c>
      <c r="Z244" s="165">
        <v>0</v>
      </c>
      <c r="AA244" s="165">
        <v>0</v>
      </c>
      <c r="AB244" s="165">
        <v>0</v>
      </c>
      <c r="AC244" s="165">
        <v>0</v>
      </c>
      <c r="AD244" s="165">
        <v>0</v>
      </c>
      <c r="AE244" s="165">
        <v>0</v>
      </c>
      <c r="AF244" s="165">
        <v>0</v>
      </c>
      <c r="AG244" s="165">
        <v>0</v>
      </c>
      <c r="AH244" s="165">
        <v>0</v>
      </c>
      <c r="AI244" s="165">
        <v>0</v>
      </c>
      <c r="AJ244" s="166">
        <v>0</v>
      </c>
      <c r="AK244" s="3"/>
      <c r="AL244" s="1"/>
      <c r="AM244" s="8"/>
      <c r="AN244" s="8"/>
      <c r="AO244" s="8"/>
      <c r="AP244" s="8"/>
      <c r="AQ244" s="8"/>
      <c r="AR244" s="8"/>
      <c r="AS244" s="8"/>
      <c r="AT244" s="8"/>
      <c r="AU244" s="8"/>
      <c r="AV244" s="8"/>
      <c r="AW244" s="8"/>
      <c r="AX244" s="8"/>
      <c r="AY244" s="8"/>
      <c r="AZ244" s="8"/>
      <c r="BA244" s="8"/>
      <c r="BB244" s="8"/>
      <c r="BC244" s="8"/>
      <c r="BD244" s="8"/>
    </row>
    <row r="245" spans="1:56" ht="14.25" customHeight="1">
      <c r="A245" s="619">
        <v>1</v>
      </c>
      <c r="B245" s="175"/>
      <c r="C245" s="164" t="s">
        <v>10</v>
      </c>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c r="Z245" s="165"/>
      <c r="AA245" s="165"/>
      <c r="AB245" s="165"/>
      <c r="AC245" s="165"/>
      <c r="AD245" s="165"/>
      <c r="AE245" s="165"/>
      <c r="AF245" s="165"/>
      <c r="AG245" s="165"/>
      <c r="AH245" s="165"/>
      <c r="AI245" s="165"/>
      <c r="AJ245" s="166"/>
      <c r="AK245" s="3"/>
      <c r="AL245" s="1"/>
      <c r="AM245" s="8"/>
      <c r="AN245" s="8"/>
      <c r="AO245" s="8"/>
      <c r="AP245" s="8"/>
      <c r="AQ245" s="8"/>
      <c r="AR245" s="8"/>
      <c r="AS245" s="8"/>
      <c r="AT245" s="8"/>
      <c r="AU245" s="8"/>
      <c r="AV245" s="8"/>
      <c r="AW245" s="8"/>
      <c r="AX245" s="8"/>
      <c r="AY245" s="8"/>
      <c r="AZ245" s="8"/>
      <c r="BA245" s="8"/>
      <c r="BB245" s="8"/>
      <c r="BC245" s="8"/>
      <c r="BD245" s="8"/>
    </row>
    <row r="246" spans="1:56" ht="14.25" customHeight="1">
      <c r="A246" s="619">
        <v>1</v>
      </c>
      <c r="B246" s="175"/>
      <c r="C246" s="164" t="s">
        <v>11</v>
      </c>
      <c r="D246" s="204"/>
      <c r="E246" s="204"/>
      <c r="F246" s="204"/>
      <c r="G246" s="204"/>
      <c r="H246" s="204"/>
      <c r="I246" s="204"/>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04"/>
      <c r="AI246" s="204"/>
      <c r="AJ246" s="246"/>
      <c r="AK246" s="3"/>
      <c r="AL246" s="1"/>
      <c r="AM246" s="8"/>
      <c r="AN246" s="8"/>
      <c r="AO246" s="8"/>
      <c r="AP246" s="8"/>
      <c r="AQ246" s="8"/>
      <c r="AR246" s="8"/>
      <c r="AS246" s="8"/>
      <c r="AT246" s="8"/>
      <c r="AU246" s="8"/>
      <c r="AV246" s="8"/>
      <c r="AW246" s="8"/>
      <c r="AX246" s="8"/>
      <c r="AY246" s="8"/>
      <c r="AZ246" s="8"/>
      <c r="BA246" s="8"/>
      <c r="BB246" s="8"/>
      <c r="BC246" s="8"/>
      <c r="BD246" s="8"/>
    </row>
    <row r="247" spans="1:56" ht="14.25" customHeight="1">
      <c r="A247" s="619"/>
      <c r="B247" s="179"/>
      <c r="C247" s="164" t="s">
        <v>22</v>
      </c>
      <c r="D247" s="204"/>
      <c r="E247" s="204"/>
      <c r="F247" s="204"/>
      <c r="G247" s="204"/>
      <c r="H247" s="204"/>
      <c r="I247" s="204"/>
      <c r="J247" s="204"/>
      <c r="K247" s="204"/>
      <c r="L247" s="204"/>
      <c r="M247" s="204"/>
      <c r="N247" s="204"/>
      <c r="O247" s="204"/>
      <c r="P247" s="204"/>
      <c r="Q247" s="204"/>
      <c r="R247" s="204"/>
      <c r="S247" s="204"/>
      <c r="T247" s="204"/>
      <c r="U247" s="204"/>
      <c r="V247" s="204"/>
      <c r="W247" s="204"/>
      <c r="X247" s="204"/>
      <c r="Y247" s="204"/>
      <c r="Z247" s="204"/>
      <c r="AA247" s="204"/>
      <c r="AB247" s="204"/>
      <c r="AC247" s="204"/>
      <c r="AD247" s="204"/>
      <c r="AE247" s="204"/>
      <c r="AF247" s="204"/>
      <c r="AG247" s="204"/>
      <c r="AH247" s="204"/>
      <c r="AI247" s="204"/>
      <c r="AJ247" s="246"/>
      <c r="AK247" s="3"/>
      <c r="AL247" s="1"/>
      <c r="AM247" s="8"/>
      <c r="AN247" s="8"/>
      <c r="AO247" s="8"/>
      <c r="AP247" s="8"/>
      <c r="AQ247" s="8"/>
      <c r="AR247" s="8"/>
      <c r="AS247" s="8"/>
      <c r="AT247" s="8"/>
      <c r="AU247" s="8"/>
      <c r="AV247" s="8"/>
      <c r="AW247" s="8"/>
      <c r="AX247" s="8"/>
      <c r="AY247" s="8"/>
      <c r="AZ247" s="8"/>
      <c r="BA247" s="8"/>
      <c r="BB247" s="8"/>
      <c r="BC247" s="8"/>
      <c r="BD247" s="8"/>
    </row>
    <row r="248" spans="1:56" ht="14.25" customHeight="1">
      <c r="A248" s="619"/>
      <c r="B248" s="207"/>
      <c r="C248" s="168"/>
      <c r="D248" s="169"/>
      <c r="E248" s="169"/>
      <c r="F248" s="169"/>
      <c r="G248" s="169"/>
      <c r="H248" s="169"/>
      <c r="I248" s="169"/>
      <c r="J248" s="169"/>
      <c r="K248" s="169"/>
      <c r="L248" s="169"/>
      <c r="M248" s="169"/>
      <c r="N248" s="169"/>
      <c r="O248" s="169"/>
      <c r="P248" s="169"/>
      <c r="Q248" s="169"/>
      <c r="R248" s="169"/>
      <c r="S248" s="169"/>
      <c r="T248" s="169"/>
      <c r="U248" s="169"/>
      <c r="V248" s="169"/>
      <c r="W248" s="169"/>
      <c r="X248" s="169"/>
      <c r="Y248" s="169"/>
      <c r="Z248" s="169"/>
      <c r="AA248" s="169"/>
      <c r="AB248" s="169"/>
      <c r="AC248" s="169"/>
      <c r="AD248" s="169"/>
      <c r="AE248" s="169"/>
      <c r="AF248" s="169"/>
      <c r="AG248" s="169"/>
      <c r="AH248" s="169"/>
      <c r="AI248" s="169"/>
      <c r="AJ248" s="170"/>
      <c r="AK248" s="3"/>
      <c r="AL248" s="1"/>
      <c r="AM248" s="8"/>
      <c r="AN248" s="8"/>
      <c r="AO248" s="8"/>
      <c r="AP248" s="8"/>
      <c r="AQ248" s="8"/>
      <c r="AR248" s="8"/>
      <c r="AS248" s="8"/>
      <c r="AT248" s="8"/>
      <c r="AU248" s="8"/>
      <c r="AV248" s="8"/>
      <c r="AW248" s="8"/>
      <c r="AX248" s="8"/>
      <c r="AY248" s="8"/>
      <c r="AZ248" s="8"/>
      <c r="BA248" s="8"/>
      <c r="BB248" s="8"/>
      <c r="BC248" s="8"/>
      <c r="BD248" s="8"/>
    </row>
    <row r="249" spans="1:56" ht="14.25" customHeight="1">
      <c r="A249" s="619"/>
      <c r="B249" s="619"/>
      <c r="C249" s="619"/>
      <c r="D249" s="619"/>
      <c r="E249" s="619"/>
      <c r="F249" s="619"/>
      <c r="G249" s="619"/>
      <c r="H249" s="619"/>
      <c r="I249" s="619"/>
      <c r="J249" s="619"/>
      <c r="K249" s="619"/>
      <c r="L249" s="619"/>
      <c r="M249" s="619"/>
      <c r="N249" s="619"/>
      <c r="O249" s="619"/>
      <c r="P249" s="619"/>
      <c r="Q249" s="619"/>
      <c r="R249" s="619"/>
      <c r="S249" s="619"/>
      <c r="T249" s="619"/>
      <c r="U249" s="619"/>
      <c r="V249" s="619"/>
      <c r="W249" s="619"/>
      <c r="X249" s="619"/>
      <c r="Y249" s="619"/>
      <c r="Z249" s="619"/>
      <c r="AA249" s="619"/>
      <c r="AB249" s="619"/>
      <c r="AC249" s="619"/>
      <c r="AD249" s="619"/>
      <c r="AE249" s="619"/>
      <c r="AF249" s="619"/>
      <c r="AG249" s="619"/>
      <c r="AH249" s="619"/>
      <c r="AI249" s="619"/>
      <c r="AJ249" s="619"/>
      <c r="AK249" s="3"/>
      <c r="AL249" s="1"/>
      <c r="AM249" s="8"/>
      <c r="AN249" s="8"/>
      <c r="AO249" s="8"/>
      <c r="AP249" s="8"/>
      <c r="AQ249" s="8"/>
      <c r="AR249" s="8"/>
      <c r="AS249" s="8"/>
      <c r="AT249" s="8"/>
      <c r="AU249" s="8"/>
      <c r="AV249" s="8"/>
      <c r="AW249" s="8"/>
      <c r="AX249" s="8"/>
      <c r="AY249" s="8"/>
      <c r="AZ249" s="8"/>
      <c r="BA249" s="8"/>
      <c r="BB249" s="8"/>
      <c r="BC249" s="8"/>
      <c r="BD249" s="8"/>
    </row>
    <row r="250" spans="1:56" ht="14.25" customHeight="1">
      <c r="A250" s="3"/>
      <c r="B250" s="7"/>
      <c r="C250" s="171" t="s">
        <v>114</v>
      </c>
      <c r="D250" s="193"/>
      <c r="E250" s="193"/>
      <c r="F250" s="193"/>
      <c r="G250" s="193"/>
      <c r="H250" s="153"/>
      <c r="I250" s="153"/>
      <c r="J250" s="153"/>
      <c r="K250" s="153"/>
      <c r="L250" s="153"/>
      <c r="M250" s="153"/>
      <c r="N250" s="153"/>
      <c r="O250" s="153"/>
      <c r="P250" s="153"/>
      <c r="Q250" s="153"/>
      <c r="R250" s="153"/>
      <c r="S250" s="153"/>
      <c r="T250" s="153"/>
      <c r="U250" s="153"/>
      <c r="V250" s="153"/>
      <c r="W250" s="153"/>
      <c r="X250" s="153"/>
      <c r="Y250" s="153"/>
      <c r="Z250" s="153"/>
      <c r="AA250" s="153"/>
      <c r="AB250" s="153"/>
      <c r="AC250" s="153"/>
      <c r="AD250" s="153"/>
      <c r="AE250" s="153"/>
      <c r="AF250" s="153"/>
      <c r="AG250" s="153"/>
      <c r="AH250" s="153"/>
      <c r="AI250" s="153"/>
      <c r="AJ250" s="154"/>
      <c r="AK250" s="3"/>
      <c r="AL250" s="1"/>
      <c r="AM250" s="8"/>
      <c r="AN250" s="8"/>
      <c r="AO250" s="8"/>
      <c r="AP250" s="8"/>
      <c r="AQ250" s="8"/>
      <c r="AR250" s="8"/>
      <c r="AS250" s="8"/>
      <c r="AT250" s="8"/>
      <c r="AU250" s="8"/>
      <c r="AV250" s="8"/>
      <c r="AW250" s="8"/>
      <c r="AX250" s="8"/>
      <c r="AY250" s="8"/>
      <c r="AZ250" s="8"/>
      <c r="BA250" s="8"/>
      <c r="BB250" s="8"/>
      <c r="BC250" s="8"/>
      <c r="BD250" s="8"/>
    </row>
    <row r="251" spans="1:56" ht="14.25" customHeight="1">
      <c r="A251" s="619"/>
      <c r="B251" s="155"/>
      <c r="C251" s="160"/>
      <c r="D251" s="172">
        <v>2018</v>
      </c>
      <c r="E251" s="172">
        <v>2019</v>
      </c>
      <c r="F251" s="172">
        <v>2020</v>
      </c>
      <c r="G251" s="172">
        <v>2021</v>
      </c>
      <c r="H251" s="189">
        <v>2022</v>
      </c>
      <c r="I251" s="189">
        <v>2023</v>
      </c>
      <c r="J251" s="189">
        <v>2024</v>
      </c>
      <c r="K251" s="189">
        <v>2025</v>
      </c>
      <c r="L251" s="189">
        <v>2026</v>
      </c>
      <c r="M251" s="189">
        <v>2027</v>
      </c>
      <c r="N251" s="189">
        <v>2028</v>
      </c>
      <c r="O251" s="189">
        <v>2029</v>
      </c>
      <c r="P251" s="189">
        <v>2030</v>
      </c>
      <c r="Q251" s="189">
        <v>2031</v>
      </c>
      <c r="R251" s="189">
        <v>2032</v>
      </c>
      <c r="S251" s="189">
        <v>2033</v>
      </c>
      <c r="T251" s="189">
        <v>2034</v>
      </c>
      <c r="U251" s="189">
        <v>2035</v>
      </c>
      <c r="V251" s="189">
        <v>2036</v>
      </c>
      <c r="W251" s="189">
        <v>2037</v>
      </c>
      <c r="X251" s="189">
        <v>2038</v>
      </c>
      <c r="Y251" s="189">
        <v>2039</v>
      </c>
      <c r="Z251" s="189">
        <v>2040</v>
      </c>
      <c r="AA251" s="189">
        <v>2041</v>
      </c>
      <c r="AB251" s="189">
        <v>2042</v>
      </c>
      <c r="AC251" s="189">
        <v>2043</v>
      </c>
      <c r="AD251" s="189">
        <v>2044</v>
      </c>
      <c r="AE251" s="189">
        <v>2045</v>
      </c>
      <c r="AF251" s="189">
        <v>2046</v>
      </c>
      <c r="AG251" s="189">
        <v>2047</v>
      </c>
      <c r="AH251" s="189">
        <v>2048</v>
      </c>
      <c r="AI251" s="189">
        <v>2049</v>
      </c>
      <c r="AJ251" s="218">
        <v>2050</v>
      </c>
      <c r="AK251" s="189">
        <v>2051</v>
      </c>
      <c r="AL251" s="189">
        <v>2052</v>
      </c>
      <c r="AM251" s="189">
        <v>2053</v>
      </c>
      <c r="AN251" s="189">
        <v>2054</v>
      </c>
      <c r="AO251" s="189">
        <v>2055</v>
      </c>
      <c r="AP251" s="189">
        <v>2056</v>
      </c>
      <c r="AQ251" s="189">
        <v>2057</v>
      </c>
      <c r="AR251" s="189">
        <v>2058</v>
      </c>
      <c r="AS251" s="218">
        <v>2059</v>
      </c>
      <c r="AT251" s="189">
        <v>2060</v>
      </c>
      <c r="AU251" s="189">
        <v>2061</v>
      </c>
      <c r="AV251" s="189">
        <v>2062</v>
      </c>
      <c r="AW251" s="189">
        <v>2063</v>
      </c>
      <c r="AX251" s="189">
        <v>2064</v>
      </c>
      <c r="AY251" s="189">
        <v>2065</v>
      </c>
      <c r="AZ251" s="189">
        <v>2066</v>
      </c>
      <c r="BA251" s="189">
        <v>2067</v>
      </c>
      <c r="BB251" s="218">
        <v>2068</v>
      </c>
      <c r="BC251" s="189">
        <v>2069</v>
      </c>
      <c r="BD251" s="189">
        <v>2070</v>
      </c>
    </row>
    <row r="252" spans="1:56" ht="14.25" customHeight="1">
      <c r="A252" s="619">
        <v>1</v>
      </c>
      <c r="B252" s="179"/>
      <c r="C252" s="164" t="s">
        <v>29</v>
      </c>
      <c r="D252" s="181">
        <f t="shared" ref="D252:G252" si="46">(SUMIF($C$76:$C$112,$C252,D$76:D$112))*0.99</f>
        <v>78.479838042735665</v>
      </c>
      <c r="E252" s="181">
        <f t="shared" si="46"/>
        <v>75.076616114750649</v>
      </c>
      <c r="F252" s="181">
        <f t="shared" si="46"/>
        <v>56.489906062720166</v>
      </c>
      <c r="G252" s="181">
        <f t="shared" si="46"/>
        <v>72.408770209500119</v>
      </c>
      <c r="H252" s="181">
        <v>78.479799999999997</v>
      </c>
      <c r="I252" s="181">
        <v>78.479799999999997</v>
      </c>
      <c r="J252" s="181">
        <v>78.479799999999997</v>
      </c>
      <c r="K252" s="181">
        <v>78.479799999999997</v>
      </c>
      <c r="L252" s="181">
        <v>78.479799999999997</v>
      </c>
      <c r="M252" s="181">
        <v>78.479799999999997</v>
      </c>
      <c r="N252" s="181">
        <v>78.479799999999997</v>
      </c>
      <c r="O252" s="181">
        <v>78.479799999999997</v>
      </c>
      <c r="P252" s="181">
        <v>78.479799999999997</v>
      </c>
      <c r="Q252" s="181">
        <v>78.479799999999997</v>
      </c>
      <c r="R252" s="181">
        <v>78.479799999999997</v>
      </c>
      <c r="S252" s="181">
        <v>78.479799999999997</v>
      </c>
      <c r="T252" s="181">
        <v>78.479799999999997</v>
      </c>
      <c r="U252" s="181">
        <v>78.479799999999997</v>
      </c>
      <c r="V252" s="181">
        <v>78.479799999999997</v>
      </c>
      <c r="W252" s="181">
        <v>78.479799999999997</v>
      </c>
      <c r="X252" s="181">
        <v>78.479799999999997</v>
      </c>
      <c r="Y252" s="181">
        <v>78.479799999999997</v>
      </c>
      <c r="Z252" s="181">
        <v>78.479799999999997</v>
      </c>
      <c r="AA252" s="181">
        <v>78.479799999999997</v>
      </c>
      <c r="AB252" s="181">
        <v>78.479799999999997</v>
      </c>
      <c r="AC252" s="181">
        <v>78.479799999999997</v>
      </c>
      <c r="AD252" s="181">
        <v>78.479799999999997</v>
      </c>
      <c r="AE252" s="181">
        <v>78.479799999999997</v>
      </c>
      <c r="AF252" s="181">
        <v>78.479799999999997</v>
      </c>
      <c r="AG252" s="181">
        <v>78.479799999999997</v>
      </c>
      <c r="AH252" s="181">
        <v>78.479799999999997</v>
      </c>
      <c r="AI252" s="181">
        <v>78.479799999999997</v>
      </c>
      <c r="AJ252" s="183">
        <v>78.479799999999997</v>
      </c>
      <c r="AK252" s="3"/>
      <c r="AL252" s="1"/>
      <c r="AM252" s="8"/>
      <c r="AN252" s="8"/>
      <c r="AO252" s="8"/>
      <c r="AP252" s="8"/>
      <c r="AQ252" s="8"/>
      <c r="AR252" s="8"/>
      <c r="AS252" s="8"/>
      <c r="AT252" s="8"/>
      <c r="AU252" s="8"/>
      <c r="AV252" s="8"/>
      <c r="AW252" s="8"/>
      <c r="AX252" s="8"/>
      <c r="AY252" s="8"/>
      <c r="AZ252" s="8"/>
      <c r="BA252" s="8"/>
      <c r="BB252" s="8"/>
      <c r="BC252" s="8"/>
      <c r="BD252" s="8"/>
    </row>
    <row r="253" spans="1:56" ht="14.25" customHeight="1">
      <c r="A253" s="619">
        <v>1</v>
      </c>
      <c r="B253" s="179"/>
      <c r="C253" s="164" t="s">
        <v>30</v>
      </c>
      <c r="D253" s="181">
        <f t="shared" ref="D253:G253" si="47">(SUMIF($C$76:$C$112,$C253,D$76:D$112))*0.99</f>
        <v>65.34536076174129</v>
      </c>
      <c r="E253" s="181">
        <f t="shared" si="47"/>
        <v>60.206725319519393</v>
      </c>
      <c r="F253" s="181">
        <f t="shared" si="47"/>
        <v>46.159875620186313</v>
      </c>
      <c r="G253" s="181">
        <f t="shared" si="47"/>
        <v>53.309575538574322</v>
      </c>
      <c r="H253" s="181">
        <v>65.345399999999998</v>
      </c>
      <c r="I253" s="181">
        <v>65.345399999999998</v>
      </c>
      <c r="J253" s="181">
        <v>65.345399999999998</v>
      </c>
      <c r="K253" s="181">
        <v>65.345399999999998</v>
      </c>
      <c r="L253" s="181">
        <v>65.345399999999998</v>
      </c>
      <c r="M253" s="181">
        <v>65.345399999999998</v>
      </c>
      <c r="N253" s="181">
        <v>65.345399999999998</v>
      </c>
      <c r="O253" s="181">
        <v>65.345399999999998</v>
      </c>
      <c r="P253" s="181">
        <v>65.345399999999998</v>
      </c>
      <c r="Q253" s="181">
        <v>65.345399999999998</v>
      </c>
      <c r="R253" s="181">
        <v>65.345399999999998</v>
      </c>
      <c r="S253" s="181">
        <v>65.345399999999998</v>
      </c>
      <c r="T253" s="181">
        <v>65.345399999999998</v>
      </c>
      <c r="U253" s="181">
        <v>65.345399999999998</v>
      </c>
      <c r="V253" s="181">
        <v>65.345399999999998</v>
      </c>
      <c r="W253" s="181">
        <v>65.345399999999998</v>
      </c>
      <c r="X253" s="181">
        <v>65.345399999999998</v>
      </c>
      <c r="Y253" s="181">
        <v>65.345399999999998</v>
      </c>
      <c r="Z253" s="181">
        <v>65.345399999999998</v>
      </c>
      <c r="AA253" s="181">
        <v>65.345399999999998</v>
      </c>
      <c r="AB253" s="181">
        <v>65.345399999999998</v>
      </c>
      <c r="AC253" s="181">
        <v>65.345399999999998</v>
      </c>
      <c r="AD253" s="181">
        <v>65.345399999999998</v>
      </c>
      <c r="AE253" s="181">
        <v>65.345399999999998</v>
      </c>
      <c r="AF253" s="181">
        <v>65.345399999999998</v>
      </c>
      <c r="AG253" s="181">
        <v>65.345399999999998</v>
      </c>
      <c r="AH253" s="181">
        <v>65.345399999999998</v>
      </c>
      <c r="AI253" s="181">
        <v>65.345399999999998</v>
      </c>
      <c r="AJ253" s="183">
        <v>65.345399999999998</v>
      </c>
      <c r="AK253" s="3"/>
      <c r="AL253" s="1"/>
      <c r="AM253" s="8"/>
      <c r="AN253" s="8"/>
      <c r="AO253" s="8"/>
      <c r="AP253" s="8"/>
      <c r="AQ253" s="8"/>
      <c r="AR253" s="8"/>
      <c r="AS253" s="8"/>
      <c r="AT253" s="8"/>
      <c r="AU253" s="8"/>
      <c r="AV253" s="8"/>
      <c r="AW253" s="8"/>
      <c r="AX253" s="8"/>
      <c r="AY253" s="8"/>
      <c r="AZ253" s="8"/>
      <c r="BA253" s="8"/>
      <c r="BB253" s="8"/>
      <c r="BC253" s="8"/>
      <c r="BD253" s="8"/>
    </row>
    <row r="254" spans="1:56" ht="14.25" customHeight="1">
      <c r="A254" s="619">
        <v>1</v>
      </c>
      <c r="B254" s="179"/>
      <c r="C254" s="164" t="s">
        <v>31</v>
      </c>
      <c r="D254" s="181">
        <f t="shared" ref="D254:G254" si="48">(SUMIF($C$76:$C$112,$C254,D$76:D$112))*0.99</f>
        <v>6.5143172504566227</v>
      </c>
      <c r="E254" s="181">
        <f t="shared" si="48"/>
        <v>3.9446888573215406</v>
      </c>
      <c r="F254" s="181">
        <f t="shared" si="48"/>
        <v>4.4790352542992284</v>
      </c>
      <c r="G254" s="181">
        <f t="shared" si="48"/>
        <v>4.5856525394351069</v>
      </c>
      <c r="H254" s="181">
        <v>6.5143000000000004</v>
      </c>
      <c r="I254" s="181">
        <v>6.5143000000000004</v>
      </c>
      <c r="J254" s="181">
        <v>6.5143000000000004</v>
      </c>
      <c r="K254" s="181">
        <v>6.5143000000000004</v>
      </c>
      <c r="L254" s="181">
        <v>6.5143000000000004</v>
      </c>
      <c r="M254" s="181">
        <v>6.5143000000000004</v>
      </c>
      <c r="N254" s="181">
        <v>6.5143000000000004</v>
      </c>
      <c r="O254" s="181">
        <v>6.5143000000000004</v>
      </c>
      <c r="P254" s="181">
        <v>6.5143000000000004</v>
      </c>
      <c r="Q254" s="181">
        <v>6.5143000000000004</v>
      </c>
      <c r="R254" s="181">
        <v>6.5143000000000004</v>
      </c>
      <c r="S254" s="181">
        <v>6.5143000000000004</v>
      </c>
      <c r="T254" s="181">
        <v>6.5143000000000004</v>
      </c>
      <c r="U254" s="181">
        <v>6.5143000000000004</v>
      </c>
      <c r="V254" s="181">
        <v>6.5143000000000004</v>
      </c>
      <c r="W254" s="181">
        <v>6.5143000000000004</v>
      </c>
      <c r="X254" s="181">
        <v>6.5143000000000004</v>
      </c>
      <c r="Y254" s="181">
        <v>6.5143000000000004</v>
      </c>
      <c r="Z254" s="181">
        <v>6.5143000000000004</v>
      </c>
      <c r="AA254" s="181">
        <v>6.5143000000000004</v>
      </c>
      <c r="AB254" s="181">
        <v>6.5143000000000004</v>
      </c>
      <c r="AC254" s="181">
        <v>6.5143000000000004</v>
      </c>
      <c r="AD254" s="181">
        <v>6.5143000000000004</v>
      </c>
      <c r="AE254" s="181">
        <v>6.5143000000000004</v>
      </c>
      <c r="AF254" s="181">
        <v>6.5143000000000004</v>
      </c>
      <c r="AG254" s="181">
        <v>6.5143000000000004</v>
      </c>
      <c r="AH254" s="181">
        <v>6.5143000000000004</v>
      </c>
      <c r="AI254" s="181">
        <v>6.5143000000000004</v>
      </c>
      <c r="AJ254" s="183">
        <v>6.5143000000000004</v>
      </c>
      <c r="AK254" s="3"/>
      <c r="AL254" s="1"/>
      <c r="AM254" s="8"/>
      <c r="AN254" s="8"/>
      <c r="AO254" s="8"/>
      <c r="AP254" s="8"/>
      <c r="AQ254" s="8"/>
      <c r="AR254" s="8"/>
      <c r="AS254" s="8"/>
      <c r="AT254" s="8"/>
      <c r="AU254" s="8"/>
      <c r="AV254" s="8"/>
      <c r="AW254" s="8"/>
      <c r="AX254" s="8"/>
      <c r="AY254" s="8"/>
      <c r="AZ254" s="8"/>
      <c r="BA254" s="8"/>
      <c r="BB254" s="8"/>
      <c r="BC254" s="8"/>
      <c r="BD254" s="8"/>
    </row>
    <row r="255" spans="1:56" ht="14.25" customHeight="1">
      <c r="A255" s="619">
        <v>1</v>
      </c>
      <c r="B255" s="179"/>
      <c r="C255" s="164" t="s">
        <v>32</v>
      </c>
      <c r="D255" s="181">
        <f t="shared" ref="D255:G255" si="49">(SUMIF($C$76:$C$112,$C255,D$76:D$112))*0.99</f>
        <v>136.35156500204295</v>
      </c>
      <c r="E255" s="181">
        <f t="shared" si="49"/>
        <v>105.72248178561163</v>
      </c>
      <c r="F255" s="181">
        <f t="shared" si="49"/>
        <v>99.533428002971704</v>
      </c>
      <c r="G255" s="181">
        <f t="shared" si="49"/>
        <v>129.0444709376539</v>
      </c>
      <c r="H255" s="181">
        <v>136.35159999999999</v>
      </c>
      <c r="I255" s="181">
        <v>136.35159999999999</v>
      </c>
      <c r="J255" s="181">
        <v>136.35159999999999</v>
      </c>
      <c r="K255" s="181">
        <v>136.35159999999999</v>
      </c>
      <c r="L255" s="181">
        <v>136.35159999999999</v>
      </c>
      <c r="M255" s="181">
        <v>136.35159999999999</v>
      </c>
      <c r="N255" s="181">
        <v>136.35159999999999</v>
      </c>
      <c r="O255" s="181">
        <v>136.35159999999999</v>
      </c>
      <c r="P255" s="181">
        <v>136.35159999999999</v>
      </c>
      <c r="Q255" s="181">
        <v>136.35159999999999</v>
      </c>
      <c r="R255" s="181">
        <v>136.35159999999999</v>
      </c>
      <c r="S255" s="181">
        <v>136.35159999999999</v>
      </c>
      <c r="T255" s="181">
        <v>136.35159999999999</v>
      </c>
      <c r="U255" s="181">
        <v>136.35159999999999</v>
      </c>
      <c r="V255" s="181">
        <v>136.35159999999999</v>
      </c>
      <c r="W255" s="181">
        <v>136.35159999999999</v>
      </c>
      <c r="X255" s="181">
        <v>136.35159999999999</v>
      </c>
      <c r="Y255" s="181">
        <v>136.35159999999999</v>
      </c>
      <c r="Z255" s="181">
        <v>136.35159999999999</v>
      </c>
      <c r="AA255" s="181">
        <v>136.35159999999999</v>
      </c>
      <c r="AB255" s="181">
        <v>136.35159999999999</v>
      </c>
      <c r="AC255" s="181">
        <v>136.35159999999999</v>
      </c>
      <c r="AD255" s="181">
        <v>136.35159999999999</v>
      </c>
      <c r="AE255" s="181">
        <v>136.35159999999999</v>
      </c>
      <c r="AF255" s="181">
        <v>136.35159999999999</v>
      </c>
      <c r="AG255" s="181">
        <v>136.35159999999999</v>
      </c>
      <c r="AH255" s="181">
        <v>136.35159999999999</v>
      </c>
      <c r="AI255" s="181">
        <v>136.35159999999999</v>
      </c>
      <c r="AJ255" s="183">
        <v>136.35159999999999</v>
      </c>
      <c r="AK255" s="3"/>
      <c r="AL255" s="1"/>
      <c r="AM255" s="8"/>
      <c r="AN255" s="8"/>
      <c r="AO255" s="8"/>
      <c r="AP255" s="8"/>
      <c r="AQ255" s="8"/>
      <c r="AR255" s="8"/>
      <c r="AS255" s="8"/>
      <c r="AT255" s="8"/>
      <c r="AU255" s="8"/>
      <c r="AV255" s="8"/>
      <c r="AW255" s="8"/>
      <c r="AX255" s="8"/>
      <c r="AY255" s="8"/>
      <c r="AZ255" s="8"/>
      <c r="BA255" s="8"/>
      <c r="BB255" s="8"/>
      <c r="BC255" s="8"/>
      <c r="BD255" s="8"/>
    </row>
    <row r="256" spans="1:56" ht="14.25" customHeight="1">
      <c r="A256" s="619">
        <v>1</v>
      </c>
      <c r="B256" s="179"/>
      <c r="C256" s="164" t="s">
        <v>33</v>
      </c>
      <c r="D256" s="181">
        <f t="shared" ref="D256:G256" si="50">(SUMIF($C$76:$C$112,$C256,D$76:D$112))*0.99</f>
        <v>16.339176434294693</v>
      </c>
      <c r="E256" s="181">
        <f t="shared" si="50"/>
        <v>16.118280283628796</v>
      </c>
      <c r="F256" s="181">
        <f t="shared" si="50"/>
        <v>8.5974998306934047</v>
      </c>
      <c r="G256" s="181">
        <f t="shared" si="50"/>
        <v>12.384293684267032</v>
      </c>
      <c r="H256" s="181">
        <v>16.339200000000002</v>
      </c>
      <c r="I256" s="181">
        <v>16.339200000000002</v>
      </c>
      <c r="J256" s="181">
        <v>16.339200000000002</v>
      </c>
      <c r="K256" s="181">
        <v>16.339200000000002</v>
      </c>
      <c r="L256" s="181">
        <v>16.339200000000002</v>
      </c>
      <c r="M256" s="181">
        <v>16.339200000000002</v>
      </c>
      <c r="N256" s="181">
        <v>16.339200000000002</v>
      </c>
      <c r="O256" s="181">
        <v>16.339200000000002</v>
      </c>
      <c r="P256" s="181">
        <v>16.339200000000002</v>
      </c>
      <c r="Q256" s="181">
        <v>16.339200000000002</v>
      </c>
      <c r="R256" s="181">
        <v>16.339200000000002</v>
      </c>
      <c r="S256" s="181">
        <v>16.339200000000002</v>
      </c>
      <c r="T256" s="181">
        <v>16.339200000000002</v>
      </c>
      <c r="U256" s="181">
        <v>16.339200000000002</v>
      </c>
      <c r="V256" s="181">
        <v>16.339200000000002</v>
      </c>
      <c r="W256" s="181">
        <v>16.339200000000002</v>
      </c>
      <c r="X256" s="181">
        <v>16.339200000000002</v>
      </c>
      <c r="Y256" s="181">
        <v>16.339200000000002</v>
      </c>
      <c r="Z256" s="181">
        <v>16.339200000000002</v>
      </c>
      <c r="AA256" s="181">
        <v>16.339200000000002</v>
      </c>
      <c r="AB256" s="181">
        <v>16.339200000000002</v>
      </c>
      <c r="AC256" s="181">
        <v>16.339200000000002</v>
      </c>
      <c r="AD256" s="181">
        <v>16.339200000000002</v>
      </c>
      <c r="AE256" s="181">
        <v>16.339200000000002</v>
      </c>
      <c r="AF256" s="181">
        <v>16.339200000000002</v>
      </c>
      <c r="AG256" s="181">
        <v>16.339200000000002</v>
      </c>
      <c r="AH256" s="181">
        <v>16.339200000000002</v>
      </c>
      <c r="AI256" s="181">
        <v>16.339200000000002</v>
      </c>
      <c r="AJ256" s="183">
        <v>16.339200000000002</v>
      </c>
      <c r="AK256" s="3"/>
      <c r="AL256" s="1"/>
      <c r="AM256" s="8"/>
      <c r="AN256" s="8"/>
      <c r="AO256" s="8"/>
      <c r="AP256" s="8"/>
      <c r="AQ256" s="8"/>
      <c r="AR256" s="8"/>
      <c r="AS256" s="8"/>
      <c r="AT256" s="8"/>
      <c r="AU256" s="8"/>
      <c r="AV256" s="8"/>
      <c r="AW256" s="8"/>
      <c r="AX256" s="8"/>
      <c r="AY256" s="8"/>
      <c r="AZ256" s="8"/>
      <c r="BA256" s="8"/>
      <c r="BB256" s="8"/>
      <c r="BC256" s="8"/>
      <c r="BD256" s="8"/>
    </row>
    <row r="257" spans="1:45" ht="14.25" customHeight="1">
      <c r="A257" s="619">
        <v>1</v>
      </c>
      <c r="B257" s="179"/>
      <c r="C257" s="164" t="s">
        <v>115</v>
      </c>
      <c r="D257" s="181">
        <f t="shared" ref="D257:G257" si="51">(SUMIF($C$76:$C$112,$C257,D$76:D$112))*0.99</f>
        <v>34.636105334029672</v>
      </c>
      <c r="E257" s="181">
        <f t="shared" si="51"/>
        <v>33.664639488609886</v>
      </c>
      <c r="F257" s="181">
        <f t="shared" si="51"/>
        <v>30.922512393915802</v>
      </c>
      <c r="G257" s="181">
        <f t="shared" si="51"/>
        <v>33.860042093126829</v>
      </c>
      <c r="H257" s="181">
        <v>34.636099999999999</v>
      </c>
      <c r="I257" s="181">
        <v>34.636099999999999</v>
      </c>
      <c r="J257" s="181">
        <v>34.636099999999999</v>
      </c>
      <c r="K257" s="181">
        <v>34.636099999999999</v>
      </c>
      <c r="L257" s="181">
        <v>34.636099999999999</v>
      </c>
      <c r="M257" s="181">
        <v>34.636099999999999</v>
      </c>
      <c r="N257" s="181">
        <v>34.636099999999999</v>
      </c>
      <c r="O257" s="181">
        <v>34.636099999999999</v>
      </c>
      <c r="P257" s="181">
        <v>34.636099999999999</v>
      </c>
      <c r="Q257" s="181">
        <v>34.636099999999999</v>
      </c>
      <c r="R257" s="181">
        <v>34.636099999999999</v>
      </c>
      <c r="S257" s="181">
        <v>34.636099999999999</v>
      </c>
      <c r="T257" s="181">
        <v>34.636099999999999</v>
      </c>
      <c r="U257" s="181">
        <v>34.636099999999999</v>
      </c>
      <c r="V257" s="181">
        <v>34.636099999999999</v>
      </c>
      <c r="W257" s="181">
        <v>34.636099999999999</v>
      </c>
      <c r="X257" s="181">
        <v>34.636099999999999</v>
      </c>
      <c r="Y257" s="181">
        <v>34.636099999999999</v>
      </c>
      <c r="Z257" s="181">
        <v>34.636099999999999</v>
      </c>
      <c r="AA257" s="181">
        <v>34.636099999999999</v>
      </c>
      <c r="AB257" s="181">
        <v>34.636099999999999</v>
      </c>
      <c r="AC257" s="181">
        <v>34.636099999999999</v>
      </c>
      <c r="AD257" s="181">
        <v>34.636099999999999</v>
      </c>
      <c r="AE257" s="181">
        <v>34.636099999999999</v>
      </c>
      <c r="AF257" s="181">
        <v>34.636099999999999</v>
      </c>
      <c r="AG257" s="181">
        <v>34.636099999999999</v>
      </c>
      <c r="AH257" s="181">
        <v>34.636099999999999</v>
      </c>
      <c r="AI257" s="181">
        <v>34.636099999999999</v>
      </c>
      <c r="AJ257" s="183">
        <v>34.636099999999999</v>
      </c>
      <c r="AK257" s="3"/>
      <c r="AL257" s="1"/>
      <c r="AM257" s="8"/>
      <c r="AN257" s="8"/>
      <c r="AO257" s="8"/>
      <c r="AP257" s="8"/>
      <c r="AQ257" s="8"/>
      <c r="AR257" s="8"/>
      <c r="AS257" s="8"/>
    </row>
    <row r="258" spans="1:45" ht="14.25" customHeight="1">
      <c r="A258" s="619">
        <v>1</v>
      </c>
      <c r="B258" s="179"/>
      <c r="C258" s="195" t="s">
        <v>43</v>
      </c>
      <c r="D258" s="181">
        <f t="shared" ref="D258:G258" si="52">(SUMIF($C$76:$C$112,$C258,D$76:D$112))*0.99</f>
        <v>2.3735411759477838</v>
      </c>
      <c r="E258" s="181">
        <f t="shared" si="52"/>
        <v>2.2847997229846713</v>
      </c>
      <c r="F258" s="181">
        <f t="shared" si="52"/>
        <v>1.8321375147056789</v>
      </c>
      <c r="G258" s="181">
        <f t="shared" si="52"/>
        <v>2.0256653815390422</v>
      </c>
      <c r="H258" s="181">
        <v>2.3734999999999999</v>
      </c>
      <c r="I258" s="181">
        <v>2.3734999999999999</v>
      </c>
      <c r="J258" s="181">
        <v>2.3734999999999999</v>
      </c>
      <c r="K258" s="181">
        <v>2.3734999999999999</v>
      </c>
      <c r="L258" s="181">
        <v>2.3734999999999999</v>
      </c>
      <c r="M258" s="181">
        <v>2.3734999999999999</v>
      </c>
      <c r="N258" s="181">
        <v>2.3734999999999999</v>
      </c>
      <c r="O258" s="181">
        <v>2.3734999999999999</v>
      </c>
      <c r="P258" s="181">
        <v>2.3734999999999999</v>
      </c>
      <c r="Q258" s="181">
        <v>2.3734999999999999</v>
      </c>
      <c r="R258" s="181">
        <v>2.3734999999999999</v>
      </c>
      <c r="S258" s="181">
        <v>2.3734999999999999</v>
      </c>
      <c r="T258" s="181">
        <v>2.3734999999999999</v>
      </c>
      <c r="U258" s="181">
        <v>2.3734999999999999</v>
      </c>
      <c r="V258" s="181">
        <v>2.3734999999999999</v>
      </c>
      <c r="W258" s="181">
        <v>2.3734999999999999</v>
      </c>
      <c r="X258" s="181">
        <v>2.3734999999999999</v>
      </c>
      <c r="Y258" s="181">
        <v>2.3734999999999999</v>
      </c>
      <c r="Z258" s="181">
        <v>2.3734999999999999</v>
      </c>
      <c r="AA258" s="181">
        <v>2.3734999999999999</v>
      </c>
      <c r="AB258" s="181">
        <v>2.3734999999999999</v>
      </c>
      <c r="AC258" s="181">
        <v>2.3734999999999999</v>
      </c>
      <c r="AD258" s="181">
        <v>2.3734999999999999</v>
      </c>
      <c r="AE258" s="181">
        <v>2.3734999999999999</v>
      </c>
      <c r="AF258" s="181">
        <v>2.3734999999999999</v>
      </c>
      <c r="AG258" s="181">
        <v>2.3734999999999999</v>
      </c>
      <c r="AH258" s="181">
        <v>2.3734999999999999</v>
      </c>
      <c r="AI258" s="181">
        <v>2.3734999999999999</v>
      </c>
      <c r="AJ258" s="183">
        <v>2.3734999999999999</v>
      </c>
      <c r="AK258" s="3"/>
      <c r="AL258" s="1"/>
      <c r="AM258" s="8"/>
      <c r="AN258" s="8"/>
      <c r="AO258" s="8"/>
      <c r="AP258" s="8"/>
      <c r="AQ258" s="8"/>
      <c r="AR258" s="8"/>
      <c r="AS258" s="8"/>
    </row>
    <row r="259" spans="1:45" ht="14.25" customHeight="1">
      <c r="A259" s="619">
        <v>1</v>
      </c>
      <c r="B259" s="179"/>
      <c r="C259" s="195" t="s">
        <v>44</v>
      </c>
      <c r="D259" s="181">
        <f t="shared" ref="D259:G259" si="53">(SUMIF($C$76:$C$112,$C259,D$76:D$112))*0.99</f>
        <v>8.8719142356158773</v>
      </c>
      <c r="E259" s="181">
        <f t="shared" si="53"/>
        <v>8.4890486611992877</v>
      </c>
      <c r="F259" s="181">
        <f t="shared" si="53"/>
        <v>6.5570072097040963</v>
      </c>
      <c r="G259" s="181">
        <f t="shared" si="53"/>
        <v>7.8900532155786651</v>
      </c>
      <c r="H259" s="181">
        <v>8.8719000000000001</v>
      </c>
      <c r="I259" s="181">
        <v>8.8719000000000001</v>
      </c>
      <c r="J259" s="181">
        <v>8.8719000000000001</v>
      </c>
      <c r="K259" s="181">
        <v>8.8719000000000001</v>
      </c>
      <c r="L259" s="181">
        <v>8.8719000000000001</v>
      </c>
      <c r="M259" s="181">
        <v>8.8719000000000001</v>
      </c>
      <c r="N259" s="181">
        <v>8.8719000000000001</v>
      </c>
      <c r="O259" s="181">
        <v>8.8719000000000001</v>
      </c>
      <c r="P259" s="181">
        <v>8.8719000000000001</v>
      </c>
      <c r="Q259" s="181">
        <v>8.8719000000000001</v>
      </c>
      <c r="R259" s="181">
        <v>8.8719000000000001</v>
      </c>
      <c r="S259" s="181">
        <v>8.8719000000000001</v>
      </c>
      <c r="T259" s="181">
        <v>8.8719000000000001</v>
      </c>
      <c r="U259" s="181">
        <v>8.8719000000000001</v>
      </c>
      <c r="V259" s="181">
        <v>8.8719000000000001</v>
      </c>
      <c r="W259" s="181">
        <v>8.8719000000000001</v>
      </c>
      <c r="X259" s="181">
        <v>8.8719000000000001</v>
      </c>
      <c r="Y259" s="181">
        <v>8.8719000000000001</v>
      </c>
      <c r="Z259" s="181">
        <v>8.8719000000000001</v>
      </c>
      <c r="AA259" s="181">
        <v>8.8719000000000001</v>
      </c>
      <c r="AB259" s="181">
        <v>8.8719000000000001</v>
      </c>
      <c r="AC259" s="181">
        <v>8.8719000000000001</v>
      </c>
      <c r="AD259" s="181">
        <v>8.8719000000000001</v>
      </c>
      <c r="AE259" s="181">
        <v>8.8719000000000001</v>
      </c>
      <c r="AF259" s="181">
        <v>8.8719000000000001</v>
      </c>
      <c r="AG259" s="181">
        <v>8.8719000000000001</v>
      </c>
      <c r="AH259" s="181">
        <v>8.8719000000000001</v>
      </c>
      <c r="AI259" s="181">
        <v>8.8719000000000001</v>
      </c>
      <c r="AJ259" s="183">
        <v>8.8719000000000001</v>
      </c>
      <c r="AK259" s="3"/>
      <c r="AL259" s="1"/>
      <c r="AM259" s="8"/>
      <c r="AN259" s="8"/>
      <c r="AO259" s="8"/>
      <c r="AP259" s="8"/>
      <c r="AQ259" s="8"/>
      <c r="AR259" s="8"/>
      <c r="AS259" s="8"/>
    </row>
    <row r="260" spans="1:45" ht="14.25" customHeight="1">
      <c r="A260" s="619"/>
      <c r="B260" s="167"/>
      <c r="C260" s="168" t="s">
        <v>39</v>
      </c>
      <c r="D260" s="169">
        <f t="shared" ref="D260:G260" si="54">SUM(D252:D259)</f>
        <v>348.91181823686446</v>
      </c>
      <c r="E260" s="169">
        <f t="shared" si="54"/>
        <v>305.50728023362581</v>
      </c>
      <c r="F260" s="169">
        <f t="shared" si="54"/>
        <v>254.57140188919641</v>
      </c>
      <c r="G260" s="169">
        <f t="shared" si="54"/>
        <v>315.50852359967507</v>
      </c>
      <c r="H260" s="169">
        <v>348.91</v>
      </c>
      <c r="I260" s="169">
        <v>348.91</v>
      </c>
      <c r="J260" s="169">
        <v>348.91</v>
      </c>
      <c r="K260" s="169">
        <v>348.91</v>
      </c>
      <c r="L260" s="169">
        <v>348.91</v>
      </c>
      <c r="M260" s="169">
        <v>348.91</v>
      </c>
      <c r="N260" s="169">
        <v>348.91</v>
      </c>
      <c r="O260" s="169">
        <v>348.91</v>
      </c>
      <c r="P260" s="169">
        <v>348.91</v>
      </c>
      <c r="Q260" s="169">
        <v>348.91</v>
      </c>
      <c r="R260" s="169">
        <v>348.91</v>
      </c>
      <c r="S260" s="169">
        <v>348.91</v>
      </c>
      <c r="T260" s="169">
        <v>348.91</v>
      </c>
      <c r="U260" s="169">
        <v>348.91</v>
      </c>
      <c r="V260" s="169">
        <v>348.91</v>
      </c>
      <c r="W260" s="169">
        <v>348.91</v>
      </c>
      <c r="X260" s="169">
        <v>348.91</v>
      </c>
      <c r="Y260" s="169">
        <v>348.91</v>
      </c>
      <c r="Z260" s="169">
        <v>348.91</v>
      </c>
      <c r="AA260" s="169">
        <v>348.91</v>
      </c>
      <c r="AB260" s="169">
        <v>348.91</v>
      </c>
      <c r="AC260" s="169">
        <v>348.91</v>
      </c>
      <c r="AD260" s="169">
        <v>348.91</v>
      </c>
      <c r="AE260" s="169">
        <v>348.91</v>
      </c>
      <c r="AF260" s="169">
        <v>348.91</v>
      </c>
      <c r="AG260" s="169">
        <v>348.91</v>
      </c>
      <c r="AH260" s="169">
        <v>348.91</v>
      </c>
      <c r="AI260" s="169">
        <v>348.91</v>
      </c>
      <c r="AJ260" s="170">
        <v>348.91</v>
      </c>
      <c r="AK260" s="3"/>
      <c r="AL260" s="1"/>
      <c r="AM260" s="8"/>
      <c r="AN260" s="8"/>
      <c r="AO260" s="8"/>
      <c r="AP260" s="8"/>
      <c r="AQ260" s="8"/>
      <c r="AR260" s="8"/>
      <c r="AS260" s="8"/>
    </row>
    <row r="261" spans="1:45" ht="14.25" customHeight="1">
      <c r="A261" s="619"/>
      <c r="B261" s="619"/>
      <c r="C261" s="619"/>
      <c r="D261" s="619"/>
      <c r="E261" s="619"/>
      <c r="F261" s="619"/>
      <c r="G261" s="619"/>
      <c r="H261" s="619"/>
      <c r="I261" s="619"/>
      <c r="J261" s="619"/>
      <c r="K261" s="619"/>
      <c r="L261" s="619"/>
      <c r="M261" s="619"/>
      <c r="N261" s="619"/>
      <c r="O261" s="619"/>
      <c r="P261" s="619"/>
      <c r="Q261" s="619"/>
      <c r="R261" s="619"/>
      <c r="S261" s="619"/>
      <c r="T261" s="619"/>
      <c r="U261" s="619"/>
      <c r="V261" s="619"/>
      <c r="W261" s="619"/>
      <c r="X261" s="619"/>
      <c r="Y261" s="619"/>
      <c r="Z261" s="619"/>
      <c r="AA261" s="619"/>
      <c r="AB261" s="619"/>
      <c r="AC261" s="619"/>
      <c r="AD261" s="619"/>
      <c r="AE261" s="619"/>
      <c r="AF261" s="619"/>
      <c r="AG261" s="619"/>
      <c r="AH261" s="619"/>
      <c r="AI261" s="619"/>
      <c r="AJ261" s="619"/>
      <c r="AK261" s="619"/>
      <c r="AL261" s="1"/>
      <c r="AM261" s="8"/>
      <c r="AN261" s="8"/>
      <c r="AO261" s="8"/>
      <c r="AP261" s="8"/>
      <c r="AQ261" s="8"/>
      <c r="AR261" s="8"/>
      <c r="AS261" s="8"/>
    </row>
    <row r="262" spans="1:45" ht="14.25" customHeight="1">
      <c r="A262" s="619"/>
      <c r="B262" s="6"/>
      <c r="C262" s="171" t="s">
        <v>116</v>
      </c>
      <c r="D262" s="172">
        <v>2018</v>
      </c>
      <c r="E262" s="172">
        <v>2019</v>
      </c>
      <c r="F262" s="172">
        <v>2020</v>
      </c>
      <c r="G262" s="173">
        <v>2021</v>
      </c>
      <c r="H262" s="619"/>
      <c r="I262" s="619"/>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1"/>
      <c r="AM262" s="8"/>
      <c r="AN262" s="8"/>
      <c r="AO262" s="8"/>
      <c r="AP262" s="8"/>
      <c r="AQ262" s="8"/>
      <c r="AR262" s="8"/>
      <c r="AS262" s="8"/>
    </row>
    <row r="263" spans="1:45" ht="14.25" customHeight="1">
      <c r="A263" s="619">
        <v>1</v>
      </c>
      <c r="B263" s="155"/>
      <c r="C263" s="164" t="s">
        <v>29</v>
      </c>
      <c r="D263" s="181">
        <f t="shared" ref="D263:G263" si="55">D252*$D$121</f>
        <v>80.018042868373286</v>
      </c>
      <c r="E263" s="181">
        <f t="shared" si="55"/>
        <v>76.548117790599761</v>
      </c>
      <c r="F263" s="181">
        <f t="shared" si="55"/>
        <v>57.597108221549483</v>
      </c>
      <c r="G263" s="183">
        <f t="shared" si="55"/>
        <v>73.827982105606324</v>
      </c>
      <c r="H263" s="619"/>
      <c r="I263" s="619"/>
      <c r="J263" s="619"/>
      <c r="K263" s="619"/>
      <c r="L263" s="619"/>
      <c r="M263" s="619"/>
      <c r="N263" s="619"/>
      <c r="O263" s="619"/>
      <c r="P263" s="619"/>
      <c r="Q263" s="619"/>
      <c r="R263" s="619"/>
      <c r="S263" s="619"/>
      <c r="T263" s="619"/>
      <c r="U263" s="619"/>
      <c r="V263" s="619"/>
      <c r="W263" s="619"/>
      <c r="X263" s="619"/>
      <c r="Y263" s="619"/>
      <c r="Z263" s="619"/>
      <c r="AA263" s="619"/>
      <c r="AB263" s="619"/>
      <c r="AC263" s="619"/>
      <c r="AD263" s="619"/>
      <c r="AE263" s="619"/>
      <c r="AF263" s="619"/>
      <c r="AG263" s="619"/>
      <c r="AH263" s="619"/>
      <c r="AI263" s="619"/>
      <c r="AJ263" s="619"/>
      <c r="AK263" s="619"/>
      <c r="AL263" s="1"/>
      <c r="AM263" s="8"/>
      <c r="AN263" s="8"/>
      <c r="AO263" s="8"/>
      <c r="AP263" s="8"/>
      <c r="AQ263" s="8"/>
      <c r="AR263" s="8"/>
      <c r="AS263" s="8"/>
    </row>
    <row r="264" spans="1:45" ht="14.25" customHeight="1">
      <c r="A264" s="619">
        <v>1</v>
      </c>
      <c r="B264" s="155"/>
      <c r="C264" s="164" t="s">
        <v>30</v>
      </c>
      <c r="D264" s="181">
        <f t="shared" ref="D264:G264" si="56">D253*$D$121</f>
        <v>66.626129832671424</v>
      </c>
      <c r="E264" s="181">
        <f t="shared" si="56"/>
        <v>61.386777135781976</v>
      </c>
      <c r="F264" s="181">
        <f t="shared" si="56"/>
        <v>47.064609182341968</v>
      </c>
      <c r="G264" s="183">
        <f t="shared" si="56"/>
        <v>54.354443219130381</v>
      </c>
      <c r="H264" s="619"/>
      <c r="I264" s="619"/>
      <c r="J264" s="619"/>
      <c r="K264" s="619"/>
      <c r="L264" s="619"/>
      <c r="M264" s="619"/>
      <c r="N264" s="619"/>
      <c r="O264" s="619"/>
      <c r="P264" s="619"/>
      <c r="Q264" s="619"/>
      <c r="R264" s="619"/>
      <c r="S264" s="619"/>
      <c r="T264" s="619"/>
      <c r="U264" s="619"/>
      <c r="V264" s="619"/>
      <c r="W264" s="619"/>
      <c r="X264" s="619"/>
      <c r="Y264" s="619"/>
      <c r="Z264" s="619"/>
      <c r="AA264" s="619"/>
      <c r="AB264" s="619"/>
      <c r="AC264" s="619"/>
      <c r="AD264" s="619"/>
      <c r="AE264" s="619"/>
      <c r="AF264" s="619"/>
      <c r="AG264" s="619"/>
      <c r="AH264" s="619"/>
      <c r="AI264" s="619"/>
      <c r="AJ264" s="619"/>
      <c r="AK264" s="619"/>
      <c r="AL264" s="1"/>
      <c r="AM264" s="8"/>
      <c r="AN264" s="8"/>
      <c r="AO264" s="8"/>
      <c r="AP264" s="8"/>
      <c r="AQ264" s="8"/>
      <c r="AR264" s="8"/>
      <c r="AS264" s="8"/>
    </row>
    <row r="265" spans="1:45" ht="14.25" customHeight="1">
      <c r="A265" s="619">
        <v>1</v>
      </c>
      <c r="B265" s="155"/>
      <c r="C265" s="164" t="s">
        <v>31</v>
      </c>
      <c r="D265" s="181">
        <f t="shared" ref="D265:G265" si="57">D254*$D$121</f>
        <v>6.6419978685655732</v>
      </c>
      <c r="E265" s="181">
        <f t="shared" si="57"/>
        <v>4.0220047589250427</v>
      </c>
      <c r="F265" s="181">
        <f t="shared" si="57"/>
        <v>4.5668243452834938</v>
      </c>
      <c r="G265" s="183">
        <f t="shared" si="57"/>
        <v>4.6755313292080354</v>
      </c>
      <c r="H265" s="619"/>
      <c r="I265" s="619"/>
      <c r="J265" s="619"/>
      <c r="K265" s="619"/>
      <c r="L265" s="619"/>
      <c r="M265" s="619"/>
      <c r="N265" s="619"/>
      <c r="O265" s="619"/>
      <c r="P265" s="619"/>
      <c r="Q265" s="619"/>
      <c r="R265" s="619"/>
      <c r="S265" s="619"/>
      <c r="T265" s="619"/>
      <c r="U265" s="619"/>
      <c r="V265" s="619"/>
      <c r="W265" s="619"/>
      <c r="X265" s="619"/>
      <c r="Y265" s="619"/>
      <c r="Z265" s="619"/>
      <c r="AA265" s="619"/>
      <c r="AB265" s="619"/>
      <c r="AC265" s="619"/>
      <c r="AD265" s="619"/>
      <c r="AE265" s="619"/>
      <c r="AF265" s="619"/>
      <c r="AG265" s="619"/>
      <c r="AH265" s="619"/>
      <c r="AI265" s="619"/>
      <c r="AJ265" s="619"/>
      <c r="AK265" s="3"/>
      <c r="AL265" s="1"/>
      <c r="AM265" s="8"/>
      <c r="AN265" s="8"/>
      <c r="AO265" s="8"/>
      <c r="AP265" s="8"/>
      <c r="AQ265" s="8"/>
      <c r="AR265" s="8"/>
      <c r="AS265" s="8"/>
    </row>
    <row r="266" spans="1:45" ht="14.25" customHeight="1">
      <c r="A266" s="619">
        <v>1</v>
      </c>
      <c r="B266" s="155"/>
      <c r="C266" s="164" t="s">
        <v>32</v>
      </c>
      <c r="D266" s="181">
        <f t="shared" ref="D266:G266" si="58">D255*$D$121</f>
        <v>139.02405567608301</v>
      </c>
      <c r="E266" s="181">
        <f t="shared" si="58"/>
        <v>107.79464242860963</v>
      </c>
      <c r="F266" s="181">
        <f t="shared" si="58"/>
        <v>101.48428319182996</v>
      </c>
      <c r="G266" s="183">
        <f t="shared" si="58"/>
        <v>131.57374256803192</v>
      </c>
      <c r="H266" s="619"/>
      <c r="I266" s="619"/>
      <c r="J266" s="619"/>
      <c r="K266" s="619"/>
      <c r="L266" s="619"/>
      <c r="M266" s="619"/>
      <c r="N266" s="619"/>
      <c r="O266" s="619"/>
      <c r="P266" s="619"/>
      <c r="Q266" s="619"/>
      <c r="R266" s="619"/>
      <c r="S266" s="619"/>
      <c r="T266" s="619"/>
      <c r="U266" s="619"/>
      <c r="V266" s="619"/>
      <c r="W266" s="619"/>
      <c r="X266" s="619"/>
      <c r="Y266" s="619"/>
      <c r="Z266" s="619"/>
      <c r="AA266" s="619"/>
      <c r="AB266" s="619"/>
      <c r="AC266" s="619"/>
      <c r="AD266" s="619"/>
      <c r="AE266" s="619"/>
      <c r="AF266" s="619"/>
      <c r="AG266" s="619"/>
      <c r="AH266" s="619"/>
      <c r="AI266" s="619"/>
      <c r="AJ266" s="619"/>
      <c r="AK266" s="3"/>
      <c r="AL266" s="1"/>
      <c r="AM266" s="8"/>
      <c r="AN266" s="8"/>
      <c r="AO266" s="8"/>
      <c r="AP266" s="8"/>
      <c r="AQ266" s="8"/>
      <c r="AR266" s="8"/>
      <c r="AS266" s="8"/>
    </row>
    <row r="267" spans="1:45" ht="14.25" customHeight="1">
      <c r="A267" s="619">
        <v>1</v>
      </c>
      <c r="B267" s="155"/>
      <c r="C267" s="164" t="s">
        <v>33</v>
      </c>
      <c r="D267" s="181">
        <f t="shared" ref="D267:G267" si="59">D256*$D$121</f>
        <v>16.659424292406868</v>
      </c>
      <c r="E267" s="181">
        <f t="shared" si="59"/>
        <v>16.434198577187921</v>
      </c>
      <c r="F267" s="181">
        <f t="shared" si="59"/>
        <v>8.7660108273749966</v>
      </c>
      <c r="G267" s="183">
        <f t="shared" si="59"/>
        <v>12.627025840478666</v>
      </c>
      <c r="H267" s="619"/>
      <c r="I267" s="619"/>
      <c r="J267" s="619"/>
      <c r="K267" s="619"/>
      <c r="L267" s="619"/>
      <c r="M267" s="619"/>
      <c r="N267" s="619"/>
      <c r="O267" s="619"/>
      <c r="P267" s="619"/>
      <c r="Q267" s="619"/>
      <c r="R267" s="619"/>
      <c r="S267" s="619"/>
      <c r="T267" s="619"/>
      <c r="U267" s="619"/>
      <c r="V267" s="619"/>
      <c r="W267" s="619"/>
      <c r="X267" s="619"/>
      <c r="Y267" s="619"/>
      <c r="Z267" s="619"/>
      <c r="AA267" s="619"/>
      <c r="AB267" s="619"/>
      <c r="AC267" s="619"/>
      <c r="AD267" s="619"/>
      <c r="AE267" s="619"/>
      <c r="AF267" s="619"/>
      <c r="AG267" s="619"/>
      <c r="AH267" s="619"/>
      <c r="AI267" s="619"/>
      <c r="AJ267" s="619"/>
      <c r="AK267" s="619"/>
      <c r="AL267" s="619"/>
      <c r="AM267" s="619"/>
      <c r="AN267" s="619"/>
      <c r="AO267" s="619"/>
      <c r="AP267" s="619"/>
      <c r="AQ267" s="619"/>
      <c r="AR267" s="619"/>
      <c r="AS267" s="619"/>
    </row>
    <row r="268" spans="1:45" ht="14.25" customHeight="1">
      <c r="A268" s="619">
        <v>1</v>
      </c>
      <c r="B268" s="155"/>
      <c r="C268" s="164" t="s">
        <v>117</v>
      </c>
      <c r="D268" s="181">
        <f t="shared" ref="D268:G268" si="60">D257*$D$121</f>
        <v>35.314972998576657</v>
      </c>
      <c r="E268" s="181">
        <f t="shared" si="60"/>
        <v>34.324466422586639</v>
      </c>
      <c r="F268" s="181">
        <f t="shared" si="60"/>
        <v>31.528593636836554</v>
      </c>
      <c r="G268" s="183">
        <f t="shared" si="60"/>
        <v>34.523698918152114</v>
      </c>
      <c r="H268" s="619"/>
      <c r="I268" s="619"/>
      <c r="J268" s="619"/>
      <c r="K268" s="619"/>
      <c r="L268" s="619"/>
      <c r="M268" s="619"/>
      <c r="N268" s="619"/>
      <c r="O268" s="619"/>
      <c r="P268" s="619"/>
      <c r="Q268" s="619"/>
      <c r="R268" s="619"/>
      <c r="S268" s="619"/>
      <c r="T268" s="619"/>
      <c r="U268" s="619"/>
      <c r="V268" s="619"/>
      <c r="W268" s="619"/>
      <c r="X268" s="619"/>
      <c r="Y268" s="619"/>
      <c r="Z268" s="619"/>
      <c r="AA268" s="619"/>
      <c r="AB268" s="619"/>
      <c r="AC268" s="619"/>
      <c r="AD268" s="619"/>
      <c r="AE268" s="619"/>
      <c r="AF268" s="619"/>
      <c r="AG268" s="619"/>
      <c r="AH268" s="619"/>
      <c r="AI268" s="619"/>
      <c r="AJ268" s="619"/>
      <c r="AK268" s="619"/>
      <c r="AL268" s="619"/>
      <c r="AM268" s="619"/>
      <c r="AN268" s="619"/>
      <c r="AO268" s="619"/>
      <c r="AP268" s="619"/>
      <c r="AQ268" s="619"/>
      <c r="AR268" s="619"/>
      <c r="AS268" s="619"/>
    </row>
    <row r="269" spans="1:45" ht="14.25" customHeight="1">
      <c r="A269" s="619"/>
      <c r="B269" s="155"/>
      <c r="C269" s="195" t="s">
        <v>43</v>
      </c>
      <c r="D269" s="181">
        <f t="shared" ref="D269:G269" si="61">D258*$D$121</f>
        <v>2.4200625829963607</v>
      </c>
      <c r="E269" s="181">
        <f t="shared" si="61"/>
        <v>2.3295817975551709</v>
      </c>
      <c r="F269" s="181">
        <f t="shared" si="61"/>
        <v>1.8680474099939104</v>
      </c>
      <c r="G269" s="183">
        <f t="shared" si="61"/>
        <v>2.0653684230172074</v>
      </c>
      <c r="H269" s="619"/>
      <c r="I269" s="619"/>
      <c r="J269" s="619"/>
      <c r="K269" s="619"/>
      <c r="L269" s="619"/>
      <c r="M269" s="619"/>
      <c r="N269" s="619"/>
      <c r="O269" s="619"/>
      <c r="P269" s="619"/>
      <c r="Q269" s="619"/>
      <c r="R269" s="619"/>
      <c r="S269" s="619"/>
      <c r="T269" s="619"/>
      <c r="U269" s="619"/>
      <c r="V269" s="619"/>
      <c r="W269" s="619"/>
      <c r="X269" s="619"/>
      <c r="Y269" s="619"/>
      <c r="Z269" s="619"/>
      <c r="AA269" s="619"/>
      <c r="AB269" s="619"/>
      <c r="AC269" s="619"/>
      <c r="AD269" s="619"/>
      <c r="AE269" s="619"/>
      <c r="AF269" s="619"/>
      <c r="AG269" s="619"/>
      <c r="AH269" s="619"/>
      <c r="AI269" s="619"/>
      <c r="AJ269" s="619"/>
      <c r="AK269" s="619"/>
      <c r="AL269" s="619"/>
      <c r="AM269" s="619"/>
      <c r="AN269" s="619"/>
      <c r="AO269" s="619"/>
      <c r="AP269" s="619"/>
      <c r="AQ269" s="619"/>
      <c r="AR269" s="619"/>
      <c r="AS269" s="619"/>
    </row>
    <row r="270" spans="1:45" ht="14.25" customHeight="1">
      <c r="A270" s="619"/>
      <c r="B270" s="155"/>
      <c r="C270" s="195" t="s">
        <v>44</v>
      </c>
      <c r="D270" s="181">
        <f t="shared" ref="D270:G270" si="62">D259*$D$121</f>
        <v>9.0458037546339494</v>
      </c>
      <c r="E270" s="181">
        <f t="shared" si="62"/>
        <v>8.6554340149587947</v>
      </c>
      <c r="F270" s="181">
        <f t="shared" si="62"/>
        <v>6.6855245510142973</v>
      </c>
      <c r="G270" s="183">
        <f t="shared" si="62"/>
        <v>8.0446982586040079</v>
      </c>
      <c r="H270" s="619"/>
      <c r="I270" s="619"/>
      <c r="J270" s="619"/>
      <c r="K270" s="619"/>
      <c r="L270" s="619"/>
      <c r="M270" s="619"/>
      <c r="N270" s="619"/>
      <c r="O270" s="619"/>
      <c r="P270" s="619"/>
      <c r="Q270" s="619"/>
      <c r="R270" s="619"/>
      <c r="S270" s="619"/>
      <c r="T270" s="619"/>
      <c r="U270" s="619"/>
      <c r="V270" s="619"/>
      <c r="W270" s="619"/>
      <c r="X270" s="619"/>
      <c r="Y270" s="619"/>
      <c r="Z270" s="619"/>
      <c r="AA270" s="619"/>
      <c r="AB270" s="619"/>
      <c r="AC270" s="619"/>
      <c r="AD270" s="619"/>
      <c r="AE270" s="619"/>
      <c r="AF270" s="619"/>
      <c r="AG270" s="619"/>
      <c r="AH270" s="619"/>
      <c r="AI270" s="619"/>
      <c r="AJ270" s="619"/>
      <c r="AK270" s="619"/>
      <c r="AL270" s="619"/>
      <c r="AM270" s="619"/>
      <c r="AN270" s="619"/>
      <c r="AO270" s="619"/>
      <c r="AP270" s="619"/>
      <c r="AQ270" s="619"/>
      <c r="AR270" s="619"/>
      <c r="AS270" s="619"/>
    </row>
    <row r="271" spans="1:45" ht="14.25" customHeight="1">
      <c r="A271" s="619"/>
      <c r="B271" s="167"/>
      <c r="C271" s="168" t="s">
        <v>39</v>
      </c>
      <c r="D271" s="169">
        <f t="shared" ref="D271:G271" si="63">SUM(D263:D270)</f>
        <v>355.75048987430711</v>
      </c>
      <c r="E271" s="169">
        <f t="shared" si="63"/>
        <v>311.49522292620497</v>
      </c>
      <c r="F271" s="169">
        <f t="shared" si="63"/>
        <v>259.56100136622467</v>
      </c>
      <c r="G271" s="170">
        <f t="shared" si="63"/>
        <v>321.69249066222864</v>
      </c>
      <c r="H271" s="619"/>
      <c r="I271" s="619"/>
      <c r="J271" s="619"/>
      <c r="K271" s="619"/>
      <c r="L271" s="619"/>
      <c r="M271" s="619"/>
      <c r="N271" s="619"/>
      <c r="O271" s="619"/>
      <c r="P271" s="619"/>
      <c r="Q271" s="619"/>
      <c r="R271" s="619"/>
      <c r="S271" s="619"/>
      <c r="T271" s="619"/>
      <c r="U271" s="619"/>
      <c r="V271" s="619"/>
      <c r="W271" s="619"/>
      <c r="X271" s="619"/>
      <c r="Y271" s="619"/>
      <c r="Z271" s="619"/>
      <c r="AA271" s="619"/>
      <c r="AB271" s="619"/>
      <c r="AC271" s="619"/>
      <c r="AD271" s="619"/>
      <c r="AE271" s="619"/>
      <c r="AF271" s="619"/>
      <c r="AG271" s="619"/>
      <c r="AH271" s="619"/>
      <c r="AI271" s="619"/>
      <c r="AJ271" s="619"/>
      <c r="AK271" s="619"/>
      <c r="AL271" s="619"/>
      <c r="AM271" s="619"/>
      <c r="AN271" s="619"/>
      <c r="AO271" s="619"/>
      <c r="AP271" s="619"/>
      <c r="AQ271" s="619"/>
      <c r="AR271" s="619"/>
      <c r="AS271" s="619"/>
    </row>
    <row r="272" spans="1:45" ht="13.5" customHeight="1">
      <c r="A272" s="619"/>
      <c r="B272" s="619"/>
      <c r="C272" s="4"/>
      <c r="D272" s="5"/>
      <c r="E272" s="5"/>
      <c r="F272" s="5"/>
      <c r="G272" s="5"/>
      <c r="H272" s="619"/>
      <c r="I272" s="619"/>
      <c r="J272" s="619"/>
      <c r="K272" s="619"/>
      <c r="L272" s="619"/>
      <c r="M272" s="619"/>
      <c r="N272" s="619"/>
      <c r="O272" s="619"/>
      <c r="P272" s="619"/>
      <c r="Q272" s="619"/>
      <c r="R272" s="619"/>
      <c r="S272" s="619"/>
      <c r="T272" s="619"/>
      <c r="U272" s="619"/>
      <c r="V272" s="619"/>
      <c r="W272" s="619"/>
      <c r="X272" s="619"/>
      <c r="Y272" s="619"/>
      <c r="Z272" s="619"/>
      <c r="AA272" s="619"/>
      <c r="AB272" s="619"/>
      <c r="AC272" s="619"/>
      <c r="AD272" s="619"/>
      <c r="AE272" s="619"/>
      <c r="AF272" s="619"/>
      <c r="AG272" s="619"/>
      <c r="AH272" s="619"/>
      <c r="AI272" s="619"/>
      <c r="AJ272" s="619"/>
      <c r="AK272" s="619"/>
      <c r="AL272" s="619"/>
      <c r="AM272" s="619"/>
      <c r="AN272" s="619"/>
      <c r="AO272" s="619"/>
      <c r="AP272" s="619"/>
      <c r="AQ272" s="619"/>
      <c r="AR272" s="619"/>
      <c r="AS272" s="619"/>
    </row>
    <row r="273" spans="1:56" ht="14.25" customHeight="1">
      <c r="A273" s="3"/>
      <c r="B273" s="7"/>
      <c r="C273" s="171" t="s">
        <v>118</v>
      </c>
      <c r="D273" s="193">
        <v>1</v>
      </c>
      <c r="E273" s="193"/>
      <c r="F273" s="193"/>
      <c r="G273" s="193"/>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247"/>
      <c r="AE273" s="247"/>
      <c r="AF273" s="247"/>
      <c r="AG273" s="247"/>
      <c r="AH273" s="247"/>
      <c r="AI273" s="247"/>
      <c r="AJ273" s="247"/>
      <c r="AK273" s="619"/>
      <c r="AL273" s="619"/>
      <c r="AM273" s="619"/>
      <c r="AN273" s="619"/>
      <c r="AO273" s="619"/>
      <c r="AP273" s="619"/>
      <c r="AQ273" s="619"/>
      <c r="AR273" s="619"/>
      <c r="AS273" s="619"/>
      <c r="AT273" s="8"/>
      <c r="AU273" s="8"/>
      <c r="AV273" s="8"/>
      <c r="AW273" s="8"/>
      <c r="AX273" s="8"/>
      <c r="AY273" s="8"/>
      <c r="AZ273" s="8"/>
      <c r="BA273" s="8"/>
      <c r="BB273" s="8"/>
      <c r="BC273" s="8"/>
      <c r="BD273" s="8"/>
    </row>
    <row r="274" spans="1:56" ht="14.25" customHeight="1">
      <c r="A274" s="3"/>
      <c r="B274" s="202"/>
      <c r="C274" s="160"/>
      <c r="D274" s="172">
        <v>2018</v>
      </c>
      <c r="E274" s="172">
        <v>2019</v>
      </c>
      <c r="F274" s="172">
        <v>2020</v>
      </c>
      <c r="G274" s="172">
        <v>2021</v>
      </c>
      <c r="H274" s="189">
        <v>2022</v>
      </c>
      <c r="I274" s="189">
        <v>2023</v>
      </c>
      <c r="J274" s="189">
        <v>2024</v>
      </c>
      <c r="K274" s="189">
        <v>2025</v>
      </c>
      <c r="L274" s="189">
        <v>2026</v>
      </c>
      <c r="M274" s="189">
        <v>2027</v>
      </c>
      <c r="N274" s="189">
        <v>2028</v>
      </c>
      <c r="O274" s="189">
        <v>2029</v>
      </c>
      <c r="P274" s="189">
        <v>2030</v>
      </c>
      <c r="Q274" s="189">
        <v>2031</v>
      </c>
      <c r="R274" s="189">
        <v>2032</v>
      </c>
      <c r="S274" s="189">
        <v>2033</v>
      </c>
      <c r="T274" s="189">
        <v>2034</v>
      </c>
      <c r="U274" s="189">
        <v>2035</v>
      </c>
      <c r="V274" s="189">
        <v>2036</v>
      </c>
      <c r="W274" s="189">
        <v>2037</v>
      </c>
      <c r="X274" s="189">
        <v>2038</v>
      </c>
      <c r="Y274" s="189">
        <v>2039</v>
      </c>
      <c r="Z274" s="189">
        <v>2040</v>
      </c>
      <c r="AA274" s="189">
        <v>2041</v>
      </c>
      <c r="AB274" s="189">
        <v>2042</v>
      </c>
      <c r="AC274" s="189">
        <v>2043</v>
      </c>
      <c r="AD274" s="189">
        <v>2044</v>
      </c>
      <c r="AE274" s="189">
        <v>2045</v>
      </c>
      <c r="AF274" s="189">
        <v>2046</v>
      </c>
      <c r="AG274" s="189">
        <v>2047</v>
      </c>
      <c r="AH274" s="189">
        <v>2048</v>
      </c>
      <c r="AI274" s="189">
        <v>2049</v>
      </c>
      <c r="AJ274" s="218">
        <v>2050</v>
      </c>
      <c r="AK274" s="189">
        <v>2051</v>
      </c>
      <c r="AL274" s="189">
        <v>2052</v>
      </c>
      <c r="AM274" s="189">
        <v>2053</v>
      </c>
      <c r="AN274" s="189">
        <v>2054</v>
      </c>
      <c r="AO274" s="189">
        <v>2055</v>
      </c>
      <c r="AP274" s="189">
        <v>2056</v>
      </c>
      <c r="AQ274" s="189">
        <v>2057</v>
      </c>
      <c r="AR274" s="189">
        <v>2058</v>
      </c>
      <c r="AS274" s="218">
        <v>2059</v>
      </c>
      <c r="AT274" s="189">
        <v>2060</v>
      </c>
      <c r="AU274" s="189">
        <v>2061</v>
      </c>
      <c r="AV274" s="189">
        <v>2062</v>
      </c>
      <c r="AW274" s="189">
        <v>2063</v>
      </c>
      <c r="AX274" s="189">
        <v>2064</v>
      </c>
      <c r="AY274" s="189">
        <v>2065</v>
      </c>
      <c r="AZ274" s="189">
        <v>2066</v>
      </c>
      <c r="BA274" s="189">
        <v>2067</v>
      </c>
      <c r="BB274" s="218">
        <v>2068</v>
      </c>
      <c r="BC274" s="189">
        <v>2069</v>
      </c>
      <c r="BD274" s="189">
        <v>2070</v>
      </c>
    </row>
    <row r="275" spans="1:56" ht="13.5" customHeight="1">
      <c r="A275" s="619"/>
      <c r="B275" s="179"/>
      <c r="C275" s="164" t="s">
        <v>28</v>
      </c>
      <c r="D275" s="165">
        <f t="shared" ref="D275:AJ275" si="64">$D$273*D46</f>
        <v>0</v>
      </c>
      <c r="E275" s="165">
        <f t="shared" si="64"/>
        <v>0</v>
      </c>
      <c r="F275" s="165">
        <f t="shared" si="64"/>
        <v>0</v>
      </c>
      <c r="G275" s="165">
        <f t="shared" si="64"/>
        <v>0</v>
      </c>
      <c r="H275" s="165">
        <f t="shared" si="64"/>
        <v>0</v>
      </c>
      <c r="I275" s="165">
        <f t="shared" si="64"/>
        <v>0</v>
      </c>
      <c r="J275" s="165">
        <f t="shared" si="64"/>
        <v>0</v>
      </c>
      <c r="K275" s="165">
        <f t="shared" si="64"/>
        <v>0</v>
      </c>
      <c r="L275" s="165">
        <f t="shared" si="64"/>
        <v>0</v>
      </c>
      <c r="M275" s="165">
        <f t="shared" si="64"/>
        <v>0</v>
      </c>
      <c r="N275" s="165">
        <f t="shared" si="64"/>
        <v>0</v>
      </c>
      <c r="O275" s="165">
        <f t="shared" si="64"/>
        <v>0</v>
      </c>
      <c r="P275" s="190">
        <f t="shared" si="64"/>
        <v>0</v>
      </c>
      <c r="Q275" s="190">
        <f t="shared" si="64"/>
        <v>0</v>
      </c>
      <c r="R275" s="190">
        <f t="shared" si="64"/>
        <v>0</v>
      </c>
      <c r="S275" s="190">
        <f t="shared" si="64"/>
        <v>0</v>
      </c>
      <c r="T275" s="190">
        <f t="shared" si="64"/>
        <v>0</v>
      </c>
      <c r="U275" s="190">
        <f t="shared" si="64"/>
        <v>0</v>
      </c>
      <c r="V275" s="190">
        <f t="shared" si="64"/>
        <v>0</v>
      </c>
      <c r="W275" s="190">
        <f t="shared" si="64"/>
        <v>0</v>
      </c>
      <c r="X275" s="190">
        <f t="shared" si="64"/>
        <v>379.11</v>
      </c>
      <c r="Y275" s="190">
        <f t="shared" si="64"/>
        <v>379.11</v>
      </c>
      <c r="Z275" s="190">
        <f t="shared" si="64"/>
        <v>379.11</v>
      </c>
      <c r="AA275" s="190">
        <f t="shared" si="64"/>
        <v>379.11</v>
      </c>
      <c r="AB275" s="190">
        <f t="shared" si="64"/>
        <v>379.11</v>
      </c>
      <c r="AC275" s="190">
        <f t="shared" si="64"/>
        <v>379.11</v>
      </c>
      <c r="AD275" s="190">
        <f t="shared" si="64"/>
        <v>379.11</v>
      </c>
      <c r="AE275" s="190">
        <f t="shared" si="64"/>
        <v>379.11</v>
      </c>
      <c r="AF275" s="190">
        <f t="shared" si="64"/>
        <v>379.11</v>
      </c>
      <c r="AG275" s="190">
        <f t="shared" si="64"/>
        <v>379.11</v>
      </c>
      <c r="AH275" s="190">
        <f t="shared" si="64"/>
        <v>379.11</v>
      </c>
      <c r="AI275" s="190">
        <f t="shared" si="64"/>
        <v>379.11</v>
      </c>
      <c r="AJ275" s="190">
        <f t="shared" si="64"/>
        <v>379.11</v>
      </c>
      <c r="AK275" s="619"/>
      <c r="AL275" s="619"/>
      <c r="AM275" s="619"/>
      <c r="AN275" s="619"/>
      <c r="AO275" s="619"/>
      <c r="AP275" s="619"/>
      <c r="AQ275" s="619"/>
      <c r="AR275" s="619"/>
      <c r="AS275" s="619"/>
      <c r="AT275" s="8"/>
      <c r="AU275" s="8"/>
      <c r="AV275" s="8"/>
      <c r="AW275" s="8"/>
      <c r="AX275" s="8"/>
      <c r="AY275" s="8"/>
      <c r="AZ275" s="8"/>
      <c r="BA275" s="8"/>
      <c r="BB275" s="8"/>
      <c r="BC275" s="8"/>
      <c r="BD275" s="8"/>
    </row>
    <row r="276" spans="1:56" ht="14.25" customHeight="1">
      <c r="A276" s="619">
        <v>1</v>
      </c>
      <c r="B276" s="179"/>
      <c r="C276" s="164" t="s">
        <v>29</v>
      </c>
      <c r="D276" s="165">
        <f t="shared" ref="D276:G276" si="65">$D$273*D47</f>
        <v>117.76053434755926</v>
      </c>
      <c r="E276" s="165">
        <f t="shared" si="65"/>
        <v>124.42923183837271</v>
      </c>
      <c r="F276" s="165">
        <f t="shared" si="65"/>
        <v>108.25917569387438</v>
      </c>
      <c r="G276" s="165">
        <f t="shared" si="65"/>
        <v>136.77355671196315</v>
      </c>
      <c r="H276" s="165">
        <f t="shared" ref="H276:AJ276" si="66">$D$273*H46</f>
        <v>0</v>
      </c>
      <c r="I276" s="165">
        <f t="shared" si="66"/>
        <v>0</v>
      </c>
      <c r="J276" s="165">
        <f t="shared" si="66"/>
        <v>0</v>
      </c>
      <c r="K276" s="165">
        <f t="shared" si="66"/>
        <v>0</v>
      </c>
      <c r="L276" s="165">
        <f t="shared" si="66"/>
        <v>0</v>
      </c>
      <c r="M276" s="165">
        <f t="shared" si="66"/>
        <v>0</v>
      </c>
      <c r="N276" s="165">
        <f t="shared" si="66"/>
        <v>0</v>
      </c>
      <c r="O276" s="165">
        <f t="shared" si="66"/>
        <v>0</v>
      </c>
      <c r="P276" s="165">
        <f t="shared" si="66"/>
        <v>0</v>
      </c>
      <c r="Q276" s="165">
        <f t="shared" si="66"/>
        <v>0</v>
      </c>
      <c r="R276" s="165">
        <f t="shared" si="66"/>
        <v>0</v>
      </c>
      <c r="S276" s="165">
        <f t="shared" si="66"/>
        <v>0</v>
      </c>
      <c r="T276" s="165">
        <f t="shared" si="66"/>
        <v>0</v>
      </c>
      <c r="U276" s="165">
        <f t="shared" si="66"/>
        <v>0</v>
      </c>
      <c r="V276" s="165">
        <f t="shared" si="66"/>
        <v>0</v>
      </c>
      <c r="W276" s="165">
        <f t="shared" si="66"/>
        <v>0</v>
      </c>
      <c r="X276" s="165">
        <f t="shared" si="66"/>
        <v>379.11</v>
      </c>
      <c r="Y276" s="165">
        <f t="shared" si="66"/>
        <v>379.11</v>
      </c>
      <c r="Z276" s="165">
        <f t="shared" si="66"/>
        <v>379.11</v>
      </c>
      <c r="AA276" s="165">
        <f t="shared" si="66"/>
        <v>379.11</v>
      </c>
      <c r="AB276" s="165">
        <f t="shared" si="66"/>
        <v>379.11</v>
      </c>
      <c r="AC276" s="165">
        <f t="shared" si="66"/>
        <v>379.11</v>
      </c>
      <c r="AD276" s="165">
        <f t="shared" si="66"/>
        <v>379.11</v>
      </c>
      <c r="AE276" s="165">
        <f t="shared" si="66"/>
        <v>379.11</v>
      </c>
      <c r="AF276" s="165">
        <f t="shared" si="66"/>
        <v>379.11</v>
      </c>
      <c r="AG276" s="165">
        <f t="shared" si="66"/>
        <v>379.11</v>
      </c>
      <c r="AH276" s="165">
        <f t="shared" si="66"/>
        <v>379.11</v>
      </c>
      <c r="AI276" s="165">
        <f t="shared" si="66"/>
        <v>379.11</v>
      </c>
      <c r="AJ276" s="166">
        <f t="shared" si="66"/>
        <v>379.11</v>
      </c>
      <c r="AK276" s="619"/>
      <c r="AL276" s="619"/>
      <c r="AM276" s="619"/>
      <c r="AN276" s="619"/>
      <c r="AO276" s="619"/>
      <c r="AP276" s="619"/>
      <c r="AQ276" s="619"/>
      <c r="AR276" s="619"/>
      <c r="AS276" s="619"/>
      <c r="AT276" s="8"/>
      <c r="AU276" s="8"/>
      <c r="AV276" s="8"/>
      <c r="AW276" s="8"/>
      <c r="AX276" s="8"/>
      <c r="AY276" s="8"/>
      <c r="AZ276" s="8"/>
      <c r="BA276" s="8"/>
      <c r="BB276" s="8"/>
      <c r="BC276" s="8"/>
      <c r="BD276" s="8"/>
    </row>
    <row r="277" spans="1:56" ht="14.25" customHeight="1">
      <c r="A277" s="619">
        <v>1</v>
      </c>
      <c r="B277" s="179"/>
      <c r="C277" s="164" t="s">
        <v>30</v>
      </c>
      <c r="D277" s="165">
        <f t="shared" ref="D277:G277" si="67">$D$273*D48</f>
        <v>91.607975457177815</v>
      </c>
      <c r="E277" s="165">
        <f t="shared" si="67"/>
        <v>105.93168609615964</v>
      </c>
      <c r="F277" s="165">
        <f t="shared" si="67"/>
        <v>78.997084172717436</v>
      </c>
      <c r="G277" s="165">
        <f t="shared" si="67"/>
        <v>93.045174562286462</v>
      </c>
      <c r="H277" s="165">
        <f t="shared" ref="H277:AJ277" si="68">$D$273*H47</f>
        <v>134.38999999999999</v>
      </c>
      <c r="I277" s="165">
        <f t="shared" si="68"/>
        <v>144.65</v>
      </c>
      <c r="J277" s="165">
        <f t="shared" si="68"/>
        <v>143.02000000000001</v>
      </c>
      <c r="K277" s="165">
        <f t="shared" si="68"/>
        <v>152.84</v>
      </c>
      <c r="L277" s="165">
        <f t="shared" si="68"/>
        <v>150.88999999999999</v>
      </c>
      <c r="M277" s="165">
        <f t="shared" si="68"/>
        <v>161.29</v>
      </c>
      <c r="N277" s="165">
        <f t="shared" si="68"/>
        <v>160.72999999999999</v>
      </c>
      <c r="O277" s="165">
        <f t="shared" si="68"/>
        <v>169.45</v>
      </c>
      <c r="P277" s="165">
        <f t="shared" si="68"/>
        <v>168.68</v>
      </c>
      <c r="Q277" s="165">
        <f t="shared" si="68"/>
        <v>178.69</v>
      </c>
      <c r="R277" s="165">
        <f t="shared" si="68"/>
        <v>178.77</v>
      </c>
      <c r="S277" s="165">
        <f t="shared" si="68"/>
        <v>188.05</v>
      </c>
      <c r="T277" s="165">
        <f t="shared" si="68"/>
        <v>188.69</v>
      </c>
      <c r="U277" s="165">
        <f t="shared" si="68"/>
        <v>196.72</v>
      </c>
      <c r="V277" s="165">
        <f t="shared" si="68"/>
        <v>198.44</v>
      </c>
      <c r="W277" s="165">
        <f t="shared" si="68"/>
        <v>206.04</v>
      </c>
      <c r="X277" s="165">
        <f t="shared" si="68"/>
        <v>208.02</v>
      </c>
      <c r="Y277" s="165">
        <f t="shared" si="68"/>
        <v>215.95</v>
      </c>
      <c r="Z277" s="165">
        <f t="shared" si="68"/>
        <v>218.4</v>
      </c>
      <c r="AA277" s="165">
        <f t="shared" si="68"/>
        <v>225.69</v>
      </c>
      <c r="AB277" s="165">
        <f t="shared" si="68"/>
        <v>228.62</v>
      </c>
      <c r="AC277" s="165">
        <f t="shared" si="68"/>
        <v>234.58</v>
      </c>
      <c r="AD277" s="165">
        <f t="shared" si="68"/>
        <v>237.94</v>
      </c>
      <c r="AE277" s="165">
        <f t="shared" si="68"/>
        <v>244.03</v>
      </c>
      <c r="AF277" s="165">
        <f t="shared" si="68"/>
        <v>248.09</v>
      </c>
      <c r="AG277" s="165">
        <f t="shared" si="68"/>
        <v>254.09</v>
      </c>
      <c r="AH277" s="165">
        <f t="shared" si="68"/>
        <v>257.36</v>
      </c>
      <c r="AI277" s="165">
        <f t="shared" si="68"/>
        <v>263.26</v>
      </c>
      <c r="AJ277" s="166">
        <f t="shared" si="68"/>
        <v>266.93</v>
      </c>
      <c r="AK277" s="619"/>
      <c r="AL277" s="619"/>
      <c r="AM277" s="619"/>
      <c r="AN277" s="619"/>
      <c r="AO277" s="619"/>
      <c r="AP277" s="619"/>
      <c r="AQ277" s="619"/>
      <c r="AR277" s="619"/>
      <c r="AS277" s="619"/>
      <c r="AT277" s="8"/>
      <c r="AU277" s="8"/>
      <c r="AV277" s="8"/>
      <c r="AW277" s="8"/>
      <c r="AX277" s="8"/>
      <c r="AY277" s="8"/>
      <c r="AZ277" s="8"/>
      <c r="BA277" s="8"/>
      <c r="BB277" s="8"/>
      <c r="BC277" s="8"/>
      <c r="BD277" s="8"/>
    </row>
    <row r="278" spans="1:56" ht="14.25" customHeight="1">
      <c r="A278" s="619">
        <v>1</v>
      </c>
      <c r="B278" s="179"/>
      <c r="C278" s="164" t="s">
        <v>31</v>
      </c>
      <c r="D278" s="165">
        <f t="shared" ref="D278:G278" si="69">$D$273*D49</f>
        <v>43.389807172946462</v>
      </c>
      <c r="E278" s="165">
        <f t="shared" si="69"/>
        <v>47.274511929187639</v>
      </c>
      <c r="F278" s="165">
        <f t="shared" si="69"/>
        <v>48.313115125721133</v>
      </c>
      <c r="G278" s="165">
        <f t="shared" si="69"/>
        <v>49.878194601928534</v>
      </c>
      <c r="H278" s="165">
        <f t="shared" ref="H278:AJ278" si="70">$D$273*H48</f>
        <v>90.01</v>
      </c>
      <c r="I278" s="165">
        <f t="shared" si="70"/>
        <v>114.02</v>
      </c>
      <c r="J278" s="165">
        <f t="shared" si="70"/>
        <v>78.099999999999994</v>
      </c>
      <c r="K278" s="165">
        <f t="shared" si="70"/>
        <v>99.44</v>
      </c>
      <c r="L278" s="165">
        <f t="shared" si="70"/>
        <v>88.86</v>
      </c>
      <c r="M278" s="165">
        <f t="shared" si="70"/>
        <v>121.88</v>
      </c>
      <c r="N278" s="165">
        <f t="shared" si="70"/>
        <v>77.83</v>
      </c>
      <c r="O278" s="165">
        <f t="shared" si="70"/>
        <v>104.83</v>
      </c>
      <c r="P278" s="165">
        <f t="shared" si="70"/>
        <v>88.46</v>
      </c>
      <c r="Q278" s="165">
        <f t="shared" si="70"/>
        <v>129.11000000000001</v>
      </c>
      <c r="R278" s="165">
        <f t="shared" si="70"/>
        <v>77.87</v>
      </c>
      <c r="S278" s="165">
        <f t="shared" si="70"/>
        <v>110.28</v>
      </c>
      <c r="T278" s="165">
        <f t="shared" si="70"/>
        <v>88.76</v>
      </c>
      <c r="U278" s="165">
        <f t="shared" si="70"/>
        <v>134.61000000000001</v>
      </c>
      <c r="V278" s="165">
        <f t="shared" si="70"/>
        <v>78.55</v>
      </c>
      <c r="W278" s="165">
        <f t="shared" si="70"/>
        <v>114.5</v>
      </c>
      <c r="X278" s="165">
        <f t="shared" si="70"/>
        <v>89.62</v>
      </c>
      <c r="Y278" s="165">
        <f t="shared" si="70"/>
        <v>139.72999999999999</v>
      </c>
      <c r="Z278" s="165">
        <f t="shared" si="70"/>
        <v>79.44</v>
      </c>
      <c r="AA278" s="165">
        <f t="shared" si="70"/>
        <v>118.32</v>
      </c>
      <c r="AB278" s="165">
        <f t="shared" si="70"/>
        <v>90.78</v>
      </c>
      <c r="AC278" s="165">
        <f t="shared" si="70"/>
        <v>143.38</v>
      </c>
      <c r="AD278" s="165">
        <f t="shared" si="70"/>
        <v>80.58</v>
      </c>
      <c r="AE278" s="165">
        <f t="shared" si="70"/>
        <v>121.35</v>
      </c>
      <c r="AF278" s="165">
        <f t="shared" si="70"/>
        <v>92.29</v>
      </c>
      <c r="AG278" s="165">
        <f t="shared" si="70"/>
        <v>146.84</v>
      </c>
      <c r="AH278" s="165">
        <f t="shared" si="70"/>
        <v>81.61</v>
      </c>
      <c r="AI278" s="165">
        <f t="shared" si="70"/>
        <v>124.13</v>
      </c>
      <c r="AJ278" s="166">
        <f t="shared" si="70"/>
        <v>93.58</v>
      </c>
      <c r="AK278" s="619"/>
      <c r="AL278" s="619"/>
      <c r="AM278" s="619"/>
      <c r="AN278" s="619"/>
      <c r="AO278" s="619"/>
      <c r="AP278" s="619"/>
      <c r="AQ278" s="619"/>
      <c r="AR278" s="619"/>
      <c r="AS278" s="619"/>
      <c r="AT278" s="8"/>
      <c r="AU278" s="8"/>
      <c r="AV278" s="8"/>
      <c r="AW278" s="8"/>
      <c r="AX278" s="8"/>
      <c r="AY278" s="8"/>
      <c r="AZ278" s="8"/>
      <c r="BA278" s="8"/>
      <c r="BB278" s="8"/>
      <c r="BC278" s="8"/>
      <c r="BD278" s="8"/>
    </row>
    <row r="279" spans="1:56" ht="14.25" customHeight="1">
      <c r="A279" s="619">
        <v>1</v>
      </c>
      <c r="B279" s="179"/>
      <c r="C279" s="164" t="s">
        <v>32</v>
      </c>
      <c r="D279" s="165">
        <f t="shared" ref="D279:G279" si="71">$D$273*D50</f>
        <v>24.078345824693489</v>
      </c>
      <c r="E279" s="165">
        <f t="shared" si="71"/>
        <v>25.523331769395305</v>
      </c>
      <c r="F279" s="165">
        <f t="shared" si="71"/>
        <v>17.832534842966325</v>
      </c>
      <c r="G279" s="165">
        <f t="shared" si="71"/>
        <v>13.861502850491931</v>
      </c>
      <c r="H279" s="165">
        <f t="shared" ref="H279:AJ279" si="72">$D$273*H49</f>
        <v>50.85</v>
      </c>
      <c r="I279" s="165">
        <f t="shared" si="72"/>
        <v>51.85</v>
      </c>
      <c r="J279" s="165">
        <f t="shared" si="72"/>
        <v>52.88</v>
      </c>
      <c r="K279" s="165">
        <f t="shared" si="72"/>
        <v>53.86</v>
      </c>
      <c r="L279" s="165">
        <f t="shared" si="72"/>
        <v>54.75</v>
      </c>
      <c r="M279" s="165">
        <f t="shared" si="72"/>
        <v>55.89</v>
      </c>
      <c r="N279" s="165">
        <f t="shared" si="72"/>
        <v>56.91</v>
      </c>
      <c r="O279" s="165">
        <f t="shared" si="72"/>
        <v>57.87</v>
      </c>
      <c r="P279" s="165">
        <f t="shared" si="72"/>
        <v>58.81</v>
      </c>
      <c r="Q279" s="165">
        <f t="shared" si="72"/>
        <v>60.03</v>
      </c>
      <c r="R279" s="165">
        <f t="shared" si="72"/>
        <v>61.02</v>
      </c>
      <c r="S279" s="165">
        <f t="shared" si="72"/>
        <v>62.2</v>
      </c>
      <c r="T279" s="165">
        <f t="shared" si="72"/>
        <v>63.19</v>
      </c>
      <c r="U279" s="165">
        <f t="shared" si="72"/>
        <v>64.239999999999995</v>
      </c>
      <c r="V279" s="165">
        <f t="shared" si="72"/>
        <v>65.3</v>
      </c>
      <c r="W279" s="165">
        <f t="shared" si="72"/>
        <v>66.33</v>
      </c>
      <c r="X279" s="165">
        <f t="shared" si="72"/>
        <v>67.34</v>
      </c>
      <c r="Y279" s="165">
        <f t="shared" si="72"/>
        <v>68.42</v>
      </c>
      <c r="Z279" s="165">
        <f t="shared" si="72"/>
        <v>69.41</v>
      </c>
      <c r="AA279" s="165">
        <f t="shared" si="72"/>
        <v>70.42</v>
      </c>
      <c r="AB279" s="165">
        <f t="shared" si="72"/>
        <v>71.400000000000006</v>
      </c>
      <c r="AC279" s="165">
        <f t="shared" si="72"/>
        <v>72.25</v>
      </c>
      <c r="AD279" s="165">
        <f t="shared" si="72"/>
        <v>73.209999999999994</v>
      </c>
      <c r="AE279" s="165">
        <f t="shared" si="72"/>
        <v>74.069999999999993</v>
      </c>
      <c r="AF279" s="165">
        <f t="shared" si="72"/>
        <v>75.05</v>
      </c>
      <c r="AG279" s="165">
        <f t="shared" si="72"/>
        <v>75.91</v>
      </c>
      <c r="AH279" s="165">
        <f t="shared" si="72"/>
        <v>76.739999999999995</v>
      </c>
      <c r="AI279" s="165">
        <f t="shared" si="72"/>
        <v>77.58</v>
      </c>
      <c r="AJ279" s="166">
        <f t="shared" si="72"/>
        <v>78.41</v>
      </c>
      <c r="AK279" s="619"/>
      <c r="AL279" s="619"/>
      <c r="AM279" s="619"/>
      <c r="AN279" s="619"/>
      <c r="AO279" s="619"/>
      <c r="AP279" s="619"/>
      <c r="AQ279" s="619"/>
      <c r="AR279" s="619"/>
      <c r="AS279" s="619"/>
      <c r="AT279" s="8"/>
      <c r="AU279" s="8"/>
      <c r="AV279" s="8"/>
      <c r="AW279" s="8"/>
      <c r="AX279" s="8"/>
      <c r="AY279" s="8"/>
      <c r="AZ279" s="8"/>
      <c r="BA279" s="8"/>
      <c r="BB279" s="8"/>
      <c r="BC279" s="8"/>
      <c r="BD279" s="8"/>
    </row>
    <row r="280" spans="1:56" ht="14.25" customHeight="1">
      <c r="A280" s="619">
        <v>1</v>
      </c>
      <c r="B280" s="179"/>
      <c r="C280" s="164" t="s">
        <v>33</v>
      </c>
      <c r="D280" s="165">
        <f t="shared" ref="D280:G280" si="73">$D$273*D51</f>
        <v>0</v>
      </c>
      <c r="E280" s="165">
        <f t="shared" si="73"/>
        <v>0</v>
      </c>
      <c r="F280" s="165">
        <f t="shared" si="73"/>
        <v>0.93795160777154696</v>
      </c>
      <c r="G280" s="165">
        <f t="shared" si="73"/>
        <v>0</v>
      </c>
      <c r="H280" s="165">
        <f t="shared" ref="H280:AJ280" si="74">$D$273*H50</f>
        <v>14.39</v>
      </c>
      <c r="I280" s="165">
        <f t="shared" si="74"/>
        <v>14.7</v>
      </c>
      <c r="J280" s="165">
        <f t="shared" si="74"/>
        <v>15.28</v>
      </c>
      <c r="K280" s="165">
        <f t="shared" si="74"/>
        <v>15.54</v>
      </c>
      <c r="L280" s="165">
        <f t="shared" si="74"/>
        <v>16.03</v>
      </c>
      <c r="M280" s="165">
        <f t="shared" si="74"/>
        <v>16.38</v>
      </c>
      <c r="N280" s="165">
        <f t="shared" si="74"/>
        <v>16.98</v>
      </c>
      <c r="O280" s="165">
        <f t="shared" si="74"/>
        <v>17.18</v>
      </c>
      <c r="P280" s="165">
        <f t="shared" si="74"/>
        <v>17.71</v>
      </c>
      <c r="Q280" s="165">
        <f t="shared" si="74"/>
        <v>18.12</v>
      </c>
      <c r="R280" s="165">
        <f t="shared" si="74"/>
        <v>18.68</v>
      </c>
      <c r="S280" s="165">
        <f t="shared" si="74"/>
        <v>19.07</v>
      </c>
      <c r="T280" s="165">
        <f t="shared" si="74"/>
        <v>19.63</v>
      </c>
      <c r="U280" s="165">
        <f t="shared" si="74"/>
        <v>19.96</v>
      </c>
      <c r="V280" s="165">
        <f t="shared" si="74"/>
        <v>20.56</v>
      </c>
      <c r="W280" s="165">
        <f t="shared" si="74"/>
        <v>20.9</v>
      </c>
      <c r="X280" s="165">
        <f t="shared" si="74"/>
        <v>21.47</v>
      </c>
      <c r="Y280" s="165">
        <f t="shared" si="74"/>
        <v>21.9</v>
      </c>
      <c r="Z280" s="165">
        <f t="shared" si="74"/>
        <v>22.46</v>
      </c>
      <c r="AA280" s="165">
        <f t="shared" si="74"/>
        <v>22.87</v>
      </c>
      <c r="AB280" s="165">
        <f t="shared" si="74"/>
        <v>23.43</v>
      </c>
      <c r="AC280" s="165">
        <f t="shared" si="74"/>
        <v>23.75</v>
      </c>
      <c r="AD280" s="165">
        <f t="shared" si="74"/>
        <v>24.31</v>
      </c>
      <c r="AE280" s="165">
        <f t="shared" si="74"/>
        <v>24.68</v>
      </c>
      <c r="AF280" s="165">
        <f t="shared" si="74"/>
        <v>25.27</v>
      </c>
      <c r="AG280" s="165">
        <f t="shared" si="74"/>
        <v>25.66</v>
      </c>
      <c r="AH280" s="165">
        <f t="shared" si="74"/>
        <v>26.15</v>
      </c>
      <c r="AI280" s="165">
        <f t="shared" si="74"/>
        <v>26.55</v>
      </c>
      <c r="AJ280" s="166">
        <f t="shared" si="74"/>
        <v>27.05</v>
      </c>
      <c r="AK280" s="619"/>
      <c r="AL280" s="619"/>
      <c r="AM280" s="619"/>
      <c r="AN280" s="619"/>
      <c r="AO280" s="619"/>
      <c r="AP280" s="619"/>
      <c r="AQ280" s="619"/>
      <c r="AR280" s="619"/>
      <c r="AS280" s="619"/>
      <c r="AT280" s="8"/>
      <c r="AU280" s="8"/>
      <c r="AV280" s="8"/>
      <c r="AW280" s="8"/>
      <c r="AX280" s="8"/>
      <c r="AY280" s="8"/>
      <c r="AZ280" s="8"/>
      <c r="BA280" s="8"/>
      <c r="BB280" s="8"/>
      <c r="BC280" s="8"/>
      <c r="BD280" s="8"/>
    </row>
    <row r="281" spans="1:56" ht="14.25" customHeight="1">
      <c r="A281" s="619">
        <v>1</v>
      </c>
      <c r="B281" s="179"/>
      <c r="C281" s="195" t="s">
        <v>34</v>
      </c>
      <c r="D281" s="165">
        <f t="shared" ref="D281:G281" si="75">$D$273*D52</f>
        <v>5.5666818184799185</v>
      </c>
      <c r="E281" s="165">
        <f t="shared" si="75"/>
        <v>4.4513001057531385</v>
      </c>
      <c r="F281" s="165">
        <f t="shared" si="75"/>
        <v>5.1349054554247653</v>
      </c>
      <c r="G281" s="165">
        <f t="shared" si="75"/>
        <v>5.6722964060314354</v>
      </c>
      <c r="H281" s="165">
        <f t="shared" ref="H281:AJ281" si="76">$D$273*H51</f>
        <v>1</v>
      </c>
      <c r="I281" s="165">
        <f t="shared" si="76"/>
        <v>1.04</v>
      </c>
      <c r="J281" s="165">
        <f t="shared" si="76"/>
        <v>1.07</v>
      </c>
      <c r="K281" s="165">
        <f t="shared" si="76"/>
        <v>1.1000000000000001</v>
      </c>
      <c r="L281" s="165">
        <f t="shared" si="76"/>
        <v>1.1200000000000001</v>
      </c>
      <c r="M281" s="165">
        <f t="shared" si="76"/>
        <v>1.1599999999999999</v>
      </c>
      <c r="N281" s="165">
        <f t="shared" si="76"/>
        <v>1.19</v>
      </c>
      <c r="O281" s="165">
        <f t="shared" si="76"/>
        <v>1.21</v>
      </c>
      <c r="P281" s="165">
        <f t="shared" si="76"/>
        <v>1.24</v>
      </c>
      <c r="Q281" s="165">
        <f t="shared" si="76"/>
        <v>1.28</v>
      </c>
      <c r="R281" s="165">
        <f t="shared" si="76"/>
        <v>1.31</v>
      </c>
      <c r="S281" s="165">
        <f t="shared" si="76"/>
        <v>1.35</v>
      </c>
      <c r="T281" s="165">
        <f t="shared" si="76"/>
        <v>1.38</v>
      </c>
      <c r="U281" s="165">
        <f t="shared" si="76"/>
        <v>1.42</v>
      </c>
      <c r="V281" s="165">
        <f t="shared" si="76"/>
        <v>1.45</v>
      </c>
      <c r="W281" s="165">
        <f t="shared" si="76"/>
        <v>1.49</v>
      </c>
      <c r="X281" s="165">
        <f t="shared" si="76"/>
        <v>1.52</v>
      </c>
      <c r="Y281" s="165">
        <f t="shared" si="76"/>
        <v>1.56</v>
      </c>
      <c r="Z281" s="165">
        <f t="shared" si="76"/>
        <v>1.6</v>
      </c>
      <c r="AA281" s="165">
        <f t="shared" si="76"/>
        <v>1.63</v>
      </c>
      <c r="AB281" s="165">
        <f t="shared" si="76"/>
        <v>1.67</v>
      </c>
      <c r="AC281" s="165">
        <f t="shared" si="76"/>
        <v>1.7</v>
      </c>
      <c r="AD281" s="165">
        <f t="shared" si="76"/>
        <v>1.73</v>
      </c>
      <c r="AE281" s="165">
        <f t="shared" si="76"/>
        <v>1.77</v>
      </c>
      <c r="AF281" s="165">
        <f t="shared" si="76"/>
        <v>1.81</v>
      </c>
      <c r="AG281" s="165">
        <f t="shared" si="76"/>
        <v>1.84</v>
      </c>
      <c r="AH281" s="165">
        <f t="shared" si="76"/>
        <v>1.87</v>
      </c>
      <c r="AI281" s="165">
        <f t="shared" si="76"/>
        <v>1.91</v>
      </c>
      <c r="AJ281" s="166">
        <f t="shared" si="76"/>
        <v>1.94</v>
      </c>
      <c r="AK281" s="619"/>
      <c r="AL281" s="619"/>
      <c r="AM281" s="619"/>
      <c r="AN281" s="619"/>
      <c r="AO281" s="619"/>
      <c r="AP281" s="619"/>
      <c r="AQ281" s="619"/>
      <c r="AR281" s="619"/>
      <c r="AS281" s="619"/>
      <c r="AT281" s="8"/>
      <c r="AU281" s="8"/>
      <c r="AV281" s="8"/>
      <c r="AW281" s="8"/>
      <c r="AX281" s="8"/>
      <c r="AY281" s="8"/>
      <c r="AZ281" s="8"/>
      <c r="BA281" s="8"/>
      <c r="BB281" s="8"/>
      <c r="BC281" s="8"/>
      <c r="BD281" s="8"/>
    </row>
    <row r="282" spans="1:56" ht="14.25" customHeight="1">
      <c r="A282" s="619"/>
      <c r="B282" s="155"/>
      <c r="C282" s="164"/>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c r="AG282" s="191"/>
      <c r="AH282" s="191"/>
      <c r="AI282" s="191"/>
      <c r="AJ282" s="192"/>
      <c r="AK282" s="619"/>
      <c r="AL282" s="619"/>
      <c r="AM282" s="619"/>
      <c r="AN282" s="619"/>
      <c r="AO282" s="619"/>
      <c r="AP282" s="619"/>
      <c r="AQ282" s="619"/>
      <c r="AR282" s="619"/>
      <c r="AS282" s="619"/>
      <c r="AT282" s="8"/>
      <c r="AU282" s="8"/>
      <c r="AV282" s="8"/>
      <c r="AW282" s="8"/>
      <c r="AX282" s="8"/>
      <c r="AY282" s="8"/>
      <c r="AZ282" s="8"/>
      <c r="BA282" s="8"/>
      <c r="BB282" s="8"/>
      <c r="BC282" s="8"/>
      <c r="BD282" s="8"/>
    </row>
    <row r="283" spans="1:56" ht="14.25" customHeight="1">
      <c r="A283" s="619"/>
      <c r="B283" s="167"/>
      <c r="C283" s="168" t="s">
        <v>13</v>
      </c>
      <c r="D283" s="176">
        <f t="shared" ref="D283:AJ283" si="77">SUM(D275:D281)</f>
        <v>282.40334462085696</v>
      </c>
      <c r="E283" s="176">
        <f t="shared" si="77"/>
        <v>307.61006173886847</v>
      </c>
      <c r="F283" s="176">
        <f t="shared" si="77"/>
        <v>259.47476689847559</v>
      </c>
      <c r="G283" s="176">
        <f t="shared" si="77"/>
        <v>299.23072513270154</v>
      </c>
      <c r="H283" s="176">
        <f t="shared" si="77"/>
        <v>290.64</v>
      </c>
      <c r="I283" s="176">
        <f t="shared" si="77"/>
        <v>326.26000000000005</v>
      </c>
      <c r="J283" s="176">
        <f t="shared" si="77"/>
        <v>290.34999999999997</v>
      </c>
      <c r="K283" s="176">
        <f t="shared" si="77"/>
        <v>322.78000000000003</v>
      </c>
      <c r="L283" s="176">
        <f t="shared" si="77"/>
        <v>311.64999999999998</v>
      </c>
      <c r="M283" s="176">
        <f t="shared" si="77"/>
        <v>356.59999999999997</v>
      </c>
      <c r="N283" s="176">
        <f t="shared" si="77"/>
        <v>313.64000000000004</v>
      </c>
      <c r="O283" s="176">
        <f t="shared" si="77"/>
        <v>350.53999999999996</v>
      </c>
      <c r="P283" s="176">
        <f t="shared" si="77"/>
        <v>334.9</v>
      </c>
      <c r="Q283" s="176">
        <f t="shared" si="77"/>
        <v>387.23</v>
      </c>
      <c r="R283" s="176">
        <f t="shared" si="77"/>
        <v>337.65</v>
      </c>
      <c r="S283" s="176">
        <f t="shared" si="77"/>
        <v>380.95000000000005</v>
      </c>
      <c r="T283" s="176">
        <f t="shared" si="77"/>
        <v>361.65</v>
      </c>
      <c r="U283" s="176">
        <f t="shared" si="77"/>
        <v>416.95000000000005</v>
      </c>
      <c r="V283" s="176">
        <f t="shared" si="77"/>
        <v>364.3</v>
      </c>
      <c r="W283" s="176">
        <f t="shared" si="77"/>
        <v>409.25999999999993</v>
      </c>
      <c r="X283" s="176">
        <f t="shared" si="77"/>
        <v>1146.19</v>
      </c>
      <c r="Y283" s="176">
        <f t="shared" si="77"/>
        <v>1205.7800000000002</v>
      </c>
      <c r="Z283" s="176">
        <f t="shared" si="77"/>
        <v>1149.53</v>
      </c>
      <c r="AA283" s="176">
        <f t="shared" si="77"/>
        <v>1197.1500000000001</v>
      </c>
      <c r="AB283" s="176">
        <f t="shared" si="77"/>
        <v>1174.1200000000003</v>
      </c>
      <c r="AC283" s="176">
        <f t="shared" si="77"/>
        <v>1233.8800000000001</v>
      </c>
      <c r="AD283" s="176">
        <f t="shared" si="77"/>
        <v>1175.99</v>
      </c>
      <c r="AE283" s="176">
        <f t="shared" si="77"/>
        <v>1224.1199999999999</v>
      </c>
      <c r="AF283" s="176">
        <f t="shared" si="77"/>
        <v>1200.73</v>
      </c>
      <c r="AG283" s="176">
        <f t="shared" si="77"/>
        <v>1262.5600000000002</v>
      </c>
      <c r="AH283" s="176">
        <f t="shared" si="77"/>
        <v>1201.95</v>
      </c>
      <c r="AI283" s="176">
        <f t="shared" si="77"/>
        <v>1251.6500000000001</v>
      </c>
      <c r="AJ283" s="177">
        <f t="shared" si="77"/>
        <v>1226.1300000000001</v>
      </c>
      <c r="AK283" s="619"/>
      <c r="AL283" s="619"/>
      <c r="AM283" s="619"/>
      <c r="AN283" s="619"/>
      <c r="AO283" s="619"/>
      <c r="AP283" s="619"/>
      <c r="AQ283" s="619"/>
      <c r="AR283" s="619"/>
      <c r="AS283" s="619"/>
      <c r="AT283" s="8"/>
      <c r="AU283" s="8"/>
      <c r="AV283" s="8"/>
      <c r="AW283" s="8"/>
      <c r="AX283" s="8"/>
      <c r="AY283" s="8"/>
      <c r="AZ283" s="8"/>
      <c r="BA283" s="8"/>
      <c r="BB283" s="8"/>
      <c r="BC283" s="8"/>
      <c r="BD283" s="8"/>
    </row>
    <row r="284" spans="1:56" ht="13.5" customHeight="1">
      <c r="A284" s="619"/>
      <c r="B284" s="619"/>
      <c r="C284" s="4"/>
      <c r="D284" s="5"/>
      <c r="E284" s="5"/>
      <c r="F284" s="5"/>
      <c r="G284" s="5"/>
      <c r="H284" s="619"/>
      <c r="I284" s="619"/>
      <c r="J284" s="619"/>
      <c r="K284" s="619"/>
      <c r="L284" s="619"/>
      <c r="M284" s="619"/>
      <c r="N284" s="619"/>
      <c r="O284" s="619"/>
      <c r="P284" s="619"/>
      <c r="Q284" s="619"/>
      <c r="R284" s="619"/>
      <c r="S284" s="619"/>
      <c r="T284" s="619"/>
      <c r="U284" s="619"/>
      <c r="V284" s="619"/>
      <c r="W284" s="619"/>
      <c r="X284" s="619"/>
      <c r="Y284" s="619"/>
      <c r="Z284" s="619"/>
      <c r="AA284" s="619"/>
      <c r="AB284" s="619"/>
      <c r="AC284" s="619"/>
      <c r="AD284" s="619"/>
      <c r="AE284" s="619"/>
      <c r="AF284" s="619"/>
      <c r="AG284" s="619"/>
      <c r="AH284" s="619"/>
      <c r="AI284" s="619"/>
      <c r="AJ284" s="619"/>
      <c r="AK284" s="619"/>
      <c r="AL284" s="619"/>
      <c r="AM284" s="619"/>
      <c r="AN284" s="619"/>
      <c r="AO284" s="619"/>
      <c r="AP284" s="619"/>
      <c r="AQ284" s="619"/>
      <c r="AR284" s="619"/>
      <c r="AS284" s="619"/>
      <c r="AT284" s="8"/>
      <c r="AU284" s="8"/>
      <c r="AV284" s="8"/>
      <c r="AW284" s="8"/>
      <c r="AX284" s="8"/>
      <c r="AY284" s="8"/>
      <c r="AZ284" s="8"/>
      <c r="BA284" s="8"/>
      <c r="BB284" s="8"/>
      <c r="BC284" s="8"/>
      <c r="BD284" s="8"/>
    </row>
    <row r="285" spans="1:56" ht="14.25" customHeight="1">
      <c r="A285" s="3"/>
      <c r="B285" s="7"/>
      <c r="C285" s="171" t="s">
        <v>119</v>
      </c>
      <c r="D285" s="193">
        <v>1</v>
      </c>
      <c r="E285" s="193"/>
      <c r="F285" s="193"/>
      <c r="G285" s="193"/>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247"/>
      <c r="AE285" s="247"/>
      <c r="AF285" s="247"/>
      <c r="AG285" s="247"/>
      <c r="AH285" s="247"/>
      <c r="AI285" s="247"/>
      <c r="AJ285" s="247"/>
      <c r="AK285" s="619"/>
      <c r="AL285" s="619"/>
      <c r="AM285" s="619"/>
      <c r="AN285" s="619"/>
      <c r="AO285" s="619"/>
      <c r="AP285" s="619"/>
      <c r="AQ285" s="619"/>
      <c r="AR285" s="619"/>
      <c r="AS285" s="619"/>
      <c r="AT285" s="8"/>
      <c r="AU285" s="8"/>
      <c r="AV285" s="8"/>
      <c r="AW285" s="8"/>
      <c r="AX285" s="8"/>
      <c r="AY285" s="8"/>
      <c r="AZ285" s="8"/>
      <c r="BA285" s="8"/>
      <c r="BB285" s="8"/>
      <c r="BC285" s="8"/>
      <c r="BD285" s="8"/>
    </row>
    <row r="286" spans="1:56" ht="14.25" customHeight="1">
      <c r="A286" s="3"/>
      <c r="B286" s="202"/>
      <c r="C286" s="160"/>
      <c r="D286" s="172">
        <v>2018</v>
      </c>
      <c r="E286" s="172">
        <v>2019</v>
      </c>
      <c r="F286" s="172">
        <v>2020</v>
      </c>
      <c r="G286" s="172">
        <v>2021</v>
      </c>
      <c r="H286" s="189">
        <v>2022</v>
      </c>
      <c r="I286" s="189">
        <v>2023</v>
      </c>
      <c r="J286" s="189">
        <v>2024</v>
      </c>
      <c r="K286" s="189">
        <v>2025</v>
      </c>
      <c r="L286" s="189">
        <v>2026</v>
      </c>
      <c r="M286" s="189">
        <v>2027</v>
      </c>
      <c r="N286" s="189">
        <v>2028</v>
      </c>
      <c r="O286" s="189">
        <v>2029</v>
      </c>
      <c r="P286" s="189">
        <v>2030</v>
      </c>
      <c r="Q286" s="189">
        <v>2031</v>
      </c>
      <c r="R286" s="189">
        <v>2032</v>
      </c>
      <c r="S286" s="189">
        <v>2033</v>
      </c>
      <c r="T286" s="189">
        <v>2034</v>
      </c>
      <c r="U286" s="189">
        <v>2035</v>
      </c>
      <c r="V286" s="189">
        <v>2036</v>
      </c>
      <c r="W286" s="189">
        <v>2037</v>
      </c>
      <c r="X286" s="189">
        <v>2038</v>
      </c>
      <c r="Y286" s="189">
        <v>2039</v>
      </c>
      <c r="Z286" s="189">
        <v>2040</v>
      </c>
      <c r="AA286" s="189">
        <v>2041</v>
      </c>
      <c r="AB286" s="189">
        <v>2042</v>
      </c>
      <c r="AC286" s="189">
        <v>2043</v>
      </c>
      <c r="AD286" s="189">
        <v>2044</v>
      </c>
      <c r="AE286" s="189">
        <v>2045</v>
      </c>
      <c r="AF286" s="189">
        <v>2046</v>
      </c>
      <c r="AG286" s="189">
        <v>2047</v>
      </c>
      <c r="AH286" s="189">
        <v>2048</v>
      </c>
      <c r="AI286" s="189">
        <v>2049</v>
      </c>
      <c r="AJ286" s="218">
        <v>2050</v>
      </c>
      <c r="AK286" s="189">
        <v>2051</v>
      </c>
      <c r="AL286" s="189">
        <v>2052</v>
      </c>
      <c r="AM286" s="189">
        <v>2053</v>
      </c>
      <c r="AN286" s="189">
        <v>2054</v>
      </c>
      <c r="AO286" s="189">
        <v>2055</v>
      </c>
      <c r="AP286" s="189">
        <v>2056</v>
      </c>
      <c r="AQ286" s="189">
        <v>2057</v>
      </c>
      <c r="AR286" s="189">
        <v>2058</v>
      </c>
      <c r="AS286" s="218">
        <v>2059</v>
      </c>
      <c r="AT286" s="189">
        <v>2060</v>
      </c>
      <c r="AU286" s="189">
        <v>2061</v>
      </c>
      <c r="AV286" s="189">
        <v>2062</v>
      </c>
      <c r="AW286" s="189">
        <v>2063</v>
      </c>
      <c r="AX286" s="189">
        <v>2064</v>
      </c>
      <c r="AY286" s="189">
        <v>2065</v>
      </c>
      <c r="AZ286" s="189">
        <v>2066</v>
      </c>
      <c r="BA286" s="189">
        <v>2067</v>
      </c>
      <c r="BB286" s="218">
        <v>2068</v>
      </c>
      <c r="BC286" s="189">
        <v>2069</v>
      </c>
      <c r="BD286" s="189">
        <v>2070</v>
      </c>
    </row>
    <row r="287" spans="1:56" ht="13.5" customHeight="1">
      <c r="A287" s="619"/>
      <c r="B287" s="179"/>
      <c r="C287" s="164" t="s">
        <v>28</v>
      </c>
      <c r="D287" s="165">
        <f t="shared" ref="D287:AJ287" si="78">$D$285*D46</f>
        <v>0</v>
      </c>
      <c r="E287" s="165">
        <f t="shared" si="78"/>
        <v>0</v>
      </c>
      <c r="F287" s="165">
        <f t="shared" si="78"/>
        <v>0</v>
      </c>
      <c r="G287" s="165">
        <f t="shared" si="78"/>
        <v>0</v>
      </c>
      <c r="H287" s="165">
        <f t="shared" si="78"/>
        <v>0</v>
      </c>
      <c r="I287" s="165">
        <f t="shared" si="78"/>
        <v>0</v>
      </c>
      <c r="J287" s="165">
        <f t="shared" si="78"/>
        <v>0</v>
      </c>
      <c r="K287" s="165">
        <f t="shared" si="78"/>
        <v>0</v>
      </c>
      <c r="L287" s="165">
        <f t="shared" si="78"/>
        <v>0</v>
      </c>
      <c r="M287" s="165">
        <f t="shared" si="78"/>
        <v>0</v>
      </c>
      <c r="N287" s="165">
        <f t="shared" si="78"/>
        <v>0</v>
      </c>
      <c r="O287" s="165">
        <f t="shared" si="78"/>
        <v>0</v>
      </c>
      <c r="P287" s="190">
        <f t="shared" si="78"/>
        <v>0</v>
      </c>
      <c r="Q287" s="190">
        <f t="shared" si="78"/>
        <v>0</v>
      </c>
      <c r="R287" s="190">
        <f t="shared" si="78"/>
        <v>0</v>
      </c>
      <c r="S287" s="190">
        <f t="shared" si="78"/>
        <v>0</v>
      </c>
      <c r="T287" s="190">
        <f t="shared" si="78"/>
        <v>0</v>
      </c>
      <c r="U287" s="190">
        <f t="shared" si="78"/>
        <v>0</v>
      </c>
      <c r="V287" s="190">
        <f t="shared" si="78"/>
        <v>0</v>
      </c>
      <c r="W287" s="190">
        <f t="shared" si="78"/>
        <v>0</v>
      </c>
      <c r="X287" s="190">
        <f t="shared" si="78"/>
        <v>379.11</v>
      </c>
      <c r="Y287" s="190">
        <f t="shared" si="78"/>
        <v>379.11</v>
      </c>
      <c r="Z287" s="190">
        <f t="shared" si="78"/>
        <v>379.11</v>
      </c>
      <c r="AA287" s="190">
        <f t="shared" si="78"/>
        <v>379.11</v>
      </c>
      <c r="AB287" s="190">
        <f t="shared" si="78"/>
        <v>379.11</v>
      </c>
      <c r="AC287" s="190">
        <f t="shared" si="78"/>
        <v>379.11</v>
      </c>
      <c r="AD287" s="190">
        <f t="shared" si="78"/>
        <v>379.11</v>
      </c>
      <c r="AE287" s="190">
        <f t="shared" si="78"/>
        <v>379.11</v>
      </c>
      <c r="AF287" s="190">
        <f t="shared" si="78"/>
        <v>379.11</v>
      </c>
      <c r="AG287" s="190">
        <f t="shared" si="78"/>
        <v>379.11</v>
      </c>
      <c r="AH287" s="190">
        <f t="shared" si="78"/>
        <v>379.11</v>
      </c>
      <c r="AI287" s="190">
        <f t="shared" si="78"/>
        <v>379.11</v>
      </c>
      <c r="AJ287" s="190">
        <f t="shared" si="78"/>
        <v>379.11</v>
      </c>
      <c r="AK287" s="619"/>
      <c r="AL287" s="619"/>
      <c r="AM287" s="619"/>
      <c r="AN287" s="619"/>
      <c r="AO287" s="619"/>
      <c r="AP287" s="619"/>
      <c r="AQ287" s="619"/>
      <c r="AR287" s="619"/>
      <c r="AS287" s="619"/>
      <c r="AT287" s="8"/>
      <c r="AU287" s="8"/>
      <c r="AV287" s="8"/>
      <c r="AW287" s="8"/>
      <c r="AX287" s="8"/>
      <c r="AY287" s="8"/>
      <c r="AZ287" s="8"/>
      <c r="BA287" s="8"/>
      <c r="BB287" s="8"/>
      <c r="BC287" s="8"/>
      <c r="BD287" s="8"/>
    </row>
    <row r="288" spans="1:56" ht="14.25" customHeight="1">
      <c r="A288" s="619">
        <v>1</v>
      </c>
      <c r="B288" s="179"/>
      <c r="C288" s="164" t="s">
        <v>29</v>
      </c>
      <c r="D288" s="165">
        <f t="shared" ref="D288:G288" si="79">$D$285*D47</f>
        <v>117.76053434755926</v>
      </c>
      <c r="E288" s="165">
        <f t="shared" si="79"/>
        <v>124.42923183837271</v>
      </c>
      <c r="F288" s="165">
        <f t="shared" si="79"/>
        <v>108.25917569387438</v>
      </c>
      <c r="G288" s="165">
        <f t="shared" si="79"/>
        <v>136.77355671196315</v>
      </c>
      <c r="H288" s="165">
        <f t="shared" ref="H288:AJ288" si="80">$D$285*H46</f>
        <v>0</v>
      </c>
      <c r="I288" s="165">
        <f t="shared" si="80"/>
        <v>0</v>
      </c>
      <c r="J288" s="165">
        <f t="shared" si="80"/>
        <v>0</v>
      </c>
      <c r="K288" s="165">
        <f t="shared" si="80"/>
        <v>0</v>
      </c>
      <c r="L288" s="165">
        <f t="shared" si="80"/>
        <v>0</v>
      </c>
      <c r="M288" s="165">
        <f t="shared" si="80"/>
        <v>0</v>
      </c>
      <c r="N288" s="165">
        <f t="shared" si="80"/>
        <v>0</v>
      </c>
      <c r="O288" s="165">
        <f t="shared" si="80"/>
        <v>0</v>
      </c>
      <c r="P288" s="165">
        <f t="shared" si="80"/>
        <v>0</v>
      </c>
      <c r="Q288" s="165">
        <f t="shared" si="80"/>
        <v>0</v>
      </c>
      <c r="R288" s="165">
        <f t="shared" si="80"/>
        <v>0</v>
      </c>
      <c r="S288" s="165">
        <f t="shared" si="80"/>
        <v>0</v>
      </c>
      <c r="T288" s="165">
        <f t="shared" si="80"/>
        <v>0</v>
      </c>
      <c r="U288" s="165">
        <f t="shared" si="80"/>
        <v>0</v>
      </c>
      <c r="V288" s="165">
        <f t="shared" si="80"/>
        <v>0</v>
      </c>
      <c r="W288" s="165">
        <f t="shared" si="80"/>
        <v>0</v>
      </c>
      <c r="X288" s="165">
        <f t="shared" si="80"/>
        <v>379.11</v>
      </c>
      <c r="Y288" s="165">
        <f t="shared" si="80"/>
        <v>379.11</v>
      </c>
      <c r="Z288" s="165">
        <f t="shared" si="80"/>
        <v>379.11</v>
      </c>
      <c r="AA288" s="165">
        <f t="shared" si="80"/>
        <v>379.11</v>
      </c>
      <c r="AB288" s="165">
        <f t="shared" si="80"/>
        <v>379.11</v>
      </c>
      <c r="AC288" s="165">
        <f t="shared" si="80"/>
        <v>379.11</v>
      </c>
      <c r="AD288" s="165">
        <f t="shared" si="80"/>
        <v>379.11</v>
      </c>
      <c r="AE288" s="165">
        <f t="shared" si="80"/>
        <v>379.11</v>
      </c>
      <c r="AF288" s="165">
        <f t="shared" si="80"/>
        <v>379.11</v>
      </c>
      <c r="AG288" s="165">
        <f t="shared" si="80"/>
        <v>379.11</v>
      </c>
      <c r="AH288" s="165">
        <f t="shared" si="80"/>
        <v>379.11</v>
      </c>
      <c r="AI288" s="165">
        <f t="shared" si="80"/>
        <v>379.11</v>
      </c>
      <c r="AJ288" s="166">
        <f t="shared" si="80"/>
        <v>379.11</v>
      </c>
      <c r="AK288" s="619"/>
      <c r="AL288" s="619"/>
      <c r="AM288" s="619"/>
      <c r="AN288" s="619"/>
      <c r="AO288" s="619"/>
      <c r="AP288" s="619"/>
      <c r="AQ288" s="619"/>
      <c r="AR288" s="619"/>
      <c r="AS288" s="619"/>
      <c r="AT288" s="8"/>
      <c r="AU288" s="8"/>
      <c r="AV288" s="8"/>
      <c r="AW288" s="8"/>
      <c r="AX288" s="8"/>
      <c r="AY288" s="8"/>
      <c r="AZ288" s="8"/>
      <c r="BA288" s="8"/>
      <c r="BB288" s="8"/>
      <c r="BC288" s="8"/>
      <c r="BD288" s="8"/>
    </row>
    <row r="289" spans="1:45" ht="14.25" customHeight="1">
      <c r="A289" s="619">
        <v>1</v>
      </c>
      <c r="B289" s="179"/>
      <c r="C289" s="164" t="s">
        <v>30</v>
      </c>
      <c r="D289" s="165">
        <f t="shared" ref="D289:G289" si="81">$D$285*D48</f>
        <v>91.607975457177815</v>
      </c>
      <c r="E289" s="165">
        <f t="shared" si="81"/>
        <v>105.93168609615964</v>
      </c>
      <c r="F289" s="165">
        <f t="shared" si="81"/>
        <v>78.997084172717436</v>
      </c>
      <c r="G289" s="165">
        <f t="shared" si="81"/>
        <v>93.045174562286462</v>
      </c>
      <c r="H289" s="165">
        <f t="shared" ref="H289:AJ289" si="82">$D$285*H47</f>
        <v>134.38999999999999</v>
      </c>
      <c r="I289" s="165">
        <f t="shared" si="82"/>
        <v>144.65</v>
      </c>
      <c r="J289" s="165">
        <f t="shared" si="82"/>
        <v>143.02000000000001</v>
      </c>
      <c r="K289" s="165">
        <f t="shared" si="82"/>
        <v>152.84</v>
      </c>
      <c r="L289" s="165">
        <f t="shared" si="82"/>
        <v>150.88999999999999</v>
      </c>
      <c r="M289" s="165">
        <f t="shared" si="82"/>
        <v>161.29</v>
      </c>
      <c r="N289" s="165">
        <f t="shared" si="82"/>
        <v>160.72999999999999</v>
      </c>
      <c r="O289" s="165">
        <f t="shared" si="82"/>
        <v>169.45</v>
      </c>
      <c r="P289" s="165">
        <f t="shared" si="82"/>
        <v>168.68</v>
      </c>
      <c r="Q289" s="165">
        <f t="shared" si="82"/>
        <v>178.69</v>
      </c>
      <c r="R289" s="165">
        <f t="shared" si="82"/>
        <v>178.77</v>
      </c>
      <c r="S289" s="165">
        <f t="shared" si="82"/>
        <v>188.05</v>
      </c>
      <c r="T289" s="165">
        <f t="shared" si="82"/>
        <v>188.69</v>
      </c>
      <c r="U289" s="165">
        <f t="shared" si="82"/>
        <v>196.72</v>
      </c>
      <c r="V289" s="165">
        <f t="shared" si="82"/>
        <v>198.44</v>
      </c>
      <c r="W289" s="165">
        <f t="shared" si="82"/>
        <v>206.04</v>
      </c>
      <c r="X289" s="165">
        <f t="shared" si="82"/>
        <v>208.02</v>
      </c>
      <c r="Y289" s="165">
        <f t="shared" si="82"/>
        <v>215.95</v>
      </c>
      <c r="Z289" s="165">
        <f t="shared" si="82"/>
        <v>218.4</v>
      </c>
      <c r="AA289" s="165">
        <f t="shared" si="82"/>
        <v>225.69</v>
      </c>
      <c r="AB289" s="165">
        <f t="shared" si="82"/>
        <v>228.62</v>
      </c>
      <c r="AC289" s="165">
        <f t="shared" si="82"/>
        <v>234.58</v>
      </c>
      <c r="AD289" s="165">
        <f t="shared" si="82"/>
        <v>237.94</v>
      </c>
      <c r="AE289" s="165">
        <f t="shared" si="82"/>
        <v>244.03</v>
      </c>
      <c r="AF289" s="165">
        <f t="shared" si="82"/>
        <v>248.09</v>
      </c>
      <c r="AG289" s="165">
        <f t="shared" si="82"/>
        <v>254.09</v>
      </c>
      <c r="AH289" s="165">
        <f t="shared" si="82"/>
        <v>257.36</v>
      </c>
      <c r="AI289" s="165">
        <f t="shared" si="82"/>
        <v>263.26</v>
      </c>
      <c r="AJ289" s="166">
        <f t="shared" si="82"/>
        <v>266.93</v>
      </c>
      <c r="AK289" s="619"/>
      <c r="AL289" s="619"/>
      <c r="AM289" s="619"/>
      <c r="AN289" s="619"/>
      <c r="AO289" s="619"/>
      <c r="AP289" s="619"/>
      <c r="AQ289" s="619"/>
      <c r="AR289" s="619"/>
      <c r="AS289" s="619"/>
    </row>
    <row r="290" spans="1:45" ht="14.25" customHeight="1">
      <c r="A290" s="619">
        <v>1</v>
      </c>
      <c r="B290" s="179"/>
      <c r="C290" s="164" t="s">
        <v>31</v>
      </c>
      <c r="D290" s="165">
        <f t="shared" ref="D290:G290" si="83">$D$285*D49</f>
        <v>43.389807172946462</v>
      </c>
      <c r="E290" s="165">
        <f t="shared" si="83"/>
        <v>47.274511929187639</v>
      </c>
      <c r="F290" s="165">
        <f t="shared" si="83"/>
        <v>48.313115125721133</v>
      </c>
      <c r="G290" s="165">
        <f t="shared" si="83"/>
        <v>49.878194601928534</v>
      </c>
      <c r="H290" s="165">
        <f t="shared" ref="H290:AJ290" si="84">$D$285*H48</f>
        <v>90.01</v>
      </c>
      <c r="I290" s="165">
        <f t="shared" si="84"/>
        <v>114.02</v>
      </c>
      <c r="J290" s="165">
        <f t="shared" si="84"/>
        <v>78.099999999999994</v>
      </c>
      <c r="K290" s="165">
        <f t="shared" si="84"/>
        <v>99.44</v>
      </c>
      <c r="L290" s="165">
        <f t="shared" si="84"/>
        <v>88.86</v>
      </c>
      <c r="M290" s="165">
        <f t="shared" si="84"/>
        <v>121.88</v>
      </c>
      <c r="N290" s="165">
        <f t="shared" si="84"/>
        <v>77.83</v>
      </c>
      <c r="O290" s="165">
        <f t="shared" si="84"/>
        <v>104.83</v>
      </c>
      <c r="P290" s="165">
        <f t="shared" si="84"/>
        <v>88.46</v>
      </c>
      <c r="Q290" s="165">
        <f t="shared" si="84"/>
        <v>129.11000000000001</v>
      </c>
      <c r="R290" s="165">
        <f t="shared" si="84"/>
        <v>77.87</v>
      </c>
      <c r="S290" s="165">
        <f t="shared" si="84"/>
        <v>110.28</v>
      </c>
      <c r="T290" s="165">
        <f t="shared" si="84"/>
        <v>88.76</v>
      </c>
      <c r="U290" s="165">
        <f t="shared" si="84"/>
        <v>134.61000000000001</v>
      </c>
      <c r="V290" s="165">
        <f t="shared" si="84"/>
        <v>78.55</v>
      </c>
      <c r="W290" s="165">
        <f t="shared" si="84"/>
        <v>114.5</v>
      </c>
      <c r="X290" s="165">
        <f t="shared" si="84"/>
        <v>89.62</v>
      </c>
      <c r="Y290" s="165">
        <f t="shared" si="84"/>
        <v>139.72999999999999</v>
      </c>
      <c r="Z290" s="165">
        <f t="shared" si="84"/>
        <v>79.44</v>
      </c>
      <c r="AA290" s="165">
        <f t="shared" si="84"/>
        <v>118.32</v>
      </c>
      <c r="AB290" s="165">
        <f t="shared" si="84"/>
        <v>90.78</v>
      </c>
      <c r="AC290" s="165">
        <f t="shared" si="84"/>
        <v>143.38</v>
      </c>
      <c r="AD290" s="165">
        <f t="shared" si="84"/>
        <v>80.58</v>
      </c>
      <c r="AE290" s="165">
        <f t="shared" si="84"/>
        <v>121.35</v>
      </c>
      <c r="AF290" s="165">
        <f t="shared" si="84"/>
        <v>92.29</v>
      </c>
      <c r="AG290" s="165">
        <f t="shared" si="84"/>
        <v>146.84</v>
      </c>
      <c r="AH290" s="165">
        <f t="shared" si="84"/>
        <v>81.61</v>
      </c>
      <c r="AI290" s="165">
        <f t="shared" si="84"/>
        <v>124.13</v>
      </c>
      <c r="AJ290" s="166">
        <f t="shared" si="84"/>
        <v>93.58</v>
      </c>
      <c r="AK290" s="619"/>
      <c r="AL290" s="619"/>
      <c r="AM290" s="619"/>
      <c r="AN290" s="619"/>
      <c r="AO290" s="619"/>
      <c r="AP290" s="619"/>
      <c r="AQ290" s="619"/>
      <c r="AR290" s="619"/>
      <c r="AS290" s="619"/>
    </row>
    <row r="291" spans="1:45" ht="14.25" customHeight="1">
      <c r="A291" s="619">
        <v>1</v>
      </c>
      <c r="B291" s="179"/>
      <c r="C291" s="164" t="s">
        <v>32</v>
      </c>
      <c r="D291" s="165">
        <f t="shared" ref="D291:G291" si="85">$D$285*D50</f>
        <v>24.078345824693489</v>
      </c>
      <c r="E291" s="165">
        <f t="shared" si="85"/>
        <v>25.523331769395305</v>
      </c>
      <c r="F291" s="165">
        <f t="shared" si="85"/>
        <v>17.832534842966325</v>
      </c>
      <c r="G291" s="165">
        <f t="shared" si="85"/>
        <v>13.861502850491931</v>
      </c>
      <c r="H291" s="165">
        <f t="shared" ref="H291:AJ291" si="86">$D$285*H49</f>
        <v>50.85</v>
      </c>
      <c r="I291" s="165">
        <f t="shared" si="86"/>
        <v>51.85</v>
      </c>
      <c r="J291" s="165">
        <f t="shared" si="86"/>
        <v>52.88</v>
      </c>
      <c r="K291" s="165">
        <f t="shared" si="86"/>
        <v>53.86</v>
      </c>
      <c r="L291" s="165">
        <f t="shared" si="86"/>
        <v>54.75</v>
      </c>
      <c r="M291" s="165">
        <f t="shared" si="86"/>
        <v>55.89</v>
      </c>
      <c r="N291" s="165">
        <f t="shared" si="86"/>
        <v>56.91</v>
      </c>
      <c r="O291" s="165">
        <f t="shared" si="86"/>
        <v>57.87</v>
      </c>
      <c r="P291" s="165">
        <f t="shared" si="86"/>
        <v>58.81</v>
      </c>
      <c r="Q291" s="165">
        <f t="shared" si="86"/>
        <v>60.03</v>
      </c>
      <c r="R291" s="165">
        <f t="shared" si="86"/>
        <v>61.02</v>
      </c>
      <c r="S291" s="165">
        <f t="shared" si="86"/>
        <v>62.2</v>
      </c>
      <c r="T291" s="165">
        <f t="shared" si="86"/>
        <v>63.19</v>
      </c>
      <c r="U291" s="165">
        <f t="shared" si="86"/>
        <v>64.239999999999995</v>
      </c>
      <c r="V291" s="165">
        <f t="shared" si="86"/>
        <v>65.3</v>
      </c>
      <c r="W291" s="165">
        <f t="shared" si="86"/>
        <v>66.33</v>
      </c>
      <c r="X291" s="165">
        <f t="shared" si="86"/>
        <v>67.34</v>
      </c>
      <c r="Y291" s="165">
        <f t="shared" si="86"/>
        <v>68.42</v>
      </c>
      <c r="Z291" s="165">
        <f t="shared" si="86"/>
        <v>69.41</v>
      </c>
      <c r="AA291" s="165">
        <f t="shared" si="86"/>
        <v>70.42</v>
      </c>
      <c r="AB291" s="165">
        <f t="shared" si="86"/>
        <v>71.400000000000006</v>
      </c>
      <c r="AC291" s="165">
        <f t="shared" si="86"/>
        <v>72.25</v>
      </c>
      <c r="AD291" s="165">
        <f t="shared" si="86"/>
        <v>73.209999999999994</v>
      </c>
      <c r="AE291" s="165">
        <f t="shared" si="86"/>
        <v>74.069999999999993</v>
      </c>
      <c r="AF291" s="165">
        <f t="shared" si="86"/>
        <v>75.05</v>
      </c>
      <c r="AG291" s="165">
        <f t="shared" si="86"/>
        <v>75.91</v>
      </c>
      <c r="AH291" s="165">
        <f t="shared" si="86"/>
        <v>76.739999999999995</v>
      </c>
      <c r="AI291" s="165">
        <f t="shared" si="86"/>
        <v>77.58</v>
      </c>
      <c r="AJ291" s="166">
        <f t="shared" si="86"/>
        <v>78.41</v>
      </c>
      <c r="AK291" s="619"/>
      <c r="AL291" s="619"/>
      <c r="AM291" s="619"/>
      <c r="AN291" s="619"/>
      <c r="AO291" s="619"/>
      <c r="AP291" s="619"/>
      <c r="AQ291" s="619"/>
      <c r="AR291" s="619"/>
      <c r="AS291" s="619"/>
    </row>
    <row r="292" spans="1:45" ht="14.25" customHeight="1">
      <c r="A292" s="619">
        <v>1</v>
      </c>
      <c r="B292" s="179"/>
      <c r="C292" s="164" t="s">
        <v>33</v>
      </c>
      <c r="D292" s="165">
        <f t="shared" ref="D292:G292" si="87">$D$285*D51</f>
        <v>0</v>
      </c>
      <c r="E292" s="165">
        <f t="shared" si="87"/>
        <v>0</v>
      </c>
      <c r="F292" s="165">
        <f t="shared" si="87"/>
        <v>0.93795160777154696</v>
      </c>
      <c r="G292" s="165">
        <f t="shared" si="87"/>
        <v>0</v>
      </c>
      <c r="H292" s="165">
        <f t="shared" ref="H292:AJ292" si="88">$D$285*H50</f>
        <v>14.39</v>
      </c>
      <c r="I292" s="165">
        <f t="shared" si="88"/>
        <v>14.7</v>
      </c>
      <c r="J292" s="165">
        <f t="shared" si="88"/>
        <v>15.28</v>
      </c>
      <c r="K292" s="165">
        <f t="shared" si="88"/>
        <v>15.54</v>
      </c>
      <c r="L292" s="165">
        <f t="shared" si="88"/>
        <v>16.03</v>
      </c>
      <c r="M292" s="165">
        <f t="shared" si="88"/>
        <v>16.38</v>
      </c>
      <c r="N292" s="165">
        <f t="shared" si="88"/>
        <v>16.98</v>
      </c>
      <c r="O292" s="165">
        <f t="shared" si="88"/>
        <v>17.18</v>
      </c>
      <c r="P292" s="165">
        <f t="shared" si="88"/>
        <v>17.71</v>
      </c>
      <c r="Q292" s="165">
        <f t="shared" si="88"/>
        <v>18.12</v>
      </c>
      <c r="R292" s="165">
        <f t="shared" si="88"/>
        <v>18.68</v>
      </c>
      <c r="S292" s="165">
        <f t="shared" si="88"/>
        <v>19.07</v>
      </c>
      <c r="T292" s="165">
        <f t="shared" si="88"/>
        <v>19.63</v>
      </c>
      <c r="U292" s="165">
        <f t="shared" si="88"/>
        <v>19.96</v>
      </c>
      <c r="V292" s="165">
        <f t="shared" si="88"/>
        <v>20.56</v>
      </c>
      <c r="W292" s="165">
        <f t="shared" si="88"/>
        <v>20.9</v>
      </c>
      <c r="X292" s="165">
        <f t="shared" si="88"/>
        <v>21.47</v>
      </c>
      <c r="Y292" s="165">
        <f t="shared" si="88"/>
        <v>21.9</v>
      </c>
      <c r="Z292" s="165">
        <f t="shared" si="88"/>
        <v>22.46</v>
      </c>
      <c r="AA292" s="165">
        <f t="shared" si="88"/>
        <v>22.87</v>
      </c>
      <c r="AB292" s="165">
        <f t="shared" si="88"/>
        <v>23.43</v>
      </c>
      <c r="AC292" s="165">
        <f t="shared" si="88"/>
        <v>23.75</v>
      </c>
      <c r="AD292" s="165">
        <f t="shared" si="88"/>
        <v>24.31</v>
      </c>
      <c r="AE292" s="165">
        <f t="shared" si="88"/>
        <v>24.68</v>
      </c>
      <c r="AF292" s="165">
        <f t="shared" si="88"/>
        <v>25.27</v>
      </c>
      <c r="AG292" s="165">
        <f t="shared" si="88"/>
        <v>25.66</v>
      </c>
      <c r="AH292" s="165">
        <f t="shared" si="88"/>
        <v>26.15</v>
      </c>
      <c r="AI292" s="165">
        <f t="shared" si="88"/>
        <v>26.55</v>
      </c>
      <c r="AJ292" s="166">
        <f t="shared" si="88"/>
        <v>27.05</v>
      </c>
      <c r="AK292" s="619"/>
      <c r="AL292" s="619"/>
      <c r="AM292" s="619"/>
      <c r="AN292" s="619"/>
      <c r="AO292" s="619"/>
      <c r="AP292" s="619"/>
      <c r="AQ292" s="619"/>
      <c r="AR292" s="619"/>
      <c r="AS292" s="619"/>
    </row>
    <row r="293" spans="1:45" ht="14.25" customHeight="1">
      <c r="A293" s="619">
        <v>1</v>
      </c>
      <c r="B293" s="179"/>
      <c r="C293" s="195" t="s">
        <v>34</v>
      </c>
      <c r="D293" s="165">
        <f t="shared" ref="D293:G293" si="89">$D$285*D52</f>
        <v>5.5666818184799185</v>
      </c>
      <c r="E293" s="165">
        <f t="shared" si="89"/>
        <v>4.4513001057531385</v>
      </c>
      <c r="F293" s="165">
        <f t="shared" si="89"/>
        <v>5.1349054554247653</v>
      </c>
      <c r="G293" s="165">
        <f t="shared" si="89"/>
        <v>5.6722964060314354</v>
      </c>
      <c r="H293" s="165">
        <f t="shared" ref="H293:AJ293" si="90">$D$285*H51</f>
        <v>1</v>
      </c>
      <c r="I293" s="165">
        <f t="shared" si="90"/>
        <v>1.04</v>
      </c>
      <c r="J293" s="165">
        <f t="shared" si="90"/>
        <v>1.07</v>
      </c>
      <c r="K293" s="165">
        <f t="shared" si="90"/>
        <v>1.1000000000000001</v>
      </c>
      <c r="L293" s="165">
        <f t="shared" si="90"/>
        <v>1.1200000000000001</v>
      </c>
      <c r="M293" s="165">
        <f t="shared" si="90"/>
        <v>1.1599999999999999</v>
      </c>
      <c r="N293" s="165">
        <f t="shared" si="90"/>
        <v>1.19</v>
      </c>
      <c r="O293" s="165">
        <f t="shared" si="90"/>
        <v>1.21</v>
      </c>
      <c r="P293" s="165">
        <f t="shared" si="90"/>
        <v>1.24</v>
      </c>
      <c r="Q293" s="165">
        <f t="shared" si="90"/>
        <v>1.28</v>
      </c>
      <c r="R293" s="165">
        <f t="shared" si="90"/>
        <v>1.31</v>
      </c>
      <c r="S293" s="165">
        <f t="shared" si="90"/>
        <v>1.35</v>
      </c>
      <c r="T293" s="165">
        <f t="shared" si="90"/>
        <v>1.38</v>
      </c>
      <c r="U293" s="165">
        <f t="shared" si="90"/>
        <v>1.42</v>
      </c>
      <c r="V293" s="165">
        <f t="shared" si="90"/>
        <v>1.45</v>
      </c>
      <c r="W293" s="165">
        <f t="shared" si="90"/>
        <v>1.49</v>
      </c>
      <c r="X293" s="165">
        <f t="shared" si="90"/>
        <v>1.52</v>
      </c>
      <c r="Y293" s="165">
        <f t="shared" si="90"/>
        <v>1.56</v>
      </c>
      <c r="Z293" s="165">
        <f t="shared" si="90"/>
        <v>1.6</v>
      </c>
      <c r="AA293" s="165">
        <f t="shared" si="90"/>
        <v>1.63</v>
      </c>
      <c r="AB293" s="165">
        <f t="shared" si="90"/>
        <v>1.67</v>
      </c>
      <c r="AC293" s="165">
        <f t="shared" si="90"/>
        <v>1.7</v>
      </c>
      <c r="AD293" s="165">
        <f t="shared" si="90"/>
        <v>1.73</v>
      </c>
      <c r="AE293" s="165">
        <f t="shared" si="90"/>
        <v>1.77</v>
      </c>
      <c r="AF293" s="165">
        <f t="shared" si="90"/>
        <v>1.81</v>
      </c>
      <c r="AG293" s="165">
        <f t="shared" si="90"/>
        <v>1.84</v>
      </c>
      <c r="AH293" s="165">
        <f t="shared" si="90"/>
        <v>1.87</v>
      </c>
      <c r="AI293" s="165">
        <f t="shared" si="90"/>
        <v>1.91</v>
      </c>
      <c r="AJ293" s="166">
        <f t="shared" si="90"/>
        <v>1.94</v>
      </c>
      <c r="AK293" s="619"/>
      <c r="AL293" s="619"/>
      <c r="AM293" s="619"/>
      <c r="AN293" s="619"/>
      <c r="AO293" s="619"/>
      <c r="AP293" s="619"/>
      <c r="AQ293" s="619"/>
      <c r="AR293" s="619"/>
      <c r="AS293" s="619"/>
    </row>
    <row r="294" spans="1:45" ht="14.25" customHeight="1">
      <c r="A294" s="619"/>
      <c r="B294" s="155"/>
      <c r="C294" s="164"/>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c r="AG294" s="191"/>
      <c r="AH294" s="191"/>
      <c r="AI294" s="191"/>
      <c r="AJ294" s="192"/>
      <c r="AK294" s="619"/>
      <c r="AL294" s="619"/>
      <c r="AM294" s="619"/>
      <c r="AN294" s="619"/>
      <c r="AO294" s="619"/>
      <c r="AP294" s="619"/>
      <c r="AQ294" s="619"/>
      <c r="AR294" s="619"/>
      <c r="AS294" s="619"/>
    </row>
    <row r="295" spans="1:45" ht="14.25" customHeight="1">
      <c r="A295" s="619"/>
      <c r="B295" s="167"/>
      <c r="C295" s="168" t="s">
        <v>13</v>
      </c>
      <c r="D295" s="176">
        <f t="shared" ref="D295:AJ295" si="91">SUM(D287:D293)</f>
        <v>282.40334462085696</v>
      </c>
      <c r="E295" s="176">
        <f t="shared" si="91"/>
        <v>307.61006173886847</v>
      </c>
      <c r="F295" s="176">
        <f t="shared" si="91"/>
        <v>259.47476689847559</v>
      </c>
      <c r="G295" s="176">
        <f t="shared" si="91"/>
        <v>299.23072513270154</v>
      </c>
      <c r="H295" s="176">
        <f t="shared" si="91"/>
        <v>290.64</v>
      </c>
      <c r="I295" s="176">
        <f t="shared" si="91"/>
        <v>326.26000000000005</v>
      </c>
      <c r="J295" s="176">
        <f t="shared" si="91"/>
        <v>290.34999999999997</v>
      </c>
      <c r="K295" s="176">
        <f t="shared" si="91"/>
        <v>322.78000000000003</v>
      </c>
      <c r="L295" s="176">
        <f t="shared" si="91"/>
        <v>311.64999999999998</v>
      </c>
      <c r="M295" s="176">
        <f t="shared" si="91"/>
        <v>356.59999999999997</v>
      </c>
      <c r="N295" s="176">
        <f t="shared" si="91"/>
        <v>313.64000000000004</v>
      </c>
      <c r="O295" s="176">
        <f t="shared" si="91"/>
        <v>350.53999999999996</v>
      </c>
      <c r="P295" s="176">
        <f t="shared" si="91"/>
        <v>334.9</v>
      </c>
      <c r="Q295" s="176">
        <f t="shared" si="91"/>
        <v>387.23</v>
      </c>
      <c r="R295" s="176">
        <f t="shared" si="91"/>
        <v>337.65</v>
      </c>
      <c r="S295" s="176">
        <f t="shared" si="91"/>
        <v>380.95000000000005</v>
      </c>
      <c r="T295" s="176">
        <f t="shared" si="91"/>
        <v>361.65</v>
      </c>
      <c r="U295" s="176">
        <f t="shared" si="91"/>
        <v>416.95000000000005</v>
      </c>
      <c r="V295" s="176">
        <f t="shared" si="91"/>
        <v>364.3</v>
      </c>
      <c r="W295" s="176">
        <f t="shared" si="91"/>
        <v>409.25999999999993</v>
      </c>
      <c r="X295" s="176">
        <f t="shared" si="91"/>
        <v>1146.19</v>
      </c>
      <c r="Y295" s="176">
        <f t="shared" si="91"/>
        <v>1205.7800000000002</v>
      </c>
      <c r="Z295" s="176">
        <f t="shared" si="91"/>
        <v>1149.53</v>
      </c>
      <c r="AA295" s="176">
        <f t="shared" si="91"/>
        <v>1197.1500000000001</v>
      </c>
      <c r="AB295" s="176">
        <f t="shared" si="91"/>
        <v>1174.1200000000003</v>
      </c>
      <c r="AC295" s="176">
        <f t="shared" si="91"/>
        <v>1233.8800000000001</v>
      </c>
      <c r="AD295" s="176">
        <f t="shared" si="91"/>
        <v>1175.99</v>
      </c>
      <c r="AE295" s="176">
        <f t="shared" si="91"/>
        <v>1224.1199999999999</v>
      </c>
      <c r="AF295" s="176">
        <f t="shared" si="91"/>
        <v>1200.73</v>
      </c>
      <c r="AG295" s="176">
        <f t="shared" si="91"/>
        <v>1262.5600000000002</v>
      </c>
      <c r="AH295" s="176">
        <f t="shared" si="91"/>
        <v>1201.95</v>
      </c>
      <c r="AI295" s="176">
        <f t="shared" si="91"/>
        <v>1251.6500000000001</v>
      </c>
      <c r="AJ295" s="177">
        <f t="shared" si="91"/>
        <v>1226.1300000000001</v>
      </c>
      <c r="AK295" s="619"/>
      <c r="AL295" s="619"/>
      <c r="AM295" s="619"/>
      <c r="AN295" s="619"/>
      <c r="AO295" s="619"/>
      <c r="AP295" s="619"/>
      <c r="AQ295" s="619"/>
      <c r="AR295" s="619"/>
      <c r="AS295" s="619"/>
    </row>
    <row r="296" spans="1:45" ht="14.25" customHeight="1">
      <c r="A296" s="619"/>
      <c r="B296" s="619"/>
      <c r="C296" s="4"/>
      <c r="D296" s="5"/>
      <c r="E296" s="5"/>
      <c r="F296" s="5"/>
      <c r="G296" s="5"/>
      <c r="H296" s="619"/>
      <c r="I296" s="619"/>
      <c r="J296" s="619"/>
      <c r="K296" s="619"/>
      <c r="L296" s="619"/>
      <c r="M296" s="619"/>
      <c r="N296" s="619"/>
      <c r="O296" s="619"/>
      <c r="P296" s="619"/>
      <c r="Q296" s="619"/>
      <c r="R296" s="619"/>
      <c r="S296" s="619"/>
      <c r="T296" s="619"/>
      <c r="U296" s="619"/>
      <c r="V296" s="619"/>
      <c r="W296" s="619"/>
      <c r="X296" s="619"/>
      <c r="Y296" s="619"/>
      <c r="Z296" s="619"/>
      <c r="AA296" s="619"/>
      <c r="AB296" s="619"/>
      <c r="AC296" s="619"/>
      <c r="AD296" s="619"/>
      <c r="AE296" s="619"/>
      <c r="AF296" s="619"/>
      <c r="AG296" s="619"/>
      <c r="AH296" s="619"/>
      <c r="AI296" s="619"/>
      <c r="AJ296" s="619"/>
      <c r="AK296" s="619"/>
      <c r="AL296" s="619"/>
      <c r="AM296" s="619"/>
      <c r="AN296" s="619"/>
      <c r="AO296" s="619"/>
      <c r="AP296" s="619"/>
      <c r="AQ296" s="619"/>
      <c r="AR296" s="619"/>
      <c r="AS296" s="619"/>
    </row>
    <row r="297" spans="1:45" ht="14.25" customHeight="1">
      <c r="A297" s="619"/>
      <c r="B297" s="619"/>
      <c r="C297" s="4"/>
      <c r="D297" s="5">
        <f>-D153+D283+D239-Demanda_energia!E16-Demanda_energia!E29-Demanda_energia!E42-Demanda_energia!E55-Demanda_energia!E68-Demanda_energia!E73</f>
        <v>89.21187484158898</v>
      </c>
      <c r="E297" s="5"/>
      <c r="F297" s="5"/>
      <c r="G297" s="5"/>
      <c r="H297" s="619"/>
      <c r="I297" s="619"/>
      <c r="J297" s="619"/>
      <c r="K297" s="619"/>
      <c r="L297" s="619"/>
      <c r="M297" s="619"/>
      <c r="N297" s="619"/>
      <c r="O297" s="619"/>
      <c r="P297" s="619"/>
      <c r="Q297" s="619"/>
      <c r="R297" s="619"/>
      <c r="S297" s="619"/>
      <c r="T297" s="619"/>
      <c r="U297" s="619"/>
      <c r="V297" s="619"/>
      <c r="W297" s="619"/>
      <c r="X297" s="619"/>
      <c r="Y297" s="619"/>
      <c r="Z297" s="619"/>
      <c r="AA297" s="619"/>
      <c r="AB297" s="619"/>
      <c r="AC297" s="619"/>
      <c r="AD297" s="619"/>
      <c r="AE297" s="619"/>
      <c r="AF297" s="619"/>
      <c r="AG297" s="619"/>
      <c r="AH297" s="619"/>
      <c r="AI297" s="619"/>
      <c r="AJ297" s="619"/>
      <c r="AK297" s="619"/>
      <c r="AL297" s="619"/>
      <c r="AM297" s="619"/>
      <c r="AN297" s="619"/>
      <c r="AO297" s="619"/>
      <c r="AP297" s="619"/>
      <c r="AQ297" s="619"/>
      <c r="AR297" s="619"/>
      <c r="AS297" s="619"/>
    </row>
    <row r="298" spans="1:45" ht="14.25" customHeight="1">
      <c r="A298" s="619"/>
      <c r="B298" s="619"/>
      <c r="C298" s="4" t="s">
        <v>120</v>
      </c>
      <c r="D298" s="5"/>
      <c r="E298" s="5"/>
      <c r="F298" s="5"/>
      <c r="G298" s="5"/>
      <c r="H298" s="619"/>
      <c r="I298" s="619"/>
      <c r="J298" s="619"/>
      <c r="K298" s="619"/>
      <c r="L298" s="619"/>
      <c r="M298" s="619"/>
      <c r="N298" s="619"/>
      <c r="O298" s="619"/>
      <c r="P298" s="619"/>
      <c r="Q298" s="619"/>
      <c r="R298" s="619"/>
      <c r="S298" s="619"/>
      <c r="T298" s="619"/>
      <c r="U298" s="619"/>
      <c r="V298" s="619"/>
      <c r="W298" s="619"/>
      <c r="X298" s="619"/>
      <c r="Y298" s="619"/>
      <c r="Z298" s="619"/>
      <c r="AA298" s="619"/>
      <c r="AB298" s="619"/>
      <c r="AC298" s="619"/>
      <c r="AD298" s="619"/>
      <c r="AE298" s="619"/>
      <c r="AF298" s="619"/>
      <c r="AG298" s="619"/>
      <c r="AH298" s="619"/>
      <c r="AI298" s="619"/>
      <c r="AJ298" s="619"/>
      <c r="AK298" s="619"/>
      <c r="AL298" s="619"/>
      <c r="AM298" s="619"/>
      <c r="AN298" s="619"/>
      <c r="AO298" s="619"/>
      <c r="AP298" s="619"/>
      <c r="AQ298" s="619"/>
      <c r="AR298" s="619"/>
      <c r="AS298" s="619"/>
    </row>
    <row r="299" spans="1:45" ht="14.25" customHeight="1">
      <c r="A299" s="619"/>
      <c r="B299" s="619"/>
      <c r="C299" s="8"/>
      <c r="D299" s="5"/>
      <c r="E299" s="5"/>
      <c r="F299" s="5"/>
      <c r="G299" s="5"/>
      <c r="H299" s="619"/>
      <c r="I299" s="619"/>
      <c r="J299" s="619"/>
      <c r="K299" s="619"/>
      <c r="L299" s="619"/>
      <c r="M299" s="619"/>
      <c r="N299" s="619"/>
      <c r="O299" s="619"/>
      <c r="P299" s="619"/>
      <c r="Q299" s="619"/>
      <c r="R299" s="619"/>
      <c r="S299" s="619"/>
      <c r="T299" s="619"/>
      <c r="U299" s="619"/>
      <c r="V299" s="619"/>
      <c r="W299" s="619"/>
      <c r="X299" s="619"/>
      <c r="Y299" s="619"/>
      <c r="Z299" s="619"/>
      <c r="AA299" s="619"/>
      <c r="AB299" s="619"/>
      <c r="AC299" s="619"/>
      <c r="AD299" s="619"/>
      <c r="AE299" s="619"/>
      <c r="AF299" s="619"/>
      <c r="AG299" s="619"/>
      <c r="AH299" s="619"/>
      <c r="AI299" s="619"/>
      <c r="AJ299" s="619"/>
      <c r="AK299" s="619"/>
      <c r="AL299" s="619"/>
      <c r="AM299" s="619"/>
      <c r="AN299" s="619"/>
      <c r="AO299" s="619"/>
      <c r="AP299" s="619"/>
      <c r="AQ299" s="619"/>
      <c r="AR299" s="619"/>
      <c r="AS299" s="619"/>
    </row>
    <row r="300" spans="1:45" ht="14.25" customHeight="1">
      <c r="A300" s="619"/>
      <c r="B300" s="619"/>
      <c r="C300" s="164" t="s">
        <v>29</v>
      </c>
      <c r="D300" s="181">
        <f t="shared" ref="D300:G300" si="92">(SUMIF($C$76:$C$112,$C300,D$76:D$112))</f>
        <v>79.272563679530975</v>
      </c>
      <c r="E300" s="181">
        <f t="shared" si="92"/>
        <v>75.8349657724754</v>
      </c>
      <c r="F300" s="181">
        <f t="shared" si="92"/>
        <v>57.060511174464814</v>
      </c>
      <c r="G300" s="181">
        <f t="shared" si="92"/>
        <v>73.140171928787993</v>
      </c>
      <c r="H300" s="619"/>
      <c r="I300" s="619"/>
      <c r="J300" s="619"/>
      <c r="K300" s="619"/>
      <c r="L300" s="619"/>
      <c r="M300" s="619"/>
      <c r="N300" s="619"/>
      <c r="O300" s="619"/>
      <c r="P300" s="619"/>
      <c r="Q300" s="619"/>
      <c r="R300" s="619"/>
      <c r="S300" s="619"/>
      <c r="T300" s="619"/>
      <c r="U300" s="619"/>
      <c r="V300" s="619"/>
      <c r="W300" s="619"/>
      <c r="X300" s="619"/>
      <c r="Y300" s="619"/>
      <c r="Z300" s="619"/>
      <c r="AA300" s="619"/>
      <c r="AB300" s="619"/>
      <c r="AC300" s="619"/>
      <c r="AD300" s="619"/>
      <c r="AE300" s="619"/>
      <c r="AF300" s="619"/>
      <c r="AG300" s="619"/>
      <c r="AH300" s="619"/>
      <c r="AI300" s="619"/>
      <c r="AJ300" s="619"/>
      <c r="AK300" s="619"/>
      <c r="AL300" s="619"/>
      <c r="AM300" s="619"/>
      <c r="AN300" s="619"/>
      <c r="AO300" s="619"/>
      <c r="AP300" s="619"/>
      <c r="AQ300" s="619"/>
      <c r="AR300" s="619"/>
      <c r="AS300" s="619"/>
    </row>
    <row r="301" spans="1:45" ht="14.25" customHeight="1">
      <c r="A301" s="619"/>
      <c r="B301" s="619"/>
      <c r="C301" s="164" t="s">
        <v>30</v>
      </c>
      <c r="D301" s="181">
        <f t="shared" ref="D301:G301" si="93">(SUMIF($C$76:$C$112,$C301,D$76:D$112))</f>
        <v>66.005414910849794</v>
      </c>
      <c r="E301" s="181">
        <f t="shared" si="93"/>
        <v>60.814874060120601</v>
      </c>
      <c r="F301" s="181">
        <f t="shared" si="93"/>
        <v>46.626136990087183</v>
      </c>
      <c r="G301" s="181">
        <f t="shared" si="93"/>
        <v>53.848056099570023</v>
      </c>
      <c r="H301" s="619"/>
      <c r="I301" s="619"/>
      <c r="J301" s="619"/>
      <c r="K301" s="619"/>
      <c r="L301" s="619"/>
      <c r="M301" s="619"/>
      <c r="N301" s="619"/>
      <c r="O301" s="619"/>
      <c r="P301" s="619"/>
      <c r="Q301" s="619"/>
      <c r="R301" s="619"/>
      <c r="S301" s="619"/>
      <c r="T301" s="619"/>
      <c r="U301" s="619"/>
      <c r="V301" s="619"/>
      <c r="W301" s="619"/>
      <c r="X301" s="619"/>
      <c r="Y301" s="619"/>
      <c r="Z301" s="619"/>
      <c r="AA301" s="619"/>
      <c r="AB301" s="619"/>
      <c r="AC301" s="619"/>
      <c r="AD301" s="619"/>
      <c r="AE301" s="619"/>
      <c r="AF301" s="619"/>
      <c r="AG301" s="619"/>
      <c r="AH301" s="619"/>
      <c r="AI301" s="619"/>
      <c r="AJ301" s="619"/>
      <c r="AK301" s="619"/>
      <c r="AL301" s="619"/>
      <c r="AM301" s="619"/>
      <c r="AN301" s="619"/>
      <c r="AO301" s="619"/>
      <c r="AP301" s="619"/>
      <c r="AQ301" s="619"/>
      <c r="AR301" s="619"/>
      <c r="AS301" s="619"/>
    </row>
    <row r="302" spans="1:45" ht="14.25" customHeight="1">
      <c r="A302" s="619"/>
      <c r="B302" s="619"/>
      <c r="C302" s="164" t="s">
        <v>31</v>
      </c>
      <c r="D302" s="181">
        <f t="shared" ref="D302:G302" si="94">(SUMIF($C$76:$C$112,$C302,D$76:D$112))</f>
        <v>6.5801184348046693</v>
      </c>
      <c r="E302" s="181">
        <f t="shared" si="94"/>
        <v>3.9845341993146874</v>
      </c>
      <c r="F302" s="181">
        <f t="shared" si="94"/>
        <v>4.5242780346456852</v>
      </c>
      <c r="G302" s="181">
        <f t="shared" si="94"/>
        <v>4.6319722620556636</v>
      </c>
      <c r="H302" s="619"/>
      <c r="I302" s="619"/>
      <c r="J302" s="619"/>
      <c r="K302" s="619"/>
      <c r="L302" s="619"/>
      <c r="M302" s="619"/>
      <c r="N302" s="619"/>
      <c r="O302" s="619"/>
      <c r="P302" s="619"/>
      <c r="Q302" s="619"/>
      <c r="R302" s="619"/>
      <c r="S302" s="619"/>
      <c r="T302" s="619"/>
      <c r="U302" s="619"/>
      <c r="V302" s="619"/>
      <c r="W302" s="619"/>
      <c r="X302" s="619"/>
      <c r="Y302" s="619"/>
      <c r="Z302" s="619"/>
      <c r="AA302" s="619"/>
      <c r="AB302" s="619"/>
      <c r="AC302" s="619"/>
      <c r="AD302" s="619"/>
      <c r="AE302" s="619"/>
      <c r="AF302" s="619"/>
      <c r="AG302" s="619"/>
      <c r="AH302" s="619"/>
      <c r="AI302" s="619"/>
      <c r="AJ302" s="619"/>
      <c r="AK302" s="619"/>
      <c r="AL302" s="619"/>
      <c r="AM302" s="619"/>
      <c r="AN302" s="619"/>
      <c r="AO302" s="619"/>
      <c r="AP302" s="619"/>
      <c r="AQ302" s="619"/>
      <c r="AR302" s="619"/>
      <c r="AS302" s="619"/>
    </row>
    <row r="303" spans="1:45" ht="14.25" customHeight="1">
      <c r="A303" s="619"/>
      <c r="B303" s="619"/>
      <c r="C303" s="248" t="s">
        <v>32</v>
      </c>
      <c r="D303" s="181">
        <f t="shared" ref="D303:G303" si="95">(SUMIF($C$76:$C$112,$C303,D$76:D$112))</f>
        <v>137.72885353741711</v>
      </c>
      <c r="E303" s="181">
        <f t="shared" si="95"/>
        <v>106.79038564203195</v>
      </c>
      <c r="F303" s="181">
        <f t="shared" si="95"/>
        <v>100.53881616461788</v>
      </c>
      <c r="G303" s="181">
        <f t="shared" si="95"/>
        <v>130.34795044207465</v>
      </c>
      <c r="H303" s="619"/>
      <c r="I303" s="619"/>
      <c r="J303" s="619"/>
      <c r="K303" s="619"/>
      <c r="L303" s="619"/>
      <c r="M303" s="619"/>
      <c r="N303" s="619"/>
      <c r="O303" s="619"/>
      <c r="P303" s="619"/>
      <c r="Q303" s="619"/>
      <c r="R303" s="619"/>
      <c r="S303" s="619"/>
      <c r="T303" s="619"/>
      <c r="U303" s="619"/>
      <c r="V303" s="619"/>
      <c r="W303" s="619"/>
      <c r="X303" s="619"/>
      <c r="Y303" s="619"/>
      <c r="Z303" s="619"/>
      <c r="AA303" s="619"/>
      <c r="AB303" s="619"/>
      <c r="AC303" s="619"/>
      <c r="AD303" s="619"/>
      <c r="AE303" s="619"/>
      <c r="AF303" s="619"/>
      <c r="AG303" s="619"/>
      <c r="AH303" s="619"/>
      <c r="AI303" s="619"/>
      <c r="AJ303" s="619"/>
      <c r="AK303" s="619"/>
      <c r="AL303" s="619"/>
      <c r="AM303" s="619"/>
      <c r="AN303" s="619"/>
      <c r="AO303" s="619"/>
      <c r="AP303" s="619"/>
      <c r="AQ303" s="619"/>
      <c r="AR303" s="619"/>
      <c r="AS303" s="619"/>
    </row>
    <row r="304" spans="1:45" ht="14.25" customHeight="1">
      <c r="A304" s="619"/>
      <c r="B304" s="619"/>
      <c r="C304" s="248" t="s">
        <v>33</v>
      </c>
      <c r="D304" s="181">
        <f t="shared" ref="D304:G304" si="96">(SUMIF($C$76:$C$112,$C304,D$76:D$112))</f>
        <v>16.504218620499689</v>
      </c>
      <c r="E304" s="181">
        <f t="shared" si="96"/>
        <v>16.281091195584644</v>
      </c>
      <c r="F304" s="181">
        <f t="shared" si="96"/>
        <v>8.6843432633266708</v>
      </c>
      <c r="G304" s="181">
        <f t="shared" si="96"/>
        <v>12.509387559865688</v>
      </c>
      <c r="H304" s="619"/>
      <c r="I304" s="619"/>
      <c r="J304" s="619"/>
      <c r="K304" s="619"/>
      <c r="L304" s="619"/>
      <c r="M304" s="619"/>
      <c r="N304" s="619"/>
      <c r="O304" s="619"/>
      <c r="P304" s="619"/>
      <c r="Q304" s="619"/>
      <c r="R304" s="619"/>
      <c r="S304" s="619"/>
      <c r="T304" s="619"/>
      <c r="U304" s="619"/>
      <c r="V304" s="619"/>
      <c r="W304" s="619"/>
      <c r="X304" s="619"/>
      <c r="Y304" s="619"/>
      <c r="Z304" s="619"/>
      <c r="AA304" s="619"/>
      <c r="AB304" s="619"/>
      <c r="AC304" s="619"/>
      <c r="AD304" s="619"/>
      <c r="AE304" s="619"/>
      <c r="AF304" s="619"/>
      <c r="AG304" s="619"/>
      <c r="AH304" s="619"/>
      <c r="AI304" s="619"/>
      <c r="AJ304" s="619"/>
      <c r="AK304" s="619"/>
      <c r="AL304" s="619"/>
      <c r="AM304" s="619"/>
      <c r="AN304" s="619"/>
      <c r="AO304" s="619"/>
      <c r="AP304" s="619"/>
      <c r="AQ304" s="619"/>
      <c r="AR304" s="619"/>
      <c r="AS304" s="619"/>
    </row>
    <row r="305" spans="1:45" ht="14.25" customHeight="1">
      <c r="A305" s="619"/>
      <c r="B305" s="619"/>
      <c r="C305" s="164" t="s">
        <v>115</v>
      </c>
      <c r="D305" s="181">
        <f t="shared" ref="D305:G305" si="97">(SUMIF($C$76:$C$112,$C305,D$76:D$112))</f>
        <v>34.985964983868357</v>
      </c>
      <c r="E305" s="181">
        <f t="shared" si="97"/>
        <v>34.004686352131202</v>
      </c>
      <c r="F305" s="181">
        <f t="shared" si="97"/>
        <v>31.234861003955356</v>
      </c>
      <c r="G305" s="181">
        <f t="shared" si="97"/>
        <v>34.202062720330133</v>
      </c>
      <c r="H305" s="619"/>
      <c r="I305" s="619"/>
      <c r="J305" s="619"/>
      <c r="K305" s="619"/>
      <c r="L305" s="619"/>
      <c r="M305" s="619"/>
      <c r="N305" s="619"/>
      <c r="O305" s="619"/>
      <c r="P305" s="619"/>
      <c r="Q305" s="619"/>
      <c r="R305" s="619"/>
      <c r="S305" s="619"/>
      <c r="T305" s="619"/>
      <c r="U305" s="619"/>
      <c r="V305" s="619"/>
      <c r="W305" s="619"/>
      <c r="X305" s="619"/>
      <c r="Y305" s="619"/>
      <c r="Z305" s="619"/>
      <c r="AA305" s="619"/>
      <c r="AB305" s="619"/>
      <c r="AC305" s="619"/>
      <c r="AD305" s="619"/>
      <c r="AE305" s="619"/>
      <c r="AF305" s="619"/>
      <c r="AG305" s="619"/>
      <c r="AH305" s="619"/>
      <c r="AI305" s="619"/>
      <c r="AJ305" s="619"/>
      <c r="AK305" s="619"/>
      <c r="AL305" s="619"/>
      <c r="AM305" s="619"/>
      <c r="AN305" s="619"/>
      <c r="AO305" s="619"/>
      <c r="AP305" s="619"/>
      <c r="AQ305" s="619"/>
      <c r="AR305" s="619"/>
      <c r="AS305" s="619"/>
    </row>
    <row r="306" spans="1:45" ht="14.25" customHeight="1">
      <c r="A306" s="619"/>
      <c r="B306" s="619"/>
      <c r="C306" s="195" t="s">
        <v>43</v>
      </c>
      <c r="D306" s="181">
        <f t="shared" ref="D306:G306" si="98">(SUMIF($C$76:$C$112,$C306,D$76:D$112))</f>
        <v>2.3975163393411956</v>
      </c>
      <c r="E306" s="181">
        <f t="shared" si="98"/>
        <v>2.3078785080653246</v>
      </c>
      <c r="F306" s="181">
        <f t="shared" si="98"/>
        <v>1.8506439542481605</v>
      </c>
      <c r="G306" s="181">
        <f t="shared" si="98"/>
        <v>2.0461266480192344</v>
      </c>
      <c r="H306" s="619"/>
      <c r="I306" s="619"/>
      <c r="J306" s="619"/>
      <c r="K306" s="619"/>
      <c r="L306" s="619"/>
      <c r="M306" s="619"/>
      <c r="N306" s="619"/>
      <c r="O306" s="619"/>
      <c r="P306" s="619"/>
      <c r="Q306" s="619"/>
      <c r="R306" s="619"/>
      <c r="S306" s="619"/>
      <c r="T306" s="619"/>
      <c r="U306" s="619"/>
      <c r="V306" s="619"/>
      <c r="W306" s="619"/>
      <c r="X306" s="619"/>
      <c r="Y306" s="619"/>
      <c r="Z306" s="619"/>
      <c r="AA306" s="619"/>
      <c r="AB306" s="619"/>
      <c r="AC306" s="619"/>
      <c r="AD306" s="619"/>
      <c r="AE306" s="619"/>
      <c r="AF306" s="619"/>
      <c r="AG306" s="619"/>
      <c r="AH306" s="619"/>
      <c r="AI306" s="619"/>
      <c r="AJ306" s="619"/>
      <c r="AK306" s="619"/>
      <c r="AL306" s="619"/>
      <c r="AM306" s="619"/>
      <c r="AN306" s="619"/>
      <c r="AO306" s="619"/>
      <c r="AP306" s="619"/>
      <c r="AQ306" s="619"/>
      <c r="AR306" s="619"/>
      <c r="AS306" s="619"/>
    </row>
    <row r="307" spans="1:45" ht="14.25" customHeight="1">
      <c r="A307" s="619"/>
      <c r="B307" s="619"/>
      <c r="C307" s="195" t="s">
        <v>44</v>
      </c>
      <c r="D307" s="181">
        <f t="shared" ref="D307:G307" si="99">(SUMIF($C$76:$C$112,$C307,D$76:D$112))</f>
        <v>8.9615295309251284</v>
      </c>
      <c r="E307" s="181">
        <f t="shared" si="99"/>
        <v>8.5747966274740275</v>
      </c>
      <c r="F307" s="181">
        <f t="shared" si="99"/>
        <v>6.6232396057617136</v>
      </c>
      <c r="G307" s="181">
        <f t="shared" si="99"/>
        <v>7.9697507228067321</v>
      </c>
      <c r="H307" s="619"/>
      <c r="I307" s="619"/>
      <c r="J307" s="619"/>
      <c r="K307" s="619"/>
      <c r="L307" s="619"/>
      <c r="M307" s="619"/>
      <c r="N307" s="619"/>
      <c r="O307" s="619"/>
      <c r="P307" s="619"/>
      <c r="Q307" s="619"/>
      <c r="R307" s="619"/>
      <c r="S307" s="619"/>
      <c r="T307" s="619"/>
      <c r="U307" s="619"/>
      <c r="V307" s="619"/>
      <c r="W307" s="619"/>
      <c r="X307" s="619"/>
      <c r="Y307" s="619"/>
      <c r="Z307" s="619"/>
      <c r="AA307" s="619"/>
      <c r="AB307" s="619"/>
      <c r="AC307" s="619"/>
      <c r="AD307" s="619"/>
      <c r="AE307" s="619"/>
      <c r="AF307" s="619"/>
      <c r="AG307" s="619"/>
      <c r="AH307" s="619"/>
      <c r="AI307" s="619"/>
      <c r="AJ307" s="619"/>
      <c r="AK307" s="619"/>
      <c r="AL307" s="619"/>
      <c r="AM307" s="619"/>
      <c r="AN307" s="619"/>
      <c r="AO307" s="619"/>
      <c r="AP307" s="619"/>
      <c r="AQ307" s="619"/>
      <c r="AR307" s="619"/>
      <c r="AS307" s="619"/>
    </row>
    <row r="308" spans="1:45" ht="14.25" customHeight="1">
      <c r="A308" s="619"/>
      <c r="B308" s="619"/>
      <c r="C308" s="164" t="s">
        <v>39</v>
      </c>
      <c r="D308" s="165">
        <f t="shared" ref="D308:G308" si="100">SUM(D300:D307)</f>
        <v>352.43618003723691</v>
      </c>
      <c r="E308" s="165">
        <f t="shared" si="100"/>
        <v>308.59321235719779</v>
      </c>
      <c r="F308" s="165">
        <f t="shared" si="100"/>
        <v>257.14283019110752</v>
      </c>
      <c r="G308" s="165">
        <f t="shared" si="100"/>
        <v>318.69547838351008</v>
      </c>
      <c r="H308" s="619"/>
      <c r="I308" s="619"/>
      <c r="J308" s="619"/>
      <c r="K308" s="619"/>
      <c r="L308" s="619"/>
      <c r="M308" s="619"/>
      <c r="N308" s="619"/>
      <c r="O308" s="619"/>
      <c r="P308" s="619"/>
      <c r="Q308" s="619"/>
      <c r="R308" s="619"/>
      <c r="S308" s="619"/>
      <c r="T308" s="619"/>
      <c r="U308" s="619"/>
      <c r="V308" s="619"/>
      <c r="W308" s="619"/>
      <c r="X308" s="619"/>
      <c r="Y308" s="619"/>
      <c r="Z308" s="619"/>
      <c r="AA308" s="619"/>
      <c r="AB308" s="619"/>
      <c r="AC308" s="619"/>
      <c r="AD308" s="619"/>
      <c r="AE308" s="619"/>
      <c r="AF308" s="619"/>
      <c r="AG308" s="619"/>
      <c r="AH308" s="619"/>
      <c r="AI308" s="619"/>
      <c r="AJ308" s="619"/>
      <c r="AK308" s="619"/>
      <c r="AL308" s="619"/>
      <c r="AM308" s="619"/>
      <c r="AN308" s="619"/>
      <c r="AO308" s="619"/>
      <c r="AP308" s="619"/>
      <c r="AQ308" s="619"/>
      <c r="AR308" s="619"/>
      <c r="AS308" s="619"/>
    </row>
    <row r="309" spans="1:45" ht="14.25" customHeight="1">
      <c r="A309" s="619"/>
      <c r="B309" s="619"/>
      <c r="C309" s="4"/>
      <c r="D309" s="5"/>
      <c r="E309" s="5"/>
      <c r="F309" s="5"/>
      <c r="G309" s="5"/>
      <c r="H309" s="619"/>
      <c r="I309" s="619"/>
      <c r="J309" s="619"/>
      <c r="K309" s="619"/>
      <c r="L309" s="619"/>
      <c r="M309" s="619"/>
      <c r="N309" s="619"/>
      <c r="O309" s="619"/>
      <c r="P309" s="619"/>
      <c r="Q309" s="619"/>
      <c r="R309" s="619"/>
      <c r="S309" s="619"/>
      <c r="T309" s="619"/>
      <c r="U309" s="619"/>
      <c r="V309" s="619"/>
      <c r="W309" s="619"/>
      <c r="X309" s="619"/>
      <c r="Y309" s="619"/>
      <c r="Z309" s="619"/>
      <c r="AA309" s="619"/>
      <c r="AB309" s="619"/>
      <c r="AC309" s="619"/>
      <c r="AD309" s="619"/>
      <c r="AE309" s="619"/>
      <c r="AF309" s="619"/>
      <c r="AG309" s="619"/>
      <c r="AH309" s="619"/>
      <c r="AI309" s="619"/>
      <c r="AJ309" s="619"/>
      <c r="AK309" s="619"/>
      <c r="AL309" s="619"/>
      <c r="AM309" s="619"/>
      <c r="AN309" s="619"/>
      <c r="AO309" s="619"/>
      <c r="AP309" s="619"/>
      <c r="AQ309" s="619"/>
      <c r="AR309" s="619"/>
      <c r="AS309" s="619"/>
    </row>
    <row r="310" spans="1:45" ht="14.25" customHeight="1">
      <c r="A310" s="619"/>
      <c r="B310" s="619"/>
      <c r="C310" s="4"/>
      <c r="D310" s="5">
        <f t="shared" ref="D310:G310" si="101">D307*50%</f>
        <v>4.4807647654625642</v>
      </c>
      <c r="E310" s="5">
        <f t="shared" si="101"/>
        <v>4.2873983137370137</v>
      </c>
      <c r="F310" s="5">
        <f t="shared" si="101"/>
        <v>3.3116198028808568</v>
      </c>
      <c r="G310" s="5">
        <f t="shared" si="101"/>
        <v>3.9848753614033661</v>
      </c>
      <c r="H310" s="619"/>
      <c r="I310" s="619"/>
      <c r="J310" s="619"/>
      <c r="K310" s="619"/>
      <c r="L310" s="619"/>
      <c r="M310" s="619"/>
      <c r="N310" s="619"/>
      <c r="O310" s="619"/>
      <c r="P310" s="619"/>
      <c r="Q310" s="619"/>
      <c r="R310" s="619"/>
      <c r="S310" s="619"/>
      <c r="T310" s="619"/>
      <c r="U310" s="619"/>
      <c r="V310" s="619"/>
      <c r="W310" s="619"/>
      <c r="X310" s="619"/>
      <c r="Y310" s="619"/>
      <c r="Z310" s="619"/>
      <c r="AA310" s="619"/>
      <c r="AB310" s="619"/>
      <c r="AC310" s="619"/>
      <c r="AD310" s="619"/>
      <c r="AE310" s="619"/>
      <c r="AF310" s="619"/>
      <c r="AG310" s="619"/>
      <c r="AH310" s="619"/>
      <c r="AI310" s="619"/>
      <c r="AJ310" s="619"/>
      <c r="AK310" s="619"/>
      <c r="AL310" s="619"/>
      <c r="AM310" s="619"/>
      <c r="AN310" s="619"/>
      <c r="AO310" s="619"/>
      <c r="AP310" s="619"/>
      <c r="AQ310" s="619"/>
      <c r="AR310" s="619"/>
      <c r="AS310" s="619"/>
    </row>
    <row r="311" spans="1:45" ht="14.25" customHeight="1">
      <c r="A311" s="619"/>
      <c r="B311" s="619"/>
      <c r="C311" s="4"/>
      <c r="D311" s="5"/>
      <c r="E311" s="5"/>
      <c r="F311" s="5"/>
      <c r="G311" s="5"/>
      <c r="H311" s="619"/>
      <c r="I311" s="619"/>
      <c r="J311" s="619"/>
      <c r="K311" s="619"/>
      <c r="L311" s="619"/>
      <c r="M311" s="619"/>
      <c r="N311" s="619"/>
      <c r="O311" s="619"/>
      <c r="P311" s="619"/>
      <c r="Q311" s="619"/>
      <c r="R311" s="619"/>
      <c r="S311" s="619"/>
      <c r="T311" s="619"/>
      <c r="U311" s="619"/>
      <c r="V311" s="619"/>
      <c r="W311" s="619"/>
      <c r="X311" s="619"/>
      <c r="Y311" s="619"/>
      <c r="Z311" s="619"/>
      <c r="AA311" s="619"/>
      <c r="AB311" s="619"/>
      <c r="AC311" s="619"/>
      <c r="AD311" s="619"/>
      <c r="AE311" s="619"/>
      <c r="AF311" s="619"/>
      <c r="AG311" s="619"/>
      <c r="AH311" s="619"/>
      <c r="AI311" s="619"/>
      <c r="AJ311" s="619"/>
      <c r="AK311" s="619"/>
      <c r="AL311" s="619"/>
      <c r="AM311" s="619"/>
      <c r="AN311" s="619"/>
      <c r="AO311" s="619"/>
      <c r="AP311" s="619"/>
      <c r="AQ311" s="619"/>
      <c r="AR311" s="619"/>
      <c r="AS311" s="619"/>
    </row>
    <row r="312" spans="1:45" ht="14.25" customHeight="1">
      <c r="A312" s="619"/>
      <c r="B312" s="619"/>
      <c r="C312" s="160" t="s">
        <v>121</v>
      </c>
      <c r="D312" s="5" t="s">
        <v>111</v>
      </c>
      <c r="E312" s="5" t="s">
        <v>109</v>
      </c>
      <c r="F312" s="5" t="s">
        <v>122</v>
      </c>
      <c r="G312" s="5" t="s">
        <v>123</v>
      </c>
      <c r="H312" s="619"/>
      <c r="I312" s="619"/>
      <c r="J312" s="619"/>
      <c r="K312" s="619"/>
      <c r="L312" s="619"/>
      <c r="M312" s="619"/>
      <c r="N312" s="619"/>
      <c r="O312" s="619"/>
      <c r="P312" s="619"/>
      <c r="Q312" s="619"/>
      <c r="R312" s="619"/>
      <c r="S312" s="619"/>
      <c r="T312" s="619"/>
      <c r="U312" s="619"/>
      <c r="V312" s="619"/>
      <c r="W312" s="619"/>
      <c r="X312" s="619"/>
      <c r="Y312" s="619"/>
      <c r="Z312" s="619"/>
      <c r="AA312" s="619"/>
      <c r="AB312" s="619"/>
      <c r="AC312" s="619"/>
      <c r="AD312" s="619"/>
      <c r="AE312" s="619"/>
      <c r="AF312" s="619"/>
      <c r="AG312" s="619"/>
      <c r="AH312" s="619"/>
      <c r="AI312" s="619"/>
      <c r="AJ312" s="619"/>
      <c r="AK312" s="619"/>
      <c r="AL312" s="619"/>
      <c r="AM312" s="619"/>
      <c r="AN312" s="619"/>
      <c r="AO312" s="619"/>
      <c r="AP312" s="619"/>
      <c r="AQ312" s="619"/>
      <c r="AR312" s="619"/>
      <c r="AS312" s="619"/>
    </row>
    <row r="313" spans="1:45" ht="14.25" customHeight="1">
      <c r="A313" s="619"/>
      <c r="B313" s="619"/>
      <c r="C313" s="4" t="s">
        <v>124</v>
      </c>
      <c r="D313" s="5">
        <v>666.56115542855991</v>
      </c>
      <c r="E313" s="5">
        <f t="shared" ref="E313:E317" si="102">D313/1000</f>
        <v>0.66656115542855987</v>
      </c>
      <c r="F313" s="5">
        <f>D301/0.99</f>
        <v>66.67213627358565</v>
      </c>
      <c r="G313" s="5">
        <f t="shared" ref="G313:G317" si="103">E313/F313</f>
        <v>9.9975970875353509E-3</v>
      </c>
      <c r="H313" s="619"/>
      <c r="I313" s="619"/>
      <c r="J313" s="619"/>
      <c r="K313" s="619"/>
      <c r="L313" s="619"/>
      <c r="M313" s="619"/>
      <c r="N313" s="619"/>
      <c r="O313" s="619"/>
      <c r="P313" s="619"/>
      <c r="Q313" s="619"/>
      <c r="R313" s="619"/>
      <c r="S313" s="619"/>
      <c r="T313" s="619"/>
      <c r="U313" s="619"/>
      <c r="V313" s="619"/>
      <c r="W313" s="619"/>
      <c r="X313" s="619"/>
      <c r="Y313" s="619"/>
      <c r="Z313" s="619"/>
      <c r="AA313" s="619"/>
      <c r="AB313" s="619"/>
      <c r="AC313" s="619"/>
      <c r="AD313" s="619"/>
      <c r="AE313" s="619"/>
      <c r="AF313" s="619"/>
      <c r="AG313" s="619"/>
      <c r="AH313" s="619"/>
      <c r="AI313" s="619"/>
      <c r="AJ313" s="619"/>
      <c r="AK313" s="619"/>
      <c r="AL313" s="619"/>
      <c r="AM313" s="619"/>
      <c r="AN313" s="619"/>
      <c r="AO313" s="619"/>
      <c r="AP313" s="619"/>
      <c r="AQ313" s="619"/>
      <c r="AR313" s="619"/>
      <c r="AS313" s="619"/>
    </row>
    <row r="314" spans="1:45" ht="14.25" customHeight="1">
      <c r="A314" s="619"/>
      <c r="B314" s="619"/>
      <c r="C314" s="4" t="s">
        <v>125</v>
      </c>
      <c r="D314" s="5">
        <v>124.49428628</v>
      </c>
      <c r="E314" s="5">
        <f t="shared" si="102"/>
        <v>0.12449428627999999</v>
      </c>
      <c r="F314" s="5">
        <f>D304</f>
        <v>16.504218620499689</v>
      </c>
      <c r="G314" s="5">
        <f t="shared" si="103"/>
        <v>7.5431796647050684E-3</v>
      </c>
      <c r="H314" s="619"/>
      <c r="I314" s="619"/>
      <c r="J314" s="619"/>
      <c r="K314" s="619"/>
      <c r="L314" s="619"/>
      <c r="M314" s="619"/>
      <c r="N314" s="619"/>
      <c r="O314" s="619"/>
      <c r="P314" s="619"/>
      <c r="Q314" s="619"/>
      <c r="R314" s="619"/>
      <c r="S314" s="619"/>
      <c r="T314" s="619"/>
      <c r="U314" s="619"/>
      <c r="V314" s="619"/>
      <c r="W314" s="619"/>
      <c r="X314" s="619"/>
      <c r="Y314" s="619"/>
      <c r="Z314" s="619"/>
      <c r="AA314" s="619"/>
      <c r="AB314" s="619"/>
      <c r="AC314" s="619"/>
      <c r="AD314" s="619"/>
      <c r="AE314" s="619"/>
      <c r="AF314" s="619"/>
      <c r="AG314" s="619"/>
      <c r="AH314" s="619"/>
      <c r="AI314" s="619"/>
      <c r="AJ314" s="619"/>
      <c r="AK314" s="619"/>
      <c r="AL314" s="619"/>
      <c r="AM314" s="619"/>
      <c r="AN314" s="619"/>
      <c r="AO314" s="619"/>
      <c r="AP314" s="619"/>
      <c r="AQ314" s="619"/>
      <c r="AR314" s="619"/>
      <c r="AS314" s="619"/>
    </row>
    <row r="315" spans="1:45" ht="14.25" customHeight="1">
      <c r="A315" s="619"/>
      <c r="B315" s="619"/>
      <c r="C315" s="4" t="s">
        <v>126</v>
      </c>
      <c r="D315" s="5">
        <v>4764.6591417862501</v>
      </c>
      <c r="E315" s="5">
        <f t="shared" si="102"/>
        <v>4.7646591417862503</v>
      </c>
      <c r="F315" s="5">
        <f>D300</f>
        <v>79.272563679530975</v>
      </c>
      <c r="G315" s="5">
        <f t="shared" si="103"/>
        <v>6.0104769173959946E-2</v>
      </c>
      <c r="H315" s="619"/>
      <c r="I315" s="619"/>
      <c r="J315" s="619"/>
      <c r="K315" s="619"/>
      <c r="L315" s="619"/>
      <c r="M315" s="619"/>
      <c r="N315" s="619"/>
      <c r="O315" s="619"/>
      <c r="P315" s="619"/>
      <c r="Q315" s="619"/>
      <c r="R315" s="619"/>
      <c r="S315" s="619"/>
      <c r="T315" s="619"/>
      <c r="U315" s="619"/>
      <c r="V315" s="619"/>
      <c r="W315" s="619"/>
      <c r="X315" s="619"/>
      <c r="Y315" s="619"/>
      <c r="Z315" s="619"/>
      <c r="AA315" s="619"/>
      <c r="AB315" s="619"/>
      <c r="AC315" s="619"/>
      <c r="AD315" s="619"/>
      <c r="AE315" s="619"/>
      <c r="AF315" s="619"/>
      <c r="AG315" s="619"/>
      <c r="AH315" s="619"/>
      <c r="AI315" s="619"/>
      <c r="AJ315" s="619"/>
      <c r="AK315" s="619"/>
      <c r="AL315" s="619"/>
      <c r="AM315" s="619"/>
      <c r="AN315" s="619"/>
      <c r="AO315" s="619"/>
      <c r="AP315" s="619"/>
      <c r="AQ315" s="619"/>
      <c r="AR315" s="619"/>
      <c r="AS315" s="619"/>
    </row>
    <row r="316" spans="1:45" ht="14.25" customHeight="1">
      <c r="A316" s="619"/>
      <c r="B316" s="619"/>
      <c r="C316" s="4" t="s">
        <v>127</v>
      </c>
      <c r="D316" s="5">
        <v>8287.6644123526385</v>
      </c>
      <c r="E316" s="5">
        <f t="shared" si="102"/>
        <v>8.2876644123526386</v>
      </c>
      <c r="F316" s="5">
        <f>D303</f>
        <v>137.72885353741711</v>
      </c>
      <c r="G316" s="5">
        <f t="shared" si="103"/>
        <v>6.0173770415515075E-2</v>
      </c>
      <c r="H316" s="619"/>
      <c r="I316" s="619"/>
      <c r="J316" s="619"/>
      <c r="K316" s="619"/>
      <c r="L316" s="619"/>
      <c r="M316" s="619"/>
      <c r="N316" s="619"/>
      <c r="O316" s="619"/>
      <c r="P316" s="619"/>
      <c r="Q316" s="619"/>
      <c r="R316" s="619"/>
      <c r="S316" s="619"/>
      <c r="T316" s="619"/>
      <c r="U316" s="619"/>
      <c r="V316" s="619"/>
      <c r="W316" s="619"/>
      <c r="X316" s="619"/>
      <c r="Y316" s="619"/>
      <c r="Z316" s="619"/>
      <c r="AA316" s="619"/>
      <c r="AB316" s="619"/>
      <c r="AC316" s="619"/>
      <c r="AD316" s="619"/>
      <c r="AE316" s="619"/>
      <c r="AF316" s="619"/>
      <c r="AG316" s="619"/>
      <c r="AH316" s="619"/>
      <c r="AI316" s="619"/>
      <c r="AJ316" s="619"/>
      <c r="AK316" s="619"/>
      <c r="AL316" s="619"/>
      <c r="AM316" s="619"/>
      <c r="AN316" s="619"/>
      <c r="AO316" s="619"/>
      <c r="AP316" s="619"/>
      <c r="AQ316" s="619"/>
      <c r="AR316" s="619"/>
      <c r="AS316" s="619"/>
    </row>
    <row r="317" spans="1:45" ht="14.25" customHeight="1">
      <c r="A317" s="619"/>
      <c r="B317" s="619"/>
      <c r="C317" s="4" t="s">
        <v>128</v>
      </c>
      <c r="D317" s="5">
        <v>783.16625457602004</v>
      </c>
      <c r="E317" s="5">
        <f t="shared" si="102"/>
        <v>0.78316625457602007</v>
      </c>
      <c r="F317" s="5">
        <f>D302</f>
        <v>6.5801184348046693</v>
      </c>
      <c r="G317" s="5">
        <f t="shared" si="103"/>
        <v>0.11902008487165905</v>
      </c>
      <c r="H317" s="619"/>
      <c r="I317" s="619"/>
      <c r="J317" s="619"/>
      <c r="K317" s="619"/>
      <c r="L317" s="619"/>
      <c r="M317" s="619"/>
      <c r="N317" s="619"/>
      <c r="O317" s="619"/>
      <c r="P317" s="619"/>
      <c r="Q317" s="619"/>
      <c r="R317" s="619"/>
      <c r="S317" s="619"/>
      <c r="T317" s="619"/>
      <c r="U317" s="619"/>
      <c r="V317" s="619"/>
      <c r="W317" s="619"/>
      <c r="X317" s="619"/>
      <c r="Y317" s="619"/>
      <c r="Z317" s="619"/>
      <c r="AA317" s="619"/>
      <c r="AB317" s="619"/>
      <c r="AC317" s="619"/>
      <c r="AD317" s="619"/>
      <c r="AE317" s="619"/>
      <c r="AF317" s="619"/>
      <c r="AG317" s="619"/>
      <c r="AH317" s="619"/>
      <c r="AI317" s="619"/>
      <c r="AJ317" s="619"/>
      <c r="AK317" s="619"/>
      <c r="AL317" s="619"/>
      <c r="AM317" s="619"/>
      <c r="AN317" s="619"/>
      <c r="AO317" s="619"/>
      <c r="AP317" s="619"/>
      <c r="AQ317" s="619"/>
      <c r="AR317" s="619"/>
      <c r="AS317" s="619"/>
    </row>
    <row r="318" spans="1:45" ht="14.25" customHeight="1">
      <c r="A318" s="619"/>
      <c r="B318" s="619"/>
      <c r="C318" s="4"/>
      <c r="D318" s="5"/>
      <c r="E318" s="5"/>
      <c r="F318" s="5"/>
      <c r="G318" s="5"/>
      <c r="H318" s="619"/>
      <c r="I318" s="619"/>
      <c r="J318" s="619"/>
      <c r="K318" s="619"/>
      <c r="L318" s="619"/>
      <c r="M318" s="619"/>
      <c r="N318" s="619"/>
      <c r="O318" s="619"/>
      <c r="P318" s="619"/>
      <c r="Q318" s="619"/>
      <c r="R318" s="619"/>
      <c r="S318" s="619"/>
      <c r="T318" s="619"/>
      <c r="U318" s="619"/>
      <c r="V318" s="619"/>
      <c r="W318" s="619"/>
      <c r="X318" s="619"/>
      <c r="Y318" s="619"/>
      <c r="Z318" s="619"/>
      <c r="AA318" s="619"/>
      <c r="AB318" s="619"/>
      <c r="AC318" s="619"/>
      <c r="AD318" s="619"/>
      <c r="AE318" s="619"/>
      <c r="AF318" s="619"/>
      <c r="AG318" s="619"/>
      <c r="AH318" s="619"/>
      <c r="AI318" s="619"/>
      <c r="AJ318" s="619"/>
      <c r="AK318" s="619"/>
      <c r="AL318" s="619"/>
      <c r="AM318" s="619"/>
      <c r="AN318" s="619"/>
      <c r="AO318" s="619"/>
      <c r="AP318" s="619"/>
      <c r="AQ318" s="619"/>
      <c r="AR318" s="619"/>
      <c r="AS318" s="619"/>
    </row>
    <row r="319" spans="1:45" ht="14.25" customHeight="1">
      <c r="A319" s="619"/>
      <c r="B319" s="619"/>
      <c r="C319" s="4"/>
      <c r="D319" s="5"/>
      <c r="E319" s="5"/>
      <c r="F319" s="5"/>
      <c r="G319" s="5"/>
      <c r="H319" s="619"/>
      <c r="I319" s="619"/>
      <c r="J319" s="619"/>
      <c r="K319" s="619"/>
      <c r="L319" s="619"/>
      <c r="M319" s="619"/>
      <c r="N319" s="619"/>
      <c r="O319" s="619"/>
      <c r="P319" s="619"/>
      <c r="Q319" s="619"/>
      <c r="R319" s="619"/>
      <c r="S319" s="619"/>
      <c r="T319" s="619"/>
      <c r="U319" s="619"/>
      <c r="V319" s="619"/>
      <c r="W319" s="619"/>
      <c r="X319" s="619"/>
      <c r="Y319" s="619"/>
      <c r="Z319" s="619"/>
      <c r="AA319" s="619"/>
      <c r="AB319" s="619"/>
      <c r="AC319" s="619"/>
      <c r="AD319" s="619"/>
      <c r="AE319" s="619"/>
      <c r="AF319" s="619"/>
      <c r="AG319" s="619"/>
      <c r="AH319" s="619"/>
      <c r="AI319" s="619"/>
      <c r="AJ319" s="619"/>
      <c r="AK319" s="619"/>
      <c r="AL319" s="619"/>
      <c r="AM319" s="619"/>
      <c r="AN319" s="619"/>
      <c r="AO319" s="619"/>
      <c r="AP319" s="619"/>
      <c r="AQ319" s="619"/>
      <c r="AR319" s="619"/>
      <c r="AS319" s="619"/>
    </row>
    <row r="320" spans="1:45" ht="14.25" customHeight="1">
      <c r="A320" s="619"/>
      <c r="B320" s="619"/>
      <c r="C320" s="4"/>
      <c r="D320" s="5"/>
      <c r="E320" s="5"/>
      <c r="F320" s="5"/>
      <c r="G320" s="5"/>
      <c r="H320" s="619"/>
      <c r="I320" s="619"/>
      <c r="J320" s="619"/>
      <c r="K320" s="619"/>
      <c r="L320" s="619"/>
      <c r="M320" s="619"/>
      <c r="N320" s="619"/>
      <c r="O320" s="619"/>
      <c r="P320" s="619"/>
      <c r="Q320" s="619"/>
      <c r="R320" s="619"/>
      <c r="S320" s="619"/>
      <c r="T320" s="619"/>
      <c r="U320" s="619"/>
      <c r="V320" s="619"/>
      <c r="W320" s="619"/>
      <c r="X320" s="619"/>
      <c r="Y320" s="619"/>
      <c r="Z320" s="619"/>
      <c r="AA320" s="619"/>
      <c r="AB320" s="619"/>
      <c r="AC320" s="619"/>
      <c r="AD320" s="619"/>
      <c r="AE320" s="619"/>
      <c r="AF320" s="619"/>
      <c r="AG320" s="619"/>
      <c r="AH320" s="619"/>
      <c r="AI320" s="619"/>
      <c r="AJ320" s="619"/>
      <c r="AK320" s="619"/>
      <c r="AL320" s="619"/>
      <c r="AM320" s="619"/>
      <c r="AN320" s="619"/>
      <c r="AO320" s="619"/>
      <c r="AP320" s="619"/>
      <c r="AQ320" s="619"/>
      <c r="AR320" s="619"/>
      <c r="AS320" s="619"/>
    </row>
    <row r="321" spans="1:45" ht="14.25" customHeight="1">
      <c r="A321" s="619"/>
      <c r="B321" s="619"/>
      <c r="C321" s="4"/>
      <c r="D321" s="5"/>
      <c r="E321" s="5"/>
      <c r="F321" s="5"/>
      <c r="G321" s="5"/>
      <c r="H321" s="619"/>
      <c r="I321" s="619"/>
      <c r="J321" s="619"/>
      <c r="K321" s="619"/>
      <c r="L321" s="619"/>
      <c r="M321" s="619"/>
      <c r="N321" s="619"/>
      <c r="O321" s="619"/>
      <c r="P321" s="619"/>
      <c r="Q321" s="619"/>
      <c r="R321" s="619"/>
      <c r="S321" s="619"/>
      <c r="T321" s="619"/>
      <c r="U321" s="619"/>
      <c r="V321" s="619"/>
      <c r="W321" s="619"/>
      <c r="X321" s="619"/>
      <c r="Y321" s="619"/>
      <c r="Z321" s="619"/>
      <c r="AA321" s="619"/>
      <c r="AB321" s="619"/>
      <c r="AC321" s="619"/>
      <c r="AD321" s="619"/>
      <c r="AE321" s="619"/>
      <c r="AF321" s="619"/>
      <c r="AG321" s="619"/>
      <c r="AH321" s="619"/>
      <c r="AI321" s="619"/>
      <c r="AJ321" s="619"/>
      <c r="AK321" s="619"/>
      <c r="AL321" s="619"/>
      <c r="AM321" s="619"/>
      <c r="AN321" s="619"/>
      <c r="AO321" s="619"/>
      <c r="AP321" s="619"/>
      <c r="AQ321" s="619"/>
      <c r="AR321" s="619"/>
      <c r="AS321" s="619"/>
    </row>
    <row r="322" spans="1:45" ht="14.25" customHeight="1">
      <c r="A322" s="619"/>
      <c r="B322" s="619"/>
      <c r="C322" s="4"/>
      <c r="D322" s="5"/>
      <c r="E322" s="5"/>
      <c r="F322" s="5"/>
      <c r="G322" s="5"/>
      <c r="H322" s="619"/>
      <c r="I322" s="619"/>
      <c r="J322" s="619"/>
      <c r="K322" s="619"/>
      <c r="L322" s="619"/>
      <c r="M322" s="619"/>
      <c r="N322" s="619"/>
      <c r="O322" s="619"/>
      <c r="P322" s="619"/>
      <c r="Q322" s="619"/>
      <c r="R322" s="619"/>
      <c r="S322" s="619"/>
      <c r="T322" s="619"/>
      <c r="U322" s="619"/>
      <c r="V322" s="619"/>
      <c r="W322" s="619"/>
      <c r="X322" s="619"/>
      <c r="Y322" s="619"/>
      <c r="Z322" s="619"/>
      <c r="AA322" s="619"/>
      <c r="AB322" s="619"/>
      <c r="AC322" s="619"/>
      <c r="AD322" s="619"/>
      <c r="AE322" s="619"/>
      <c r="AF322" s="619"/>
      <c r="AG322" s="619"/>
      <c r="AH322" s="619"/>
      <c r="AI322" s="619"/>
      <c r="AJ322" s="619"/>
      <c r="AK322" s="619"/>
      <c r="AL322" s="619"/>
      <c r="AM322" s="619"/>
      <c r="AN322" s="619"/>
      <c r="AO322" s="619"/>
      <c r="AP322" s="619"/>
      <c r="AQ322" s="619"/>
      <c r="AR322" s="619"/>
      <c r="AS322" s="619"/>
    </row>
    <row r="323" spans="1:45" ht="14.25" customHeight="1">
      <c r="A323" s="619"/>
      <c r="B323" s="619"/>
      <c r="C323" s="4"/>
      <c r="D323" s="5"/>
      <c r="E323" s="5"/>
      <c r="F323" s="5"/>
      <c r="G323" s="5"/>
      <c r="H323" s="619"/>
      <c r="I323" s="619"/>
      <c r="J323" s="619"/>
      <c r="K323" s="619"/>
      <c r="L323" s="619"/>
      <c r="M323" s="619"/>
      <c r="N323" s="619"/>
      <c r="O323" s="619"/>
      <c r="P323" s="619"/>
      <c r="Q323" s="619"/>
      <c r="R323" s="619"/>
      <c r="S323" s="619"/>
      <c r="T323" s="619"/>
      <c r="U323" s="619"/>
      <c r="V323" s="619"/>
      <c r="W323" s="619"/>
      <c r="X323" s="619"/>
      <c r="Y323" s="619"/>
      <c r="Z323" s="619"/>
      <c r="AA323" s="619"/>
      <c r="AB323" s="619"/>
      <c r="AC323" s="619"/>
      <c r="AD323" s="619"/>
      <c r="AE323" s="619"/>
      <c r="AF323" s="619"/>
      <c r="AG323" s="619"/>
      <c r="AH323" s="619"/>
      <c r="AI323" s="619"/>
      <c r="AJ323" s="619"/>
      <c r="AK323" s="619"/>
      <c r="AL323" s="619"/>
      <c r="AM323" s="619"/>
      <c r="AN323" s="619"/>
      <c r="AO323" s="619"/>
      <c r="AP323" s="619"/>
      <c r="AQ323" s="619"/>
      <c r="AR323" s="619"/>
      <c r="AS323" s="619"/>
    </row>
    <row r="324" spans="1:45" ht="14.25" customHeight="1">
      <c r="A324" s="619"/>
      <c r="B324" s="619"/>
      <c r="C324" s="4"/>
      <c r="D324" s="5"/>
      <c r="E324" s="5"/>
      <c r="F324" s="5"/>
      <c r="G324" s="5"/>
      <c r="H324" s="619"/>
      <c r="I324" s="619"/>
      <c r="J324" s="619"/>
      <c r="K324" s="619"/>
      <c r="L324" s="619"/>
      <c r="M324" s="619"/>
      <c r="N324" s="619"/>
      <c r="O324" s="619"/>
      <c r="P324" s="619"/>
      <c r="Q324" s="619"/>
      <c r="R324" s="619"/>
      <c r="S324" s="619"/>
      <c r="T324" s="619"/>
      <c r="U324" s="619"/>
      <c r="V324" s="619"/>
      <c r="W324" s="619"/>
      <c r="X324" s="619"/>
      <c r="Y324" s="619"/>
      <c r="Z324" s="619"/>
      <c r="AA324" s="619"/>
      <c r="AB324" s="619"/>
      <c r="AC324" s="619"/>
      <c r="AD324" s="619"/>
      <c r="AE324" s="619"/>
      <c r="AF324" s="619"/>
      <c r="AG324" s="619"/>
      <c r="AH324" s="619"/>
      <c r="AI324" s="619"/>
      <c r="AJ324" s="619"/>
      <c r="AK324" s="619"/>
      <c r="AL324" s="619"/>
      <c r="AM324" s="619"/>
      <c r="AN324" s="619"/>
      <c r="AO324" s="619"/>
      <c r="AP324" s="619"/>
      <c r="AQ324" s="619"/>
      <c r="AR324" s="619"/>
      <c r="AS324" s="619"/>
    </row>
    <row r="325" spans="1:45" ht="14.25" customHeight="1">
      <c r="A325" s="619"/>
      <c r="B325" s="619"/>
      <c r="C325" s="4"/>
      <c r="D325" s="5"/>
      <c r="E325" s="5"/>
      <c r="F325" s="5"/>
      <c r="G325" s="5"/>
      <c r="H325" s="619"/>
      <c r="I325" s="619"/>
      <c r="J325" s="619"/>
      <c r="K325" s="619"/>
      <c r="L325" s="619"/>
      <c r="M325" s="619"/>
      <c r="N325" s="619"/>
      <c r="O325" s="619"/>
      <c r="P325" s="619"/>
      <c r="Q325" s="619"/>
      <c r="R325" s="619"/>
      <c r="S325" s="619"/>
      <c r="T325" s="619"/>
      <c r="U325" s="619"/>
      <c r="V325" s="619"/>
      <c r="W325" s="619"/>
      <c r="X325" s="619"/>
      <c r="Y325" s="619"/>
      <c r="Z325" s="619"/>
      <c r="AA325" s="619"/>
      <c r="AB325" s="619"/>
      <c r="AC325" s="619"/>
      <c r="AD325" s="619"/>
      <c r="AE325" s="619"/>
      <c r="AF325" s="619"/>
      <c r="AG325" s="619"/>
      <c r="AH325" s="619"/>
      <c r="AI325" s="619"/>
      <c r="AJ325" s="619"/>
      <c r="AK325" s="619"/>
      <c r="AL325" s="619"/>
      <c r="AM325" s="619"/>
      <c r="AN325" s="619"/>
      <c r="AO325" s="619"/>
      <c r="AP325" s="619"/>
      <c r="AQ325" s="619"/>
      <c r="AR325" s="619"/>
      <c r="AS325" s="619"/>
    </row>
    <row r="326" spans="1:45" ht="14.25" customHeight="1">
      <c r="A326" s="619"/>
      <c r="B326" s="619"/>
      <c r="C326" s="4"/>
      <c r="D326" s="5"/>
      <c r="E326" s="5"/>
      <c r="F326" s="5"/>
      <c r="G326" s="5"/>
      <c r="H326" s="619"/>
      <c r="I326" s="619"/>
      <c r="J326" s="619"/>
      <c r="K326" s="619"/>
      <c r="L326" s="619"/>
      <c r="M326" s="619"/>
      <c r="N326" s="619"/>
      <c r="O326" s="619"/>
      <c r="P326" s="619"/>
      <c r="Q326" s="619"/>
      <c r="R326" s="619"/>
      <c r="S326" s="619"/>
      <c r="T326" s="619"/>
      <c r="U326" s="619"/>
      <c r="V326" s="619"/>
      <c r="W326" s="619"/>
      <c r="X326" s="619"/>
      <c r="Y326" s="619"/>
      <c r="Z326" s="619"/>
      <c r="AA326" s="619"/>
      <c r="AB326" s="619"/>
      <c r="AC326" s="619"/>
      <c r="AD326" s="619"/>
      <c r="AE326" s="619"/>
      <c r="AF326" s="619"/>
      <c r="AG326" s="619"/>
      <c r="AH326" s="619"/>
      <c r="AI326" s="619"/>
      <c r="AJ326" s="619"/>
      <c r="AK326" s="619"/>
      <c r="AL326" s="619"/>
      <c r="AM326" s="619"/>
      <c r="AN326" s="619"/>
      <c r="AO326" s="619"/>
      <c r="AP326" s="619"/>
      <c r="AQ326" s="619"/>
      <c r="AR326" s="619"/>
      <c r="AS326" s="619"/>
    </row>
    <row r="327" spans="1:45" ht="14.25" customHeight="1">
      <c r="A327" s="619"/>
      <c r="B327" s="619"/>
      <c r="C327" s="4"/>
      <c r="D327" s="5"/>
      <c r="E327" s="5"/>
      <c r="F327" s="5"/>
      <c r="G327" s="5"/>
      <c r="H327" s="619"/>
      <c r="I327" s="619"/>
      <c r="J327" s="619"/>
      <c r="K327" s="619"/>
      <c r="L327" s="619"/>
      <c r="M327" s="619"/>
      <c r="N327" s="619"/>
      <c r="O327" s="619"/>
      <c r="P327" s="619"/>
      <c r="Q327" s="619"/>
      <c r="R327" s="619"/>
      <c r="S327" s="619"/>
      <c r="T327" s="619"/>
      <c r="U327" s="619"/>
      <c r="V327" s="619"/>
      <c r="W327" s="619"/>
      <c r="X327" s="619"/>
      <c r="Y327" s="619"/>
      <c r="Z327" s="619"/>
      <c r="AA327" s="619"/>
      <c r="AB327" s="619"/>
      <c r="AC327" s="619"/>
      <c r="AD327" s="619"/>
      <c r="AE327" s="619"/>
      <c r="AF327" s="619"/>
      <c r="AG327" s="619"/>
      <c r="AH327" s="619"/>
      <c r="AI327" s="619"/>
      <c r="AJ327" s="619"/>
      <c r="AK327" s="619"/>
      <c r="AL327" s="619"/>
      <c r="AM327" s="619"/>
      <c r="AN327" s="619"/>
      <c r="AO327" s="619"/>
      <c r="AP327" s="619"/>
      <c r="AQ327" s="619"/>
      <c r="AR327" s="619"/>
      <c r="AS327" s="619"/>
    </row>
    <row r="328" spans="1:45" ht="14.25" customHeight="1">
      <c r="A328" s="619"/>
      <c r="B328" s="619"/>
      <c r="C328" s="4"/>
      <c r="D328" s="5"/>
      <c r="E328" s="5"/>
      <c r="F328" s="5"/>
      <c r="G328" s="5"/>
      <c r="H328" s="619"/>
      <c r="I328" s="619"/>
      <c r="J328" s="619"/>
      <c r="K328" s="619"/>
      <c r="L328" s="619"/>
      <c r="M328" s="619"/>
      <c r="N328" s="619"/>
      <c r="O328" s="619"/>
      <c r="P328" s="619"/>
      <c r="Q328" s="619"/>
      <c r="R328" s="619"/>
      <c r="S328" s="619"/>
      <c r="T328" s="619"/>
      <c r="U328" s="619"/>
      <c r="V328" s="619"/>
      <c r="W328" s="619"/>
      <c r="X328" s="619"/>
      <c r="Y328" s="619"/>
      <c r="Z328" s="619"/>
      <c r="AA328" s="619"/>
      <c r="AB328" s="619"/>
      <c r="AC328" s="619"/>
      <c r="AD328" s="619"/>
      <c r="AE328" s="619"/>
      <c r="AF328" s="619"/>
      <c r="AG328" s="619"/>
      <c r="AH328" s="619"/>
      <c r="AI328" s="619"/>
      <c r="AJ328" s="619"/>
      <c r="AK328" s="619"/>
      <c r="AL328" s="619"/>
      <c r="AM328" s="619"/>
      <c r="AN328" s="619"/>
      <c r="AO328" s="619"/>
      <c r="AP328" s="619"/>
      <c r="AQ328" s="619"/>
      <c r="AR328" s="619"/>
      <c r="AS328" s="619"/>
    </row>
    <row r="329" spans="1:45" ht="14.25" customHeight="1">
      <c r="A329" s="619"/>
      <c r="B329" s="619"/>
      <c r="C329" s="4"/>
      <c r="D329" s="5"/>
      <c r="E329" s="5"/>
      <c r="F329" s="5"/>
      <c r="G329" s="5"/>
      <c r="H329" s="619"/>
      <c r="I329" s="619"/>
      <c r="J329" s="619"/>
      <c r="K329" s="619"/>
      <c r="L329" s="619"/>
      <c r="M329" s="619"/>
      <c r="N329" s="619"/>
      <c r="O329" s="619"/>
      <c r="P329" s="619"/>
      <c r="Q329" s="619"/>
      <c r="R329" s="619"/>
      <c r="S329" s="619"/>
      <c r="T329" s="619"/>
      <c r="U329" s="619"/>
      <c r="V329" s="619"/>
      <c r="W329" s="619"/>
      <c r="X329" s="619"/>
      <c r="Y329" s="619"/>
      <c r="Z329" s="619"/>
      <c r="AA329" s="619"/>
      <c r="AB329" s="619"/>
      <c r="AC329" s="619"/>
      <c r="AD329" s="619"/>
      <c r="AE329" s="619"/>
      <c r="AF329" s="619"/>
      <c r="AG329" s="619"/>
      <c r="AH329" s="619"/>
      <c r="AI329" s="619"/>
      <c r="AJ329" s="619"/>
      <c r="AK329" s="619"/>
      <c r="AL329" s="619"/>
      <c r="AM329" s="619"/>
      <c r="AN329" s="619"/>
      <c r="AO329" s="619"/>
      <c r="AP329" s="619"/>
      <c r="AQ329" s="619"/>
      <c r="AR329" s="619"/>
      <c r="AS329" s="619"/>
    </row>
    <row r="330" spans="1:45" ht="14.25" customHeight="1">
      <c r="A330" s="619"/>
      <c r="B330" s="619"/>
      <c r="C330" s="4"/>
      <c r="D330" s="5"/>
      <c r="E330" s="5"/>
      <c r="F330" s="5"/>
      <c r="G330" s="5"/>
      <c r="H330" s="619"/>
      <c r="I330" s="619"/>
      <c r="J330" s="619"/>
      <c r="K330" s="619"/>
      <c r="L330" s="619"/>
      <c r="M330" s="619"/>
      <c r="N330" s="619"/>
      <c r="O330" s="619"/>
      <c r="P330" s="619"/>
      <c r="Q330" s="619"/>
      <c r="R330" s="619"/>
      <c r="S330" s="619"/>
      <c r="T330" s="619"/>
      <c r="U330" s="619"/>
      <c r="V330" s="619"/>
      <c r="W330" s="619"/>
      <c r="X330" s="619"/>
      <c r="Y330" s="619"/>
      <c r="Z330" s="619"/>
      <c r="AA330" s="619"/>
      <c r="AB330" s="619"/>
      <c r="AC330" s="619"/>
      <c r="AD330" s="619"/>
      <c r="AE330" s="619"/>
      <c r="AF330" s="619"/>
      <c r="AG330" s="619"/>
      <c r="AH330" s="619"/>
      <c r="AI330" s="619"/>
      <c r="AJ330" s="619"/>
      <c r="AK330" s="619"/>
      <c r="AL330" s="619"/>
      <c r="AM330" s="619"/>
      <c r="AN330" s="619"/>
      <c r="AO330" s="619"/>
      <c r="AP330" s="619"/>
      <c r="AQ330" s="619"/>
      <c r="AR330" s="619"/>
      <c r="AS330" s="619"/>
    </row>
    <row r="331" spans="1:45" ht="14.25" customHeight="1">
      <c r="A331" s="619"/>
      <c r="B331" s="619"/>
      <c r="C331" s="4"/>
      <c r="D331" s="5"/>
      <c r="E331" s="5"/>
      <c r="F331" s="5"/>
      <c r="G331" s="5"/>
      <c r="H331" s="619"/>
      <c r="I331" s="619"/>
      <c r="J331" s="619"/>
      <c r="K331" s="619"/>
      <c r="L331" s="619"/>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619"/>
      <c r="AM331" s="619"/>
      <c r="AN331" s="619"/>
      <c r="AO331" s="619"/>
      <c r="AP331" s="619"/>
      <c r="AQ331" s="619"/>
      <c r="AR331" s="619"/>
      <c r="AS331" s="619"/>
    </row>
    <row r="332" spans="1:45" ht="14.25" customHeight="1">
      <c r="A332" s="619"/>
      <c r="B332" s="619"/>
      <c r="C332" s="4"/>
      <c r="D332" s="5"/>
      <c r="E332" s="5"/>
      <c r="F332" s="5"/>
      <c r="G332" s="5"/>
      <c r="H332" s="619"/>
      <c r="I332" s="619"/>
      <c r="J332" s="619"/>
      <c r="K332" s="619"/>
      <c r="L332" s="619"/>
      <c r="M332" s="619"/>
      <c r="N332" s="619"/>
      <c r="O332" s="619"/>
      <c r="P332" s="619"/>
      <c r="Q332" s="619"/>
      <c r="R332" s="619"/>
      <c r="S332" s="619"/>
      <c r="T332" s="619"/>
      <c r="U332" s="619"/>
      <c r="V332" s="619"/>
      <c r="W332" s="619"/>
      <c r="X332" s="619"/>
      <c r="Y332" s="619"/>
      <c r="Z332" s="619"/>
      <c r="AA332" s="619"/>
      <c r="AB332" s="619"/>
      <c r="AC332" s="619"/>
      <c r="AD332" s="619"/>
      <c r="AE332" s="619"/>
      <c r="AF332" s="619"/>
      <c r="AG332" s="619"/>
      <c r="AH332" s="619"/>
      <c r="AI332" s="619"/>
      <c r="AJ332" s="619"/>
      <c r="AK332" s="619"/>
      <c r="AL332" s="619"/>
      <c r="AM332" s="619"/>
      <c r="AN332" s="619"/>
      <c r="AO332" s="619"/>
      <c r="AP332" s="619"/>
      <c r="AQ332" s="619"/>
      <c r="AR332" s="619"/>
      <c r="AS332" s="619"/>
    </row>
    <row r="333" spans="1:45" ht="14.25" customHeight="1">
      <c r="A333" s="619"/>
      <c r="B333" s="619"/>
      <c r="C333" s="4"/>
      <c r="D333" s="5"/>
      <c r="E333" s="5"/>
      <c r="F333" s="5"/>
      <c r="G333" s="5"/>
      <c r="H333" s="619"/>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619"/>
      <c r="AM333" s="619"/>
      <c r="AN333" s="619"/>
      <c r="AO333" s="619"/>
      <c r="AP333" s="619"/>
      <c r="AQ333" s="619"/>
      <c r="AR333" s="619"/>
      <c r="AS333" s="619"/>
    </row>
    <row r="334" spans="1:45" ht="14.25" customHeight="1">
      <c r="A334" s="619"/>
      <c r="B334" s="619"/>
      <c r="C334" s="4"/>
      <c r="D334" s="5"/>
      <c r="E334" s="5"/>
      <c r="F334" s="5"/>
      <c r="G334" s="5"/>
      <c r="H334" s="619"/>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619"/>
      <c r="AM334" s="619"/>
      <c r="AN334" s="619"/>
      <c r="AO334" s="619"/>
      <c r="AP334" s="619"/>
      <c r="AQ334" s="619"/>
      <c r="AR334" s="619"/>
      <c r="AS334" s="619"/>
    </row>
    <row r="335" spans="1:45" ht="14.25" customHeight="1">
      <c r="A335" s="619"/>
      <c r="B335" s="619"/>
      <c r="C335" s="4"/>
      <c r="D335" s="5"/>
      <c r="E335" s="5"/>
      <c r="F335" s="5"/>
      <c r="G335" s="5"/>
      <c r="H335" s="619"/>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619"/>
      <c r="AM335" s="619"/>
      <c r="AN335" s="619"/>
      <c r="AO335" s="619"/>
      <c r="AP335" s="619"/>
      <c r="AQ335" s="619"/>
      <c r="AR335" s="619"/>
      <c r="AS335" s="619"/>
    </row>
    <row r="336" spans="1:45" ht="14.25" customHeight="1">
      <c r="A336" s="619"/>
      <c r="B336" s="619"/>
      <c r="C336" s="4"/>
      <c r="D336" s="5"/>
      <c r="E336" s="5"/>
      <c r="F336" s="5"/>
      <c r="G336" s="5"/>
      <c r="H336" s="619"/>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619"/>
      <c r="AM336" s="619"/>
      <c r="AN336" s="619"/>
      <c r="AO336" s="619"/>
      <c r="AP336" s="619"/>
      <c r="AQ336" s="619"/>
      <c r="AR336" s="619"/>
      <c r="AS336" s="619"/>
    </row>
    <row r="337" spans="1:45" ht="14.25" customHeight="1">
      <c r="A337" s="619"/>
      <c r="B337" s="619"/>
      <c r="C337" s="4"/>
      <c r="D337" s="5"/>
      <c r="E337" s="5"/>
      <c r="F337" s="5"/>
      <c r="G337" s="5"/>
      <c r="H337" s="619"/>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619"/>
      <c r="AM337" s="619"/>
      <c r="AN337" s="619"/>
      <c r="AO337" s="619"/>
      <c r="AP337" s="619"/>
      <c r="AQ337" s="619"/>
      <c r="AR337" s="619"/>
      <c r="AS337" s="619"/>
    </row>
    <row r="338" spans="1:45" ht="14.25" customHeight="1">
      <c r="A338" s="619"/>
      <c r="B338" s="619"/>
      <c r="C338" s="4"/>
      <c r="D338" s="5"/>
      <c r="E338" s="5"/>
      <c r="F338" s="5"/>
      <c r="G338" s="5"/>
      <c r="H338" s="619"/>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619"/>
      <c r="AM338" s="619"/>
      <c r="AN338" s="619"/>
      <c r="AO338" s="619"/>
      <c r="AP338" s="619"/>
      <c r="AQ338" s="619"/>
      <c r="AR338" s="619"/>
      <c r="AS338" s="619"/>
    </row>
    <row r="339" spans="1:45" ht="14.25" customHeight="1">
      <c r="A339" s="619"/>
      <c r="B339" s="619"/>
      <c r="C339" s="4"/>
      <c r="D339" s="5"/>
      <c r="E339" s="5"/>
      <c r="F339" s="5"/>
      <c r="G339" s="5"/>
      <c r="H339" s="619"/>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619"/>
      <c r="AM339" s="619"/>
      <c r="AN339" s="619"/>
      <c r="AO339" s="619"/>
      <c r="AP339" s="619"/>
      <c r="AQ339" s="619"/>
      <c r="AR339" s="619"/>
      <c r="AS339" s="619"/>
    </row>
    <row r="340" spans="1:45" ht="14.25" customHeight="1">
      <c r="A340" s="619"/>
      <c r="B340" s="619"/>
      <c r="C340" s="4"/>
      <c r="D340" s="5"/>
      <c r="E340" s="5"/>
      <c r="F340" s="5"/>
      <c r="G340" s="5"/>
      <c r="H340" s="619"/>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619"/>
      <c r="AM340" s="619"/>
      <c r="AN340" s="619"/>
      <c r="AO340" s="619"/>
      <c r="AP340" s="619"/>
      <c r="AQ340" s="619"/>
      <c r="AR340" s="619"/>
      <c r="AS340" s="619"/>
    </row>
    <row r="341" spans="1:45" ht="14.25" customHeight="1">
      <c r="A341" s="619"/>
      <c r="B341" s="619"/>
      <c r="C341" s="4"/>
      <c r="D341" s="5"/>
      <c r="E341" s="5"/>
      <c r="F341" s="5"/>
      <c r="G341" s="5"/>
      <c r="H341" s="619"/>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619"/>
      <c r="AM341" s="619"/>
      <c r="AN341" s="619"/>
      <c r="AO341" s="619"/>
      <c r="AP341" s="619"/>
      <c r="AQ341" s="619"/>
      <c r="AR341" s="619"/>
      <c r="AS341" s="619"/>
    </row>
    <row r="342" spans="1:45" ht="14.25" customHeight="1">
      <c r="A342" s="619"/>
      <c r="B342" s="619"/>
      <c r="C342" s="4"/>
      <c r="D342" s="5"/>
      <c r="E342" s="5"/>
      <c r="F342" s="5"/>
      <c r="G342" s="5"/>
      <c r="H342" s="619"/>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619"/>
      <c r="AM342" s="619"/>
      <c r="AN342" s="619"/>
      <c r="AO342" s="619"/>
      <c r="AP342" s="619"/>
      <c r="AQ342" s="619"/>
      <c r="AR342" s="619"/>
      <c r="AS342" s="619"/>
    </row>
    <row r="343" spans="1:45" ht="14.25" customHeight="1">
      <c r="A343" s="619"/>
      <c r="B343" s="619"/>
      <c r="C343" s="4"/>
      <c r="D343" s="5"/>
      <c r="E343" s="5"/>
      <c r="F343" s="5"/>
      <c r="G343" s="5"/>
      <c r="H343" s="619"/>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619"/>
      <c r="AM343" s="619"/>
      <c r="AN343" s="619"/>
      <c r="AO343" s="619"/>
      <c r="AP343" s="619"/>
      <c r="AQ343" s="619"/>
      <c r="AR343" s="619"/>
      <c r="AS343" s="619"/>
    </row>
    <row r="344" spans="1:45" ht="14.25" customHeight="1">
      <c r="A344" s="619"/>
      <c r="B344" s="619"/>
      <c r="C344" s="4"/>
      <c r="D344" s="5"/>
      <c r="E344" s="5"/>
      <c r="F344" s="5"/>
      <c r="G344" s="5"/>
      <c r="H344" s="619"/>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619"/>
      <c r="AM344" s="619"/>
      <c r="AN344" s="619"/>
      <c r="AO344" s="619"/>
      <c r="AP344" s="619"/>
      <c r="AQ344" s="619"/>
      <c r="AR344" s="619"/>
      <c r="AS344" s="619"/>
    </row>
    <row r="345" spans="1:45" ht="14.25" customHeight="1">
      <c r="A345" s="619"/>
      <c r="B345" s="619"/>
      <c r="C345" s="4"/>
      <c r="D345" s="5"/>
      <c r="E345" s="5"/>
      <c r="F345" s="5"/>
      <c r="G345" s="5"/>
      <c r="H345" s="619"/>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619"/>
      <c r="AM345" s="619"/>
      <c r="AN345" s="619"/>
      <c r="AO345" s="619"/>
      <c r="AP345" s="619"/>
      <c r="AQ345" s="619"/>
      <c r="AR345" s="619"/>
      <c r="AS345" s="619"/>
    </row>
    <row r="346" spans="1:45" ht="14.25" customHeight="1">
      <c r="A346" s="619"/>
      <c r="B346" s="619"/>
      <c r="C346" s="4"/>
      <c r="D346" s="5"/>
      <c r="E346" s="5"/>
      <c r="F346" s="5"/>
      <c r="G346" s="5"/>
      <c r="H346" s="619"/>
      <c r="I346" s="619"/>
      <c r="J346" s="619"/>
      <c r="K346" s="619"/>
      <c r="L346" s="619"/>
      <c r="M346" s="619"/>
      <c r="N346" s="619"/>
      <c r="O346" s="619"/>
      <c r="P346" s="619"/>
      <c r="Q346" s="619"/>
      <c r="R346" s="619"/>
      <c r="S346" s="619"/>
      <c r="T346" s="619"/>
      <c r="U346" s="619"/>
      <c r="V346" s="619"/>
      <c r="W346" s="619"/>
      <c r="X346" s="619"/>
      <c r="Y346" s="619"/>
      <c r="Z346" s="619"/>
      <c r="AA346" s="619"/>
      <c r="AB346" s="619"/>
      <c r="AC346" s="619"/>
      <c r="AD346" s="619"/>
      <c r="AE346" s="619"/>
      <c r="AF346" s="619"/>
      <c r="AG346" s="619"/>
      <c r="AH346" s="619"/>
      <c r="AI346" s="619"/>
      <c r="AJ346" s="619"/>
      <c r="AK346" s="619"/>
      <c r="AL346" s="619"/>
      <c r="AM346" s="619"/>
      <c r="AN346" s="619"/>
      <c r="AO346" s="619"/>
      <c r="AP346" s="619"/>
      <c r="AQ346" s="619"/>
      <c r="AR346" s="619"/>
      <c r="AS346" s="619"/>
    </row>
    <row r="347" spans="1:45" ht="14.25" customHeight="1">
      <c r="A347" s="619"/>
      <c r="B347" s="619"/>
      <c r="C347" s="4"/>
      <c r="D347" s="5"/>
      <c r="E347" s="5"/>
      <c r="F347" s="5"/>
      <c r="G347" s="5"/>
      <c r="H347" s="619"/>
      <c r="I347" s="619"/>
      <c r="J347" s="619"/>
      <c r="K347" s="619"/>
      <c r="L347" s="619"/>
      <c r="M347" s="619"/>
      <c r="N347" s="619"/>
      <c r="O347" s="619"/>
      <c r="P347" s="619"/>
      <c r="Q347" s="619"/>
      <c r="R347" s="619"/>
      <c r="S347" s="619"/>
      <c r="T347" s="619"/>
      <c r="U347" s="619"/>
      <c r="V347" s="619"/>
      <c r="W347" s="619"/>
      <c r="X347" s="619"/>
      <c r="Y347" s="619"/>
      <c r="Z347" s="619"/>
      <c r="AA347" s="619"/>
      <c r="AB347" s="619"/>
      <c r="AC347" s="619"/>
      <c r="AD347" s="619"/>
      <c r="AE347" s="619"/>
      <c r="AF347" s="619"/>
      <c r="AG347" s="619"/>
      <c r="AH347" s="619"/>
      <c r="AI347" s="619"/>
      <c r="AJ347" s="619"/>
      <c r="AK347" s="619"/>
      <c r="AL347" s="619"/>
      <c r="AM347" s="619"/>
      <c r="AN347" s="619"/>
      <c r="AO347" s="619"/>
      <c r="AP347" s="619"/>
      <c r="AQ347" s="619"/>
      <c r="AR347" s="619"/>
      <c r="AS347" s="619"/>
    </row>
    <row r="348" spans="1:45" ht="14.25" customHeight="1">
      <c r="A348" s="619"/>
      <c r="B348" s="619"/>
      <c r="C348" s="4"/>
      <c r="D348" s="5"/>
      <c r="E348" s="5"/>
      <c r="F348" s="5"/>
      <c r="G348" s="5"/>
      <c r="H348" s="619"/>
      <c r="I348" s="619"/>
      <c r="J348" s="619"/>
      <c r="K348" s="619"/>
      <c r="L348" s="619"/>
      <c r="M348" s="619"/>
      <c r="N348" s="619"/>
      <c r="O348" s="619"/>
      <c r="P348" s="619"/>
      <c r="Q348" s="619"/>
      <c r="R348" s="619"/>
      <c r="S348" s="619"/>
      <c r="T348" s="619"/>
      <c r="U348" s="619"/>
      <c r="V348" s="619"/>
      <c r="W348" s="619"/>
      <c r="X348" s="619"/>
      <c r="Y348" s="619"/>
      <c r="Z348" s="619"/>
      <c r="AA348" s="619"/>
      <c r="AB348" s="619"/>
      <c r="AC348" s="619"/>
      <c r="AD348" s="619"/>
      <c r="AE348" s="619"/>
      <c r="AF348" s="619"/>
      <c r="AG348" s="619"/>
      <c r="AH348" s="619"/>
      <c r="AI348" s="619"/>
      <c r="AJ348" s="619"/>
      <c r="AK348" s="619"/>
      <c r="AL348" s="619"/>
      <c r="AM348" s="619"/>
      <c r="AN348" s="619"/>
      <c r="AO348" s="619"/>
      <c r="AP348" s="619"/>
      <c r="AQ348" s="619"/>
      <c r="AR348" s="619"/>
      <c r="AS348" s="619"/>
    </row>
    <row r="349" spans="1:45" ht="14.25" customHeight="1">
      <c r="A349" s="619"/>
      <c r="B349" s="619"/>
      <c r="C349" s="4"/>
      <c r="D349" s="5"/>
      <c r="E349" s="5"/>
      <c r="F349" s="5"/>
      <c r="G349" s="5"/>
      <c r="H349" s="619"/>
      <c r="I349" s="619"/>
      <c r="J349" s="619"/>
      <c r="K349" s="619"/>
      <c r="L349" s="619"/>
      <c r="M349" s="619"/>
      <c r="N349" s="619"/>
      <c r="O349" s="619"/>
      <c r="P349" s="619"/>
      <c r="Q349" s="619"/>
      <c r="R349" s="619"/>
      <c r="S349" s="619"/>
      <c r="T349" s="619"/>
      <c r="U349" s="619"/>
      <c r="V349" s="619"/>
      <c r="W349" s="619"/>
      <c r="X349" s="619"/>
      <c r="Y349" s="619"/>
      <c r="Z349" s="619"/>
      <c r="AA349" s="619"/>
      <c r="AB349" s="619"/>
      <c r="AC349" s="619"/>
      <c r="AD349" s="619"/>
      <c r="AE349" s="619"/>
      <c r="AF349" s="619"/>
      <c r="AG349" s="619"/>
      <c r="AH349" s="619"/>
      <c r="AI349" s="619"/>
      <c r="AJ349" s="619"/>
      <c r="AK349" s="619"/>
      <c r="AL349" s="619"/>
      <c r="AM349" s="619"/>
      <c r="AN349" s="619"/>
      <c r="AO349" s="619"/>
      <c r="AP349" s="619"/>
      <c r="AQ349" s="619"/>
      <c r="AR349" s="619"/>
      <c r="AS349" s="619"/>
    </row>
    <row r="350" spans="1:45" ht="14.25" customHeight="1">
      <c r="A350" s="619"/>
      <c r="B350" s="619"/>
      <c r="C350" s="4"/>
      <c r="D350" s="5"/>
      <c r="E350" s="5"/>
      <c r="F350" s="5"/>
      <c r="G350" s="5"/>
      <c r="H350" s="619"/>
      <c r="I350" s="619"/>
      <c r="J350" s="619"/>
      <c r="K350" s="619"/>
      <c r="L350" s="619"/>
      <c r="M350" s="619"/>
      <c r="N350" s="619"/>
      <c r="O350" s="619"/>
      <c r="P350" s="619"/>
      <c r="Q350" s="619"/>
      <c r="R350" s="619"/>
      <c r="S350" s="619"/>
      <c r="T350" s="619"/>
      <c r="U350" s="619"/>
      <c r="V350" s="619"/>
      <c r="W350" s="619"/>
      <c r="X350" s="619"/>
      <c r="Y350" s="619"/>
      <c r="Z350" s="619"/>
      <c r="AA350" s="619"/>
      <c r="AB350" s="619"/>
      <c r="AC350" s="619"/>
      <c r="AD350" s="619"/>
      <c r="AE350" s="619"/>
      <c r="AF350" s="619"/>
      <c r="AG350" s="619"/>
      <c r="AH350" s="619"/>
      <c r="AI350" s="619"/>
      <c r="AJ350" s="619"/>
      <c r="AK350" s="619"/>
      <c r="AL350" s="619"/>
      <c r="AM350" s="619"/>
      <c r="AN350" s="619"/>
      <c r="AO350" s="619"/>
      <c r="AP350" s="619"/>
      <c r="AQ350" s="619"/>
      <c r="AR350" s="619"/>
      <c r="AS350" s="619"/>
    </row>
    <row r="351" spans="1:45" ht="14.25" customHeight="1">
      <c r="A351" s="619"/>
      <c r="B351" s="619"/>
      <c r="C351" s="4"/>
      <c r="D351" s="5"/>
      <c r="E351" s="5"/>
      <c r="F351" s="5"/>
      <c r="G351" s="5"/>
      <c r="H351" s="619"/>
      <c r="I351" s="619"/>
      <c r="J351" s="619"/>
      <c r="K351" s="619"/>
      <c r="L351" s="619"/>
      <c r="M351" s="619"/>
      <c r="N351" s="619"/>
      <c r="O351" s="619"/>
      <c r="P351" s="619"/>
      <c r="Q351" s="619"/>
      <c r="R351" s="619"/>
      <c r="S351" s="619"/>
      <c r="T351" s="619"/>
      <c r="U351" s="619"/>
      <c r="V351" s="619"/>
      <c r="W351" s="619"/>
      <c r="X351" s="619"/>
      <c r="Y351" s="619"/>
      <c r="Z351" s="619"/>
      <c r="AA351" s="619"/>
      <c r="AB351" s="619"/>
      <c r="AC351" s="619"/>
      <c r="AD351" s="619"/>
      <c r="AE351" s="619"/>
      <c r="AF351" s="619"/>
      <c r="AG351" s="619"/>
      <c r="AH351" s="619"/>
      <c r="AI351" s="619"/>
      <c r="AJ351" s="619"/>
      <c r="AK351" s="619"/>
      <c r="AL351" s="619"/>
      <c r="AM351" s="619"/>
      <c r="AN351" s="619"/>
      <c r="AO351" s="619"/>
      <c r="AP351" s="619"/>
      <c r="AQ351" s="619"/>
      <c r="AR351" s="619"/>
      <c r="AS351" s="619"/>
    </row>
    <row r="352" spans="1:45" ht="14.25" customHeight="1">
      <c r="A352" s="619"/>
      <c r="B352" s="619"/>
      <c r="C352" s="4"/>
      <c r="D352" s="5"/>
      <c r="E352" s="5"/>
      <c r="F352" s="5"/>
      <c r="G352" s="5"/>
      <c r="H352" s="619"/>
      <c r="I352" s="619"/>
      <c r="J352" s="619"/>
      <c r="K352" s="619"/>
      <c r="L352" s="619"/>
      <c r="M352" s="619"/>
      <c r="N352" s="619"/>
      <c r="O352" s="619"/>
      <c r="P352" s="619"/>
      <c r="Q352" s="619"/>
      <c r="R352" s="619"/>
      <c r="S352" s="619"/>
      <c r="T352" s="619"/>
      <c r="U352" s="619"/>
      <c r="V352" s="619"/>
      <c r="W352" s="619"/>
      <c r="X352" s="619"/>
      <c r="Y352" s="619"/>
      <c r="Z352" s="619"/>
      <c r="AA352" s="619"/>
      <c r="AB352" s="619"/>
      <c r="AC352" s="619"/>
      <c r="AD352" s="619"/>
      <c r="AE352" s="619"/>
      <c r="AF352" s="619"/>
      <c r="AG352" s="619"/>
      <c r="AH352" s="619"/>
      <c r="AI352" s="619"/>
      <c r="AJ352" s="619"/>
      <c r="AK352" s="619"/>
      <c r="AL352" s="619"/>
      <c r="AM352" s="619"/>
      <c r="AN352" s="619"/>
      <c r="AO352" s="619"/>
      <c r="AP352" s="619"/>
      <c r="AQ352" s="619"/>
      <c r="AR352" s="619"/>
      <c r="AS352" s="619"/>
    </row>
    <row r="353" spans="1:45" ht="14.25" customHeight="1">
      <c r="A353" s="619"/>
      <c r="B353" s="619"/>
      <c r="C353" s="4"/>
      <c r="D353" s="5"/>
      <c r="E353" s="5"/>
      <c r="F353" s="5"/>
      <c r="G353" s="5"/>
      <c r="H353" s="619"/>
      <c r="I353" s="619"/>
      <c r="J353" s="619"/>
      <c r="K353" s="619"/>
      <c r="L353" s="619"/>
      <c r="M353" s="619"/>
      <c r="N353" s="619"/>
      <c r="O353" s="619"/>
      <c r="P353" s="619"/>
      <c r="Q353" s="619"/>
      <c r="R353" s="619"/>
      <c r="S353" s="619"/>
      <c r="T353" s="619"/>
      <c r="U353" s="619"/>
      <c r="V353" s="619"/>
      <c r="W353" s="619"/>
      <c r="X353" s="619"/>
      <c r="Y353" s="619"/>
      <c r="Z353" s="619"/>
      <c r="AA353" s="619"/>
      <c r="AB353" s="619"/>
      <c r="AC353" s="619"/>
      <c r="AD353" s="619"/>
      <c r="AE353" s="619"/>
      <c r="AF353" s="619"/>
      <c r="AG353" s="619"/>
      <c r="AH353" s="619"/>
      <c r="AI353" s="619"/>
      <c r="AJ353" s="619"/>
      <c r="AK353" s="3"/>
      <c r="AL353" s="1"/>
      <c r="AM353" s="8"/>
      <c r="AN353" s="8"/>
      <c r="AO353" s="8"/>
      <c r="AP353" s="8"/>
      <c r="AQ353" s="8"/>
      <c r="AR353" s="8"/>
      <c r="AS353" s="8"/>
    </row>
    <row r="354" spans="1:45" ht="14.25" customHeight="1">
      <c r="A354" s="619"/>
      <c r="B354" s="619"/>
      <c r="C354" s="4"/>
      <c r="D354" s="5"/>
      <c r="E354" s="5"/>
      <c r="F354" s="5"/>
      <c r="G354" s="5"/>
      <c r="H354" s="619"/>
      <c r="I354" s="619"/>
      <c r="J354" s="619"/>
      <c r="K354" s="619"/>
      <c r="L354" s="619"/>
      <c r="M354" s="619"/>
      <c r="N354" s="619"/>
      <c r="O354" s="619"/>
      <c r="P354" s="619"/>
      <c r="Q354" s="619"/>
      <c r="R354" s="619"/>
      <c r="S354" s="619"/>
      <c r="T354" s="619"/>
      <c r="U354" s="619"/>
      <c r="V354" s="619"/>
      <c r="W354" s="619"/>
      <c r="X354" s="619"/>
      <c r="Y354" s="619"/>
      <c r="Z354" s="619"/>
      <c r="AA354" s="619"/>
      <c r="AB354" s="619"/>
      <c r="AC354" s="619"/>
      <c r="AD354" s="619"/>
      <c r="AE354" s="619"/>
      <c r="AF354" s="619"/>
      <c r="AG354" s="619"/>
      <c r="AH354" s="619"/>
      <c r="AI354" s="619"/>
      <c r="AJ354" s="619"/>
      <c r="AK354" s="3"/>
      <c r="AL354" s="1"/>
      <c r="AM354" s="8"/>
      <c r="AN354" s="8"/>
      <c r="AO354" s="8"/>
      <c r="AP354" s="8"/>
      <c r="AQ354" s="8"/>
      <c r="AR354" s="8"/>
      <c r="AS354" s="8"/>
    </row>
    <row r="355" spans="1:45" ht="14.25" customHeight="1">
      <c r="A355" s="619"/>
      <c r="B355" s="619"/>
      <c r="C355" s="4"/>
      <c r="D355" s="5"/>
      <c r="E355" s="5"/>
      <c r="F355" s="5"/>
      <c r="G355" s="5"/>
      <c r="H355" s="619"/>
      <c r="I355" s="619"/>
      <c r="J355" s="619"/>
      <c r="K355" s="619"/>
      <c r="L355" s="619"/>
      <c r="M355" s="619"/>
      <c r="N355" s="619"/>
      <c r="O355" s="619"/>
      <c r="P355" s="619"/>
      <c r="Q355" s="619"/>
      <c r="R355" s="619"/>
      <c r="S355" s="619"/>
      <c r="T355" s="619"/>
      <c r="U355" s="619"/>
      <c r="V355" s="619"/>
      <c r="W355" s="619"/>
      <c r="X355" s="619"/>
      <c r="Y355" s="619"/>
      <c r="Z355" s="619"/>
      <c r="AA355" s="619"/>
      <c r="AB355" s="619"/>
      <c r="AC355" s="619"/>
      <c r="AD355" s="619"/>
      <c r="AE355" s="619"/>
      <c r="AF355" s="619"/>
      <c r="AG355" s="619"/>
      <c r="AH355" s="619"/>
      <c r="AI355" s="619"/>
      <c r="AJ355" s="619"/>
      <c r="AK355" s="3"/>
      <c r="AL355" s="1"/>
      <c r="AM355" s="8"/>
      <c r="AN355" s="8"/>
      <c r="AO355" s="8"/>
      <c r="AP355" s="8"/>
      <c r="AQ355" s="8"/>
      <c r="AR355" s="8"/>
      <c r="AS355" s="8"/>
    </row>
    <row r="356" spans="1:45" ht="14.25" customHeight="1">
      <c r="A356" s="619"/>
      <c r="B356" s="619"/>
      <c r="C356" s="4"/>
      <c r="D356" s="5"/>
      <c r="E356" s="5"/>
      <c r="F356" s="5"/>
      <c r="G356" s="5"/>
      <c r="H356" s="619"/>
      <c r="I356" s="619"/>
      <c r="J356" s="619"/>
      <c r="K356" s="619"/>
      <c r="L356" s="619"/>
      <c r="M356" s="619"/>
      <c r="N356" s="619"/>
      <c r="O356" s="619"/>
      <c r="P356" s="619"/>
      <c r="Q356" s="619"/>
      <c r="R356" s="619"/>
      <c r="S356" s="619"/>
      <c r="T356" s="619"/>
      <c r="U356" s="619"/>
      <c r="V356" s="619"/>
      <c r="W356" s="619"/>
      <c r="X356" s="619"/>
      <c r="Y356" s="619"/>
      <c r="Z356" s="619"/>
      <c r="AA356" s="619"/>
      <c r="AB356" s="619"/>
      <c r="AC356" s="619"/>
      <c r="AD356" s="619"/>
      <c r="AE356" s="619"/>
      <c r="AF356" s="619"/>
      <c r="AG356" s="619"/>
      <c r="AH356" s="619"/>
      <c r="AI356" s="619"/>
      <c r="AJ356" s="619"/>
      <c r="AK356" s="3"/>
      <c r="AL356" s="1"/>
      <c r="AM356" s="8"/>
      <c r="AN356" s="8"/>
      <c r="AO356" s="8"/>
      <c r="AP356" s="8"/>
      <c r="AQ356" s="8"/>
      <c r="AR356" s="8"/>
      <c r="AS356" s="8"/>
    </row>
    <row r="357" spans="1:45" ht="14.25" customHeight="1">
      <c r="A357" s="619"/>
      <c r="B357" s="619"/>
      <c r="C357" s="4"/>
      <c r="D357" s="5"/>
      <c r="E357" s="5"/>
      <c r="F357" s="5"/>
      <c r="G357" s="5"/>
      <c r="H357" s="619"/>
      <c r="I357" s="619"/>
      <c r="J357" s="619"/>
      <c r="K357" s="619"/>
      <c r="L357" s="619"/>
      <c r="M357" s="619"/>
      <c r="N357" s="619"/>
      <c r="O357" s="619"/>
      <c r="P357" s="619"/>
      <c r="Q357" s="619"/>
      <c r="R357" s="619"/>
      <c r="S357" s="619"/>
      <c r="T357" s="619"/>
      <c r="U357" s="619"/>
      <c r="V357" s="619"/>
      <c r="W357" s="619"/>
      <c r="X357" s="619"/>
      <c r="Y357" s="619"/>
      <c r="Z357" s="619"/>
      <c r="AA357" s="619"/>
      <c r="AB357" s="619"/>
      <c r="AC357" s="619"/>
      <c r="AD357" s="619"/>
      <c r="AE357" s="619"/>
      <c r="AF357" s="619"/>
      <c r="AG357" s="619"/>
      <c r="AH357" s="619"/>
      <c r="AI357" s="619"/>
      <c r="AJ357" s="619"/>
      <c r="AK357" s="3"/>
      <c r="AL357" s="1"/>
      <c r="AM357" s="8"/>
      <c r="AN357" s="8"/>
      <c r="AO357" s="8"/>
      <c r="AP357" s="8"/>
      <c r="AQ357" s="8"/>
      <c r="AR357" s="8"/>
      <c r="AS357" s="8"/>
    </row>
    <row r="358" spans="1:45" ht="14.25" customHeight="1">
      <c r="A358" s="619"/>
      <c r="B358" s="619"/>
      <c r="C358" s="4"/>
      <c r="D358" s="5"/>
      <c r="E358" s="5"/>
      <c r="F358" s="5"/>
      <c r="G358" s="5"/>
      <c r="H358" s="619"/>
      <c r="I358" s="619"/>
      <c r="J358" s="619"/>
      <c r="K358" s="619"/>
      <c r="L358" s="619"/>
      <c r="M358" s="619"/>
      <c r="N358" s="619"/>
      <c r="O358" s="619"/>
      <c r="P358" s="619"/>
      <c r="Q358" s="619"/>
      <c r="R358" s="619"/>
      <c r="S358" s="619"/>
      <c r="T358" s="619"/>
      <c r="U358" s="619"/>
      <c r="V358" s="619"/>
      <c r="W358" s="619"/>
      <c r="X358" s="619"/>
      <c r="Y358" s="619"/>
      <c r="Z358" s="619"/>
      <c r="AA358" s="619"/>
      <c r="AB358" s="619"/>
      <c r="AC358" s="619"/>
      <c r="AD358" s="619"/>
      <c r="AE358" s="619"/>
      <c r="AF358" s="619"/>
      <c r="AG358" s="619"/>
      <c r="AH358" s="619"/>
      <c r="AI358" s="619"/>
      <c r="AJ358" s="619"/>
      <c r="AK358" s="3"/>
      <c r="AL358" s="1"/>
      <c r="AM358" s="8"/>
      <c r="AN358" s="8"/>
      <c r="AO358" s="8"/>
      <c r="AP358" s="8"/>
      <c r="AQ358" s="8"/>
      <c r="AR358" s="8"/>
      <c r="AS358" s="8"/>
    </row>
    <row r="359" spans="1:45" ht="14.25" customHeight="1">
      <c r="A359" s="619"/>
      <c r="B359" s="619"/>
      <c r="C359" s="4"/>
      <c r="D359" s="5"/>
      <c r="E359" s="5"/>
      <c r="F359" s="5"/>
      <c r="G359" s="5"/>
      <c r="H359" s="619"/>
      <c r="I359" s="619"/>
      <c r="J359" s="619"/>
      <c r="K359" s="619"/>
      <c r="L359" s="619"/>
      <c r="M359" s="619"/>
      <c r="N359" s="619"/>
      <c r="O359" s="619"/>
      <c r="P359" s="619"/>
      <c r="Q359" s="619"/>
      <c r="R359" s="619"/>
      <c r="S359" s="619"/>
      <c r="T359" s="619"/>
      <c r="U359" s="619"/>
      <c r="V359" s="619"/>
      <c r="W359" s="619"/>
      <c r="X359" s="619"/>
      <c r="Y359" s="619"/>
      <c r="Z359" s="619"/>
      <c r="AA359" s="619"/>
      <c r="AB359" s="619"/>
      <c r="AC359" s="619"/>
      <c r="AD359" s="619"/>
      <c r="AE359" s="619"/>
      <c r="AF359" s="619"/>
      <c r="AG359" s="619"/>
      <c r="AH359" s="619"/>
      <c r="AI359" s="619"/>
      <c r="AJ359" s="619"/>
      <c r="AK359" s="3"/>
      <c r="AL359" s="1"/>
      <c r="AM359" s="8"/>
      <c r="AN359" s="8"/>
      <c r="AO359" s="8"/>
      <c r="AP359" s="8"/>
      <c r="AQ359" s="8"/>
      <c r="AR359" s="8"/>
      <c r="AS359" s="8"/>
    </row>
    <row r="360" spans="1:45" ht="14.25" customHeight="1">
      <c r="A360" s="619"/>
      <c r="B360" s="619"/>
      <c r="C360" s="4"/>
      <c r="D360" s="5"/>
      <c r="E360" s="5"/>
      <c r="F360" s="5"/>
      <c r="G360" s="5"/>
      <c r="H360" s="619"/>
      <c r="I360" s="619"/>
      <c r="J360" s="619"/>
      <c r="K360" s="619"/>
      <c r="L360" s="619"/>
      <c r="M360" s="619"/>
      <c r="N360" s="619"/>
      <c r="O360" s="619"/>
      <c r="P360" s="619"/>
      <c r="Q360" s="619"/>
      <c r="R360" s="619"/>
      <c r="S360" s="619"/>
      <c r="T360" s="619"/>
      <c r="U360" s="619"/>
      <c r="V360" s="619"/>
      <c r="W360" s="619"/>
      <c r="X360" s="619"/>
      <c r="Y360" s="619"/>
      <c r="Z360" s="619"/>
      <c r="AA360" s="619"/>
      <c r="AB360" s="619"/>
      <c r="AC360" s="619"/>
      <c r="AD360" s="619"/>
      <c r="AE360" s="619"/>
      <c r="AF360" s="619"/>
      <c r="AG360" s="619"/>
      <c r="AH360" s="619"/>
      <c r="AI360" s="619"/>
      <c r="AJ360" s="619"/>
      <c r="AK360" s="3"/>
      <c r="AL360" s="1"/>
      <c r="AM360" s="8"/>
      <c r="AN360" s="8"/>
      <c r="AO360" s="8"/>
      <c r="AP360" s="8"/>
      <c r="AQ360" s="8"/>
      <c r="AR360" s="8"/>
      <c r="AS360" s="8"/>
    </row>
    <row r="361" spans="1:45" ht="14.25" customHeight="1">
      <c r="A361" s="619"/>
      <c r="B361" s="619"/>
      <c r="C361" s="4"/>
      <c r="D361" s="5"/>
      <c r="E361" s="5"/>
      <c r="F361" s="5"/>
      <c r="G361" s="5"/>
      <c r="H361" s="619"/>
      <c r="I361" s="619"/>
      <c r="J361" s="619"/>
      <c r="K361" s="619"/>
      <c r="L361" s="619"/>
      <c r="M361" s="619"/>
      <c r="N361" s="619"/>
      <c r="O361" s="619"/>
      <c r="P361" s="619"/>
      <c r="Q361" s="619"/>
      <c r="R361" s="619"/>
      <c r="S361" s="619"/>
      <c r="T361" s="619"/>
      <c r="U361" s="619"/>
      <c r="V361" s="619"/>
      <c r="W361" s="619"/>
      <c r="X361" s="619"/>
      <c r="Y361" s="619"/>
      <c r="Z361" s="619"/>
      <c r="AA361" s="619"/>
      <c r="AB361" s="619"/>
      <c r="AC361" s="619"/>
      <c r="AD361" s="619"/>
      <c r="AE361" s="619"/>
      <c r="AF361" s="619"/>
      <c r="AG361" s="619"/>
      <c r="AH361" s="619"/>
      <c r="AI361" s="619"/>
      <c r="AJ361" s="619"/>
      <c r="AK361" s="3"/>
      <c r="AL361" s="1"/>
      <c r="AM361" s="8"/>
      <c r="AN361" s="8"/>
      <c r="AO361" s="8"/>
      <c r="AP361" s="8"/>
      <c r="AQ361" s="8"/>
      <c r="AR361" s="8"/>
      <c r="AS361" s="8"/>
    </row>
    <row r="362" spans="1:45" ht="14.25" customHeight="1">
      <c r="A362" s="619"/>
      <c r="B362" s="619"/>
      <c r="C362" s="4"/>
      <c r="D362" s="5"/>
      <c r="E362" s="5"/>
      <c r="F362" s="5"/>
      <c r="G362" s="5"/>
      <c r="H362" s="619"/>
      <c r="I362" s="619"/>
      <c r="J362" s="619"/>
      <c r="K362" s="619"/>
      <c r="L362" s="619"/>
      <c r="M362" s="619"/>
      <c r="N362" s="619"/>
      <c r="O362" s="619"/>
      <c r="P362" s="619"/>
      <c r="Q362" s="619"/>
      <c r="R362" s="619"/>
      <c r="S362" s="619"/>
      <c r="T362" s="619"/>
      <c r="U362" s="619"/>
      <c r="V362" s="619"/>
      <c r="W362" s="619"/>
      <c r="X362" s="619"/>
      <c r="Y362" s="619"/>
      <c r="Z362" s="619"/>
      <c r="AA362" s="619"/>
      <c r="AB362" s="619"/>
      <c r="AC362" s="619"/>
      <c r="AD362" s="619"/>
      <c r="AE362" s="619"/>
      <c r="AF362" s="619"/>
      <c r="AG362" s="619"/>
      <c r="AH362" s="619"/>
      <c r="AI362" s="619"/>
      <c r="AJ362" s="619"/>
      <c r="AK362" s="3"/>
      <c r="AL362" s="1"/>
      <c r="AM362" s="8"/>
      <c r="AN362" s="8"/>
      <c r="AO362" s="8"/>
      <c r="AP362" s="8"/>
      <c r="AQ362" s="8"/>
      <c r="AR362" s="8"/>
      <c r="AS362" s="8"/>
    </row>
    <row r="363" spans="1:45" ht="14.25" customHeight="1">
      <c r="A363" s="619"/>
      <c r="B363" s="619"/>
      <c r="C363" s="4"/>
      <c r="D363" s="5"/>
      <c r="E363" s="5"/>
      <c r="F363" s="5"/>
      <c r="G363" s="5"/>
      <c r="H363" s="619"/>
      <c r="I363" s="619"/>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c r="AH363" s="619"/>
      <c r="AI363" s="619"/>
      <c r="AJ363" s="619"/>
      <c r="AK363" s="3"/>
      <c r="AL363" s="1"/>
      <c r="AM363" s="8"/>
      <c r="AN363" s="8"/>
      <c r="AO363" s="8"/>
      <c r="AP363" s="8"/>
      <c r="AQ363" s="8"/>
      <c r="AR363" s="8"/>
      <c r="AS363" s="8"/>
    </row>
    <row r="364" spans="1:45" ht="14.25" customHeight="1">
      <c r="A364" s="619"/>
      <c r="B364" s="619"/>
      <c r="C364" s="4"/>
      <c r="D364" s="5"/>
      <c r="E364" s="5"/>
      <c r="F364" s="5"/>
      <c r="G364" s="5"/>
      <c r="H364" s="619"/>
      <c r="I364" s="619"/>
      <c r="J364" s="619"/>
      <c r="K364" s="619"/>
      <c r="L364" s="619"/>
      <c r="M364" s="619"/>
      <c r="N364" s="619"/>
      <c r="O364" s="619"/>
      <c r="P364" s="619"/>
      <c r="Q364" s="619"/>
      <c r="R364" s="619"/>
      <c r="S364" s="619"/>
      <c r="T364" s="619"/>
      <c r="U364" s="619"/>
      <c r="V364" s="619"/>
      <c r="W364" s="619"/>
      <c r="X364" s="619"/>
      <c r="Y364" s="619"/>
      <c r="Z364" s="619"/>
      <c r="AA364" s="619"/>
      <c r="AB364" s="619"/>
      <c r="AC364" s="619"/>
      <c r="AD364" s="619"/>
      <c r="AE364" s="619"/>
      <c r="AF364" s="619"/>
      <c r="AG364" s="619"/>
      <c r="AH364" s="619"/>
      <c r="AI364" s="619"/>
      <c r="AJ364" s="619"/>
      <c r="AK364" s="3"/>
      <c r="AL364" s="1"/>
      <c r="AM364" s="8"/>
      <c r="AN364" s="8"/>
      <c r="AO364" s="8"/>
      <c r="AP364" s="8"/>
      <c r="AQ364" s="8"/>
      <c r="AR364" s="8"/>
      <c r="AS364" s="8"/>
    </row>
    <row r="365" spans="1:45" ht="14.25" customHeight="1">
      <c r="A365" s="619"/>
      <c r="B365" s="619"/>
      <c r="C365" s="4"/>
      <c r="D365" s="5"/>
      <c r="E365" s="5"/>
      <c r="F365" s="5"/>
      <c r="G365" s="5"/>
      <c r="H365" s="619"/>
      <c r="I365" s="619"/>
      <c r="J365" s="619"/>
      <c r="K365" s="619"/>
      <c r="L365" s="619"/>
      <c r="M365" s="619"/>
      <c r="N365" s="619"/>
      <c r="O365" s="619"/>
      <c r="P365" s="619"/>
      <c r="Q365" s="619"/>
      <c r="R365" s="619"/>
      <c r="S365" s="619"/>
      <c r="T365" s="619"/>
      <c r="U365" s="619"/>
      <c r="V365" s="619"/>
      <c r="W365" s="619"/>
      <c r="X365" s="619"/>
      <c r="Y365" s="619"/>
      <c r="Z365" s="619"/>
      <c r="AA365" s="619"/>
      <c r="AB365" s="619"/>
      <c r="AC365" s="619"/>
      <c r="AD365" s="619"/>
      <c r="AE365" s="619"/>
      <c r="AF365" s="619"/>
      <c r="AG365" s="619"/>
      <c r="AH365" s="619"/>
      <c r="AI365" s="619"/>
      <c r="AJ365" s="619"/>
      <c r="AK365" s="3"/>
      <c r="AL365" s="1"/>
      <c r="AM365" s="8"/>
      <c r="AN365" s="8"/>
      <c r="AO365" s="8"/>
      <c r="AP365" s="8"/>
      <c r="AQ365" s="8"/>
      <c r="AR365" s="8"/>
      <c r="AS365" s="8"/>
    </row>
    <row r="366" spans="1:45" ht="14.25" customHeight="1">
      <c r="A366" s="619"/>
      <c r="B366" s="619"/>
      <c r="C366" s="4"/>
      <c r="D366" s="5"/>
      <c r="E366" s="5"/>
      <c r="F366" s="5"/>
      <c r="G366" s="5"/>
      <c r="H366" s="619"/>
      <c r="I366" s="619"/>
      <c r="J366" s="619"/>
      <c r="K366" s="619"/>
      <c r="L366" s="619"/>
      <c r="M366" s="619"/>
      <c r="N366" s="619"/>
      <c r="O366" s="619"/>
      <c r="P366" s="619"/>
      <c r="Q366" s="619"/>
      <c r="R366" s="619"/>
      <c r="S366" s="619"/>
      <c r="T366" s="619"/>
      <c r="U366" s="619"/>
      <c r="V366" s="619"/>
      <c r="W366" s="619"/>
      <c r="X366" s="619"/>
      <c r="Y366" s="619"/>
      <c r="Z366" s="619"/>
      <c r="AA366" s="619"/>
      <c r="AB366" s="619"/>
      <c r="AC366" s="619"/>
      <c r="AD366" s="619"/>
      <c r="AE366" s="619"/>
      <c r="AF366" s="619"/>
      <c r="AG366" s="619"/>
      <c r="AH366" s="619"/>
      <c r="AI366" s="619"/>
      <c r="AJ366" s="619"/>
      <c r="AK366" s="3"/>
      <c r="AL366" s="1"/>
      <c r="AM366" s="8"/>
      <c r="AN366" s="8"/>
      <c r="AO366" s="8"/>
      <c r="AP366" s="8"/>
      <c r="AQ366" s="8"/>
      <c r="AR366" s="8"/>
      <c r="AS366" s="8"/>
    </row>
    <row r="367" spans="1:45" ht="14.25" customHeight="1">
      <c r="A367" s="619"/>
      <c r="B367" s="619"/>
      <c r="C367" s="4"/>
      <c r="D367" s="5"/>
      <c r="E367" s="5"/>
      <c r="F367" s="5"/>
      <c r="G367" s="5"/>
      <c r="H367" s="619"/>
      <c r="I367" s="619"/>
      <c r="J367" s="619"/>
      <c r="K367" s="619"/>
      <c r="L367" s="619"/>
      <c r="M367" s="619"/>
      <c r="N367" s="619"/>
      <c r="O367" s="619"/>
      <c r="P367" s="619"/>
      <c r="Q367" s="619"/>
      <c r="R367" s="619"/>
      <c r="S367" s="619"/>
      <c r="T367" s="619"/>
      <c r="U367" s="619"/>
      <c r="V367" s="619"/>
      <c r="W367" s="619"/>
      <c r="X367" s="619"/>
      <c r="Y367" s="619"/>
      <c r="Z367" s="619"/>
      <c r="AA367" s="619"/>
      <c r="AB367" s="619"/>
      <c r="AC367" s="619"/>
      <c r="AD367" s="619"/>
      <c r="AE367" s="619"/>
      <c r="AF367" s="619"/>
      <c r="AG367" s="619"/>
      <c r="AH367" s="619"/>
      <c r="AI367" s="619"/>
      <c r="AJ367" s="619"/>
      <c r="AK367" s="3"/>
      <c r="AL367" s="1"/>
      <c r="AM367" s="8"/>
      <c r="AN367" s="8"/>
      <c r="AO367" s="8"/>
      <c r="AP367" s="8"/>
      <c r="AQ367" s="8"/>
      <c r="AR367" s="8"/>
      <c r="AS367" s="8"/>
    </row>
    <row r="368" spans="1:45" ht="14.25" customHeight="1">
      <c r="A368" s="619"/>
      <c r="B368" s="619"/>
      <c r="C368" s="4"/>
      <c r="D368" s="5"/>
      <c r="E368" s="5"/>
      <c r="F368" s="5"/>
      <c r="G368" s="5"/>
      <c r="H368" s="619"/>
      <c r="I368" s="619"/>
      <c r="J368" s="619"/>
      <c r="K368" s="619"/>
      <c r="L368" s="619"/>
      <c r="M368" s="619"/>
      <c r="N368" s="619"/>
      <c r="O368" s="619"/>
      <c r="P368" s="619"/>
      <c r="Q368" s="619"/>
      <c r="R368" s="619"/>
      <c r="S368" s="619"/>
      <c r="T368" s="619"/>
      <c r="U368" s="619"/>
      <c r="V368" s="619"/>
      <c r="W368" s="619"/>
      <c r="X368" s="619"/>
      <c r="Y368" s="619"/>
      <c r="Z368" s="619"/>
      <c r="AA368" s="619"/>
      <c r="AB368" s="619"/>
      <c r="AC368" s="619"/>
      <c r="AD368" s="619"/>
      <c r="AE368" s="619"/>
      <c r="AF368" s="619"/>
      <c r="AG368" s="619"/>
      <c r="AH368" s="619"/>
      <c r="AI368" s="619"/>
      <c r="AJ368" s="619"/>
      <c r="AK368" s="3"/>
      <c r="AL368" s="1"/>
      <c r="AM368" s="8"/>
      <c r="AN368" s="8"/>
      <c r="AO368" s="8"/>
      <c r="AP368" s="8"/>
      <c r="AQ368" s="8"/>
      <c r="AR368" s="8"/>
      <c r="AS368" s="8"/>
    </row>
    <row r="369" spans="1:38" ht="14.25" customHeight="1">
      <c r="A369" s="619"/>
      <c r="B369" s="619"/>
      <c r="C369" s="4"/>
      <c r="D369" s="5"/>
      <c r="E369" s="5"/>
      <c r="F369" s="5"/>
      <c r="G369" s="5"/>
      <c r="H369" s="619"/>
      <c r="I369" s="619"/>
      <c r="J369" s="619"/>
      <c r="K369" s="619"/>
      <c r="L369" s="619"/>
      <c r="M369" s="619"/>
      <c r="N369" s="619"/>
      <c r="O369" s="619"/>
      <c r="P369" s="619"/>
      <c r="Q369" s="619"/>
      <c r="R369" s="619"/>
      <c r="S369" s="619"/>
      <c r="T369" s="619"/>
      <c r="U369" s="619"/>
      <c r="V369" s="619"/>
      <c r="W369" s="619"/>
      <c r="X369" s="619"/>
      <c r="Y369" s="619"/>
      <c r="Z369" s="619"/>
      <c r="AA369" s="619"/>
      <c r="AB369" s="619"/>
      <c r="AC369" s="619"/>
      <c r="AD369" s="619"/>
      <c r="AE369" s="619"/>
      <c r="AF369" s="619"/>
      <c r="AG369" s="619"/>
      <c r="AH369" s="619"/>
      <c r="AI369" s="619"/>
      <c r="AJ369" s="619"/>
      <c r="AK369" s="3"/>
      <c r="AL369" s="1"/>
    </row>
    <row r="370" spans="1:38" ht="14.25" customHeight="1">
      <c r="A370" s="619"/>
      <c r="B370" s="619"/>
      <c r="C370" s="4"/>
      <c r="D370" s="5"/>
      <c r="E370" s="5"/>
      <c r="F370" s="5"/>
      <c r="G370" s="5"/>
      <c r="H370" s="619"/>
      <c r="I370" s="619"/>
      <c r="J370" s="619"/>
      <c r="K370" s="619"/>
      <c r="L370" s="619"/>
      <c r="M370" s="619"/>
      <c r="N370" s="619"/>
      <c r="O370" s="619"/>
      <c r="P370" s="619"/>
      <c r="Q370" s="619"/>
      <c r="R370" s="619"/>
      <c r="S370" s="619"/>
      <c r="T370" s="619"/>
      <c r="U370" s="619"/>
      <c r="V370" s="619"/>
      <c r="W370" s="619"/>
      <c r="X370" s="619"/>
      <c r="Y370" s="619"/>
      <c r="Z370" s="619"/>
      <c r="AA370" s="619"/>
      <c r="AB370" s="619"/>
      <c r="AC370" s="619"/>
      <c r="AD370" s="619"/>
      <c r="AE370" s="619"/>
      <c r="AF370" s="619"/>
      <c r="AG370" s="619"/>
      <c r="AH370" s="619"/>
      <c r="AI370" s="619"/>
      <c r="AJ370" s="619"/>
      <c r="AK370" s="3"/>
      <c r="AL370" s="1"/>
    </row>
    <row r="371" spans="1:38" ht="14.25" customHeight="1">
      <c r="A371" s="619"/>
      <c r="B371" s="619"/>
      <c r="C371" s="4"/>
      <c r="D371" s="5"/>
      <c r="E371" s="5"/>
      <c r="F371" s="5"/>
      <c r="G371" s="5"/>
      <c r="H371" s="619"/>
      <c r="I371" s="619"/>
      <c r="J371" s="619"/>
      <c r="K371" s="619"/>
      <c r="L371" s="619"/>
      <c r="M371" s="619"/>
      <c r="N371" s="619"/>
      <c r="O371" s="619"/>
      <c r="P371" s="619"/>
      <c r="Q371" s="619"/>
      <c r="R371" s="619"/>
      <c r="S371" s="619"/>
      <c r="T371" s="619"/>
      <c r="U371" s="619"/>
      <c r="V371" s="619"/>
      <c r="W371" s="619"/>
      <c r="X371" s="619"/>
      <c r="Y371" s="619"/>
      <c r="Z371" s="619"/>
      <c r="AA371" s="619"/>
      <c r="AB371" s="619"/>
      <c r="AC371" s="619"/>
      <c r="AD371" s="619"/>
      <c r="AE371" s="619"/>
      <c r="AF371" s="619"/>
      <c r="AG371" s="619"/>
      <c r="AH371" s="619"/>
      <c r="AI371" s="619"/>
      <c r="AJ371" s="619"/>
      <c r="AK371" s="3"/>
      <c r="AL371" s="1"/>
    </row>
    <row r="372" spans="1:38" ht="14.25" customHeight="1">
      <c r="A372" s="619"/>
      <c r="B372" s="619"/>
      <c r="C372" s="4"/>
      <c r="D372" s="5"/>
      <c r="E372" s="5"/>
      <c r="F372" s="5"/>
      <c r="G372" s="5"/>
      <c r="H372" s="619"/>
      <c r="I372" s="619"/>
      <c r="J372" s="619"/>
      <c r="K372" s="619"/>
      <c r="L372" s="619"/>
      <c r="M372" s="619"/>
      <c r="N372" s="619"/>
      <c r="O372" s="619"/>
      <c r="P372" s="619"/>
      <c r="Q372" s="619"/>
      <c r="R372" s="619"/>
      <c r="S372" s="619"/>
      <c r="T372" s="619"/>
      <c r="U372" s="619"/>
      <c r="V372" s="619"/>
      <c r="W372" s="619"/>
      <c r="X372" s="619"/>
      <c r="Y372" s="619"/>
      <c r="Z372" s="619"/>
      <c r="AA372" s="619"/>
      <c r="AB372" s="619"/>
      <c r="AC372" s="619"/>
      <c r="AD372" s="619"/>
      <c r="AE372" s="619"/>
      <c r="AF372" s="619"/>
      <c r="AG372" s="619"/>
      <c r="AH372" s="619"/>
      <c r="AI372" s="619"/>
      <c r="AJ372" s="619"/>
      <c r="AK372" s="3"/>
      <c r="AL372" s="1"/>
    </row>
    <row r="373" spans="1:38" ht="14.25" customHeight="1">
      <c r="A373" s="619"/>
      <c r="B373" s="619"/>
      <c r="C373" s="4"/>
      <c r="D373" s="5"/>
      <c r="E373" s="5"/>
      <c r="F373" s="5"/>
      <c r="G373" s="5"/>
      <c r="H373" s="619"/>
      <c r="I373" s="619"/>
      <c r="J373" s="619"/>
      <c r="K373" s="619"/>
      <c r="L373" s="619"/>
      <c r="M373" s="619"/>
      <c r="N373" s="619"/>
      <c r="O373" s="619"/>
      <c r="P373" s="619"/>
      <c r="Q373" s="619"/>
      <c r="R373" s="619"/>
      <c r="S373" s="619"/>
      <c r="T373" s="619"/>
      <c r="U373" s="619"/>
      <c r="V373" s="619"/>
      <c r="W373" s="619"/>
      <c r="X373" s="619"/>
      <c r="Y373" s="619"/>
      <c r="Z373" s="619"/>
      <c r="AA373" s="619"/>
      <c r="AB373" s="619"/>
      <c r="AC373" s="619"/>
      <c r="AD373" s="619"/>
      <c r="AE373" s="619"/>
      <c r="AF373" s="619"/>
      <c r="AG373" s="619"/>
      <c r="AH373" s="619"/>
      <c r="AI373" s="619"/>
      <c r="AJ373" s="619"/>
      <c r="AK373" s="3"/>
      <c r="AL373" s="1"/>
    </row>
    <row r="374" spans="1:38" ht="14.25" customHeight="1">
      <c r="A374" s="619"/>
      <c r="B374" s="619"/>
      <c r="C374" s="4"/>
      <c r="D374" s="5"/>
      <c r="E374" s="5"/>
      <c r="F374" s="5"/>
      <c r="G374" s="5"/>
      <c r="H374" s="619"/>
      <c r="I374" s="619"/>
      <c r="J374" s="619"/>
      <c r="K374" s="619"/>
      <c r="L374" s="619"/>
      <c r="M374" s="619"/>
      <c r="N374" s="619"/>
      <c r="O374" s="619"/>
      <c r="P374" s="619"/>
      <c r="Q374" s="619"/>
      <c r="R374" s="619"/>
      <c r="S374" s="619"/>
      <c r="T374" s="619"/>
      <c r="U374" s="619"/>
      <c r="V374" s="619"/>
      <c r="W374" s="619"/>
      <c r="X374" s="619"/>
      <c r="Y374" s="619"/>
      <c r="Z374" s="619"/>
      <c r="AA374" s="619"/>
      <c r="AB374" s="619"/>
      <c r="AC374" s="619"/>
      <c r="AD374" s="619"/>
      <c r="AE374" s="619"/>
      <c r="AF374" s="619"/>
      <c r="AG374" s="619"/>
      <c r="AH374" s="619"/>
      <c r="AI374" s="619"/>
      <c r="AJ374" s="619"/>
      <c r="AK374" s="3"/>
      <c r="AL374" s="1"/>
    </row>
    <row r="375" spans="1:38" ht="14.25" customHeight="1">
      <c r="A375" s="619"/>
      <c r="B375" s="619"/>
      <c r="C375" s="4"/>
      <c r="D375" s="5"/>
      <c r="E375" s="5"/>
      <c r="F375" s="5"/>
      <c r="G375" s="5"/>
      <c r="H375" s="619"/>
      <c r="I375" s="619"/>
      <c r="J375" s="619"/>
      <c r="K375" s="619"/>
      <c r="L375" s="619"/>
      <c r="M375" s="619"/>
      <c r="N375" s="619"/>
      <c r="O375" s="619"/>
      <c r="P375" s="619"/>
      <c r="Q375" s="619"/>
      <c r="R375" s="619"/>
      <c r="S375" s="619"/>
      <c r="T375" s="619"/>
      <c r="U375" s="619"/>
      <c r="V375" s="619"/>
      <c r="W375" s="619"/>
      <c r="X375" s="619"/>
      <c r="Y375" s="619"/>
      <c r="Z375" s="619"/>
      <c r="AA375" s="619"/>
      <c r="AB375" s="619"/>
      <c r="AC375" s="619"/>
      <c r="AD375" s="619"/>
      <c r="AE375" s="619"/>
      <c r="AF375" s="619"/>
      <c r="AG375" s="619"/>
      <c r="AH375" s="619"/>
      <c r="AI375" s="619"/>
      <c r="AJ375" s="619"/>
      <c r="AK375" s="3"/>
      <c r="AL375" s="1"/>
    </row>
    <row r="376" spans="1:38" ht="14.25" customHeight="1">
      <c r="A376" s="619"/>
      <c r="B376" s="619"/>
      <c r="C376" s="4"/>
      <c r="D376" s="5"/>
      <c r="E376" s="5"/>
      <c r="F376" s="5"/>
      <c r="G376" s="5"/>
      <c r="H376" s="619"/>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3"/>
      <c r="AL376" s="1"/>
    </row>
    <row r="377" spans="1:38" ht="14.25" customHeight="1">
      <c r="A377" s="619"/>
      <c r="B377" s="619"/>
      <c r="C377" s="4"/>
      <c r="D377" s="5"/>
      <c r="E377" s="5"/>
      <c r="F377" s="5"/>
      <c r="G377" s="5"/>
      <c r="H377" s="619"/>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3"/>
      <c r="AL377" s="1"/>
    </row>
    <row r="378" spans="1:38" ht="14.25" customHeight="1">
      <c r="A378" s="619"/>
      <c r="B378" s="619"/>
      <c r="C378" s="4"/>
      <c r="D378" s="5"/>
      <c r="E378" s="5"/>
      <c r="F378" s="5"/>
      <c r="G378" s="5"/>
      <c r="H378" s="619"/>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3"/>
      <c r="AL378" s="1"/>
    </row>
    <row r="379" spans="1:38" ht="14.25" customHeight="1">
      <c r="A379" s="619"/>
      <c r="B379" s="619"/>
      <c r="C379" s="4"/>
      <c r="D379" s="5"/>
      <c r="E379" s="5"/>
      <c r="F379" s="5"/>
      <c r="G379" s="5"/>
      <c r="H379" s="619"/>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3"/>
      <c r="AL379" s="1"/>
    </row>
    <row r="380" spans="1:38" ht="14.25" customHeight="1">
      <c r="A380" s="619"/>
      <c r="B380" s="619"/>
      <c r="C380" s="4"/>
      <c r="D380" s="5"/>
      <c r="E380" s="5"/>
      <c r="F380" s="5"/>
      <c r="G380" s="5"/>
      <c r="H380" s="619"/>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3"/>
      <c r="AL380" s="1"/>
    </row>
    <row r="381" spans="1:38" ht="14.25" customHeight="1">
      <c r="A381" s="619"/>
      <c r="B381" s="619"/>
      <c r="C381" s="4"/>
      <c r="D381" s="5"/>
      <c r="E381" s="5"/>
      <c r="F381" s="5"/>
      <c r="G381" s="5"/>
      <c r="H381" s="619"/>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3"/>
      <c r="AL381" s="1"/>
    </row>
    <row r="382" spans="1:38" ht="14.25" customHeight="1">
      <c r="A382" s="619"/>
      <c r="B382" s="619"/>
      <c r="C382" s="4"/>
      <c r="D382" s="5"/>
      <c r="E382" s="5"/>
      <c r="F382" s="5"/>
      <c r="G382" s="5"/>
      <c r="H382" s="619"/>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3"/>
      <c r="AL382" s="1"/>
    </row>
    <row r="383" spans="1:38" ht="14.25" customHeight="1">
      <c r="A383" s="619"/>
      <c r="B383" s="619"/>
      <c r="C383" s="4"/>
      <c r="D383" s="5"/>
      <c r="E383" s="5"/>
      <c r="F383" s="5"/>
      <c r="G383" s="5"/>
      <c r="H383" s="619"/>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3"/>
      <c r="AL383" s="1"/>
    </row>
    <row r="384" spans="1:38" ht="14.25" customHeight="1">
      <c r="A384" s="619"/>
      <c r="B384" s="619"/>
      <c r="C384" s="4"/>
      <c r="D384" s="5"/>
      <c r="E384" s="5"/>
      <c r="F384" s="5"/>
      <c r="G384" s="5"/>
      <c r="H384" s="619"/>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3"/>
      <c r="AL384" s="1"/>
    </row>
    <row r="385" spans="1:38" ht="14.25" customHeight="1">
      <c r="A385" s="619"/>
      <c r="B385" s="619"/>
      <c r="C385" s="4"/>
      <c r="D385" s="5"/>
      <c r="E385" s="5"/>
      <c r="F385" s="5"/>
      <c r="G385" s="5"/>
      <c r="H385" s="619"/>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3"/>
      <c r="AL385" s="1"/>
    </row>
    <row r="386" spans="1:38" ht="14.25" customHeight="1">
      <c r="A386" s="619"/>
      <c r="B386" s="619"/>
      <c r="C386" s="4"/>
      <c r="D386" s="5"/>
      <c r="E386" s="5"/>
      <c r="F386" s="5"/>
      <c r="G386" s="5"/>
      <c r="H386" s="619"/>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3"/>
      <c r="AL386" s="1"/>
    </row>
    <row r="387" spans="1:38" ht="14.25" customHeight="1">
      <c r="A387" s="619"/>
      <c r="B387" s="619"/>
      <c r="C387" s="4"/>
      <c r="D387" s="5"/>
      <c r="E387" s="5"/>
      <c r="F387" s="5"/>
      <c r="G387" s="5"/>
      <c r="H387" s="619"/>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3"/>
      <c r="AL387" s="1"/>
    </row>
    <row r="388" spans="1:38" ht="14.25" customHeight="1">
      <c r="A388" s="619"/>
      <c r="B388" s="619"/>
      <c r="C388" s="4"/>
      <c r="D388" s="5"/>
      <c r="E388" s="5"/>
      <c r="F388" s="5"/>
      <c r="G388" s="5"/>
      <c r="H388" s="619"/>
      <c r="I388" s="619"/>
      <c r="J388" s="619"/>
      <c r="K388" s="619"/>
      <c r="L388" s="619"/>
      <c r="M388" s="619"/>
      <c r="N388" s="619"/>
      <c r="O388" s="619"/>
      <c r="P388" s="619"/>
      <c r="Q388" s="619"/>
      <c r="R388" s="619"/>
      <c r="S388" s="619"/>
      <c r="T388" s="619"/>
      <c r="U388" s="619"/>
      <c r="V388" s="619"/>
      <c r="W388" s="619"/>
      <c r="X388" s="619"/>
      <c r="Y388" s="619"/>
      <c r="Z388" s="619"/>
      <c r="AA388" s="619"/>
      <c r="AB388" s="619"/>
      <c r="AC388" s="619"/>
      <c r="AD388" s="619"/>
      <c r="AE388" s="619"/>
      <c r="AF388" s="619"/>
      <c r="AG388" s="619"/>
      <c r="AH388" s="619"/>
      <c r="AI388" s="619"/>
      <c r="AJ388" s="619"/>
      <c r="AK388" s="3"/>
      <c r="AL388" s="1"/>
    </row>
    <row r="389" spans="1:38" ht="14.25" customHeight="1">
      <c r="A389" s="619"/>
      <c r="B389" s="619"/>
      <c r="C389" s="4"/>
      <c r="D389" s="5"/>
      <c r="E389" s="5"/>
      <c r="F389" s="5"/>
      <c r="G389" s="5"/>
      <c r="H389" s="619"/>
      <c r="I389" s="619"/>
      <c r="J389" s="619"/>
      <c r="K389" s="619"/>
      <c r="L389" s="619"/>
      <c r="M389" s="619"/>
      <c r="N389" s="619"/>
      <c r="O389" s="619"/>
      <c r="P389" s="619"/>
      <c r="Q389" s="619"/>
      <c r="R389" s="619"/>
      <c r="S389" s="619"/>
      <c r="T389" s="619"/>
      <c r="U389" s="619"/>
      <c r="V389" s="619"/>
      <c r="W389" s="619"/>
      <c r="X389" s="619"/>
      <c r="Y389" s="619"/>
      <c r="Z389" s="619"/>
      <c r="AA389" s="619"/>
      <c r="AB389" s="619"/>
      <c r="AC389" s="619"/>
      <c r="AD389" s="619"/>
      <c r="AE389" s="619"/>
      <c r="AF389" s="619"/>
      <c r="AG389" s="619"/>
      <c r="AH389" s="619"/>
      <c r="AI389" s="619"/>
      <c r="AJ389" s="619"/>
      <c r="AK389" s="3"/>
      <c r="AL389" s="1"/>
    </row>
    <row r="390" spans="1:38" ht="15.75" customHeight="1">
      <c r="A390" s="1"/>
      <c r="B390" s="1"/>
      <c r="C390" s="1"/>
      <c r="D390" s="20"/>
      <c r="E390" s="20"/>
      <c r="F390" s="20"/>
      <c r="G390" s="20"/>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3"/>
      <c r="AL390" s="1"/>
    </row>
    <row r="391" spans="1:38" ht="15.75" customHeight="1">
      <c r="A391" s="1"/>
      <c r="B391" s="1"/>
      <c r="C391" s="1"/>
      <c r="D391" s="20"/>
      <c r="E391" s="20"/>
      <c r="F391" s="20"/>
      <c r="G391" s="20"/>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3"/>
      <c r="AL391" s="1"/>
    </row>
    <row r="392" spans="1:38" ht="15.75" customHeight="1">
      <c r="A392" s="1"/>
      <c r="B392" s="1"/>
      <c r="C392" s="1"/>
      <c r="D392" s="20"/>
      <c r="E392" s="20"/>
      <c r="F392" s="20"/>
      <c r="G392" s="20"/>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3"/>
      <c r="AL392" s="1"/>
    </row>
    <row r="393" spans="1:38" ht="15.75" customHeight="1">
      <c r="A393" s="1"/>
      <c r="B393" s="1"/>
      <c r="C393" s="1"/>
      <c r="D393" s="20"/>
      <c r="E393" s="20"/>
      <c r="F393" s="20"/>
      <c r="G393" s="20"/>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3"/>
      <c r="AL393" s="1"/>
    </row>
    <row r="394" spans="1:38" ht="15.75" customHeight="1">
      <c r="A394" s="1"/>
      <c r="B394" s="1"/>
      <c r="C394" s="1"/>
      <c r="D394" s="20"/>
      <c r="E394" s="20"/>
      <c r="F394" s="20"/>
      <c r="G394" s="20"/>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3"/>
      <c r="AL394" s="1"/>
    </row>
    <row r="395" spans="1:38" ht="15.75" customHeight="1">
      <c r="A395" s="1"/>
      <c r="B395" s="1"/>
      <c r="C395" s="1"/>
      <c r="D395" s="20"/>
      <c r="E395" s="20"/>
      <c r="F395" s="20"/>
      <c r="G395" s="20"/>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3"/>
      <c r="AL395" s="1"/>
    </row>
    <row r="396" spans="1:38" ht="15.75" customHeight="1">
      <c r="A396" s="1"/>
      <c r="B396" s="1"/>
      <c r="C396" s="1"/>
      <c r="D396" s="20"/>
      <c r="E396" s="20"/>
      <c r="F396" s="20"/>
      <c r="G396" s="20"/>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3"/>
      <c r="AL396" s="1"/>
    </row>
    <row r="397" spans="1:38" ht="15.75" customHeight="1">
      <c r="A397" s="1"/>
      <c r="B397" s="1"/>
      <c r="C397" s="1"/>
      <c r="D397" s="20"/>
      <c r="E397" s="20"/>
      <c r="F397" s="20"/>
      <c r="G397" s="20"/>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3"/>
      <c r="AL397" s="1"/>
    </row>
    <row r="398" spans="1:38" ht="15.75" customHeight="1">
      <c r="A398" s="1"/>
      <c r="B398" s="1"/>
      <c r="C398" s="1"/>
      <c r="D398" s="20"/>
      <c r="E398" s="20"/>
      <c r="F398" s="20"/>
      <c r="G398" s="20"/>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3"/>
      <c r="AL398" s="1"/>
    </row>
    <row r="399" spans="1:38" ht="15.75" customHeight="1">
      <c r="A399" s="1"/>
      <c r="B399" s="1"/>
      <c r="C399" s="1"/>
      <c r="D399" s="20"/>
      <c r="E399" s="20"/>
      <c r="F399" s="20"/>
      <c r="G399" s="20"/>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3"/>
      <c r="AL399" s="1"/>
    </row>
    <row r="400" spans="1:38" ht="15.75" customHeight="1">
      <c r="A400" s="1"/>
      <c r="B400" s="1"/>
      <c r="C400" s="1"/>
      <c r="D400" s="20"/>
      <c r="E400" s="20"/>
      <c r="F400" s="20"/>
      <c r="G400" s="20"/>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3"/>
      <c r="AL400" s="1"/>
    </row>
    <row r="401" spans="1:38" ht="15.75" customHeight="1">
      <c r="A401" s="1"/>
      <c r="B401" s="1"/>
      <c r="C401" s="1"/>
      <c r="D401" s="20"/>
      <c r="E401" s="20"/>
      <c r="F401" s="20"/>
      <c r="G401" s="20"/>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3"/>
      <c r="AL401" s="1"/>
    </row>
    <row r="402" spans="1:38" ht="15.75" customHeight="1">
      <c r="A402" s="1"/>
      <c r="B402" s="1"/>
      <c r="C402" s="1"/>
      <c r="D402" s="20"/>
      <c r="E402" s="20"/>
      <c r="F402" s="20"/>
      <c r="G402" s="20"/>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3"/>
      <c r="AL402" s="1"/>
    </row>
    <row r="403" spans="1:38" ht="15.75" customHeight="1">
      <c r="A403" s="1"/>
      <c r="B403" s="1"/>
      <c r="C403" s="1"/>
      <c r="D403" s="20"/>
      <c r="E403" s="20"/>
      <c r="F403" s="20"/>
      <c r="G403" s="20"/>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3"/>
      <c r="AL403" s="1"/>
    </row>
    <row r="404" spans="1:38" ht="15.75" customHeight="1">
      <c r="A404" s="1"/>
      <c r="B404" s="1"/>
      <c r="C404" s="1"/>
      <c r="D404" s="20"/>
      <c r="E404" s="20"/>
      <c r="F404" s="20"/>
      <c r="G404" s="20"/>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3"/>
      <c r="AL404" s="1"/>
    </row>
    <row r="405" spans="1:38" ht="15.75" customHeight="1">
      <c r="A405" s="1"/>
      <c r="B405" s="1"/>
      <c r="C405" s="1"/>
      <c r="D405" s="20"/>
      <c r="E405" s="20"/>
      <c r="F405" s="20"/>
      <c r="G405" s="20"/>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3"/>
      <c r="AL405" s="1"/>
    </row>
    <row r="406" spans="1:38" ht="15.75" customHeight="1">
      <c r="A406" s="1"/>
      <c r="B406" s="1"/>
      <c r="C406" s="1"/>
      <c r="D406" s="20"/>
      <c r="E406" s="20"/>
      <c r="F406" s="20"/>
      <c r="G406" s="20"/>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3"/>
      <c r="AL406" s="1"/>
    </row>
    <row r="407" spans="1:38" ht="15.75" customHeight="1">
      <c r="A407" s="1"/>
      <c r="B407" s="1"/>
      <c r="C407" s="1"/>
      <c r="D407" s="20"/>
      <c r="E407" s="20"/>
      <c r="F407" s="20"/>
      <c r="G407" s="20"/>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3"/>
      <c r="AL407" s="1"/>
    </row>
    <row r="408" spans="1:38" ht="15.75" customHeight="1">
      <c r="A408" s="1"/>
      <c r="B408" s="1"/>
      <c r="C408" s="1"/>
      <c r="D408" s="20"/>
      <c r="E408" s="20"/>
      <c r="F408" s="20"/>
      <c r="G408" s="20"/>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3"/>
      <c r="AL408" s="1"/>
    </row>
    <row r="409" spans="1:38" ht="15.75" customHeight="1">
      <c r="A409" s="1"/>
      <c r="B409" s="1"/>
      <c r="C409" s="1"/>
      <c r="D409" s="20"/>
      <c r="E409" s="20"/>
      <c r="F409" s="20"/>
      <c r="G409" s="20"/>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3"/>
      <c r="AL409" s="1"/>
    </row>
    <row r="410" spans="1:38" ht="15.75" customHeight="1">
      <c r="A410" s="1"/>
      <c r="B410" s="1"/>
      <c r="C410" s="1"/>
      <c r="D410" s="20"/>
      <c r="E410" s="20"/>
      <c r="F410" s="20"/>
      <c r="G410" s="20"/>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3"/>
      <c r="AL410" s="1"/>
    </row>
    <row r="411" spans="1:38" ht="15.75" customHeight="1">
      <c r="A411" s="1"/>
      <c r="B411" s="1"/>
      <c r="C411" s="1"/>
      <c r="D411" s="20"/>
      <c r="E411" s="20"/>
      <c r="F411" s="20"/>
      <c r="G411" s="20"/>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3"/>
      <c r="AL411" s="1"/>
    </row>
    <row r="412" spans="1:38" ht="15.75" customHeight="1">
      <c r="A412" s="1"/>
      <c r="B412" s="1"/>
      <c r="C412" s="1"/>
      <c r="D412" s="20"/>
      <c r="E412" s="20"/>
      <c r="F412" s="20"/>
      <c r="G412" s="20"/>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3"/>
      <c r="AL412" s="1"/>
    </row>
    <row r="413" spans="1:38" ht="15.75" customHeight="1">
      <c r="A413" s="1"/>
      <c r="B413" s="1"/>
      <c r="C413" s="1"/>
      <c r="D413" s="20"/>
      <c r="E413" s="20"/>
      <c r="F413" s="20"/>
      <c r="G413" s="20"/>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3"/>
      <c r="AL413" s="1"/>
    </row>
    <row r="414" spans="1:38" ht="15.75" customHeight="1">
      <c r="A414" s="1"/>
      <c r="B414" s="1"/>
      <c r="C414" s="1"/>
      <c r="D414" s="20"/>
      <c r="E414" s="20"/>
      <c r="F414" s="20"/>
      <c r="G414" s="20"/>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3"/>
      <c r="AL414" s="1"/>
    </row>
    <row r="415" spans="1:38" ht="15.75" customHeight="1">
      <c r="A415" s="1"/>
      <c r="B415" s="1"/>
      <c r="C415" s="1"/>
      <c r="D415" s="20"/>
      <c r="E415" s="20"/>
      <c r="F415" s="20"/>
      <c r="G415" s="20"/>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3"/>
      <c r="AL415" s="1"/>
    </row>
    <row r="416" spans="1:38" ht="15.75" customHeight="1">
      <c r="A416" s="1"/>
      <c r="B416" s="1"/>
      <c r="C416" s="1"/>
      <c r="D416" s="20"/>
      <c r="E416" s="20"/>
      <c r="F416" s="20"/>
      <c r="G416" s="20"/>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3"/>
      <c r="AL416" s="1"/>
    </row>
    <row r="417" spans="1:38" ht="15.75" customHeight="1">
      <c r="A417" s="1"/>
      <c r="B417" s="1"/>
      <c r="C417" s="1"/>
      <c r="D417" s="20"/>
      <c r="E417" s="20"/>
      <c r="F417" s="20"/>
      <c r="G417" s="20"/>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3"/>
      <c r="AL417" s="1"/>
    </row>
    <row r="418" spans="1:38" ht="15.75" customHeight="1">
      <c r="A418" s="1"/>
      <c r="B418" s="1"/>
      <c r="C418" s="1"/>
      <c r="D418" s="20"/>
      <c r="E418" s="20"/>
      <c r="F418" s="20"/>
      <c r="G418" s="20"/>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3"/>
      <c r="AL418" s="1"/>
    </row>
    <row r="419" spans="1:38" ht="15.75" customHeight="1">
      <c r="A419" s="1"/>
      <c r="B419" s="1"/>
      <c r="C419" s="1"/>
      <c r="D419" s="20"/>
      <c r="E419" s="20"/>
      <c r="F419" s="20"/>
      <c r="G419" s="20"/>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3"/>
      <c r="AL419" s="1"/>
    </row>
    <row r="420" spans="1:38" ht="15.75" customHeight="1">
      <c r="A420" s="1"/>
      <c r="B420" s="1"/>
      <c r="C420" s="1"/>
      <c r="D420" s="20"/>
      <c r="E420" s="20"/>
      <c r="F420" s="20"/>
      <c r="G420" s="20"/>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3"/>
      <c r="AL420" s="1"/>
    </row>
    <row r="421" spans="1:38" ht="15.75" customHeight="1">
      <c r="A421" s="1"/>
      <c r="B421" s="1"/>
      <c r="C421" s="1"/>
      <c r="D421" s="20"/>
      <c r="E421" s="20"/>
      <c r="F421" s="20"/>
      <c r="G421" s="20"/>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3"/>
      <c r="AL421" s="1"/>
    </row>
    <row r="422" spans="1:38" ht="15.75" customHeight="1">
      <c r="A422" s="1"/>
      <c r="B422" s="1"/>
      <c r="C422" s="1"/>
      <c r="D422" s="20"/>
      <c r="E422" s="20"/>
      <c r="F422" s="20"/>
      <c r="G422" s="20"/>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3"/>
      <c r="AL422" s="1"/>
    </row>
    <row r="423" spans="1:38" ht="15.75" customHeight="1">
      <c r="A423" s="1"/>
      <c r="B423" s="1"/>
      <c r="C423" s="1"/>
      <c r="D423" s="20"/>
      <c r="E423" s="20"/>
      <c r="F423" s="20"/>
      <c r="G423" s="20"/>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3"/>
      <c r="AL423" s="1"/>
    </row>
    <row r="424" spans="1:38" ht="15.75" customHeight="1">
      <c r="A424" s="1"/>
      <c r="B424" s="1"/>
      <c r="C424" s="1"/>
      <c r="D424" s="20"/>
      <c r="E424" s="20"/>
      <c r="F424" s="20"/>
      <c r="G424" s="20"/>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3"/>
      <c r="AL424" s="1"/>
    </row>
    <row r="425" spans="1:38" ht="15.75" customHeight="1">
      <c r="A425" s="1"/>
      <c r="B425" s="1"/>
      <c r="C425" s="1"/>
      <c r="D425" s="20"/>
      <c r="E425" s="20"/>
      <c r="F425" s="20"/>
      <c r="G425" s="20"/>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3"/>
      <c r="AL425" s="1"/>
    </row>
    <row r="426" spans="1:38" ht="15.75" customHeight="1">
      <c r="A426" s="1"/>
      <c r="B426" s="1"/>
      <c r="C426" s="1"/>
      <c r="D426" s="20"/>
      <c r="E426" s="20"/>
      <c r="F426" s="20"/>
      <c r="G426" s="20"/>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3"/>
      <c r="AL426" s="1"/>
    </row>
    <row r="427" spans="1:38" ht="15.75" customHeight="1">
      <c r="A427" s="1"/>
      <c r="B427" s="1"/>
      <c r="C427" s="1"/>
      <c r="D427" s="20"/>
      <c r="E427" s="20"/>
      <c r="F427" s="20"/>
      <c r="G427" s="20"/>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3"/>
      <c r="AL427" s="1"/>
    </row>
    <row r="428" spans="1:38" ht="15.75" customHeight="1">
      <c r="A428" s="1"/>
      <c r="B428" s="1"/>
      <c r="C428" s="1"/>
      <c r="D428" s="20"/>
      <c r="E428" s="20"/>
      <c r="F428" s="20"/>
      <c r="G428" s="20"/>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3"/>
      <c r="AL428" s="1"/>
    </row>
    <row r="429" spans="1:38" ht="15.75" customHeight="1">
      <c r="A429" s="1"/>
      <c r="B429" s="1"/>
      <c r="C429" s="1"/>
      <c r="D429" s="20"/>
      <c r="E429" s="20"/>
      <c r="F429" s="20"/>
      <c r="G429" s="20"/>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3"/>
      <c r="AL429" s="1"/>
    </row>
    <row r="430" spans="1:38" ht="15.75" customHeight="1">
      <c r="A430" s="1"/>
      <c r="B430" s="1"/>
      <c r="C430" s="1"/>
      <c r="D430" s="20"/>
      <c r="E430" s="20"/>
      <c r="F430" s="20"/>
      <c r="G430" s="20"/>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3"/>
      <c r="AL430" s="1"/>
    </row>
    <row r="431" spans="1:38" ht="15.75" customHeight="1">
      <c r="A431" s="1"/>
      <c r="B431" s="1"/>
      <c r="C431" s="1"/>
      <c r="D431" s="20"/>
      <c r="E431" s="20"/>
      <c r="F431" s="20"/>
      <c r="G431" s="20"/>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3"/>
      <c r="AL431" s="1"/>
    </row>
    <row r="432" spans="1:38" ht="15.75" customHeight="1">
      <c r="A432" s="1"/>
      <c r="B432" s="1"/>
      <c r="C432" s="1"/>
      <c r="D432" s="20"/>
      <c r="E432" s="20"/>
      <c r="F432" s="20"/>
      <c r="G432" s="20"/>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3"/>
      <c r="AL432" s="1"/>
    </row>
    <row r="433" spans="1:38" ht="15.75" customHeight="1">
      <c r="A433" s="1"/>
      <c r="B433" s="1"/>
      <c r="C433" s="1"/>
      <c r="D433" s="20"/>
      <c r="E433" s="20"/>
      <c r="F433" s="20"/>
      <c r="G433" s="20"/>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3"/>
      <c r="AL433" s="1"/>
    </row>
    <row r="434" spans="1:38" ht="15.75" customHeight="1">
      <c r="A434" s="1"/>
      <c r="B434" s="1"/>
      <c r="C434" s="1"/>
      <c r="D434" s="20"/>
      <c r="E434" s="20"/>
      <c r="F434" s="20"/>
      <c r="G434" s="20"/>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3"/>
      <c r="AL434" s="1"/>
    </row>
    <row r="435" spans="1:38" ht="15.75" customHeight="1">
      <c r="A435" s="1"/>
      <c r="B435" s="1"/>
      <c r="C435" s="1"/>
      <c r="D435" s="20"/>
      <c r="E435" s="20"/>
      <c r="F435" s="20"/>
      <c r="G435" s="20"/>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3"/>
      <c r="AL435" s="1"/>
    </row>
    <row r="436" spans="1:38" ht="15.75" customHeight="1">
      <c r="A436" s="1"/>
      <c r="B436" s="1"/>
      <c r="C436" s="1"/>
      <c r="D436" s="20"/>
      <c r="E436" s="20"/>
      <c r="F436" s="20"/>
      <c r="G436" s="20"/>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3"/>
      <c r="AL436" s="1"/>
    </row>
    <row r="437" spans="1:38" ht="15.75" customHeight="1">
      <c r="A437" s="1"/>
      <c r="B437" s="1"/>
      <c r="C437" s="1"/>
      <c r="D437" s="20"/>
      <c r="E437" s="20"/>
      <c r="F437" s="20"/>
      <c r="G437" s="20"/>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3"/>
      <c r="AL437" s="1"/>
    </row>
    <row r="438" spans="1:38" ht="15.75" customHeight="1">
      <c r="A438" s="1"/>
      <c r="B438" s="1"/>
      <c r="C438" s="1"/>
      <c r="D438" s="20"/>
      <c r="E438" s="20"/>
      <c r="F438" s="20"/>
      <c r="G438" s="20"/>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3"/>
      <c r="AL438" s="1"/>
    </row>
    <row r="439" spans="1:38" ht="15.75" customHeight="1">
      <c r="A439" s="1"/>
      <c r="B439" s="1"/>
      <c r="C439" s="1"/>
      <c r="D439" s="20"/>
      <c r="E439" s="20"/>
      <c r="F439" s="20"/>
      <c r="G439" s="20"/>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3"/>
      <c r="AL439" s="1"/>
    </row>
    <row r="440" spans="1:38" ht="15.75" customHeight="1">
      <c r="A440" s="1"/>
      <c r="B440" s="1"/>
      <c r="C440" s="1"/>
      <c r="D440" s="20"/>
      <c r="E440" s="20"/>
      <c r="F440" s="20"/>
      <c r="G440" s="20"/>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3"/>
      <c r="AL440" s="1"/>
    </row>
    <row r="441" spans="1:38" ht="15.75" customHeight="1">
      <c r="A441" s="1"/>
      <c r="B441" s="1"/>
      <c r="C441" s="1"/>
      <c r="D441" s="20"/>
      <c r="E441" s="20"/>
      <c r="F441" s="20"/>
      <c r="G441" s="20"/>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3"/>
      <c r="AL441" s="1"/>
    </row>
    <row r="442" spans="1:38" ht="15.75" customHeight="1">
      <c r="A442" s="1"/>
      <c r="B442" s="1"/>
      <c r="C442" s="1"/>
      <c r="D442" s="20"/>
      <c r="E442" s="20"/>
      <c r="F442" s="20"/>
      <c r="G442" s="20"/>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3"/>
      <c r="AL442" s="1"/>
    </row>
    <row r="443" spans="1:38" ht="15.75" customHeight="1">
      <c r="A443" s="1"/>
      <c r="B443" s="1"/>
      <c r="C443" s="1"/>
      <c r="D443" s="20"/>
      <c r="E443" s="20"/>
      <c r="F443" s="20"/>
      <c r="G443" s="20"/>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3"/>
      <c r="AL443" s="1"/>
    </row>
    <row r="444" spans="1:38" ht="15.75" customHeight="1">
      <c r="A444" s="1"/>
      <c r="B444" s="1"/>
      <c r="C444" s="1"/>
      <c r="D444" s="20"/>
      <c r="E444" s="20"/>
      <c r="F444" s="20"/>
      <c r="G444" s="20"/>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3"/>
      <c r="AL444" s="1"/>
    </row>
    <row r="445" spans="1:38" ht="15.75" customHeight="1">
      <c r="A445" s="1"/>
      <c r="B445" s="1"/>
      <c r="C445" s="1"/>
      <c r="D445" s="20"/>
      <c r="E445" s="20"/>
      <c r="F445" s="20"/>
      <c r="G445" s="20"/>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3"/>
      <c r="AL445" s="1"/>
    </row>
    <row r="446" spans="1:38" ht="15.75" customHeight="1">
      <c r="A446" s="1"/>
      <c r="B446" s="1"/>
      <c r="C446" s="1"/>
      <c r="D446" s="20"/>
      <c r="E446" s="20"/>
      <c r="F446" s="20"/>
      <c r="G446" s="20"/>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3"/>
      <c r="AL446" s="1"/>
    </row>
    <row r="447" spans="1:38" ht="15.75" customHeight="1">
      <c r="A447" s="1"/>
      <c r="B447" s="1"/>
      <c r="C447" s="1"/>
      <c r="D447" s="20"/>
      <c r="E447" s="20"/>
      <c r="F447" s="20"/>
      <c r="G447" s="20"/>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3"/>
      <c r="AL447" s="1"/>
    </row>
    <row r="448" spans="1:38" ht="15.75" customHeight="1">
      <c r="A448" s="1"/>
      <c r="B448" s="1"/>
      <c r="C448" s="1"/>
      <c r="D448" s="20"/>
      <c r="E448" s="20"/>
      <c r="F448" s="20"/>
      <c r="G448" s="20"/>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3"/>
      <c r="AL448" s="1"/>
    </row>
    <row r="449" spans="1:38" ht="15.75" customHeight="1">
      <c r="A449" s="1"/>
      <c r="B449" s="1"/>
      <c r="C449" s="1"/>
      <c r="D449" s="20"/>
      <c r="E449" s="20"/>
      <c r="F449" s="20"/>
      <c r="G449" s="20"/>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3"/>
      <c r="AL449" s="1"/>
    </row>
    <row r="450" spans="1:38" ht="15.75" customHeight="1">
      <c r="A450" s="1"/>
      <c r="B450" s="1"/>
      <c r="C450" s="1"/>
      <c r="D450" s="20"/>
      <c r="E450" s="20"/>
      <c r="F450" s="20"/>
      <c r="G450" s="20"/>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3"/>
      <c r="AL450" s="1"/>
    </row>
    <row r="451" spans="1:38" ht="15.75" customHeight="1">
      <c r="A451" s="1"/>
      <c r="B451" s="1"/>
      <c r="C451" s="1"/>
      <c r="D451" s="20"/>
      <c r="E451" s="20"/>
      <c r="F451" s="20"/>
      <c r="G451" s="20"/>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3"/>
      <c r="AL451" s="1"/>
    </row>
    <row r="452" spans="1:38" ht="15.75" customHeight="1">
      <c r="A452" s="1"/>
      <c r="B452" s="1"/>
      <c r="C452" s="1"/>
      <c r="D452" s="20"/>
      <c r="E452" s="20"/>
      <c r="F452" s="20"/>
      <c r="G452" s="20"/>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3"/>
      <c r="AL452" s="1"/>
    </row>
    <row r="453" spans="1:38" ht="15.75" customHeight="1">
      <c r="A453" s="1"/>
      <c r="B453" s="1"/>
      <c r="C453" s="1"/>
      <c r="D453" s="20"/>
      <c r="E453" s="20"/>
      <c r="F453" s="20"/>
      <c r="G453" s="20"/>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3"/>
      <c r="AL453" s="1"/>
    </row>
    <row r="454" spans="1:38" ht="15.75" customHeight="1">
      <c r="A454" s="1"/>
      <c r="B454" s="1"/>
      <c r="C454" s="1"/>
      <c r="D454" s="20"/>
      <c r="E454" s="20"/>
      <c r="F454" s="20"/>
      <c r="G454" s="20"/>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3"/>
      <c r="AL454" s="1"/>
    </row>
    <row r="455" spans="1:38" ht="15.75" customHeight="1">
      <c r="A455" s="1"/>
      <c r="B455" s="1"/>
      <c r="C455" s="1"/>
      <c r="D455" s="20"/>
      <c r="E455" s="20"/>
      <c r="F455" s="20"/>
      <c r="G455" s="20"/>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3"/>
      <c r="AL455" s="1"/>
    </row>
    <row r="456" spans="1:38" ht="15.75" customHeight="1">
      <c r="A456" s="1"/>
      <c r="B456" s="1"/>
      <c r="C456" s="1"/>
      <c r="D456" s="20"/>
      <c r="E456" s="20"/>
      <c r="F456" s="20"/>
      <c r="G456" s="20"/>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3"/>
      <c r="AL456" s="1"/>
    </row>
    <row r="457" spans="1:38" ht="15.75" customHeight="1">
      <c r="A457" s="1"/>
      <c r="B457" s="1"/>
      <c r="C457" s="1"/>
      <c r="D457" s="20"/>
      <c r="E457" s="20"/>
      <c r="F457" s="20"/>
      <c r="G457" s="20"/>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3"/>
      <c r="AL457" s="1"/>
    </row>
    <row r="458" spans="1:38" ht="15.75" customHeight="1">
      <c r="A458" s="1"/>
      <c r="B458" s="1"/>
      <c r="C458" s="1"/>
      <c r="D458" s="20"/>
      <c r="E458" s="20"/>
      <c r="F458" s="20"/>
      <c r="G458" s="20"/>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3"/>
      <c r="AL458" s="1"/>
    </row>
    <row r="459" spans="1:38" ht="15.75" customHeight="1">
      <c r="A459" s="1"/>
      <c r="B459" s="1"/>
      <c r="C459" s="1"/>
      <c r="D459" s="20"/>
      <c r="E459" s="20"/>
      <c r="F459" s="20"/>
      <c r="G459" s="20"/>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3"/>
      <c r="AL459" s="1"/>
    </row>
    <row r="460" spans="1:38" ht="15.75" customHeight="1">
      <c r="A460" s="1"/>
      <c r="B460" s="1"/>
      <c r="C460" s="1"/>
      <c r="D460" s="20"/>
      <c r="E460" s="20"/>
      <c r="F460" s="20"/>
      <c r="G460" s="20"/>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3"/>
      <c r="AL460" s="1"/>
    </row>
    <row r="461" spans="1:38" ht="15.75" customHeight="1">
      <c r="A461" s="1"/>
      <c r="B461" s="1"/>
      <c r="C461" s="1"/>
      <c r="D461" s="20"/>
      <c r="E461" s="20"/>
      <c r="F461" s="20"/>
      <c r="G461" s="20"/>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3"/>
      <c r="AL461" s="1"/>
    </row>
    <row r="462" spans="1:38" ht="15.75" customHeight="1">
      <c r="A462" s="1"/>
      <c r="B462" s="1"/>
      <c r="C462" s="1"/>
      <c r="D462" s="20"/>
      <c r="E462" s="20"/>
      <c r="F462" s="20"/>
      <c r="G462" s="20"/>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3"/>
      <c r="AL462" s="1"/>
    </row>
    <row r="463" spans="1:38" ht="15.75" customHeight="1">
      <c r="A463" s="1"/>
      <c r="B463" s="1"/>
      <c r="C463" s="1"/>
      <c r="D463" s="20"/>
      <c r="E463" s="20"/>
      <c r="F463" s="20"/>
      <c r="G463" s="20"/>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3"/>
      <c r="AL463" s="1"/>
    </row>
    <row r="464" spans="1:38" ht="15.75" customHeight="1">
      <c r="A464" s="1"/>
      <c r="B464" s="1"/>
      <c r="C464" s="1"/>
      <c r="D464" s="20"/>
      <c r="E464" s="20"/>
      <c r="F464" s="20"/>
      <c r="G464" s="20"/>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3"/>
      <c r="AL464" s="1"/>
    </row>
    <row r="465" spans="1:38" ht="15.75" customHeight="1">
      <c r="A465" s="1"/>
      <c r="B465" s="1"/>
      <c r="C465" s="1"/>
      <c r="D465" s="20"/>
      <c r="E465" s="20"/>
      <c r="F465" s="20"/>
      <c r="G465" s="20"/>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3"/>
      <c r="AL465" s="1"/>
    </row>
    <row r="466" spans="1:38" ht="15.75" customHeight="1">
      <c r="A466" s="1"/>
      <c r="B466" s="1"/>
      <c r="C466" s="1"/>
      <c r="D466" s="20"/>
      <c r="E466" s="20"/>
      <c r="F466" s="20"/>
      <c r="G466" s="20"/>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3"/>
      <c r="AL466" s="1"/>
    </row>
    <row r="467" spans="1:38" ht="15.75" customHeight="1">
      <c r="A467" s="1"/>
      <c r="B467" s="1"/>
      <c r="C467" s="1"/>
      <c r="D467" s="20"/>
      <c r="E467" s="20"/>
      <c r="F467" s="20"/>
      <c r="G467" s="20"/>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3"/>
      <c r="AL467" s="1"/>
    </row>
    <row r="468" spans="1:38" ht="15.75" customHeight="1">
      <c r="A468" s="1"/>
      <c r="B468" s="1"/>
      <c r="C468" s="1"/>
      <c r="D468" s="20"/>
      <c r="E468" s="20"/>
      <c r="F468" s="20"/>
      <c r="G468" s="20"/>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3"/>
      <c r="AL468" s="1"/>
    </row>
    <row r="469" spans="1:38" ht="15.75" customHeight="1">
      <c r="A469" s="1"/>
      <c r="B469" s="1"/>
      <c r="C469" s="1"/>
      <c r="D469" s="20"/>
      <c r="E469" s="20"/>
      <c r="F469" s="20"/>
      <c r="G469" s="20"/>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3"/>
      <c r="AL469" s="1"/>
    </row>
    <row r="470" spans="1:38" ht="15.75" customHeight="1">
      <c r="A470" s="1"/>
      <c r="B470" s="1"/>
      <c r="C470" s="1"/>
      <c r="D470" s="20"/>
      <c r="E470" s="20"/>
      <c r="F470" s="20"/>
      <c r="G470" s="20"/>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3"/>
      <c r="AL470" s="1"/>
    </row>
    <row r="471" spans="1:38" ht="15.75" customHeight="1">
      <c r="A471" s="1"/>
      <c r="B471" s="1"/>
      <c r="C471" s="1"/>
      <c r="D471" s="20"/>
      <c r="E471" s="20"/>
      <c r="F471" s="20"/>
      <c r="G471" s="20"/>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3"/>
      <c r="AL471" s="1"/>
    </row>
    <row r="472" spans="1:38" ht="15.75" customHeight="1">
      <c r="A472" s="1"/>
      <c r="B472" s="1"/>
      <c r="C472" s="1"/>
      <c r="D472" s="20"/>
      <c r="E472" s="20"/>
      <c r="F472" s="20"/>
      <c r="G472" s="20"/>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3"/>
      <c r="AL472" s="1"/>
    </row>
    <row r="473" spans="1:38" ht="15.75" customHeight="1">
      <c r="A473" s="1"/>
      <c r="B473" s="1"/>
      <c r="C473" s="1"/>
      <c r="D473" s="20"/>
      <c r="E473" s="20"/>
      <c r="F473" s="20"/>
      <c r="G473" s="20"/>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3"/>
      <c r="AL473" s="1"/>
    </row>
    <row r="474" spans="1:38" ht="15.75" customHeight="1">
      <c r="A474" s="1"/>
      <c r="B474" s="1"/>
      <c r="C474" s="1"/>
      <c r="D474" s="20"/>
      <c r="E474" s="20"/>
      <c r="F474" s="20"/>
      <c r="G474" s="20"/>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3"/>
      <c r="AL474" s="1"/>
    </row>
    <row r="475" spans="1:38" ht="15.75" customHeight="1">
      <c r="A475" s="1"/>
      <c r="B475" s="1"/>
      <c r="C475" s="1"/>
      <c r="D475" s="20"/>
      <c r="E475" s="20"/>
      <c r="F475" s="20"/>
      <c r="G475" s="20"/>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3"/>
      <c r="AL475" s="1"/>
    </row>
    <row r="476" spans="1:38" ht="15.75" customHeight="1">
      <c r="A476" s="1"/>
      <c r="B476" s="1"/>
      <c r="C476" s="1"/>
      <c r="D476" s="20"/>
      <c r="E476" s="20"/>
      <c r="F476" s="20"/>
      <c r="G476" s="20"/>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3"/>
      <c r="AL476" s="1"/>
    </row>
    <row r="477" spans="1:38" ht="15.75" customHeight="1">
      <c r="A477" s="1"/>
      <c r="B477" s="1"/>
      <c r="C477" s="1"/>
      <c r="D477" s="20"/>
      <c r="E477" s="20"/>
      <c r="F477" s="20"/>
      <c r="G477" s="20"/>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3"/>
      <c r="AL477" s="1"/>
    </row>
    <row r="478" spans="1:38" ht="15.75" customHeight="1">
      <c r="A478" s="1"/>
      <c r="B478" s="1"/>
      <c r="C478" s="1"/>
      <c r="D478" s="20"/>
      <c r="E478" s="20"/>
      <c r="F478" s="20"/>
      <c r="G478" s="20"/>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3"/>
      <c r="AL478" s="1"/>
    </row>
    <row r="479" spans="1:38" ht="15.75" customHeight="1">
      <c r="A479" s="1"/>
      <c r="B479" s="1"/>
      <c r="C479" s="1"/>
      <c r="D479" s="20"/>
      <c r="E479" s="20"/>
      <c r="F479" s="20"/>
      <c r="G479" s="20"/>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3"/>
      <c r="AL479" s="1"/>
    </row>
    <row r="480" spans="1:38" ht="15.75" customHeight="1">
      <c r="A480" s="1"/>
      <c r="B480" s="1"/>
      <c r="C480" s="1"/>
      <c r="D480" s="20"/>
      <c r="E480" s="20"/>
      <c r="F480" s="20"/>
      <c r="G480" s="20"/>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3"/>
      <c r="AL480" s="1"/>
    </row>
    <row r="481" spans="1:38" ht="15.75" customHeight="1">
      <c r="A481" s="1"/>
      <c r="B481" s="1"/>
      <c r="C481" s="1"/>
      <c r="D481" s="20"/>
      <c r="E481" s="20"/>
      <c r="F481" s="20"/>
      <c r="G481" s="20"/>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3"/>
      <c r="AL481" s="1"/>
    </row>
    <row r="482" spans="1:38" ht="15.75" customHeight="1">
      <c r="A482" s="1"/>
      <c r="B482" s="1"/>
      <c r="C482" s="1"/>
      <c r="D482" s="20"/>
      <c r="E482" s="20"/>
      <c r="F482" s="20"/>
      <c r="G482" s="20"/>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3"/>
      <c r="AL482" s="1"/>
    </row>
    <row r="483" spans="1:38" ht="15.75" customHeight="1">
      <c r="A483" s="1"/>
      <c r="B483" s="1"/>
      <c r="C483" s="1"/>
      <c r="D483" s="20"/>
      <c r="E483" s="20"/>
      <c r="F483" s="20"/>
      <c r="G483" s="20"/>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3"/>
      <c r="AL483" s="1"/>
    </row>
    <row r="484" spans="1:38" ht="15.75" customHeight="1">
      <c r="A484" s="1"/>
      <c r="B484" s="1"/>
      <c r="C484" s="1"/>
      <c r="D484" s="20"/>
      <c r="E484" s="20"/>
      <c r="F484" s="20"/>
      <c r="G484" s="20"/>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3"/>
      <c r="AL484" s="1"/>
    </row>
    <row r="485" spans="1:38" ht="15.75" customHeight="1">
      <c r="A485" s="1"/>
      <c r="B485" s="1"/>
      <c r="C485" s="1"/>
      <c r="D485" s="20"/>
      <c r="E485" s="20"/>
      <c r="F485" s="20"/>
      <c r="G485" s="20"/>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3"/>
      <c r="AL485" s="1"/>
    </row>
    <row r="486" spans="1:38" ht="15.75" customHeight="1">
      <c r="A486" s="1"/>
      <c r="B486" s="1"/>
      <c r="C486" s="1"/>
      <c r="D486" s="20"/>
      <c r="E486" s="20"/>
      <c r="F486" s="20"/>
      <c r="G486" s="20"/>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3"/>
      <c r="AL486" s="1"/>
    </row>
    <row r="487" spans="1:38" ht="15.75" customHeight="1">
      <c r="A487" s="1"/>
      <c r="B487" s="1"/>
      <c r="C487" s="1"/>
      <c r="D487" s="20"/>
      <c r="E487" s="20"/>
      <c r="F487" s="20"/>
      <c r="G487" s="20"/>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3"/>
      <c r="AL487" s="1"/>
    </row>
    <row r="488" spans="1:38" ht="15.75" customHeight="1">
      <c r="A488" s="1"/>
      <c r="B488" s="1"/>
      <c r="C488" s="1"/>
      <c r="D488" s="20"/>
      <c r="E488" s="20"/>
      <c r="F488" s="20"/>
      <c r="G488" s="20"/>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3"/>
      <c r="AL488" s="1"/>
    </row>
    <row r="489" spans="1:38" ht="15.75" customHeight="1">
      <c r="A489" s="1"/>
      <c r="B489" s="1"/>
      <c r="C489" s="1"/>
      <c r="D489" s="20"/>
      <c r="E489" s="20"/>
      <c r="F489" s="20"/>
      <c r="G489" s="20"/>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3"/>
      <c r="AL489" s="1"/>
    </row>
    <row r="490" spans="1:38" ht="15.75" customHeight="1">
      <c r="A490" s="1"/>
      <c r="B490" s="1"/>
      <c r="C490" s="1"/>
      <c r="D490" s="20"/>
      <c r="E490" s="20"/>
      <c r="F490" s="20"/>
      <c r="G490" s="20"/>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3"/>
      <c r="AL490" s="1"/>
    </row>
    <row r="491" spans="1:38" ht="15.75" customHeight="1">
      <c r="A491" s="1"/>
      <c r="B491" s="1"/>
      <c r="C491" s="1"/>
      <c r="D491" s="20"/>
      <c r="E491" s="20"/>
      <c r="F491" s="20"/>
      <c r="G491" s="20"/>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3"/>
      <c r="AL491" s="1"/>
    </row>
    <row r="492" spans="1:38" ht="15.75" customHeight="1">
      <c r="A492" s="1"/>
      <c r="B492" s="1"/>
      <c r="C492" s="1"/>
      <c r="D492" s="20"/>
      <c r="E492" s="20"/>
      <c r="F492" s="20"/>
      <c r="G492" s="20"/>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3"/>
      <c r="AL492" s="1"/>
    </row>
    <row r="493" spans="1:38" ht="15.75" customHeight="1">
      <c r="A493" s="1"/>
      <c r="B493" s="1"/>
      <c r="C493" s="1"/>
      <c r="D493" s="20"/>
      <c r="E493" s="20"/>
      <c r="F493" s="20"/>
      <c r="G493" s="20"/>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3"/>
      <c r="AL493" s="1"/>
    </row>
    <row r="494" spans="1:38" ht="15.75" customHeight="1">
      <c r="A494" s="1"/>
      <c r="B494" s="1"/>
      <c r="C494" s="1"/>
      <c r="D494" s="20"/>
      <c r="E494" s="20"/>
      <c r="F494" s="20"/>
      <c r="G494" s="20"/>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3"/>
      <c r="AL494" s="1"/>
    </row>
    <row r="495" spans="1:38" ht="15.75" customHeight="1">
      <c r="A495" s="1"/>
      <c r="B495" s="1"/>
      <c r="C495" s="1"/>
      <c r="D495" s="20"/>
      <c r="E495" s="20"/>
      <c r="F495" s="20"/>
      <c r="G495" s="20"/>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3"/>
      <c r="AL495" s="1"/>
    </row>
    <row r="496" spans="1:38" ht="15.75" customHeight="1">
      <c r="A496" s="1"/>
      <c r="B496" s="1"/>
      <c r="C496" s="1"/>
      <c r="D496" s="20"/>
      <c r="E496" s="20"/>
      <c r="F496" s="20"/>
      <c r="G496" s="20"/>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3"/>
      <c r="AL496" s="1"/>
    </row>
    <row r="497" spans="1:38" ht="15.75" customHeight="1">
      <c r="A497" s="1"/>
      <c r="B497" s="1"/>
      <c r="C497" s="1"/>
      <c r="D497" s="20"/>
      <c r="E497" s="20"/>
      <c r="F497" s="20"/>
      <c r="G497" s="20"/>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3"/>
      <c r="AL497" s="1"/>
    </row>
    <row r="498" spans="1:38" ht="15.75" customHeight="1">
      <c r="A498" s="1"/>
      <c r="B498" s="1"/>
      <c r="C498" s="1"/>
      <c r="D498" s="20"/>
      <c r="E498" s="20"/>
      <c r="F498" s="20"/>
      <c r="G498" s="20"/>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3"/>
      <c r="AL498" s="1"/>
    </row>
    <row r="499" spans="1:38" ht="15.75" customHeight="1">
      <c r="A499" s="1"/>
      <c r="B499" s="1"/>
      <c r="C499" s="1"/>
      <c r="D499" s="20"/>
      <c r="E499" s="20"/>
      <c r="F499" s="20"/>
      <c r="G499" s="20"/>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3"/>
      <c r="AL499" s="1"/>
    </row>
    <row r="500" spans="1:38" ht="15.75" customHeight="1">
      <c r="A500" s="1"/>
      <c r="B500" s="1"/>
      <c r="C500" s="1"/>
      <c r="D500" s="20"/>
      <c r="E500" s="20"/>
      <c r="F500" s="20"/>
      <c r="G500" s="20"/>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3"/>
      <c r="AL500" s="1"/>
    </row>
    <row r="501" spans="1:38" ht="15.75" customHeight="1">
      <c r="A501" s="1"/>
      <c r="B501" s="1"/>
      <c r="C501" s="1"/>
      <c r="D501" s="20"/>
      <c r="E501" s="20"/>
      <c r="F501" s="20"/>
      <c r="G501" s="20"/>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3"/>
      <c r="AL501" s="1"/>
    </row>
    <row r="502" spans="1:38" ht="15.75" customHeight="1">
      <c r="A502" s="1"/>
      <c r="B502" s="1"/>
      <c r="C502" s="1"/>
      <c r="D502" s="20"/>
      <c r="E502" s="20"/>
      <c r="F502" s="20"/>
      <c r="G502" s="20"/>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3"/>
      <c r="AL502" s="1"/>
    </row>
    <row r="503" spans="1:38" ht="15.75" customHeight="1">
      <c r="A503" s="1"/>
      <c r="B503" s="1"/>
      <c r="C503" s="1"/>
      <c r="D503" s="20"/>
      <c r="E503" s="20"/>
      <c r="F503" s="20"/>
      <c r="G503" s="20"/>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3"/>
      <c r="AL503" s="1"/>
    </row>
    <row r="504" spans="1:38" ht="15.75" customHeight="1">
      <c r="A504" s="1"/>
      <c r="B504" s="1"/>
      <c r="C504" s="1"/>
      <c r="D504" s="20"/>
      <c r="E504" s="20"/>
      <c r="F504" s="20"/>
      <c r="G504" s="20"/>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3"/>
      <c r="AL504" s="1"/>
    </row>
    <row r="505" spans="1:38" ht="15.75" customHeight="1">
      <c r="A505" s="1"/>
      <c r="B505" s="1"/>
      <c r="C505" s="1"/>
      <c r="D505" s="20"/>
      <c r="E505" s="20"/>
      <c r="F505" s="20"/>
      <c r="G505" s="20"/>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3"/>
      <c r="AL505" s="1"/>
    </row>
    <row r="506" spans="1:38" ht="15.75" customHeight="1">
      <c r="A506" s="1"/>
      <c r="B506" s="1"/>
      <c r="C506" s="1"/>
      <c r="D506" s="20"/>
      <c r="E506" s="20"/>
      <c r="F506" s="20"/>
      <c r="G506" s="20"/>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3"/>
      <c r="AL506" s="1"/>
    </row>
    <row r="507" spans="1:38" ht="15.75" customHeight="1">
      <c r="A507" s="1"/>
      <c r="B507" s="1"/>
      <c r="C507" s="1"/>
      <c r="D507" s="20"/>
      <c r="E507" s="20"/>
      <c r="F507" s="20"/>
      <c r="G507" s="20"/>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3"/>
      <c r="AL507" s="1"/>
    </row>
    <row r="508" spans="1:38" ht="15.75" customHeight="1">
      <c r="A508" s="1"/>
      <c r="B508" s="1"/>
      <c r="C508" s="1"/>
      <c r="D508" s="20"/>
      <c r="E508" s="20"/>
      <c r="F508" s="20"/>
      <c r="G508" s="20"/>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3"/>
      <c r="AL508" s="1"/>
    </row>
    <row r="509" spans="1:38" ht="15.75" customHeight="1">
      <c r="A509" s="1"/>
      <c r="B509" s="1"/>
      <c r="C509" s="1"/>
      <c r="D509" s="20"/>
      <c r="E509" s="20"/>
      <c r="F509" s="20"/>
      <c r="G509" s="20"/>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3"/>
      <c r="AL509" s="1"/>
    </row>
    <row r="510" spans="1:38" ht="15.75" customHeight="1">
      <c r="A510" s="1"/>
      <c r="B510" s="1"/>
      <c r="C510" s="1"/>
      <c r="D510" s="20"/>
      <c r="E510" s="20"/>
      <c r="F510" s="20"/>
      <c r="G510" s="20"/>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3"/>
      <c r="AL510" s="1"/>
    </row>
    <row r="511" spans="1:38" ht="15.75" customHeight="1">
      <c r="A511" s="1"/>
      <c r="B511" s="1"/>
      <c r="C511" s="1"/>
      <c r="D511" s="20"/>
      <c r="E511" s="20"/>
      <c r="F511" s="20"/>
      <c r="G511" s="20"/>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3"/>
      <c r="AL511" s="1"/>
    </row>
    <row r="512" spans="1:38" ht="15.75" customHeight="1">
      <c r="A512" s="1"/>
      <c r="B512" s="1"/>
      <c r="C512" s="1"/>
      <c r="D512" s="20"/>
      <c r="E512" s="20"/>
      <c r="F512" s="20"/>
      <c r="G512" s="20"/>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3"/>
      <c r="AL512" s="1"/>
    </row>
    <row r="513" spans="1:38" ht="15.75" customHeight="1">
      <c r="A513" s="1"/>
      <c r="B513" s="1"/>
      <c r="C513" s="1"/>
      <c r="D513" s="20"/>
      <c r="E513" s="20"/>
      <c r="F513" s="20"/>
      <c r="G513" s="20"/>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3"/>
      <c r="AL513" s="1"/>
    </row>
    <row r="514" spans="1:38" ht="15.75" customHeight="1">
      <c r="A514" s="1"/>
      <c r="B514" s="1"/>
      <c r="C514" s="1"/>
      <c r="D514" s="20"/>
      <c r="E514" s="20"/>
      <c r="F514" s="20"/>
      <c r="G514" s="20"/>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3"/>
      <c r="AL514" s="1"/>
    </row>
    <row r="515" spans="1:38" ht="15.75" customHeight="1">
      <c r="A515" s="1"/>
      <c r="B515" s="1"/>
      <c r="C515" s="1"/>
      <c r="D515" s="20"/>
      <c r="E515" s="20"/>
      <c r="F515" s="20"/>
      <c r="G515" s="20"/>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3"/>
      <c r="AL515" s="1"/>
    </row>
    <row r="516" spans="1:38" ht="15.75" customHeight="1">
      <c r="A516" s="1"/>
      <c r="B516" s="1"/>
      <c r="C516" s="1"/>
      <c r="D516" s="20"/>
      <c r="E516" s="20"/>
      <c r="F516" s="20"/>
      <c r="G516" s="20"/>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3"/>
      <c r="AL516" s="1"/>
    </row>
    <row r="517" spans="1:38" ht="15.75" customHeight="1">
      <c r="A517" s="1"/>
      <c r="B517" s="1"/>
      <c r="C517" s="1"/>
      <c r="D517" s="20"/>
      <c r="E517" s="20"/>
      <c r="F517" s="20"/>
      <c r="G517" s="20"/>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3"/>
      <c r="AL517" s="1"/>
    </row>
    <row r="518" spans="1:38" ht="15.75" customHeight="1">
      <c r="A518" s="1"/>
      <c r="B518" s="1"/>
      <c r="C518" s="1"/>
      <c r="D518" s="20"/>
      <c r="E518" s="20"/>
      <c r="F518" s="20"/>
      <c r="G518" s="20"/>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3"/>
      <c r="AL518" s="1"/>
    </row>
    <row r="519" spans="1:38" ht="15.75" customHeight="1">
      <c r="A519" s="1"/>
      <c r="B519" s="1"/>
      <c r="C519" s="1"/>
      <c r="D519" s="20"/>
      <c r="E519" s="20"/>
      <c r="F519" s="20"/>
      <c r="G519" s="20"/>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3"/>
      <c r="AL519" s="1"/>
    </row>
    <row r="520" spans="1:38" ht="15.75" customHeight="1">
      <c r="A520" s="1"/>
      <c r="B520" s="1"/>
      <c r="C520" s="1"/>
      <c r="D520" s="20"/>
      <c r="E520" s="20"/>
      <c r="F520" s="20"/>
      <c r="G520" s="20"/>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3"/>
      <c r="AL520" s="1"/>
    </row>
    <row r="521" spans="1:38" ht="15.75" customHeight="1">
      <c r="A521" s="1"/>
      <c r="B521" s="1"/>
      <c r="C521" s="1"/>
      <c r="D521" s="20"/>
      <c r="E521" s="20"/>
      <c r="F521" s="20"/>
      <c r="G521" s="20"/>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3"/>
      <c r="AL521" s="1"/>
    </row>
    <row r="522" spans="1:38" ht="15.75" customHeight="1">
      <c r="A522" s="1"/>
      <c r="B522" s="1"/>
      <c r="C522" s="1"/>
      <c r="D522" s="20"/>
      <c r="E522" s="20"/>
      <c r="F522" s="20"/>
      <c r="G522" s="20"/>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3"/>
      <c r="AL522" s="1"/>
    </row>
    <row r="523" spans="1:38" ht="15.75" customHeight="1">
      <c r="A523" s="1"/>
      <c r="B523" s="1"/>
      <c r="C523" s="1"/>
      <c r="D523" s="20"/>
      <c r="E523" s="20"/>
      <c r="F523" s="20"/>
      <c r="G523" s="20"/>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3"/>
      <c r="AL523" s="1"/>
    </row>
    <row r="524" spans="1:38" ht="15.75" customHeight="1">
      <c r="A524" s="1"/>
      <c r="B524" s="1"/>
      <c r="C524" s="1"/>
      <c r="D524" s="20"/>
      <c r="E524" s="20"/>
      <c r="F524" s="20"/>
      <c r="G524" s="20"/>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3"/>
      <c r="AL524" s="1"/>
    </row>
    <row r="525" spans="1:38" ht="15.75" customHeight="1">
      <c r="A525" s="1"/>
      <c r="B525" s="1"/>
      <c r="C525" s="1"/>
      <c r="D525" s="20"/>
      <c r="E525" s="20"/>
      <c r="F525" s="20"/>
      <c r="G525" s="20"/>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3"/>
      <c r="AL525" s="1"/>
    </row>
    <row r="526" spans="1:38" ht="15.75" customHeight="1">
      <c r="A526" s="1"/>
      <c r="B526" s="1"/>
      <c r="C526" s="1"/>
      <c r="D526" s="20"/>
      <c r="E526" s="20"/>
      <c r="F526" s="20"/>
      <c r="G526" s="20"/>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3"/>
      <c r="AL526" s="1"/>
    </row>
    <row r="527" spans="1:38" ht="15.75" customHeight="1">
      <c r="A527" s="1"/>
      <c r="B527" s="1"/>
      <c r="C527" s="1"/>
      <c r="D527" s="20"/>
      <c r="E527" s="20"/>
      <c r="F527" s="20"/>
      <c r="G527" s="20"/>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3"/>
      <c r="AL527" s="1"/>
    </row>
    <row r="528" spans="1:38" ht="15.75" customHeight="1">
      <c r="A528" s="1"/>
      <c r="B528" s="1"/>
      <c r="C528" s="1"/>
      <c r="D528" s="20"/>
      <c r="E528" s="20"/>
      <c r="F528" s="20"/>
      <c r="G528" s="20"/>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3"/>
      <c r="AL528" s="1"/>
    </row>
    <row r="529" spans="1:38" ht="15.75" customHeight="1">
      <c r="A529" s="1"/>
      <c r="B529" s="1"/>
      <c r="C529" s="1"/>
      <c r="D529" s="20"/>
      <c r="E529" s="20"/>
      <c r="F529" s="20"/>
      <c r="G529" s="20"/>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3"/>
      <c r="AL529" s="1"/>
    </row>
    <row r="530" spans="1:38" ht="15.75" customHeight="1">
      <c r="A530" s="1"/>
      <c r="B530" s="1"/>
      <c r="C530" s="1"/>
      <c r="D530" s="20"/>
      <c r="E530" s="20"/>
      <c r="F530" s="20"/>
      <c r="G530" s="20"/>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3"/>
      <c r="AL530" s="1"/>
    </row>
    <row r="531" spans="1:38" ht="15.75" customHeight="1">
      <c r="A531" s="1"/>
      <c r="B531" s="1"/>
      <c r="C531" s="1"/>
      <c r="D531" s="20"/>
      <c r="E531" s="20"/>
      <c r="F531" s="20"/>
      <c r="G531" s="20"/>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3"/>
      <c r="AL531" s="1"/>
    </row>
    <row r="532" spans="1:38" ht="15.75" customHeight="1">
      <c r="A532" s="1"/>
      <c r="B532" s="1"/>
      <c r="C532" s="1"/>
      <c r="D532" s="20"/>
      <c r="E532" s="20"/>
      <c r="F532" s="20"/>
      <c r="G532" s="20"/>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3"/>
      <c r="AL532" s="1"/>
    </row>
    <row r="533" spans="1:38" ht="15.75" customHeight="1">
      <c r="A533" s="1"/>
      <c r="B533" s="1"/>
      <c r="C533" s="1"/>
      <c r="D533" s="20"/>
      <c r="E533" s="20"/>
      <c r="F533" s="20"/>
      <c r="G533" s="20"/>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3"/>
      <c r="AL533" s="1"/>
    </row>
    <row r="534" spans="1:38" ht="15.75" customHeight="1">
      <c r="A534" s="1"/>
      <c r="B534" s="1"/>
      <c r="C534" s="1"/>
      <c r="D534" s="20"/>
      <c r="E534" s="20"/>
      <c r="F534" s="20"/>
      <c r="G534" s="20"/>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3"/>
      <c r="AL534" s="1"/>
    </row>
    <row r="535" spans="1:38" ht="15.75" customHeight="1">
      <c r="A535" s="1"/>
      <c r="B535" s="1"/>
      <c r="C535" s="1"/>
      <c r="D535" s="20"/>
      <c r="E535" s="20"/>
      <c r="F535" s="20"/>
      <c r="G535" s="20"/>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3"/>
      <c r="AL535" s="1"/>
    </row>
    <row r="536" spans="1:38" ht="15.75" customHeight="1">
      <c r="A536" s="1"/>
      <c r="B536" s="1"/>
      <c r="C536" s="1"/>
      <c r="D536" s="20"/>
      <c r="E536" s="20"/>
      <c r="F536" s="20"/>
      <c r="G536" s="20"/>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3"/>
      <c r="AL536" s="1"/>
    </row>
    <row r="537" spans="1:38" ht="15.75" customHeight="1">
      <c r="A537" s="1"/>
      <c r="B537" s="1"/>
      <c r="C537" s="1"/>
      <c r="D537" s="20"/>
      <c r="E537" s="20"/>
      <c r="F537" s="20"/>
      <c r="G537" s="20"/>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3"/>
      <c r="AL537" s="1"/>
    </row>
    <row r="538" spans="1:38" ht="15.75" customHeight="1">
      <c r="A538" s="1"/>
      <c r="B538" s="1"/>
      <c r="C538" s="1"/>
      <c r="D538" s="20"/>
      <c r="E538" s="20"/>
      <c r="F538" s="20"/>
      <c r="G538" s="20"/>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3"/>
      <c r="AL538" s="1"/>
    </row>
    <row r="539" spans="1:38" ht="15.75" customHeight="1">
      <c r="A539" s="1"/>
      <c r="B539" s="1"/>
      <c r="C539" s="1"/>
      <c r="D539" s="20"/>
      <c r="E539" s="20"/>
      <c r="F539" s="20"/>
      <c r="G539" s="20"/>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3"/>
      <c r="AL539" s="1"/>
    </row>
    <row r="540" spans="1:38" ht="15.75" customHeight="1">
      <c r="A540" s="1"/>
      <c r="B540" s="1"/>
      <c r="C540" s="1"/>
      <c r="D540" s="20"/>
      <c r="E540" s="20"/>
      <c r="F540" s="20"/>
      <c r="G540" s="20"/>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3"/>
      <c r="AL540" s="1"/>
    </row>
    <row r="541" spans="1:38" ht="15.75" customHeight="1">
      <c r="A541" s="1"/>
      <c r="B541" s="1"/>
      <c r="C541" s="1"/>
      <c r="D541" s="20"/>
      <c r="E541" s="20"/>
      <c r="F541" s="20"/>
      <c r="G541" s="20"/>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3"/>
      <c r="AL541" s="1"/>
    </row>
    <row r="542" spans="1:38" ht="15.75" customHeight="1">
      <c r="A542" s="1"/>
      <c r="B542" s="1"/>
      <c r="C542" s="1"/>
      <c r="D542" s="20"/>
      <c r="E542" s="20"/>
      <c r="F542" s="20"/>
      <c r="G542" s="20"/>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3"/>
      <c r="AL542" s="1"/>
    </row>
    <row r="543" spans="1:38" ht="15.75" customHeight="1">
      <c r="A543" s="1"/>
      <c r="B543" s="1"/>
      <c r="C543" s="1"/>
      <c r="D543" s="20"/>
      <c r="E543" s="20"/>
      <c r="F543" s="20"/>
      <c r="G543" s="20"/>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3"/>
      <c r="AL543" s="1"/>
    </row>
    <row r="544" spans="1:38" ht="15.75" customHeight="1">
      <c r="A544" s="1"/>
      <c r="B544" s="1"/>
      <c r="C544" s="1"/>
      <c r="D544" s="20"/>
      <c r="E544" s="20"/>
      <c r="F544" s="20"/>
      <c r="G544" s="20"/>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3"/>
      <c r="AL544" s="1"/>
    </row>
    <row r="545" spans="1:38" ht="15.75" customHeight="1">
      <c r="A545" s="1"/>
      <c r="B545" s="1"/>
      <c r="C545" s="1"/>
      <c r="D545" s="20"/>
      <c r="E545" s="20"/>
      <c r="F545" s="20"/>
      <c r="G545" s="20"/>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3"/>
      <c r="AL545" s="1"/>
    </row>
    <row r="546" spans="1:38" ht="15.75" customHeight="1">
      <c r="A546" s="1"/>
      <c r="B546" s="1"/>
      <c r="C546" s="1"/>
      <c r="D546" s="20"/>
      <c r="E546" s="20"/>
      <c r="F546" s="20"/>
      <c r="G546" s="20"/>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3"/>
      <c r="AL546" s="1"/>
    </row>
    <row r="547" spans="1:38" ht="15.75" customHeight="1">
      <c r="A547" s="1"/>
      <c r="B547" s="1"/>
      <c r="C547" s="1"/>
      <c r="D547" s="20"/>
      <c r="E547" s="20"/>
      <c r="F547" s="20"/>
      <c r="G547" s="20"/>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3"/>
      <c r="AL547" s="1"/>
    </row>
    <row r="548" spans="1:38" ht="15.75" customHeight="1">
      <c r="A548" s="1"/>
      <c r="B548" s="1"/>
      <c r="C548" s="1"/>
      <c r="D548" s="20"/>
      <c r="E548" s="20"/>
      <c r="F548" s="20"/>
      <c r="G548" s="20"/>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3"/>
      <c r="AL548" s="1"/>
    </row>
    <row r="549" spans="1:38" ht="15.75" customHeight="1">
      <c r="A549" s="1"/>
      <c r="B549" s="1"/>
      <c r="C549" s="1"/>
      <c r="D549" s="20"/>
      <c r="E549" s="20"/>
      <c r="F549" s="20"/>
      <c r="G549" s="20"/>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c r="A550" s="1"/>
      <c r="B550" s="1"/>
      <c r="C550" s="1"/>
      <c r="D550" s="20"/>
      <c r="E550" s="20"/>
      <c r="F550" s="20"/>
      <c r="G550" s="20"/>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c r="A551" s="1"/>
      <c r="B551" s="1"/>
      <c r="C551" s="1"/>
      <c r="D551" s="20"/>
      <c r="E551" s="20"/>
      <c r="F551" s="20"/>
      <c r="G551" s="20"/>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c r="A552" s="1"/>
      <c r="B552" s="1"/>
      <c r="C552" s="1"/>
      <c r="D552" s="20"/>
      <c r="E552" s="20"/>
      <c r="F552" s="20"/>
      <c r="G552" s="20"/>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c r="A553" s="1"/>
      <c r="B553" s="1"/>
      <c r="C553" s="1"/>
      <c r="D553" s="20"/>
      <c r="E553" s="20"/>
      <c r="F553" s="20"/>
      <c r="G553" s="20"/>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c r="A554" s="1"/>
      <c r="B554" s="1"/>
      <c r="C554" s="1"/>
      <c r="D554" s="20"/>
      <c r="E554" s="20"/>
      <c r="F554" s="20"/>
      <c r="G554" s="20"/>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c r="A555" s="1"/>
      <c r="B555" s="1"/>
      <c r="C555" s="1"/>
      <c r="D555" s="20"/>
      <c r="E555" s="20"/>
      <c r="F555" s="20"/>
      <c r="G555" s="20"/>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c r="A556" s="1"/>
      <c r="B556" s="1"/>
      <c r="C556" s="1"/>
      <c r="D556" s="20"/>
      <c r="E556" s="20"/>
      <c r="F556" s="20"/>
      <c r="G556" s="20"/>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c r="A557" s="1"/>
      <c r="B557" s="1"/>
      <c r="C557" s="1"/>
      <c r="D557" s="20"/>
      <c r="E557" s="20"/>
      <c r="F557" s="20"/>
      <c r="G557" s="20"/>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c r="A558" s="1"/>
      <c r="B558" s="1"/>
      <c r="C558" s="1"/>
      <c r="D558" s="20"/>
      <c r="E558" s="20"/>
      <c r="F558" s="20"/>
      <c r="G558" s="20"/>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c r="A559" s="1"/>
      <c r="B559" s="1"/>
      <c r="C559" s="1"/>
      <c r="D559" s="20"/>
      <c r="E559" s="20"/>
      <c r="F559" s="20"/>
      <c r="G559" s="20"/>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c r="A560" s="1"/>
      <c r="B560" s="1"/>
      <c r="C560" s="1"/>
      <c r="D560" s="20"/>
      <c r="E560" s="20"/>
      <c r="F560" s="20"/>
      <c r="G560" s="20"/>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c r="A561" s="1"/>
      <c r="B561" s="1"/>
      <c r="C561" s="1"/>
      <c r="D561" s="20"/>
      <c r="E561" s="20"/>
      <c r="F561" s="20"/>
      <c r="G561" s="20"/>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c r="A562" s="1"/>
      <c r="B562" s="1"/>
      <c r="C562" s="1"/>
      <c r="D562" s="20"/>
      <c r="E562" s="20"/>
      <c r="F562" s="20"/>
      <c r="G562" s="20"/>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c r="A563" s="1"/>
      <c r="B563" s="1"/>
      <c r="C563" s="1"/>
      <c r="D563" s="20"/>
      <c r="E563" s="20"/>
      <c r="F563" s="20"/>
      <c r="G563" s="20"/>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c r="A564" s="1"/>
      <c r="B564" s="1"/>
      <c r="C564" s="1"/>
      <c r="D564" s="20"/>
      <c r="E564" s="20"/>
      <c r="F564" s="20"/>
      <c r="G564" s="20"/>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c r="A565" s="1"/>
      <c r="B565" s="1"/>
      <c r="C565" s="1"/>
      <c r="D565" s="20"/>
      <c r="E565" s="20"/>
      <c r="F565" s="20"/>
      <c r="G565" s="20"/>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c r="A566" s="1"/>
      <c r="B566" s="1"/>
      <c r="C566" s="1"/>
      <c r="D566" s="20"/>
      <c r="E566" s="20"/>
      <c r="F566" s="20"/>
      <c r="G566" s="20"/>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c r="A567" s="1"/>
      <c r="B567" s="1"/>
      <c r="C567" s="1"/>
      <c r="D567" s="20"/>
      <c r="E567" s="20"/>
      <c r="F567" s="20"/>
      <c r="G567" s="20"/>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c r="A568" s="1"/>
      <c r="B568" s="1"/>
      <c r="C568" s="1"/>
      <c r="D568" s="20"/>
      <c r="E568" s="20"/>
      <c r="F568" s="20"/>
      <c r="G568" s="20"/>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c r="A569" s="1"/>
      <c r="B569" s="1"/>
      <c r="C569" s="1"/>
      <c r="D569" s="20"/>
      <c r="E569" s="20"/>
      <c r="F569" s="20"/>
      <c r="G569" s="20"/>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c r="A570" s="1"/>
      <c r="B570" s="1"/>
      <c r="C570" s="1"/>
      <c r="D570" s="20"/>
      <c r="E570" s="20"/>
      <c r="F570" s="20"/>
      <c r="G570" s="20"/>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c r="A571" s="1"/>
      <c r="B571" s="1"/>
      <c r="C571" s="1"/>
      <c r="D571" s="20"/>
      <c r="E571" s="20"/>
      <c r="F571" s="20"/>
      <c r="G571" s="20"/>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c r="A572" s="1"/>
      <c r="B572" s="1"/>
      <c r="C572" s="1"/>
      <c r="D572" s="20"/>
      <c r="E572" s="20"/>
      <c r="F572" s="20"/>
      <c r="G572" s="20"/>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c r="A573" s="1"/>
      <c r="B573" s="1"/>
      <c r="C573" s="1"/>
      <c r="D573" s="20"/>
      <c r="E573" s="20"/>
      <c r="F573" s="20"/>
      <c r="G573" s="20"/>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c r="A574" s="1"/>
      <c r="B574" s="1"/>
      <c r="C574" s="1"/>
      <c r="D574" s="20"/>
      <c r="E574" s="20"/>
      <c r="F574" s="20"/>
      <c r="G574" s="20"/>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c r="A575" s="1"/>
      <c r="B575" s="1"/>
      <c r="C575" s="1"/>
      <c r="D575" s="20"/>
      <c r="E575" s="20"/>
      <c r="F575" s="20"/>
      <c r="G575" s="20"/>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c r="A576" s="1"/>
      <c r="B576" s="1"/>
      <c r="C576" s="1"/>
      <c r="D576" s="20"/>
      <c r="E576" s="20"/>
      <c r="F576" s="20"/>
      <c r="G576" s="20"/>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c r="A577" s="1"/>
      <c r="B577" s="1"/>
      <c r="C577" s="1"/>
      <c r="D577" s="20"/>
      <c r="E577" s="20"/>
      <c r="F577" s="20"/>
      <c r="G577" s="20"/>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c r="A578" s="1"/>
      <c r="B578" s="1"/>
      <c r="C578" s="1"/>
      <c r="D578" s="20"/>
      <c r="E578" s="20"/>
      <c r="F578" s="20"/>
      <c r="G578" s="20"/>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c r="A579" s="1"/>
      <c r="B579" s="1"/>
      <c r="C579" s="1"/>
      <c r="D579" s="20"/>
      <c r="E579" s="20"/>
      <c r="F579" s="20"/>
      <c r="G579" s="20"/>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c r="A580" s="1"/>
      <c r="B580" s="1"/>
      <c r="C580" s="1"/>
      <c r="D580" s="20"/>
      <c r="E580" s="20"/>
      <c r="F580" s="20"/>
      <c r="G580" s="20"/>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c r="A581" s="1"/>
      <c r="B581" s="1"/>
      <c r="C581" s="1"/>
      <c r="D581" s="20"/>
      <c r="E581" s="20"/>
      <c r="F581" s="20"/>
      <c r="G581" s="20"/>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c r="A582" s="1"/>
      <c r="B582" s="1"/>
      <c r="C582" s="1"/>
      <c r="D582" s="20"/>
      <c r="E582" s="20"/>
      <c r="F582" s="20"/>
      <c r="G582" s="20"/>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c r="A583" s="1"/>
      <c r="B583" s="1"/>
      <c r="C583" s="1"/>
      <c r="D583" s="20"/>
      <c r="E583" s="20"/>
      <c r="F583" s="20"/>
      <c r="G583" s="20"/>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c r="A584" s="1"/>
      <c r="B584" s="1"/>
      <c r="C584" s="1"/>
      <c r="D584" s="20"/>
      <c r="E584" s="20"/>
      <c r="F584" s="20"/>
      <c r="G584" s="20"/>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c r="A585" s="1"/>
      <c r="B585" s="1"/>
      <c r="C585" s="1"/>
      <c r="D585" s="20"/>
      <c r="E585" s="20"/>
      <c r="F585" s="20"/>
      <c r="G585" s="20"/>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c r="A586" s="1"/>
      <c r="B586" s="1"/>
      <c r="C586" s="1"/>
      <c r="D586" s="20"/>
      <c r="E586" s="20"/>
      <c r="F586" s="20"/>
      <c r="G586" s="20"/>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c r="A587" s="1"/>
      <c r="B587" s="1"/>
      <c r="C587" s="1"/>
      <c r="D587" s="20"/>
      <c r="E587" s="20"/>
      <c r="F587" s="20"/>
      <c r="G587" s="20"/>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c r="A588" s="1"/>
      <c r="B588" s="1"/>
      <c r="C588" s="1"/>
      <c r="D588" s="20"/>
      <c r="E588" s="20"/>
      <c r="F588" s="20"/>
      <c r="G588" s="20"/>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c r="A589" s="1"/>
      <c r="B589" s="1"/>
      <c r="C589" s="1"/>
      <c r="D589" s="20"/>
      <c r="E589" s="20"/>
      <c r="F589" s="20"/>
      <c r="G589" s="20"/>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c r="A590" s="1"/>
      <c r="B590" s="1"/>
      <c r="C590" s="1"/>
      <c r="D590" s="20"/>
      <c r="E590" s="20"/>
      <c r="F590" s="20"/>
      <c r="G590" s="20"/>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c r="A591" s="1"/>
      <c r="B591" s="1"/>
      <c r="C591" s="1"/>
      <c r="D591" s="20"/>
      <c r="E591" s="20"/>
      <c r="F591" s="20"/>
      <c r="G591" s="20"/>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c r="A592" s="1"/>
      <c r="B592" s="1"/>
      <c r="C592" s="1"/>
      <c r="D592" s="20"/>
      <c r="E592" s="20"/>
      <c r="F592" s="20"/>
      <c r="G592" s="20"/>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c r="A593" s="1"/>
      <c r="B593" s="1"/>
      <c r="C593" s="1"/>
      <c r="D593" s="20"/>
      <c r="E593" s="20"/>
      <c r="F593" s="20"/>
      <c r="G593" s="20"/>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c r="A594" s="1"/>
      <c r="B594" s="1"/>
      <c r="C594" s="1"/>
      <c r="D594" s="20"/>
      <c r="E594" s="20"/>
      <c r="F594" s="20"/>
      <c r="G594" s="20"/>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c r="A595" s="1"/>
      <c r="B595" s="1"/>
      <c r="C595" s="1"/>
      <c r="D595" s="20"/>
      <c r="E595" s="20"/>
      <c r="F595" s="20"/>
      <c r="G595" s="20"/>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c r="A596" s="1"/>
      <c r="B596" s="1"/>
      <c r="C596" s="1"/>
      <c r="D596" s="20"/>
      <c r="E596" s="20"/>
      <c r="F596" s="20"/>
      <c r="G596" s="20"/>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c r="A597" s="1"/>
      <c r="B597" s="1"/>
      <c r="C597" s="1"/>
      <c r="D597" s="20"/>
      <c r="E597" s="20"/>
      <c r="F597" s="20"/>
      <c r="G597" s="20"/>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c r="A598" s="1"/>
      <c r="B598" s="1"/>
      <c r="C598" s="1"/>
      <c r="D598" s="20"/>
      <c r="E598" s="20"/>
      <c r="F598" s="20"/>
      <c r="G598" s="20"/>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c r="A599" s="1"/>
      <c r="B599" s="1"/>
      <c r="C599" s="1"/>
      <c r="D599" s="20"/>
      <c r="E599" s="20"/>
      <c r="F599" s="20"/>
      <c r="G599" s="20"/>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c r="A600" s="1"/>
      <c r="B600" s="1"/>
      <c r="C600" s="1"/>
      <c r="D600" s="20"/>
      <c r="E600" s="20"/>
      <c r="F600" s="20"/>
      <c r="G600" s="20"/>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c r="A601" s="1"/>
      <c r="B601" s="1"/>
      <c r="C601" s="1"/>
      <c r="D601" s="20"/>
      <c r="E601" s="20"/>
      <c r="F601" s="20"/>
      <c r="G601" s="20"/>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c r="A602" s="1"/>
      <c r="B602" s="1"/>
      <c r="C602" s="1"/>
      <c r="D602" s="20"/>
      <c r="E602" s="20"/>
      <c r="F602" s="20"/>
      <c r="G602" s="20"/>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c r="A603" s="1"/>
      <c r="B603" s="1"/>
      <c r="C603" s="1"/>
      <c r="D603" s="20"/>
      <c r="E603" s="20"/>
      <c r="F603" s="20"/>
      <c r="G603" s="20"/>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c r="A604" s="1"/>
      <c r="B604" s="1"/>
      <c r="C604" s="1"/>
      <c r="D604" s="20"/>
      <c r="E604" s="20"/>
      <c r="F604" s="20"/>
      <c r="G604" s="20"/>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c r="A605" s="1"/>
      <c r="B605" s="1"/>
      <c r="C605" s="1"/>
      <c r="D605" s="20"/>
      <c r="E605" s="20"/>
      <c r="F605" s="20"/>
      <c r="G605" s="20"/>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c r="A606" s="1"/>
      <c r="B606" s="1"/>
      <c r="C606" s="1"/>
      <c r="D606" s="20"/>
      <c r="E606" s="20"/>
      <c r="F606" s="20"/>
      <c r="G606" s="20"/>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c r="A607" s="1"/>
      <c r="B607" s="1"/>
      <c r="C607" s="1"/>
      <c r="D607" s="20"/>
      <c r="E607" s="20"/>
      <c r="F607" s="20"/>
      <c r="G607" s="20"/>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c r="A608" s="1"/>
      <c r="B608" s="1"/>
      <c r="C608" s="1"/>
      <c r="D608" s="20"/>
      <c r="E608" s="20"/>
      <c r="F608" s="20"/>
      <c r="G608" s="20"/>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c r="A609" s="1"/>
      <c r="B609" s="1"/>
      <c r="C609" s="1"/>
      <c r="D609" s="20"/>
      <c r="E609" s="20"/>
      <c r="F609" s="20"/>
      <c r="G609" s="20"/>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c r="A610" s="1"/>
      <c r="B610" s="1"/>
      <c r="C610" s="1"/>
      <c r="D610" s="20"/>
      <c r="E610" s="20"/>
      <c r="F610" s="20"/>
      <c r="G610" s="20"/>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c r="A611" s="1"/>
      <c r="B611" s="1"/>
      <c r="C611" s="1"/>
      <c r="D611" s="20"/>
      <c r="E611" s="20"/>
      <c r="F611" s="20"/>
      <c r="G611" s="20"/>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c r="A612" s="1"/>
      <c r="B612" s="1"/>
      <c r="C612" s="1"/>
      <c r="D612" s="20"/>
      <c r="E612" s="20"/>
      <c r="F612" s="20"/>
      <c r="G612" s="20"/>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c r="A613" s="1"/>
      <c r="B613" s="1"/>
      <c r="C613" s="1"/>
      <c r="D613" s="20"/>
      <c r="E613" s="20"/>
      <c r="F613" s="20"/>
      <c r="G613" s="20"/>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c r="A614" s="1"/>
      <c r="B614" s="1"/>
      <c r="C614" s="1"/>
      <c r="D614" s="20"/>
      <c r="E614" s="20"/>
      <c r="F614" s="20"/>
      <c r="G614" s="20"/>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c r="A615" s="1"/>
      <c r="B615" s="1"/>
      <c r="C615" s="1"/>
      <c r="D615" s="20"/>
      <c r="E615" s="20"/>
      <c r="F615" s="20"/>
      <c r="G615" s="20"/>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c r="A616" s="1"/>
      <c r="B616" s="1"/>
      <c r="C616" s="1"/>
      <c r="D616" s="20"/>
      <c r="E616" s="20"/>
      <c r="F616" s="20"/>
      <c r="G616" s="20"/>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c r="A617" s="1"/>
      <c r="B617" s="1"/>
      <c r="C617" s="1"/>
      <c r="D617" s="20"/>
      <c r="E617" s="20"/>
      <c r="F617" s="20"/>
      <c r="G617" s="20"/>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c r="A618" s="1"/>
      <c r="B618" s="1"/>
      <c r="C618" s="1"/>
      <c r="D618" s="20"/>
      <c r="E618" s="20"/>
      <c r="F618" s="20"/>
      <c r="G618" s="20"/>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c r="A619" s="1"/>
      <c r="B619" s="1"/>
      <c r="C619" s="1"/>
      <c r="D619" s="20"/>
      <c r="E619" s="20"/>
      <c r="F619" s="20"/>
      <c r="G619" s="20"/>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c r="A620" s="1"/>
      <c r="B620" s="1"/>
      <c r="C620" s="1"/>
      <c r="D620" s="20"/>
      <c r="E620" s="20"/>
      <c r="F620" s="20"/>
      <c r="G620" s="20"/>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c r="A621" s="1"/>
      <c r="B621" s="1"/>
      <c r="C621" s="1"/>
      <c r="D621" s="20"/>
      <c r="E621" s="20"/>
      <c r="F621" s="20"/>
      <c r="G621" s="20"/>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c r="A622" s="1"/>
      <c r="B622" s="1"/>
      <c r="C622" s="1"/>
      <c r="D622" s="20"/>
      <c r="E622" s="20"/>
      <c r="F622" s="20"/>
      <c r="G622" s="20"/>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c r="A623" s="1"/>
      <c r="B623" s="1"/>
      <c r="C623" s="1"/>
      <c r="D623" s="20"/>
      <c r="E623" s="20"/>
      <c r="F623" s="20"/>
      <c r="G623" s="20"/>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c r="A624" s="1"/>
      <c r="B624" s="1"/>
      <c r="C624" s="1"/>
      <c r="D624" s="20"/>
      <c r="E624" s="20"/>
      <c r="F624" s="20"/>
      <c r="G624" s="20"/>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c r="A625" s="1"/>
      <c r="B625" s="1"/>
      <c r="C625" s="1"/>
      <c r="D625" s="20"/>
      <c r="E625" s="20"/>
      <c r="F625" s="20"/>
      <c r="G625" s="20"/>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c r="A626" s="1"/>
      <c r="B626" s="1"/>
      <c r="C626" s="1"/>
      <c r="D626" s="20"/>
      <c r="E626" s="20"/>
      <c r="F626" s="20"/>
      <c r="G626" s="20"/>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c r="A627" s="1"/>
      <c r="B627" s="1"/>
      <c r="C627" s="1"/>
      <c r="D627" s="20"/>
      <c r="E627" s="20"/>
      <c r="F627" s="20"/>
      <c r="G627" s="20"/>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c r="A628" s="1"/>
      <c r="B628" s="1"/>
      <c r="C628" s="1"/>
      <c r="D628" s="20"/>
      <c r="E628" s="20"/>
      <c r="F628" s="20"/>
      <c r="G628" s="20"/>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c r="A629" s="1"/>
      <c r="B629" s="1"/>
      <c r="C629" s="1"/>
      <c r="D629" s="20"/>
      <c r="E629" s="20"/>
      <c r="F629" s="20"/>
      <c r="G629" s="20"/>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c r="A630" s="1"/>
      <c r="B630" s="1"/>
      <c r="C630" s="1"/>
      <c r="D630" s="20"/>
      <c r="E630" s="20"/>
      <c r="F630" s="20"/>
      <c r="G630" s="20"/>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c r="A631" s="1"/>
      <c r="B631" s="1"/>
      <c r="C631" s="1"/>
      <c r="D631" s="20"/>
      <c r="E631" s="20"/>
      <c r="F631" s="20"/>
      <c r="G631" s="20"/>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c r="A632" s="1"/>
      <c r="B632" s="1"/>
      <c r="C632" s="1"/>
      <c r="D632" s="20"/>
      <c r="E632" s="20"/>
      <c r="F632" s="20"/>
      <c r="G632" s="20"/>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c r="A633" s="1"/>
      <c r="B633" s="1"/>
      <c r="C633" s="1"/>
      <c r="D633" s="20"/>
      <c r="E633" s="20"/>
      <c r="F633" s="20"/>
      <c r="G633" s="20"/>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c r="A634" s="1"/>
      <c r="B634" s="1"/>
      <c r="C634" s="1"/>
      <c r="D634" s="20"/>
      <c r="E634" s="20"/>
      <c r="F634" s="20"/>
      <c r="G634" s="20"/>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c r="A635" s="1"/>
      <c r="B635" s="1"/>
      <c r="C635" s="1"/>
      <c r="D635" s="20"/>
      <c r="E635" s="20"/>
      <c r="F635" s="20"/>
      <c r="G635" s="20"/>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c r="A636" s="1"/>
      <c r="B636" s="1"/>
      <c r="C636" s="1"/>
      <c r="D636" s="20"/>
      <c r="E636" s="20"/>
      <c r="F636" s="20"/>
      <c r="G636" s="20"/>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c r="A637" s="1"/>
      <c r="B637" s="1"/>
      <c r="C637" s="1"/>
      <c r="D637" s="20"/>
      <c r="E637" s="20"/>
      <c r="F637" s="20"/>
      <c r="G637" s="20"/>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c r="A638" s="1"/>
      <c r="B638" s="1"/>
      <c r="C638" s="1"/>
      <c r="D638" s="20"/>
      <c r="E638" s="20"/>
      <c r="F638" s="20"/>
      <c r="G638" s="20"/>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c r="A639" s="1"/>
      <c r="B639" s="1"/>
      <c r="C639" s="1"/>
      <c r="D639" s="20"/>
      <c r="E639" s="20"/>
      <c r="F639" s="20"/>
      <c r="G639" s="20"/>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c r="A640" s="1"/>
      <c r="B640" s="1"/>
      <c r="C640" s="1"/>
      <c r="D640" s="20"/>
      <c r="E640" s="20"/>
      <c r="F640" s="20"/>
      <c r="G640" s="20"/>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c r="A641" s="1"/>
      <c r="B641" s="1"/>
      <c r="C641" s="1"/>
      <c r="D641" s="20"/>
      <c r="E641" s="20"/>
      <c r="F641" s="20"/>
      <c r="G641" s="20"/>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c r="A642" s="1"/>
      <c r="B642" s="1"/>
      <c r="C642" s="1"/>
      <c r="D642" s="20"/>
      <c r="E642" s="20"/>
      <c r="F642" s="20"/>
      <c r="G642" s="20"/>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c r="A643" s="1"/>
      <c r="B643" s="1"/>
      <c r="C643" s="1"/>
      <c r="D643" s="20"/>
      <c r="E643" s="20"/>
      <c r="F643" s="20"/>
      <c r="G643" s="20"/>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c r="A644" s="1"/>
      <c r="B644" s="1"/>
      <c r="C644" s="1"/>
      <c r="D644" s="20"/>
      <c r="E644" s="20"/>
      <c r="F644" s="20"/>
      <c r="G644" s="20"/>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c r="A645" s="1"/>
      <c r="B645" s="1"/>
      <c r="C645" s="1"/>
      <c r="D645" s="20"/>
      <c r="E645" s="20"/>
      <c r="F645" s="20"/>
      <c r="G645" s="20"/>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c r="A646" s="1"/>
      <c r="B646" s="1"/>
      <c r="C646" s="1"/>
      <c r="D646" s="20"/>
      <c r="E646" s="20"/>
      <c r="F646" s="20"/>
      <c r="G646" s="20"/>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c r="A647" s="1"/>
      <c r="B647" s="1"/>
      <c r="C647" s="1"/>
      <c r="D647" s="20"/>
      <c r="E647" s="20"/>
      <c r="F647" s="20"/>
      <c r="G647" s="20"/>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c r="A648" s="1"/>
      <c r="B648" s="1"/>
      <c r="C648" s="1"/>
      <c r="D648" s="20"/>
      <c r="E648" s="20"/>
      <c r="F648" s="20"/>
      <c r="G648" s="20"/>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c r="A649" s="1"/>
      <c r="B649" s="1"/>
      <c r="C649" s="1"/>
      <c r="D649" s="20"/>
      <c r="E649" s="20"/>
      <c r="F649" s="20"/>
      <c r="G649" s="20"/>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c r="A650" s="1"/>
      <c r="B650" s="1"/>
      <c r="C650" s="1"/>
      <c r="D650" s="20"/>
      <c r="E650" s="20"/>
      <c r="F650" s="20"/>
      <c r="G650" s="20"/>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c r="A651" s="1"/>
      <c r="B651" s="1"/>
      <c r="C651" s="1"/>
      <c r="D651" s="20"/>
      <c r="E651" s="20"/>
      <c r="F651" s="20"/>
      <c r="G651" s="20"/>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c r="A652" s="1"/>
      <c r="B652" s="1"/>
      <c r="C652" s="1"/>
      <c r="D652" s="20"/>
      <c r="E652" s="20"/>
      <c r="F652" s="20"/>
      <c r="G652" s="20"/>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c r="A653" s="1"/>
      <c r="B653" s="1"/>
      <c r="C653" s="1"/>
      <c r="D653" s="20"/>
      <c r="E653" s="20"/>
      <c r="F653" s="20"/>
      <c r="G653" s="20"/>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c r="A654" s="1"/>
      <c r="B654" s="1"/>
      <c r="C654" s="1"/>
      <c r="D654" s="20"/>
      <c r="E654" s="20"/>
      <c r="F654" s="20"/>
      <c r="G654" s="20"/>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c r="A655" s="1"/>
      <c r="B655" s="1"/>
      <c r="C655" s="1"/>
      <c r="D655" s="20"/>
      <c r="E655" s="20"/>
      <c r="F655" s="20"/>
      <c r="G655" s="20"/>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c r="A656" s="1"/>
      <c r="B656" s="1"/>
      <c r="C656" s="1"/>
      <c r="D656" s="20"/>
      <c r="E656" s="20"/>
      <c r="F656" s="20"/>
      <c r="G656" s="20"/>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c r="A657" s="1"/>
      <c r="B657" s="1"/>
      <c r="C657" s="1"/>
      <c r="D657" s="20"/>
      <c r="E657" s="20"/>
      <c r="F657" s="20"/>
      <c r="G657" s="20"/>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c r="A658" s="1"/>
      <c r="B658" s="1"/>
      <c r="C658" s="1"/>
      <c r="D658" s="20"/>
      <c r="E658" s="20"/>
      <c r="F658" s="20"/>
      <c r="G658" s="20"/>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c r="A659" s="1"/>
      <c r="B659" s="1"/>
      <c r="C659" s="1"/>
      <c r="D659" s="20"/>
      <c r="E659" s="20"/>
      <c r="F659" s="20"/>
      <c r="G659" s="20"/>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c r="A660" s="1"/>
      <c r="B660" s="1"/>
      <c r="C660" s="1"/>
      <c r="D660" s="20"/>
      <c r="E660" s="20"/>
      <c r="F660" s="20"/>
      <c r="G660" s="20"/>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c r="A661" s="1"/>
      <c r="B661" s="1"/>
      <c r="C661" s="1"/>
      <c r="D661" s="20"/>
      <c r="E661" s="20"/>
      <c r="F661" s="20"/>
      <c r="G661" s="20"/>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c r="A662" s="1"/>
      <c r="B662" s="1"/>
      <c r="C662" s="1"/>
      <c r="D662" s="20"/>
      <c r="E662" s="20"/>
      <c r="F662" s="20"/>
      <c r="G662" s="20"/>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c r="A663" s="1"/>
      <c r="B663" s="1"/>
      <c r="C663" s="1"/>
      <c r="D663" s="20"/>
      <c r="E663" s="20"/>
      <c r="F663" s="20"/>
      <c r="G663" s="20"/>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c r="A664" s="1"/>
      <c r="B664" s="1"/>
      <c r="C664" s="1"/>
      <c r="D664" s="20"/>
      <c r="E664" s="20"/>
      <c r="F664" s="20"/>
      <c r="G664" s="20"/>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c r="A665" s="1"/>
      <c r="B665" s="1"/>
      <c r="C665" s="1"/>
      <c r="D665" s="20"/>
      <c r="E665" s="20"/>
      <c r="F665" s="20"/>
      <c r="G665" s="20"/>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c r="A666" s="1"/>
      <c r="B666" s="1"/>
      <c r="C666" s="1"/>
      <c r="D666" s="20"/>
      <c r="E666" s="20"/>
      <c r="F666" s="20"/>
      <c r="G666" s="20"/>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c r="A667" s="1"/>
      <c r="B667" s="1"/>
      <c r="C667" s="1"/>
      <c r="D667" s="20"/>
      <c r="E667" s="20"/>
      <c r="F667" s="20"/>
      <c r="G667" s="20"/>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c r="A668" s="1"/>
      <c r="B668" s="1"/>
      <c r="C668" s="1"/>
      <c r="D668" s="20"/>
      <c r="E668" s="20"/>
      <c r="F668" s="20"/>
      <c r="G668" s="20"/>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c r="A669" s="1"/>
      <c r="B669" s="1"/>
      <c r="C669" s="1"/>
      <c r="D669" s="20"/>
      <c r="E669" s="20"/>
      <c r="F669" s="20"/>
      <c r="G669" s="20"/>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c r="A670" s="1"/>
      <c r="B670" s="1"/>
      <c r="C670" s="1"/>
      <c r="D670" s="20"/>
      <c r="E670" s="20"/>
      <c r="F670" s="20"/>
      <c r="G670" s="20"/>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c r="A671" s="1"/>
      <c r="B671" s="1"/>
      <c r="C671" s="1"/>
      <c r="D671" s="20"/>
      <c r="E671" s="20"/>
      <c r="F671" s="20"/>
      <c r="G671" s="20"/>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c r="A672" s="1"/>
      <c r="B672" s="1"/>
      <c r="C672" s="1"/>
      <c r="D672" s="20"/>
      <c r="E672" s="20"/>
      <c r="F672" s="20"/>
      <c r="G672" s="20"/>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c r="A673" s="1"/>
      <c r="B673" s="1"/>
      <c r="C673" s="1"/>
      <c r="D673" s="20"/>
      <c r="E673" s="20"/>
      <c r="F673" s="20"/>
      <c r="G673" s="20"/>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c r="A674" s="1"/>
      <c r="B674" s="1"/>
      <c r="C674" s="1"/>
      <c r="D674" s="20"/>
      <c r="E674" s="20"/>
      <c r="F674" s="20"/>
      <c r="G674" s="20"/>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c r="A675" s="1"/>
      <c r="B675" s="1"/>
      <c r="C675" s="1"/>
      <c r="D675" s="20"/>
      <c r="E675" s="20"/>
      <c r="F675" s="20"/>
      <c r="G675" s="20"/>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c r="A676" s="1"/>
      <c r="B676" s="1"/>
      <c r="C676" s="1"/>
      <c r="D676" s="20"/>
      <c r="E676" s="20"/>
      <c r="F676" s="20"/>
      <c r="G676" s="20"/>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c r="A677" s="1"/>
      <c r="B677" s="1"/>
      <c r="C677" s="1"/>
      <c r="D677" s="20"/>
      <c r="E677" s="20"/>
      <c r="F677" s="20"/>
      <c r="G677" s="20"/>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c r="A678" s="1"/>
      <c r="B678" s="1"/>
      <c r="C678" s="1"/>
      <c r="D678" s="20"/>
      <c r="E678" s="20"/>
      <c r="F678" s="20"/>
      <c r="G678" s="20"/>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c r="A679" s="1"/>
      <c r="B679" s="1"/>
      <c r="C679" s="1"/>
      <c r="D679" s="20"/>
      <c r="E679" s="20"/>
      <c r="F679" s="20"/>
      <c r="G679" s="20"/>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c r="A680" s="1"/>
      <c r="B680" s="1"/>
      <c r="C680" s="1"/>
      <c r="D680" s="20"/>
      <c r="E680" s="20"/>
      <c r="F680" s="20"/>
      <c r="G680" s="20"/>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c r="A681" s="1"/>
      <c r="B681" s="1"/>
      <c r="C681" s="1"/>
      <c r="D681" s="20"/>
      <c r="E681" s="20"/>
      <c r="F681" s="20"/>
      <c r="G681" s="20"/>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c r="A682" s="1"/>
      <c r="B682" s="1"/>
      <c r="C682" s="1"/>
      <c r="D682" s="20"/>
      <c r="E682" s="20"/>
      <c r="F682" s="20"/>
      <c r="G682" s="20"/>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c r="A683" s="1"/>
      <c r="B683" s="1"/>
      <c r="C683" s="1"/>
      <c r="D683" s="20"/>
      <c r="E683" s="20"/>
      <c r="F683" s="20"/>
      <c r="G683" s="20"/>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c r="A684" s="1"/>
      <c r="B684" s="1"/>
      <c r="C684" s="1"/>
      <c r="D684" s="20"/>
      <c r="E684" s="20"/>
      <c r="F684" s="20"/>
      <c r="G684" s="20"/>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c r="A685" s="1"/>
      <c r="B685" s="1"/>
      <c r="C685" s="1"/>
      <c r="D685" s="20"/>
      <c r="E685" s="20"/>
      <c r="F685" s="20"/>
      <c r="G685" s="20"/>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c r="A686" s="1"/>
      <c r="B686" s="1"/>
      <c r="C686" s="1"/>
      <c r="D686" s="20"/>
      <c r="E686" s="20"/>
      <c r="F686" s="20"/>
      <c r="G686" s="20"/>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c r="A687" s="1"/>
      <c r="B687" s="1"/>
      <c r="C687" s="1"/>
      <c r="D687" s="20"/>
      <c r="E687" s="20"/>
      <c r="F687" s="20"/>
      <c r="G687" s="20"/>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c r="A688" s="1"/>
      <c r="B688" s="1"/>
      <c r="C688" s="1"/>
      <c r="D688" s="20"/>
      <c r="E688" s="20"/>
      <c r="F688" s="20"/>
      <c r="G688" s="20"/>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c r="A689" s="1"/>
      <c r="B689" s="1"/>
      <c r="C689" s="1"/>
      <c r="D689" s="20"/>
      <c r="E689" s="20"/>
      <c r="F689" s="20"/>
      <c r="G689" s="20"/>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c r="A690" s="1"/>
      <c r="B690" s="1"/>
      <c r="C690" s="1"/>
      <c r="D690" s="20"/>
      <c r="E690" s="20"/>
      <c r="F690" s="20"/>
      <c r="G690" s="20"/>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c r="A691" s="1"/>
      <c r="B691" s="1"/>
      <c r="C691" s="1"/>
      <c r="D691" s="20"/>
      <c r="E691" s="20"/>
      <c r="F691" s="20"/>
      <c r="G691" s="20"/>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c r="A692" s="1"/>
      <c r="B692" s="1"/>
      <c r="C692" s="1"/>
      <c r="D692" s="20"/>
      <c r="E692" s="20"/>
      <c r="F692" s="20"/>
      <c r="G692" s="20"/>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c r="A693" s="1"/>
      <c r="B693" s="1"/>
      <c r="C693" s="1"/>
      <c r="D693" s="20"/>
      <c r="E693" s="20"/>
      <c r="F693" s="20"/>
      <c r="G693" s="20"/>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c r="A694" s="1"/>
      <c r="B694" s="1"/>
      <c r="C694" s="1"/>
      <c r="D694" s="20"/>
      <c r="E694" s="20"/>
      <c r="F694" s="20"/>
      <c r="G694" s="20"/>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c r="A695" s="1"/>
      <c r="B695" s="1"/>
      <c r="C695" s="1"/>
      <c r="D695" s="20"/>
      <c r="E695" s="20"/>
      <c r="F695" s="20"/>
      <c r="G695" s="20"/>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c r="A696" s="1"/>
      <c r="B696" s="1"/>
      <c r="C696" s="1"/>
      <c r="D696" s="20"/>
      <c r="E696" s="20"/>
      <c r="F696" s="20"/>
      <c r="G696" s="20"/>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c r="A697" s="1"/>
      <c r="B697" s="1"/>
      <c r="C697" s="1"/>
      <c r="D697" s="20"/>
      <c r="E697" s="20"/>
      <c r="F697" s="20"/>
      <c r="G697" s="20"/>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c r="A698" s="1"/>
      <c r="B698" s="1"/>
      <c r="C698" s="1"/>
      <c r="D698" s="20"/>
      <c r="E698" s="20"/>
      <c r="F698" s="20"/>
      <c r="G698" s="20"/>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c r="A699" s="1"/>
      <c r="B699" s="1"/>
      <c r="C699" s="1"/>
      <c r="D699" s="20"/>
      <c r="E699" s="20"/>
      <c r="F699" s="20"/>
      <c r="G699" s="20"/>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c r="A700" s="1"/>
      <c r="B700" s="1"/>
      <c r="C700" s="1"/>
      <c r="D700" s="20"/>
      <c r="E700" s="20"/>
      <c r="F700" s="20"/>
      <c r="G700" s="20"/>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c r="A701" s="1"/>
      <c r="B701" s="1"/>
      <c r="C701" s="1"/>
      <c r="D701" s="20"/>
      <c r="E701" s="20"/>
      <c r="F701" s="20"/>
      <c r="G701" s="20"/>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c r="A702" s="1"/>
      <c r="B702" s="1"/>
      <c r="C702" s="1"/>
      <c r="D702" s="20"/>
      <c r="E702" s="20"/>
      <c r="F702" s="20"/>
      <c r="G702" s="20"/>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c r="A703" s="1"/>
      <c r="B703" s="1"/>
      <c r="C703" s="1"/>
      <c r="D703" s="20"/>
      <c r="E703" s="20"/>
      <c r="F703" s="20"/>
      <c r="G703" s="20"/>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c r="A704" s="1"/>
      <c r="B704" s="1"/>
      <c r="C704" s="1"/>
      <c r="D704" s="20"/>
      <c r="E704" s="20"/>
      <c r="F704" s="20"/>
      <c r="G704" s="20"/>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c r="A705" s="1"/>
      <c r="B705" s="1"/>
      <c r="C705" s="1"/>
      <c r="D705" s="20"/>
      <c r="E705" s="20"/>
      <c r="F705" s="20"/>
      <c r="G705" s="20"/>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c r="A706" s="1"/>
      <c r="B706" s="1"/>
      <c r="C706" s="1"/>
      <c r="D706" s="20"/>
      <c r="E706" s="20"/>
      <c r="F706" s="20"/>
      <c r="G706" s="20"/>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c r="A707" s="1"/>
      <c r="B707" s="1"/>
      <c r="C707" s="1"/>
      <c r="D707" s="20"/>
      <c r="E707" s="20"/>
      <c r="F707" s="20"/>
      <c r="G707" s="20"/>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c r="A708" s="1"/>
      <c r="B708" s="1"/>
      <c r="C708" s="1"/>
      <c r="D708" s="20"/>
      <c r="E708" s="20"/>
      <c r="F708" s="20"/>
      <c r="G708" s="20"/>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c r="A709" s="1"/>
      <c r="B709" s="1"/>
      <c r="C709" s="1"/>
      <c r="D709" s="20"/>
      <c r="E709" s="20"/>
      <c r="F709" s="20"/>
      <c r="G709" s="20"/>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c r="A710" s="1"/>
      <c r="B710" s="1"/>
      <c r="C710" s="1"/>
      <c r="D710" s="20"/>
      <c r="E710" s="20"/>
      <c r="F710" s="20"/>
      <c r="G710" s="20"/>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c r="A711" s="1"/>
      <c r="B711" s="1"/>
      <c r="C711" s="1"/>
      <c r="D711" s="20"/>
      <c r="E711" s="20"/>
      <c r="F711" s="20"/>
      <c r="G711" s="20"/>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c r="A712" s="1"/>
      <c r="B712" s="1"/>
      <c r="C712" s="1"/>
      <c r="D712" s="20"/>
      <c r="E712" s="20"/>
      <c r="F712" s="20"/>
      <c r="G712" s="20"/>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c r="A713" s="1"/>
      <c r="B713" s="1"/>
      <c r="C713" s="1"/>
      <c r="D713" s="20"/>
      <c r="E713" s="20"/>
      <c r="F713" s="20"/>
      <c r="G713" s="20"/>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c r="A714" s="1"/>
      <c r="B714" s="1"/>
      <c r="C714" s="1"/>
      <c r="D714" s="20"/>
      <c r="E714" s="20"/>
      <c r="F714" s="20"/>
      <c r="G714" s="20"/>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c r="A715" s="1"/>
      <c r="B715" s="1"/>
      <c r="C715" s="1"/>
      <c r="D715" s="20"/>
      <c r="E715" s="20"/>
      <c r="F715" s="20"/>
      <c r="G715" s="20"/>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c r="A716" s="1"/>
      <c r="B716" s="1"/>
      <c r="C716" s="1"/>
      <c r="D716" s="20"/>
      <c r="E716" s="20"/>
      <c r="F716" s="20"/>
      <c r="G716" s="20"/>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c r="A717" s="1"/>
      <c r="B717" s="1"/>
      <c r="C717" s="1"/>
      <c r="D717" s="20"/>
      <c r="E717" s="20"/>
      <c r="F717" s="20"/>
      <c r="G717" s="20"/>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c r="A718" s="1"/>
      <c r="B718" s="1"/>
      <c r="C718" s="1"/>
      <c r="D718" s="20"/>
      <c r="E718" s="20"/>
      <c r="F718" s="20"/>
      <c r="G718" s="20"/>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c r="A719" s="1"/>
      <c r="B719" s="1"/>
      <c r="C719" s="1"/>
      <c r="D719" s="20"/>
      <c r="E719" s="20"/>
      <c r="F719" s="20"/>
      <c r="G719" s="20"/>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c r="A720" s="1"/>
      <c r="B720" s="1"/>
      <c r="C720" s="1"/>
      <c r="D720" s="20"/>
      <c r="E720" s="20"/>
      <c r="F720" s="20"/>
      <c r="G720" s="20"/>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c r="A721" s="1"/>
      <c r="B721" s="1"/>
      <c r="C721" s="1"/>
      <c r="D721" s="20"/>
      <c r="E721" s="20"/>
      <c r="F721" s="20"/>
      <c r="G721" s="20"/>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c r="A722" s="1"/>
      <c r="B722" s="1"/>
      <c r="C722" s="1"/>
      <c r="D722" s="20"/>
      <c r="E722" s="20"/>
      <c r="F722" s="20"/>
      <c r="G722" s="20"/>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c r="A723" s="1"/>
      <c r="B723" s="1"/>
      <c r="C723" s="1"/>
      <c r="D723" s="20"/>
      <c r="E723" s="20"/>
      <c r="F723" s="20"/>
      <c r="G723" s="20"/>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c r="A724" s="1"/>
      <c r="B724" s="1"/>
      <c r="C724" s="1"/>
      <c r="D724" s="20"/>
      <c r="E724" s="20"/>
      <c r="F724" s="20"/>
      <c r="G724" s="20"/>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c r="A725" s="1"/>
      <c r="B725" s="1"/>
      <c r="C725" s="1"/>
      <c r="D725" s="20"/>
      <c r="E725" s="20"/>
      <c r="F725" s="20"/>
      <c r="G725" s="20"/>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c r="A726" s="1"/>
      <c r="B726" s="1"/>
      <c r="C726" s="1"/>
      <c r="D726" s="20"/>
      <c r="E726" s="20"/>
      <c r="F726" s="20"/>
      <c r="G726" s="20"/>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c r="A727" s="1"/>
      <c r="B727" s="1"/>
      <c r="C727" s="1"/>
      <c r="D727" s="20"/>
      <c r="E727" s="20"/>
      <c r="F727" s="20"/>
      <c r="G727" s="20"/>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c r="A728" s="1"/>
      <c r="B728" s="1"/>
      <c r="C728" s="1"/>
      <c r="D728" s="20"/>
      <c r="E728" s="20"/>
      <c r="F728" s="20"/>
      <c r="G728" s="20"/>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c r="A729" s="1"/>
      <c r="B729" s="1"/>
      <c r="C729" s="1"/>
      <c r="D729" s="20"/>
      <c r="E729" s="20"/>
      <c r="F729" s="20"/>
      <c r="G729" s="20"/>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c r="A730" s="1"/>
      <c r="B730" s="1"/>
      <c r="C730" s="1"/>
      <c r="D730" s="20"/>
      <c r="E730" s="20"/>
      <c r="F730" s="20"/>
      <c r="G730" s="20"/>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c r="A731" s="1"/>
      <c r="B731" s="1"/>
      <c r="C731" s="1"/>
      <c r="D731" s="20"/>
      <c r="E731" s="20"/>
      <c r="F731" s="20"/>
      <c r="G731" s="20"/>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c r="A732" s="1"/>
      <c r="B732" s="1"/>
      <c r="C732" s="1"/>
      <c r="D732" s="20"/>
      <c r="E732" s="20"/>
      <c r="F732" s="20"/>
      <c r="G732" s="20"/>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c r="A733" s="1"/>
      <c r="B733" s="1"/>
      <c r="C733" s="1"/>
      <c r="D733" s="20"/>
      <c r="E733" s="20"/>
      <c r="F733" s="20"/>
      <c r="G733" s="20"/>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c r="A734" s="1"/>
      <c r="B734" s="1"/>
      <c r="C734" s="1"/>
      <c r="D734" s="20"/>
      <c r="E734" s="20"/>
      <c r="F734" s="20"/>
      <c r="G734" s="20"/>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c r="A735" s="1"/>
      <c r="B735" s="1"/>
      <c r="C735" s="1"/>
      <c r="D735" s="20"/>
      <c r="E735" s="20"/>
      <c r="F735" s="20"/>
      <c r="G735" s="20"/>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c r="A736" s="1"/>
      <c r="B736" s="1"/>
      <c r="C736" s="1"/>
      <c r="D736" s="20"/>
      <c r="E736" s="20"/>
      <c r="F736" s="20"/>
      <c r="G736" s="20"/>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c r="A737" s="1"/>
      <c r="B737" s="1"/>
      <c r="C737" s="1"/>
      <c r="D737" s="20"/>
      <c r="E737" s="20"/>
      <c r="F737" s="20"/>
      <c r="G737" s="20"/>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c r="A738" s="1"/>
      <c r="B738" s="1"/>
      <c r="C738" s="1"/>
      <c r="D738" s="20"/>
      <c r="E738" s="20"/>
      <c r="F738" s="20"/>
      <c r="G738" s="20"/>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c r="A739" s="1"/>
      <c r="B739" s="1"/>
      <c r="C739" s="1"/>
      <c r="D739" s="20"/>
      <c r="E739" s="20"/>
      <c r="F739" s="20"/>
      <c r="G739" s="20"/>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c r="A740" s="1"/>
      <c r="B740" s="1"/>
      <c r="C740" s="1"/>
      <c r="D740" s="20"/>
      <c r="E740" s="20"/>
      <c r="F740" s="20"/>
      <c r="G740" s="20"/>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c r="A741" s="1"/>
      <c r="B741" s="1"/>
      <c r="C741" s="1"/>
      <c r="D741" s="20"/>
      <c r="E741" s="20"/>
      <c r="F741" s="20"/>
      <c r="G741" s="20"/>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c r="A742" s="1"/>
      <c r="B742" s="1"/>
      <c r="C742" s="1"/>
      <c r="D742" s="20"/>
      <c r="E742" s="20"/>
      <c r="F742" s="20"/>
      <c r="G742" s="20"/>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c r="A743" s="1"/>
      <c r="B743" s="1"/>
      <c r="C743" s="1"/>
      <c r="D743" s="20"/>
      <c r="E743" s="20"/>
      <c r="F743" s="20"/>
      <c r="G743" s="20"/>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c r="A744" s="1"/>
      <c r="B744" s="1"/>
      <c r="C744" s="1"/>
      <c r="D744" s="20"/>
      <c r="E744" s="20"/>
      <c r="F744" s="20"/>
      <c r="G744" s="20"/>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c r="A745" s="1"/>
      <c r="B745" s="1"/>
      <c r="C745" s="1"/>
      <c r="D745" s="20"/>
      <c r="E745" s="20"/>
      <c r="F745" s="20"/>
      <c r="G745" s="20"/>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c r="A746" s="1"/>
      <c r="B746" s="1"/>
      <c r="C746" s="1"/>
      <c r="D746" s="20"/>
      <c r="E746" s="20"/>
      <c r="F746" s="20"/>
      <c r="G746" s="20"/>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c r="A747" s="1"/>
      <c r="B747" s="1"/>
      <c r="C747" s="1"/>
      <c r="D747" s="20"/>
      <c r="E747" s="20"/>
      <c r="F747" s="20"/>
      <c r="G747" s="20"/>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c r="A748" s="1"/>
      <c r="B748" s="1"/>
      <c r="C748" s="1"/>
      <c r="D748" s="20"/>
      <c r="E748" s="20"/>
      <c r="F748" s="20"/>
      <c r="G748" s="20"/>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c r="A749" s="1"/>
      <c r="B749" s="1"/>
      <c r="C749" s="1"/>
      <c r="D749" s="20"/>
      <c r="E749" s="20"/>
      <c r="F749" s="20"/>
      <c r="G749" s="20"/>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c r="A750" s="1"/>
      <c r="B750" s="1"/>
      <c r="C750" s="1"/>
      <c r="D750" s="20"/>
      <c r="E750" s="20"/>
      <c r="F750" s="20"/>
      <c r="G750" s="20"/>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c r="A751" s="1"/>
      <c r="B751" s="1"/>
      <c r="C751" s="1"/>
      <c r="D751" s="20"/>
      <c r="E751" s="20"/>
      <c r="F751" s="20"/>
      <c r="G751" s="20"/>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c r="A752" s="1"/>
      <c r="B752" s="1"/>
      <c r="C752" s="1"/>
      <c r="D752" s="20"/>
      <c r="E752" s="20"/>
      <c r="F752" s="20"/>
      <c r="G752" s="20"/>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c r="A753" s="1"/>
      <c r="B753" s="1"/>
      <c r="C753" s="1"/>
      <c r="D753" s="20"/>
      <c r="E753" s="20"/>
      <c r="F753" s="20"/>
      <c r="G753" s="20"/>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c r="A754" s="1"/>
      <c r="B754" s="1"/>
      <c r="C754" s="1"/>
      <c r="D754" s="20"/>
      <c r="E754" s="20"/>
      <c r="F754" s="20"/>
      <c r="G754" s="20"/>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c r="A755" s="1"/>
      <c r="B755" s="1"/>
      <c r="C755" s="1"/>
      <c r="D755" s="20"/>
      <c r="E755" s="20"/>
      <c r="F755" s="20"/>
      <c r="G755" s="20"/>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c r="A756" s="1"/>
      <c r="B756" s="1"/>
      <c r="C756" s="1"/>
      <c r="D756" s="20"/>
      <c r="E756" s="20"/>
      <c r="F756" s="20"/>
      <c r="G756" s="20"/>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c r="A757" s="1"/>
      <c r="B757" s="1"/>
      <c r="C757" s="1"/>
      <c r="D757" s="20"/>
      <c r="E757" s="20"/>
      <c r="F757" s="20"/>
      <c r="G757" s="20"/>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c r="A758" s="1"/>
      <c r="B758" s="1"/>
      <c r="C758" s="1"/>
      <c r="D758" s="20"/>
      <c r="E758" s="20"/>
      <c r="F758" s="20"/>
      <c r="G758" s="20"/>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c r="A759" s="1"/>
      <c r="B759" s="1"/>
      <c r="C759" s="1"/>
      <c r="D759" s="20"/>
      <c r="E759" s="20"/>
      <c r="F759" s="20"/>
      <c r="G759" s="20"/>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c r="A760" s="1"/>
      <c r="B760" s="1"/>
      <c r="C760" s="1"/>
      <c r="D760" s="20"/>
      <c r="E760" s="20"/>
      <c r="F760" s="20"/>
      <c r="G760" s="20"/>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c r="A761" s="1"/>
      <c r="B761" s="1"/>
      <c r="C761" s="1"/>
      <c r="D761" s="20"/>
      <c r="E761" s="20"/>
      <c r="F761" s="20"/>
      <c r="G761" s="20"/>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c r="A762" s="1"/>
      <c r="B762" s="1"/>
      <c r="C762" s="1"/>
      <c r="D762" s="20"/>
      <c r="E762" s="20"/>
      <c r="F762" s="20"/>
      <c r="G762" s="20"/>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c r="A763" s="1"/>
      <c r="B763" s="1"/>
      <c r="C763" s="1"/>
      <c r="D763" s="20"/>
      <c r="E763" s="20"/>
      <c r="F763" s="20"/>
      <c r="G763" s="20"/>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c r="A764" s="1"/>
      <c r="B764" s="1"/>
      <c r="C764" s="1"/>
      <c r="D764" s="20"/>
      <c r="E764" s="20"/>
      <c r="F764" s="20"/>
      <c r="G764" s="20"/>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c r="A765" s="1"/>
      <c r="B765" s="1"/>
      <c r="C765" s="1"/>
      <c r="D765" s="20"/>
      <c r="E765" s="20"/>
      <c r="F765" s="20"/>
      <c r="G765" s="20"/>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c r="A766" s="1"/>
      <c r="B766" s="1"/>
      <c r="C766" s="1"/>
      <c r="D766" s="20"/>
      <c r="E766" s="20"/>
      <c r="F766" s="20"/>
      <c r="G766" s="20"/>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c r="A767" s="1"/>
      <c r="B767" s="1"/>
      <c r="C767" s="1"/>
      <c r="D767" s="20"/>
      <c r="E767" s="20"/>
      <c r="F767" s="20"/>
      <c r="G767" s="20"/>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c r="A768" s="1"/>
      <c r="B768" s="1"/>
      <c r="C768" s="1"/>
      <c r="D768" s="20"/>
      <c r="E768" s="20"/>
      <c r="F768" s="20"/>
      <c r="G768" s="20"/>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c r="A769" s="1"/>
      <c r="B769" s="1"/>
      <c r="C769" s="1"/>
      <c r="D769" s="20"/>
      <c r="E769" s="20"/>
      <c r="F769" s="20"/>
      <c r="G769" s="20"/>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c r="A770" s="1"/>
      <c r="B770" s="1"/>
      <c r="C770" s="1"/>
      <c r="D770" s="20"/>
      <c r="E770" s="20"/>
      <c r="F770" s="20"/>
      <c r="G770" s="20"/>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c r="A771" s="1"/>
      <c r="B771" s="1"/>
      <c r="C771" s="1"/>
      <c r="D771" s="20"/>
      <c r="E771" s="20"/>
      <c r="F771" s="20"/>
      <c r="G771" s="20"/>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c r="A772" s="1"/>
      <c r="B772" s="1"/>
      <c r="C772" s="1"/>
      <c r="D772" s="20"/>
      <c r="E772" s="20"/>
      <c r="F772" s="20"/>
      <c r="G772" s="20"/>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c r="A773" s="1"/>
      <c r="B773" s="1"/>
      <c r="C773" s="1"/>
      <c r="D773" s="20"/>
      <c r="E773" s="20"/>
      <c r="F773" s="20"/>
      <c r="G773" s="20"/>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c r="A774" s="1"/>
      <c r="B774" s="1"/>
      <c r="C774" s="1"/>
      <c r="D774" s="20"/>
      <c r="E774" s="20"/>
      <c r="F774" s="20"/>
      <c r="G774" s="20"/>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c r="A775" s="1"/>
      <c r="B775" s="1"/>
      <c r="C775" s="1"/>
      <c r="D775" s="20"/>
      <c r="E775" s="20"/>
      <c r="F775" s="20"/>
      <c r="G775" s="20"/>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c r="A776" s="1"/>
      <c r="B776" s="1"/>
      <c r="C776" s="1"/>
      <c r="D776" s="20"/>
      <c r="E776" s="20"/>
      <c r="F776" s="20"/>
      <c r="G776" s="20"/>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c r="A777" s="1"/>
      <c r="B777" s="1"/>
      <c r="C777" s="1"/>
      <c r="D777" s="20"/>
      <c r="E777" s="20"/>
      <c r="F777" s="20"/>
      <c r="G777" s="20"/>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c r="A778" s="1"/>
      <c r="B778" s="1"/>
      <c r="C778" s="1"/>
      <c r="D778" s="20"/>
      <c r="E778" s="20"/>
      <c r="F778" s="20"/>
      <c r="G778" s="20"/>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c r="A779" s="1"/>
      <c r="B779" s="1"/>
      <c r="C779" s="1"/>
      <c r="D779" s="20"/>
      <c r="E779" s="20"/>
      <c r="F779" s="20"/>
      <c r="G779" s="20"/>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c r="A780" s="1"/>
      <c r="B780" s="1"/>
      <c r="C780" s="1"/>
      <c r="D780" s="20"/>
      <c r="E780" s="20"/>
      <c r="F780" s="20"/>
      <c r="G780" s="20"/>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c r="A781" s="1"/>
      <c r="B781" s="1"/>
      <c r="C781" s="1"/>
      <c r="D781" s="20"/>
      <c r="E781" s="20"/>
      <c r="F781" s="20"/>
      <c r="G781" s="20"/>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c r="A782" s="1"/>
      <c r="B782" s="1"/>
      <c r="C782" s="1"/>
      <c r="D782" s="20"/>
      <c r="E782" s="20"/>
      <c r="F782" s="20"/>
      <c r="G782" s="20"/>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c r="A783" s="1"/>
      <c r="B783" s="1"/>
      <c r="C783" s="1"/>
      <c r="D783" s="20"/>
      <c r="E783" s="20"/>
      <c r="F783" s="20"/>
      <c r="G783" s="20"/>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c r="A784" s="1"/>
      <c r="B784" s="1"/>
      <c r="C784" s="1"/>
      <c r="D784" s="20"/>
      <c r="E784" s="20"/>
      <c r="F784" s="20"/>
      <c r="G784" s="20"/>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c r="A785" s="1"/>
      <c r="B785" s="1"/>
      <c r="C785" s="1"/>
      <c r="D785" s="20"/>
      <c r="E785" s="20"/>
      <c r="F785" s="20"/>
      <c r="G785" s="20"/>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c r="A786" s="1"/>
      <c r="B786" s="1"/>
      <c r="C786" s="1"/>
      <c r="D786" s="20"/>
      <c r="E786" s="20"/>
      <c r="F786" s="20"/>
      <c r="G786" s="20"/>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c r="A787" s="1"/>
      <c r="B787" s="1"/>
      <c r="C787" s="1"/>
      <c r="D787" s="20"/>
      <c r="E787" s="20"/>
      <c r="F787" s="20"/>
      <c r="G787" s="20"/>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c r="A788" s="1"/>
      <c r="B788" s="1"/>
      <c r="C788" s="1"/>
      <c r="D788" s="20"/>
      <c r="E788" s="20"/>
      <c r="F788" s="20"/>
      <c r="G788" s="20"/>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c r="A789" s="1"/>
      <c r="B789" s="1"/>
      <c r="C789" s="1"/>
      <c r="D789" s="20"/>
      <c r="E789" s="20"/>
      <c r="F789" s="20"/>
      <c r="G789" s="20"/>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c r="A790" s="1"/>
      <c r="B790" s="1"/>
      <c r="C790" s="1"/>
      <c r="D790" s="20"/>
      <c r="E790" s="20"/>
      <c r="F790" s="20"/>
      <c r="G790" s="20"/>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c r="A791" s="1"/>
      <c r="B791" s="1"/>
      <c r="C791" s="1"/>
      <c r="D791" s="20"/>
      <c r="E791" s="20"/>
      <c r="F791" s="20"/>
      <c r="G791" s="20"/>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c r="A792" s="1"/>
      <c r="B792" s="1"/>
      <c r="C792" s="1"/>
      <c r="D792" s="20"/>
      <c r="E792" s="20"/>
      <c r="F792" s="20"/>
      <c r="G792" s="20"/>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c r="A793" s="1"/>
      <c r="B793" s="1"/>
      <c r="C793" s="1"/>
      <c r="D793" s="20"/>
      <c r="E793" s="20"/>
      <c r="F793" s="20"/>
      <c r="G793" s="20"/>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c r="A794" s="1"/>
      <c r="B794" s="1"/>
      <c r="C794" s="1"/>
      <c r="D794" s="20"/>
      <c r="E794" s="20"/>
      <c r="F794" s="20"/>
      <c r="G794" s="20"/>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c r="A795" s="1"/>
      <c r="B795" s="1"/>
      <c r="C795" s="1"/>
      <c r="D795" s="20"/>
      <c r="E795" s="20"/>
      <c r="F795" s="20"/>
      <c r="G795" s="20"/>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c r="A796" s="1"/>
      <c r="B796" s="1"/>
      <c r="C796" s="1"/>
      <c r="D796" s="20"/>
      <c r="E796" s="20"/>
      <c r="F796" s="20"/>
      <c r="G796" s="20"/>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c r="A797" s="1"/>
      <c r="B797" s="1"/>
      <c r="C797" s="1"/>
      <c r="D797" s="20"/>
      <c r="E797" s="20"/>
      <c r="F797" s="20"/>
      <c r="G797" s="20"/>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c r="A798" s="1"/>
      <c r="B798" s="1"/>
      <c r="C798" s="1"/>
      <c r="D798" s="20"/>
      <c r="E798" s="20"/>
      <c r="F798" s="20"/>
      <c r="G798" s="20"/>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c r="A799" s="1"/>
      <c r="B799" s="1"/>
      <c r="C799" s="1"/>
      <c r="D799" s="20"/>
      <c r="E799" s="20"/>
      <c r="F799" s="20"/>
      <c r="G799" s="20"/>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c r="A800" s="1"/>
      <c r="B800" s="1"/>
      <c r="C800" s="1"/>
      <c r="D800" s="20"/>
      <c r="E800" s="20"/>
      <c r="F800" s="20"/>
      <c r="G800" s="20"/>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c r="A801" s="1"/>
      <c r="B801" s="1"/>
      <c r="C801" s="1"/>
      <c r="D801" s="20"/>
      <c r="E801" s="20"/>
      <c r="F801" s="20"/>
      <c r="G801" s="20"/>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c r="A802" s="1"/>
      <c r="B802" s="1"/>
      <c r="C802" s="1"/>
      <c r="D802" s="20"/>
      <c r="E802" s="20"/>
      <c r="F802" s="20"/>
      <c r="G802" s="20"/>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c r="A803" s="1"/>
      <c r="B803" s="1"/>
      <c r="C803" s="1"/>
      <c r="D803" s="20"/>
      <c r="E803" s="20"/>
      <c r="F803" s="20"/>
      <c r="G803" s="20"/>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c r="A804" s="1"/>
      <c r="B804" s="1"/>
      <c r="C804" s="1"/>
      <c r="D804" s="20"/>
      <c r="E804" s="20"/>
      <c r="F804" s="20"/>
      <c r="G804" s="20"/>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c r="A805" s="1"/>
      <c r="B805" s="1"/>
      <c r="C805" s="1"/>
      <c r="D805" s="20"/>
      <c r="E805" s="20"/>
      <c r="F805" s="20"/>
      <c r="G805" s="20"/>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c r="A806" s="1"/>
      <c r="B806" s="1"/>
      <c r="C806" s="1"/>
      <c r="D806" s="20"/>
      <c r="E806" s="20"/>
      <c r="F806" s="20"/>
      <c r="G806" s="20"/>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c r="A807" s="1"/>
      <c r="B807" s="1"/>
      <c r="C807" s="1"/>
      <c r="D807" s="20"/>
      <c r="E807" s="20"/>
      <c r="F807" s="20"/>
      <c r="G807" s="20"/>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c r="A808" s="1"/>
      <c r="B808" s="1"/>
      <c r="C808" s="1"/>
      <c r="D808" s="20"/>
      <c r="E808" s="20"/>
      <c r="F808" s="20"/>
      <c r="G808" s="20"/>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c r="A809" s="1"/>
      <c r="B809" s="1"/>
      <c r="C809" s="1"/>
      <c r="D809" s="20"/>
      <c r="E809" s="20"/>
      <c r="F809" s="20"/>
      <c r="G809" s="20"/>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c r="A810" s="1"/>
      <c r="B810" s="1"/>
      <c r="C810" s="1"/>
      <c r="D810" s="20"/>
      <c r="E810" s="20"/>
      <c r="F810" s="20"/>
      <c r="G810" s="20"/>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c r="A811" s="1"/>
      <c r="B811" s="1"/>
      <c r="C811" s="1"/>
      <c r="D811" s="20"/>
      <c r="E811" s="20"/>
      <c r="F811" s="20"/>
      <c r="G811" s="20"/>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c r="A812" s="1"/>
      <c r="B812" s="1"/>
      <c r="C812" s="1"/>
      <c r="D812" s="20"/>
      <c r="E812" s="20"/>
      <c r="F812" s="20"/>
      <c r="G812" s="20"/>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c r="A813" s="1"/>
      <c r="B813" s="1"/>
      <c r="C813" s="1"/>
      <c r="D813" s="20"/>
      <c r="E813" s="20"/>
      <c r="F813" s="20"/>
      <c r="G813" s="20"/>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c r="A814" s="1"/>
      <c r="B814" s="1"/>
      <c r="C814" s="1"/>
      <c r="D814" s="20"/>
      <c r="E814" s="20"/>
      <c r="F814" s="20"/>
      <c r="G814" s="20"/>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c r="A815" s="1"/>
      <c r="B815" s="1"/>
      <c r="C815" s="1"/>
      <c r="D815" s="20"/>
      <c r="E815" s="20"/>
      <c r="F815" s="20"/>
      <c r="G815" s="20"/>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c r="A816" s="1"/>
      <c r="B816" s="1"/>
      <c r="C816" s="1"/>
      <c r="D816" s="20"/>
      <c r="E816" s="20"/>
      <c r="F816" s="20"/>
      <c r="G816" s="20"/>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c r="A817" s="1"/>
      <c r="B817" s="1"/>
      <c r="C817" s="1"/>
      <c r="D817" s="20"/>
      <c r="E817" s="20"/>
      <c r="F817" s="20"/>
      <c r="G817" s="20"/>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c r="A818" s="1"/>
      <c r="B818" s="1"/>
      <c r="C818" s="1"/>
      <c r="D818" s="20"/>
      <c r="E818" s="20"/>
      <c r="F818" s="20"/>
      <c r="G818" s="20"/>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c r="A819" s="1"/>
      <c r="B819" s="1"/>
      <c r="C819" s="1"/>
      <c r="D819" s="20"/>
      <c r="E819" s="20"/>
      <c r="F819" s="20"/>
      <c r="G819" s="20"/>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c r="A820" s="1"/>
      <c r="B820" s="1"/>
      <c r="C820" s="1"/>
      <c r="D820" s="20"/>
      <c r="E820" s="20"/>
      <c r="F820" s="20"/>
      <c r="G820" s="20"/>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c r="A821" s="1"/>
      <c r="B821" s="1"/>
      <c r="C821" s="1"/>
      <c r="D821" s="20"/>
      <c r="E821" s="20"/>
      <c r="F821" s="20"/>
      <c r="G821" s="20"/>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c r="A822" s="1"/>
      <c r="B822" s="1"/>
      <c r="C822" s="1"/>
      <c r="D822" s="20"/>
      <c r="E822" s="20"/>
      <c r="F822" s="20"/>
      <c r="G822" s="20"/>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c r="A823" s="1"/>
      <c r="B823" s="1"/>
      <c r="C823" s="1"/>
      <c r="D823" s="20"/>
      <c r="E823" s="20"/>
      <c r="F823" s="20"/>
      <c r="G823" s="20"/>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c r="A824" s="1"/>
      <c r="B824" s="1"/>
      <c r="C824" s="1"/>
      <c r="D824" s="20"/>
      <c r="E824" s="20"/>
      <c r="F824" s="20"/>
      <c r="G824" s="20"/>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c r="A825" s="1"/>
      <c r="B825" s="1"/>
      <c r="C825" s="1"/>
      <c r="D825" s="20"/>
      <c r="E825" s="20"/>
      <c r="F825" s="20"/>
      <c r="G825" s="20"/>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c r="A826" s="1"/>
      <c r="B826" s="1"/>
      <c r="C826" s="1"/>
      <c r="D826" s="20"/>
      <c r="E826" s="20"/>
      <c r="F826" s="20"/>
      <c r="G826" s="20"/>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c r="A827" s="1"/>
      <c r="B827" s="1"/>
      <c r="C827" s="1"/>
      <c r="D827" s="20"/>
      <c r="E827" s="20"/>
      <c r="F827" s="20"/>
      <c r="G827" s="20"/>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c r="A828" s="1"/>
      <c r="B828" s="1"/>
      <c r="C828" s="1"/>
      <c r="D828" s="20"/>
      <c r="E828" s="20"/>
      <c r="F828" s="20"/>
      <c r="G828" s="20"/>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c r="A829" s="1"/>
      <c r="B829" s="1"/>
      <c r="C829" s="1"/>
      <c r="D829" s="20"/>
      <c r="E829" s="20"/>
      <c r="F829" s="20"/>
      <c r="G829" s="20"/>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c r="A830" s="1"/>
      <c r="B830" s="1"/>
      <c r="C830" s="1"/>
      <c r="D830" s="20"/>
      <c r="E830" s="20"/>
      <c r="F830" s="20"/>
      <c r="G830" s="20"/>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c r="A831" s="1"/>
      <c r="B831" s="1"/>
      <c r="C831" s="1"/>
      <c r="D831" s="20"/>
      <c r="E831" s="20"/>
      <c r="F831" s="20"/>
      <c r="G831" s="20"/>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c r="A832" s="1"/>
      <c r="B832" s="1"/>
      <c r="C832" s="1"/>
      <c r="D832" s="20"/>
      <c r="E832" s="20"/>
      <c r="F832" s="20"/>
      <c r="G832" s="20"/>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c r="A833" s="1"/>
      <c r="B833" s="1"/>
      <c r="C833" s="1"/>
      <c r="D833" s="20"/>
      <c r="E833" s="20"/>
      <c r="F833" s="20"/>
      <c r="G833" s="20"/>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c r="A834" s="1"/>
      <c r="B834" s="1"/>
      <c r="C834" s="1"/>
      <c r="D834" s="20"/>
      <c r="E834" s="20"/>
      <c r="F834" s="20"/>
      <c r="G834" s="20"/>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c r="A835" s="1"/>
      <c r="B835" s="1"/>
      <c r="C835" s="1"/>
      <c r="D835" s="20"/>
      <c r="E835" s="20"/>
      <c r="F835" s="20"/>
      <c r="G835" s="20"/>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c r="A836" s="1"/>
      <c r="B836" s="1"/>
      <c r="C836" s="1"/>
      <c r="D836" s="20"/>
      <c r="E836" s="20"/>
      <c r="F836" s="20"/>
      <c r="G836" s="20"/>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c r="A837" s="1"/>
      <c r="B837" s="1"/>
      <c r="C837" s="1"/>
      <c r="D837" s="20"/>
      <c r="E837" s="20"/>
      <c r="F837" s="20"/>
      <c r="G837" s="20"/>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c r="A838" s="1"/>
      <c r="B838" s="1"/>
      <c r="C838" s="1"/>
      <c r="D838" s="20"/>
      <c r="E838" s="20"/>
      <c r="F838" s="20"/>
      <c r="G838" s="20"/>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c r="A839" s="1"/>
      <c r="B839" s="1"/>
      <c r="C839" s="1"/>
      <c r="D839" s="20"/>
      <c r="E839" s="20"/>
      <c r="F839" s="20"/>
      <c r="G839" s="20"/>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c r="A840" s="1"/>
      <c r="B840" s="1"/>
      <c r="C840" s="1"/>
      <c r="D840" s="20"/>
      <c r="E840" s="20"/>
      <c r="F840" s="20"/>
      <c r="G840" s="20"/>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c r="A841" s="1"/>
      <c r="B841" s="1"/>
      <c r="C841" s="1"/>
      <c r="D841" s="20"/>
      <c r="E841" s="20"/>
      <c r="F841" s="20"/>
      <c r="G841" s="20"/>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c r="A842" s="1"/>
      <c r="B842" s="1"/>
      <c r="C842" s="1"/>
      <c r="D842" s="20"/>
      <c r="E842" s="20"/>
      <c r="F842" s="20"/>
      <c r="G842" s="20"/>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c r="A843" s="1"/>
      <c r="B843" s="1"/>
      <c r="C843" s="1"/>
      <c r="D843" s="20"/>
      <c r="E843" s="20"/>
      <c r="F843" s="20"/>
      <c r="G843" s="20"/>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c r="A844" s="1"/>
      <c r="B844" s="1"/>
      <c r="C844" s="1"/>
      <c r="D844" s="20"/>
      <c r="E844" s="20"/>
      <c r="F844" s="20"/>
      <c r="G844" s="20"/>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c r="A845" s="1"/>
      <c r="B845" s="1"/>
      <c r="C845" s="1"/>
      <c r="D845" s="20"/>
      <c r="E845" s="20"/>
      <c r="F845" s="20"/>
      <c r="G845" s="20"/>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c r="A846" s="1"/>
      <c r="B846" s="1"/>
      <c r="C846" s="1"/>
      <c r="D846" s="20"/>
      <c r="E846" s="20"/>
      <c r="F846" s="20"/>
      <c r="G846" s="20"/>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c r="A847" s="1"/>
      <c r="B847" s="1"/>
      <c r="C847" s="1"/>
      <c r="D847" s="20"/>
      <c r="E847" s="20"/>
      <c r="F847" s="20"/>
      <c r="G847" s="20"/>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c r="A848" s="1"/>
      <c r="B848" s="1"/>
      <c r="C848" s="1"/>
      <c r="D848" s="20"/>
      <c r="E848" s="20"/>
      <c r="F848" s="20"/>
      <c r="G848" s="20"/>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c r="A849" s="1"/>
      <c r="B849" s="1"/>
      <c r="C849" s="1"/>
      <c r="D849" s="20"/>
      <c r="E849" s="20"/>
      <c r="F849" s="20"/>
      <c r="G849" s="20"/>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c r="A850" s="1"/>
      <c r="B850" s="1"/>
      <c r="C850" s="1"/>
      <c r="D850" s="20"/>
      <c r="E850" s="20"/>
      <c r="F850" s="20"/>
      <c r="G850" s="20"/>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c r="A851" s="1"/>
      <c r="B851" s="1"/>
      <c r="C851" s="1"/>
      <c r="D851" s="20"/>
      <c r="E851" s="20"/>
      <c r="F851" s="20"/>
      <c r="G851" s="20"/>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c r="A852" s="1"/>
      <c r="B852" s="1"/>
      <c r="C852" s="1"/>
      <c r="D852" s="20"/>
      <c r="E852" s="20"/>
      <c r="F852" s="20"/>
      <c r="G852" s="20"/>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c r="A853" s="1"/>
      <c r="B853" s="1"/>
      <c r="C853" s="1"/>
      <c r="D853" s="20"/>
      <c r="E853" s="20"/>
      <c r="F853" s="20"/>
      <c r="G853" s="20"/>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c r="A854" s="1"/>
      <c r="B854" s="1"/>
      <c r="C854" s="1"/>
      <c r="D854" s="20"/>
      <c r="E854" s="20"/>
      <c r="F854" s="20"/>
      <c r="G854" s="20"/>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c r="A855" s="1"/>
      <c r="B855" s="1"/>
      <c r="C855" s="1"/>
      <c r="D855" s="20"/>
      <c r="E855" s="20"/>
      <c r="F855" s="20"/>
      <c r="G855" s="20"/>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c r="A856" s="1"/>
      <c r="B856" s="1"/>
      <c r="C856" s="1"/>
      <c r="D856" s="20"/>
      <c r="E856" s="20"/>
      <c r="F856" s="20"/>
      <c r="G856" s="20"/>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c r="A857" s="1"/>
      <c r="B857" s="1"/>
      <c r="C857" s="1"/>
      <c r="D857" s="20"/>
      <c r="E857" s="20"/>
      <c r="F857" s="20"/>
      <c r="G857" s="20"/>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c r="A858" s="1"/>
      <c r="B858" s="1"/>
      <c r="C858" s="1"/>
      <c r="D858" s="20"/>
      <c r="E858" s="20"/>
      <c r="F858" s="20"/>
      <c r="G858" s="20"/>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c r="A859" s="1"/>
      <c r="B859" s="1"/>
      <c r="C859" s="1"/>
      <c r="D859" s="20"/>
      <c r="E859" s="20"/>
      <c r="F859" s="20"/>
      <c r="G859" s="20"/>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c r="A860" s="1"/>
      <c r="B860" s="1"/>
      <c r="C860" s="1"/>
      <c r="D860" s="20"/>
      <c r="E860" s="20"/>
      <c r="F860" s="20"/>
      <c r="G860" s="20"/>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c r="A861" s="1"/>
      <c r="B861" s="1"/>
      <c r="C861" s="1"/>
      <c r="D861" s="20"/>
      <c r="E861" s="20"/>
      <c r="F861" s="20"/>
      <c r="G861" s="20"/>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c r="A862" s="1"/>
      <c r="B862" s="1"/>
      <c r="C862" s="1"/>
      <c r="D862" s="20"/>
      <c r="E862" s="20"/>
      <c r="F862" s="20"/>
      <c r="G862" s="20"/>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c r="A863" s="1"/>
      <c r="B863" s="1"/>
      <c r="C863" s="1"/>
      <c r="D863" s="20"/>
      <c r="E863" s="20"/>
      <c r="F863" s="20"/>
      <c r="G863" s="20"/>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c r="A864" s="1"/>
      <c r="B864" s="1"/>
      <c r="C864" s="1"/>
      <c r="D864" s="20"/>
      <c r="E864" s="20"/>
      <c r="F864" s="20"/>
      <c r="G864" s="20"/>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c r="A865" s="1"/>
      <c r="B865" s="1"/>
      <c r="C865" s="1"/>
      <c r="D865" s="20"/>
      <c r="E865" s="20"/>
      <c r="F865" s="20"/>
      <c r="G865" s="20"/>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c r="A866" s="1"/>
      <c r="B866" s="1"/>
      <c r="C866" s="1"/>
      <c r="D866" s="20"/>
      <c r="E866" s="20"/>
      <c r="F866" s="20"/>
      <c r="G866" s="20"/>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c r="A867" s="1"/>
      <c r="B867" s="1"/>
      <c r="C867" s="1"/>
      <c r="D867" s="20"/>
      <c r="E867" s="20"/>
      <c r="F867" s="20"/>
      <c r="G867" s="20"/>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c r="A868" s="1"/>
      <c r="B868" s="1"/>
      <c r="C868" s="1"/>
      <c r="D868" s="20"/>
      <c r="E868" s="20"/>
      <c r="F868" s="20"/>
      <c r="G868" s="20"/>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c r="A869" s="1"/>
      <c r="B869" s="1"/>
      <c r="C869" s="1"/>
      <c r="D869" s="20"/>
      <c r="E869" s="20"/>
      <c r="F869" s="20"/>
      <c r="G869" s="20"/>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c r="A870" s="1"/>
      <c r="B870" s="1"/>
      <c r="C870" s="1"/>
      <c r="D870" s="20"/>
      <c r="E870" s="20"/>
      <c r="F870" s="20"/>
      <c r="G870" s="20"/>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c r="A871" s="1"/>
      <c r="B871" s="1"/>
      <c r="C871" s="1"/>
      <c r="D871" s="20"/>
      <c r="E871" s="20"/>
      <c r="F871" s="20"/>
      <c r="G871" s="20"/>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c r="A872" s="1"/>
      <c r="B872" s="1"/>
      <c r="C872" s="1"/>
      <c r="D872" s="20"/>
      <c r="E872" s="20"/>
      <c r="F872" s="20"/>
      <c r="G872" s="20"/>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c r="A873" s="1"/>
      <c r="B873" s="1"/>
      <c r="C873" s="1"/>
      <c r="D873" s="20"/>
      <c r="E873" s="20"/>
      <c r="F873" s="20"/>
      <c r="G873" s="20"/>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c r="A874" s="1"/>
      <c r="B874" s="1"/>
      <c r="C874" s="1"/>
      <c r="D874" s="20"/>
      <c r="E874" s="20"/>
      <c r="F874" s="20"/>
      <c r="G874" s="20"/>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c r="A875" s="1"/>
      <c r="B875" s="1"/>
      <c r="C875" s="1"/>
      <c r="D875" s="20"/>
      <c r="E875" s="20"/>
      <c r="F875" s="20"/>
      <c r="G875" s="20"/>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c r="A876" s="1"/>
      <c r="B876" s="1"/>
      <c r="C876" s="1"/>
      <c r="D876" s="20"/>
      <c r="E876" s="20"/>
      <c r="F876" s="20"/>
      <c r="G876" s="20"/>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c r="A877" s="1"/>
      <c r="B877" s="1"/>
      <c r="C877" s="1"/>
      <c r="D877" s="20"/>
      <c r="E877" s="20"/>
      <c r="F877" s="20"/>
      <c r="G877" s="20"/>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c r="A878" s="1"/>
      <c r="B878" s="1"/>
      <c r="C878" s="1"/>
      <c r="D878" s="20"/>
      <c r="E878" s="20"/>
      <c r="F878" s="20"/>
      <c r="G878" s="20"/>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c r="A879" s="1"/>
      <c r="B879" s="1"/>
      <c r="C879" s="1"/>
      <c r="D879" s="20"/>
      <c r="E879" s="20"/>
      <c r="F879" s="20"/>
      <c r="G879" s="20"/>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c r="A880" s="1"/>
      <c r="B880" s="1"/>
      <c r="C880" s="1"/>
      <c r="D880" s="20"/>
      <c r="E880" s="20"/>
      <c r="F880" s="20"/>
      <c r="G880" s="20"/>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c r="A881" s="1"/>
      <c r="B881" s="1"/>
      <c r="C881" s="1"/>
      <c r="D881" s="20"/>
      <c r="E881" s="20"/>
      <c r="F881" s="20"/>
      <c r="G881" s="20"/>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c r="A882" s="1"/>
      <c r="B882" s="1"/>
      <c r="C882" s="1"/>
      <c r="D882" s="20"/>
      <c r="E882" s="20"/>
      <c r="F882" s="20"/>
      <c r="G882" s="20"/>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c r="A883" s="1"/>
      <c r="B883" s="1"/>
      <c r="C883" s="1"/>
      <c r="D883" s="20"/>
      <c r="E883" s="20"/>
      <c r="F883" s="20"/>
      <c r="G883" s="20"/>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c r="A884" s="1"/>
      <c r="B884" s="1"/>
      <c r="C884" s="1"/>
      <c r="D884" s="20"/>
      <c r="E884" s="20"/>
      <c r="F884" s="20"/>
      <c r="G884" s="20"/>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c r="A885" s="1"/>
      <c r="B885" s="1"/>
      <c r="C885" s="1"/>
      <c r="D885" s="20"/>
      <c r="E885" s="20"/>
      <c r="F885" s="20"/>
      <c r="G885" s="20"/>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c r="A886" s="1"/>
      <c r="B886" s="1"/>
      <c r="C886" s="1"/>
      <c r="D886" s="20"/>
      <c r="E886" s="20"/>
      <c r="F886" s="20"/>
      <c r="G886" s="20"/>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c r="A887" s="1"/>
      <c r="B887" s="1"/>
      <c r="C887" s="1"/>
      <c r="D887" s="20"/>
      <c r="E887" s="20"/>
      <c r="F887" s="20"/>
      <c r="G887" s="20"/>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c r="A888" s="1"/>
      <c r="B888" s="1"/>
      <c r="C888" s="1"/>
      <c r="D888" s="20"/>
      <c r="E888" s="20"/>
      <c r="F888" s="20"/>
      <c r="G888" s="20"/>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c r="A889" s="1"/>
      <c r="B889" s="1"/>
      <c r="C889" s="1"/>
      <c r="D889" s="20"/>
      <c r="E889" s="20"/>
      <c r="F889" s="20"/>
      <c r="G889" s="20"/>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c r="A890" s="1"/>
      <c r="B890" s="1"/>
      <c r="C890" s="1"/>
      <c r="D890" s="20"/>
      <c r="E890" s="20"/>
      <c r="F890" s="20"/>
      <c r="G890" s="20"/>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c r="A891" s="1"/>
      <c r="B891" s="1"/>
      <c r="C891" s="1"/>
      <c r="D891" s="20"/>
      <c r="E891" s="20"/>
      <c r="F891" s="20"/>
      <c r="G891" s="20"/>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c r="A892" s="1"/>
      <c r="B892" s="1"/>
      <c r="C892" s="1"/>
      <c r="D892" s="20"/>
      <c r="E892" s="20"/>
      <c r="F892" s="20"/>
      <c r="G892" s="20"/>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c r="A893" s="1"/>
      <c r="B893" s="1"/>
      <c r="C893" s="1"/>
      <c r="D893" s="20"/>
      <c r="E893" s="20"/>
      <c r="F893" s="20"/>
      <c r="G893" s="20"/>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c r="A894" s="1"/>
      <c r="B894" s="1"/>
      <c r="C894" s="1"/>
      <c r="D894" s="20"/>
      <c r="E894" s="20"/>
      <c r="F894" s="20"/>
      <c r="G894" s="20"/>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c r="A895" s="1"/>
      <c r="B895" s="1"/>
      <c r="C895" s="1"/>
      <c r="D895" s="20"/>
      <c r="E895" s="20"/>
      <c r="F895" s="20"/>
      <c r="G895" s="20"/>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c r="A896" s="1"/>
      <c r="B896" s="1"/>
      <c r="C896" s="1"/>
      <c r="D896" s="20"/>
      <c r="E896" s="20"/>
      <c r="F896" s="20"/>
      <c r="G896" s="20"/>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c r="A897" s="1"/>
      <c r="B897" s="1"/>
      <c r="C897" s="1"/>
      <c r="D897" s="20"/>
      <c r="E897" s="20"/>
      <c r="F897" s="20"/>
      <c r="G897" s="20"/>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c r="A898" s="1"/>
      <c r="B898" s="1"/>
      <c r="C898" s="1"/>
      <c r="D898" s="20"/>
      <c r="E898" s="20"/>
      <c r="F898" s="20"/>
      <c r="G898" s="20"/>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c r="A899" s="1"/>
      <c r="B899" s="1"/>
      <c r="C899" s="1"/>
      <c r="D899" s="20"/>
      <c r="E899" s="20"/>
      <c r="F899" s="20"/>
      <c r="G899" s="20"/>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c r="A900" s="1"/>
      <c r="B900" s="1"/>
      <c r="C900" s="1"/>
      <c r="D900" s="20"/>
      <c r="E900" s="20"/>
      <c r="F900" s="20"/>
      <c r="G900" s="20"/>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c r="A901" s="1"/>
      <c r="B901" s="1"/>
      <c r="C901" s="1"/>
      <c r="D901" s="20"/>
      <c r="E901" s="20"/>
      <c r="F901" s="20"/>
      <c r="G901" s="20"/>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c r="A902" s="1"/>
      <c r="B902" s="1"/>
      <c r="C902" s="1"/>
      <c r="D902" s="20"/>
      <c r="E902" s="20"/>
      <c r="F902" s="20"/>
      <c r="G902" s="20"/>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c r="A903" s="1"/>
      <c r="B903" s="1"/>
      <c r="C903" s="1"/>
      <c r="D903" s="20"/>
      <c r="E903" s="20"/>
      <c r="F903" s="20"/>
      <c r="G903" s="20"/>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c r="A904" s="1"/>
      <c r="B904" s="1"/>
      <c r="C904" s="1"/>
      <c r="D904" s="20"/>
      <c r="E904" s="20"/>
      <c r="F904" s="20"/>
      <c r="G904" s="20"/>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c r="A905" s="1"/>
      <c r="B905" s="1"/>
      <c r="C905" s="1"/>
      <c r="D905" s="20"/>
      <c r="E905" s="20"/>
      <c r="F905" s="20"/>
      <c r="G905" s="20"/>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c r="A906" s="1"/>
      <c r="B906" s="1"/>
      <c r="C906" s="1"/>
      <c r="D906" s="20"/>
      <c r="E906" s="20"/>
      <c r="F906" s="20"/>
      <c r="G906" s="20"/>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c r="A907" s="1"/>
      <c r="B907" s="1"/>
      <c r="C907" s="1"/>
      <c r="D907" s="20"/>
      <c r="E907" s="20"/>
      <c r="F907" s="20"/>
      <c r="G907" s="20"/>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c r="A908" s="1"/>
      <c r="B908" s="1"/>
      <c r="C908" s="1"/>
      <c r="D908" s="20"/>
      <c r="E908" s="20"/>
      <c r="F908" s="20"/>
      <c r="G908" s="20"/>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c r="A909" s="1"/>
      <c r="B909" s="1"/>
      <c r="C909" s="1"/>
      <c r="D909" s="20"/>
      <c r="E909" s="20"/>
      <c r="F909" s="20"/>
      <c r="G909" s="20"/>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c r="A910" s="1"/>
      <c r="B910" s="1"/>
      <c r="C910" s="1"/>
      <c r="D910" s="20"/>
      <c r="E910" s="20"/>
      <c r="F910" s="20"/>
      <c r="G910" s="20"/>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c r="A911" s="1"/>
      <c r="B911" s="1"/>
      <c r="C911" s="1"/>
      <c r="D911" s="20"/>
      <c r="E911" s="20"/>
      <c r="F911" s="20"/>
      <c r="G911" s="20"/>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c r="A912" s="1"/>
      <c r="B912" s="1"/>
      <c r="C912" s="1"/>
      <c r="D912" s="20"/>
      <c r="E912" s="20"/>
      <c r="F912" s="20"/>
      <c r="G912" s="20"/>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c r="A913" s="1"/>
      <c r="B913" s="1"/>
      <c r="C913" s="1"/>
      <c r="D913" s="20"/>
      <c r="E913" s="20"/>
      <c r="F913" s="20"/>
      <c r="G913" s="20"/>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c r="A914" s="1"/>
      <c r="B914" s="1"/>
      <c r="C914" s="1"/>
      <c r="D914" s="20"/>
      <c r="E914" s="20"/>
      <c r="F914" s="20"/>
      <c r="G914" s="20"/>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c r="A915" s="1"/>
      <c r="B915" s="1"/>
      <c r="C915" s="1"/>
      <c r="D915" s="20"/>
      <c r="E915" s="20"/>
      <c r="F915" s="20"/>
      <c r="G915" s="20"/>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c r="A916" s="1"/>
      <c r="B916" s="1"/>
      <c r="C916" s="1"/>
      <c r="D916" s="20"/>
      <c r="E916" s="20"/>
      <c r="F916" s="20"/>
      <c r="G916" s="20"/>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c r="A917" s="1"/>
      <c r="B917" s="1"/>
      <c r="C917" s="1"/>
      <c r="D917" s="20"/>
      <c r="E917" s="20"/>
      <c r="F917" s="20"/>
      <c r="G917" s="20"/>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c r="A918" s="1"/>
      <c r="B918" s="1"/>
      <c r="C918" s="1"/>
      <c r="D918" s="20"/>
      <c r="E918" s="20"/>
      <c r="F918" s="20"/>
      <c r="G918" s="20"/>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c r="A919" s="1"/>
      <c r="B919" s="1"/>
      <c r="C919" s="1"/>
      <c r="D919" s="20"/>
      <c r="E919" s="20"/>
      <c r="F919" s="20"/>
      <c r="G919" s="20"/>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c r="A920" s="1"/>
      <c r="B920" s="1"/>
      <c r="C920" s="1"/>
      <c r="D920" s="20"/>
      <c r="E920" s="20"/>
      <c r="F920" s="20"/>
      <c r="G920" s="20"/>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c r="A921" s="1"/>
      <c r="B921" s="1"/>
      <c r="C921" s="1"/>
      <c r="D921" s="20"/>
      <c r="E921" s="20"/>
      <c r="F921" s="20"/>
      <c r="G921" s="20"/>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c r="A922" s="1"/>
      <c r="B922" s="1"/>
      <c r="C922" s="1"/>
      <c r="D922" s="20"/>
      <c r="E922" s="20"/>
      <c r="F922" s="20"/>
      <c r="G922" s="20"/>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c r="A923" s="1"/>
      <c r="B923" s="1"/>
      <c r="C923" s="1"/>
      <c r="D923" s="20"/>
      <c r="E923" s="20"/>
      <c r="F923" s="20"/>
      <c r="G923" s="20"/>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c r="A924" s="1"/>
      <c r="B924" s="1"/>
      <c r="C924" s="1"/>
      <c r="D924" s="20"/>
      <c r="E924" s="20"/>
      <c r="F924" s="20"/>
      <c r="G924" s="20"/>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c r="A925" s="1"/>
      <c r="B925" s="1"/>
      <c r="C925" s="1"/>
      <c r="D925" s="20"/>
      <c r="E925" s="20"/>
      <c r="F925" s="20"/>
      <c r="G925" s="20"/>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c r="A926" s="1"/>
      <c r="B926" s="1"/>
      <c r="C926" s="1"/>
      <c r="D926" s="20"/>
      <c r="E926" s="20"/>
      <c r="F926" s="20"/>
      <c r="G926" s="20"/>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c r="A927" s="1"/>
      <c r="B927" s="1"/>
      <c r="C927" s="1"/>
      <c r="D927" s="20"/>
      <c r="E927" s="20"/>
      <c r="F927" s="20"/>
      <c r="G927" s="20"/>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c r="A928" s="1"/>
      <c r="B928" s="1"/>
      <c r="C928" s="1"/>
      <c r="D928" s="20"/>
      <c r="E928" s="20"/>
      <c r="F928" s="20"/>
      <c r="G928" s="20"/>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c r="A929" s="1"/>
      <c r="B929" s="1"/>
      <c r="C929" s="1"/>
      <c r="D929" s="20"/>
      <c r="E929" s="20"/>
      <c r="F929" s="20"/>
      <c r="G929" s="20"/>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c r="A930" s="1"/>
      <c r="B930" s="1"/>
      <c r="C930" s="1"/>
      <c r="D930" s="20"/>
      <c r="E930" s="20"/>
      <c r="F930" s="20"/>
      <c r="G930" s="20"/>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c r="A931" s="1"/>
      <c r="B931" s="1"/>
      <c r="C931" s="1"/>
      <c r="D931" s="20"/>
      <c r="E931" s="20"/>
      <c r="F931" s="20"/>
      <c r="G931" s="20"/>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c r="A932" s="1"/>
      <c r="B932" s="1"/>
      <c r="C932" s="1"/>
      <c r="D932" s="20"/>
      <c r="E932" s="20"/>
      <c r="F932" s="20"/>
      <c r="G932" s="20"/>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c r="A933" s="1"/>
      <c r="B933" s="1"/>
      <c r="C933" s="1"/>
      <c r="D933" s="20"/>
      <c r="E933" s="20"/>
      <c r="F933" s="20"/>
      <c r="G933" s="20"/>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c r="A934" s="1"/>
      <c r="B934" s="1"/>
      <c r="C934" s="1"/>
      <c r="D934" s="20"/>
      <c r="E934" s="20"/>
      <c r="F934" s="20"/>
      <c r="G934" s="20"/>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c r="A935" s="1"/>
      <c r="B935" s="1"/>
      <c r="C935" s="1"/>
      <c r="D935" s="20"/>
      <c r="E935" s="20"/>
      <c r="F935" s="20"/>
      <c r="G935" s="20"/>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c r="A936" s="1"/>
      <c r="B936" s="1"/>
      <c r="C936" s="1"/>
      <c r="D936" s="20"/>
      <c r="E936" s="20"/>
      <c r="F936" s="20"/>
      <c r="G936" s="20"/>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c r="A937" s="1"/>
      <c r="B937" s="1"/>
      <c r="C937" s="1"/>
      <c r="D937" s="20"/>
      <c r="E937" s="20"/>
      <c r="F937" s="20"/>
      <c r="G937" s="20"/>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c r="A938" s="1"/>
      <c r="B938" s="1"/>
      <c r="C938" s="1"/>
      <c r="D938" s="20"/>
      <c r="E938" s="20"/>
      <c r="F938" s="20"/>
      <c r="G938" s="20"/>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c r="A939" s="1"/>
      <c r="B939" s="1"/>
      <c r="C939" s="1"/>
      <c r="D939" s="20"/>
      <c r="E939" s="20"/>
      <c r="F939" s="20"/>
      <c r="G939" s="20"/>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c r="A940" s="1"/>
      <c r="B940" s="1"/>
      <c r="C940" s="1"/>
      <c r="D940" s="20"/>
      <c r="E940" s="20"/>
      <c r="F940" s="20"/>
      <c r="G940" s="20"/>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c r="A941" s="1"/>
      <c r="B941" s="1"/>
      <c r="C941" s="1"/>
      <c r="D941" s="20"/>
      <c r="E941" s="20"/>
      <c r="F941" s="20"/>
      <c r="G941" s="20"/>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c r="A942" s="1"/>
      <c r="B942" s="1"/>
      <c r="C942" s="1"/>
      <c r="D942" s="20"/>
      <c r="E942" s="20"/>
      <c r="F942" s="20"/>
      <c r="G942" s="20"/>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c r="A943" s="1"/>
      <c r="B943" s="1"/>
      <c r="C943" s="1"/>
      <c r="D943" s="20"/>
      <c r="E943" s="20"/>
      <c r="F943" s="20"/>
      <c r="G943" s="20"/>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c r="A944" s="1"/>
      <c r="B944" s="1"/>
      <c r="C944" s="1"/>
      <c r="D944" s="20"/>
      <c r="E944" s="20"/>
      <c r="F944" s="20"/>
      <c r="G944" s="20"/>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c r="A945" s="1"/>
      <c r="B945" s="1"/>
      <c r="C945" s="1"/>
      <c r="D945" s="20"/>
      <c r="E945" s="20"/>
      <c r="F945" s="20"/>
      <c r="G945" s="20"/>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c r="A946" s="1"/>
      <c r="B946" s="1"/>
      <c r="C946" s="1"/>
      <c r="D946" s="20"/>
      <c r="E946" s="20"/>
      <c r="F946" s="20"/>
      <c r="G946" s="20"/>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c r="A947" s="1"/>
      <c r="B947" s="1"/>
      <c r="C947" s="1"/>
      <c r="D947" s="20"/>
      <c r="E947" s="20"/>
      <c r="F947" s="20"/>
      <c r="G947" s="20"/>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c r="A948" s="1"/>
      <c r="B948" s="1"/>
      <c r="C948" s="1"/>
      <c r="D948" s="20"/>
      <c r="E948" s="20"/>
      <c r="F948" s="20"/>
      <c r="G948" s="20"/>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c r="A949" s="1"/>
      <c r="B949" s="1"/>
      <c r="C949" s="1"/>
      <c r="D949" s="20"/>
      <c r="E949" s="20"/>
      <c r="F949" s="20"/>
      <c r="G949" s="20"/>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c r="A950" s="1"/>
      <c r="B950" s="1"/>
      <c r="C950" s="1"/>
      <c r="D950" s="20"/>
      <c r="E950" s="20"/>
      <c r="F950" s="20"/>
      <c r="G950" s="20"/>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c r="A951" s="1"/>
      <c r="B951" s="1"/>
      <c r="C951" s="1"/>
      <c r="D951" s="20"/>
      <c r="E951" s="20"/>
      <c r="F951" s="20"/>
      <c r="G951" s="20"/>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c r="A952" s="1"/>
      <c r="B952" s="1"/>
      <c r="C952" s="1"/>
      <c r="D952" s="20"/>
      <c r="E952" s="20"/>
      <c r="F952" s="20"/>
      <c r="G952" s="20"/>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c r="A953" s="1"/>
      <c r="B953" s="1"/>
      <c r="C953" s="1"/>
      <c r="D953" s="20"/>
      <c r="E953" s="20"/>
      <c r="F953" s="20"/>
      <c r="G953" s="20"/>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c r="A954" s="1"/>
      <c r="B954" s="1"/>
      <c r="C954" s="1"/>
      <c r="D954" s="20"/>
      <c r="E954" s="20"/>
      <c r="F954" s="20"/>
      <c r="G954" s="20"/>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c r="A955" s="1"/>
      <c r="B955" s="1"/>
      <c r="C955" s="1"/>
      <c r="D955" s="20"/>
      <c r="E955" s="20"/>
      <c r="F955" s="20"/>
      <c r="G955" s="20"/>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c r="A956" s="1"/>
      <c r="B956" s="1"/>
      <c r="C956" s="1"/>
      <c r="D956" s="20"/>
      <c r="E956" s="20"/>
      <c r="F956" s="20"/>
      <c r="G956" s="20"/>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c r="A957" s="1"/>
      <c r="B957" s="1"/>
      <c r="C957" s="1"/>
      <c r="D957" s="20"/>
      <c r="E957" s="20"/>
      <c r="F957" s="20"/>
      <c r="G957" s="20"/>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c r="A958" s="1"/>
      <c r="B958" s="1"/>
      <c r="C958" s="1"/>
      <c r="D958" s="20"/>
      <c r="E958" s="20"/>
      <c r="F958" s="20"/>
      <c r="G958" s="20"/>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c r="A959" s="1"/>
      <c r="B959" s="1"/>
      <c r="C959" s="1"/>
      <c r="D959" s="20"/>
      <c r="E959" s="20"/>
      <c r="F959" s="20"/>
      <c r="G959" s="20"/>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c r="A960" s="1"/>
      <c r="B960" s="1"/>
      <c r="C960" s="1"/>
      <c r="D960" s="20"/>
      <c r="E960" s="20"/>
      <c r="F960" s="20"/>
      <c r="G960" s="20"/>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c r="A961" s="1"/>
      <c r="B961" s="1"/>
      <c r="C961" s="1"/>
      <c r="D961" s="20"/>
      <c r="E961" s="20"/>
      <c r="F961" s="20"/>
      <c r="G961" s="20"/>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c r="A962" s="1"/>
      <c r="B962" s="1"/>
      <c r="C962" s="1"/>
      <c r="D962" s="20"/>
      <c r="E962" s="20"/>
      <c r="F962" s="20"/>
      <c r="G962" s="20"/>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c r="A963" s="1"/>
      <c r="B963" s="1"/>
      <c r="C963" s="1"/>
      <c r="D963" s="20"/>
      <c r="E963" s="20"/>
      <c r="F963" s="20"/>
      <c r="G963" s="20"/>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c r="A964" s="1"/>
      <c r="B964" s="1"/>
      <c r="C964" s="1"/>
      <c r="D964" s="20"/>
      <c r="E964" s="20"/>
      <c r="F964" s="20"/>
      <c r="G964" s="20"/>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c r="A965" s="1"/>
      <c r="B965" s="1"/>
      <c r="C965" s="1"/>
      <c r="D965" s="20"/>
      <c r="E965" s="20"/>
      <c r="F965" s="20"/>
      <c r="G965" s="20"/>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c r="A966" s="1"/>
      <c r="B966" s="1"/>
      <c r="C966" s="1"/>
      <c r="D966" s="20"/>
      <c r="E966" s="20"/>
      <c r="F966" s="20"/>
      <c r="G966" s="20"/>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c r="A967" s="1"/>
      <c r="B967" s="1"/>
      <c r="C967" s="1"/>
      <c r="D967" s="20"/>
      <c r="E967" s="20"/>
      <c r="F967" s="20"/>
      <c r="G967" s="20"/>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c r="A968" s="1"/>
      <c r="B968" s="1"/>
      <c r="C968" s="1"/>
      <c r="D968" s="20"/>
      <c r="E968" s="20"/>
      <c r="F968" s="20"/>
      <c r="G968" s="20"/>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c r="A969" s="1"/>
      <c r="B969" s="1"/>
      <c r="C969" s="1"/>
      <c r="D969" s="20"/>
      <c r="E969" s="20"/>
      <c r="F969" s="20"/>
      <c r="G969" s="20"/>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c r="A970" s="1"/>
      <c r="B970" s="1"/>
      <c r="C970" s="1"/>
      <c r="D970" s="20"/>
      <c r="E970" s="20"/>
      <c r="F970" s="20"/>
      <c r="G970" s="20"/>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c r="A971" s="1"/>
      <c r="B971" s="1"/>
      <c r="C971" s="1"/>
      <c r="D971" s="20"/>
      <c r="E971" s="20"/>
      <c r="F971" s="20"/>
      <c r="G971" s="20"/>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c r="A972" s="1"/>
      <c r="B972" s="1"/>
      <c r="C972" s="1"/>
      <c r="D972" s="20"/>
      <c r="E972" s="20"/>
      <c r="F972" s="20"/>
      <c r="G972" s="20"/>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c r="A973" s="1"/>
      <c r="B973" s="1"/>
      <c r="C973" s="1"/>
      <c r="D973" s="20"/>
      <c r="E973" s="20"/>
      <c r="F973" s="20"/>
      <c r="G973" s="20"/>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c r="A974" s="1"/>
      <c r="B974" s="1"/>
      <c r="C974" s="1"/>
      <c r="D974" s="20"/>
      <c r="E974" s="20"/>
      <c r="F974" s="20"/>
      <c r="G974" s="20"/>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c r="A975" s="1"/>
      <c r="B975" s="1"/>
      <c r="C975" s="1"/>
      <c r="D975" s="20"/>
      <c r="E975" s="20"/>
      <c r="F975" s="20"/>
      <c r="G975" s="20"/>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c r="A976" s="1"/>
      <c r="B976" s="1"/>
      <c r="C976" s="1"/>
      <c r="D976" s="20"/>
      <c r="E976" s="20"/>
      <c r="F976" s="20"/>
      <c r="G976" s="20"/>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c r="A977" s="1"/>
      <c r="B977" s="1"/>
      <c r="C977" s="1"/>
      <c r="D977" s="20"/>
      <c r="E977" s="20"/>
      <c r="F977" s="20"/>
      <c r="G977" s="20"/>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c r="A978" s="1"/>
      <c r="B978" s="1"/>
      <c r="C978" s="1"/>
      <c r="D978" s="20"/>
      <c r="E978" s="20"/>
      <c r="F978" s="20"/>
      <c r="G978" s="20"/>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c r="A979" s="1"/>
      <c r="B979" s="1"/>
      <c r="C979" s="1"/>
      <c r="D979" s="20"/>
      <c r="E979" s="20"/>
      <c r="F979" s="20"/>
      <c r="G979" s="20"/>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c r="A980" s="1"/>
      <c r="B980" s="1"/>
      <c r="C980" s="1"/>
      <c r="D980" s="20"/>
      <c r="E980" s="20"/>
      <c r="F980" s="20"/>
      <c r="G980" s="20"/>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c r="A981" s="1"/>
      <c r="B981" s="1"/>
      <c r="C981" s="1"/>
      <c r="D981" s="20"/>
      <c r="E981" s="20"/>
      <c r="F981" s="20"/>
      <c r="G981" s="20"/>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c r="A982" s="1"/>
      <c r="B982" s="1"/>
      <c r="C982" s="1"/>
      <c r="D982" s="20"/>
      <c r="E982" s="20"/>
      <c r="F982" s="20"/>
      <c r="G982" s="20"/>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c r="A983" s="1"/>
      <c r="B983" s="1"/>
      <c r="C983" s="1"/>
      <c r="D983" s="20"/>
      <c r="E983" s="20"/>
      <c r="F983" s="20"/>
      <c r="G983" s="20"/>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c r="A984" s="1"/>
      <c r="B984" s="1"/>
      <c r="C984" s="1"/>
      <c r="D984" s="20"/>
      <c r="E984" s="20"/>
      <c r="F984" s="20"/>
      <c r="G984" s="20"/>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c r="A985" s="1"/>
      <c r="B985" s="1"/>
      <c r="C985" s="1"/>
      <c r="D985" s="20"/>
      <c r="E985" s="20"/>
      <c r="F985" s="20"/>
      <c r="G985" s="20"/>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c r="A986" s="1"/>
      <c r="B986" s="1"/>
      <c r="C986" s="1"/>
      <c r="D986" s="20"/>
      <c r="E986" s="20"/>
      <c r="F986" s="20"/>
      <c r="G986" s="20"/>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c r="A987" s="1"/>
      <c r="B987" s="1"/>
      <c r="C987" s="1"/>
      <c r="D987" s="20"/>
      <c r="E987" s="20"/>
      <c r="F987" s="20"/>
      <c r="G987" s="20"/>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c r="A988" s="1"/>
      <c r="B988" s="1"/>
      <c r="C988" s="1"/>
      <c r="D988" s="20"/>
      <c r="E988" s="20"/>
      <c r="F988" s="20"/>
      <c r="G988" s="20"/>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c r="A989" s="1"/>
      <c r="B989" s="1"/>
      <c r="C989" s="1"/>
      <c r="D989" s="20"/>
      <c r="E989" s="20"/>
      <c r="F989" s="20"/>
      <c r="G989" s="20"/>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c r="A990" s="1"/>
      <c r="B990" s="1"/>
      <c r="C990" s="1"/>
      <c r="D990" s="20"/>
      <c r="E990" s="20"/>
      <c r="F990" s="20"/>
      <c r="G990" s="20"/>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c r="A991" s="1"/>
      <c r="B991" s="1"/>
      <c r="C991" s="1"/>
      <c r="D991" s="20"/>
      <c r="E991" s="20"/>
      <c r="F991" s="20"/>
      <c r="G991" s="20"/>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c r="A992" s="1"/>
      <c r="B992" s="1"/>
      <c r="C992" s="1"/>
      <c r="D992" s="20"/>
      <c r="E992" s="20"/>
      <c r="F992" s="20"/>
      <c r="G992" s="20"/>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c r="A993" s="1"/>
      <c r="B993" s="1"/>
      <c r="C993" s="1"/>
      <c r="D993" s="20"/>
      <c r="E993" s="20"/>
      <c r="F993" s="20"/>
      <c r="G993" s="20"/>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c r="A994" s="1"/>
      <c r="B994" s="1"/>
      <c r="C994" s="1"/>
      <c r="D994" s="20"/>
      <c r="E994" s="20"/>
      <c r="F994" s="20"/>
      <c r="G994" s="20"/>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c r="A995" s="1"/>
      <c r="B995" s="1"/>
      <c r="C995" s="1"/>
      <c r="D995" s="20"/>
      <c r="E995" s="20"/>
      <c r="F995" s="20"/>
      <c r="G995" s="20"/>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c r="A996" s="1"/>
      <c r="B996" s="1"/>
      <c r="C996" s="1"/>
      <c r="D996" s="20"/>
      <c r="E996" s="20"/>
      <c r="F996" s="20"/>
      <c r="G996" s="20"/>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c r="A997" s="1"/>
      <c r="B997" s="1"/>
      <c r="C997" s="1"/>
      <c r="D997" s="20"/>
      <c r="E997" s="20"/>
      <c r="F997" s="20"/>
      <c r="G997" s="20"/>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c r="A998" s="1"/>
      <c r="B998" s="1"/>
      <c r="C998" s="1"/>
      <c r="D998" s="20"/>
      <c r="E998" s="20"/>
      <c r="F998" s="20"/>
      <c r="G998" s="20"/>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c r="A999" s="1"/>
      <c r="B999" s="1"/>
      <c r="C999" s="1"/>
      <c r="D999" s="20"/>
      <c r="E999" s="20"/>
      <c r="F999" s="20"/>
      <c r="G999" s="20"/>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c r="A1000" s="1"/>
      <c r="B1000" s="1"/>
      <c r="C1000" s="1"/>
      <c r="D1000" s="20"/>
      <c r="E1000" s="20"/>
      <c r="F1000" s="20"/>
      <c r="G1000" s="20"/>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c r="A1001" s="1"/>
      <c r="B1001" s="1"/>
      <c r="C1001" s="1"/>
      <c r="D1001" s="20"/>
      <c r="E1001" s="20"/>
      <c r="F1001" s="20"/>
      <c r="G1001" s="20"/>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c r="A1002" s="1"/>
      <c r="B1002" s="1"/>
      <c r="C1002" s="1"/>
      <c r="D1002" s="20"/>
      <c r="E1002" s="20"/>
      <c r="F1002" s="20"/>
      <c r="G1002" s="20"/>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c r="A1003" s="1"/>
      <c r="B1003" s="1"/>
      <c r="C1003" s="1"/>
      <c r="D1003" s="20"/>
      <c r="E1003" s="20"/>
      <c r="F1003" s="20"/>
      <c r="G1003" s="20"/>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c r="A1004" s="1"/>
      <c r="B1004" s="1"/>
      <c r="C1004" s="1"/>
      <c r="D1004" s="20"/>
      <c r="E1004" s="20"/>
      <c r="F1004" s="20"/>
      <c r="G1004" s="20"/>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c r="A1005" s="1"/>
      <c r="B1005" s="1"/>
      <c r="C1005" s="1"/>
      <c r="D1005" s="20"/>
      <c r="E1005" s="20"/>
      <c r="F1005" s="20"/>
      <c r="G1005" s="20"/>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c r="A1006" s="1"/>
      <c r="B1006" s="1"/>
      <c r="C1006" s="1"/>
      <c r="D1006" s="20"/>
      <c r="E1006" s="20"/>
      <c r="F1006" s="20"/>
      <c r="G1006" s="20"/>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c r="A1007" s="1"/>
      <c r="B1007" s="1"/>
      <c r="C1007" s="1"/>
      <c r="D1007" s="20"/>
      <c r="E1007" s="20"/>
      <c r="F1007" s="20"/>
      <c r="G1007" s="20"/>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c r="A1008" s="1"/>
      <c r="B1008" s="1"/>
      <c r="C1008" s="1"/>
      <c r="D1008" s="20"/>
      <c r="E1008" s="20"/>
      <c r="F1008" s="20"/>
      <c r="G1008" s="20"/>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c r="A1009" s="1"/>
      <c r="B1009" s="1"/>
      <c r="C1009" s="1"/>
      <c r="D1009" s="20"/>
      <c r="E1009" s="20"/>
      <c r="F1009" s="20"/>
      <c r="G1009" s="20"/>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c r="A1010" s="1"/>
      <c r="B1010" s="1"/>
      <c r="C1010" s="1"/>
      <c r="D1010" s="20"/>
      <c r="E1010" s="20"/>
      <c r="F1010" s="20"/>
      <c r="G1010" s="20"/>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c r="A1011" s="1"/>
      <c r="B1011" s="1"/>
      <c r="C1011" s="1"/>
      <c r="D1011" s="20"/>
      <c r="E1011" s="20"/>
      <c r="F1011" s="20"/>
      <c r="G1011" s="20"/>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c r="A1012" s="1"/>
      <c r="B1012" s="1"/>
      <c r="C1012" s="1"/>
      <c r="D1012" s="20"/>
      <c r="E1012" s="20"/>
      <c r="F1012" s="20"/>
      <c r="G1012" s="20"/>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c r="A1013" s="1"/>
      <c r="B1013" s="1"/>
      <c r="C1013" s="1"/>
      <c r="D1013" s="20"/>
      <c r="E1013" s="20"/>
      <c r="F1013" s="20"/>
      <c r="G1013" s="20"/>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c r="A1014" s="1"/>
      <c r="B1014" s="1"/>
      <c r="C1014" s="1"/>
      <c r="D1014" s="20"/>
      <c r="E1014" s="20"/>
      <c r="F1014" s="20"/>
      <c r="G1014" s="20"/>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c r="A1015" s="1"/>
      <c r="B1015" s="1"/>
      <c r="C1015" s="1"/>
      <c r="D1015" s="20"/>
      <c r="E1015" s="20"/>
      <c r="F1015" s="20"/>
      <c r="G1015" s="20"/>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c r="A1016" s="1"/>
      <c r="B1016" s="1"/>
      <c r="C1016" s="1"/>
      <c r="D1016" s="20"/>
      <c r="E1016" s="20"/>
      <c r="F1016" s="20"/>
      <c r="G1016" s="20"/>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c r="A1017" s="1"/>
      <c r="B1017" s="1"/>
      <c r="C1017" s="1"/>
      <c r="D1017" s="20"/>
      <c r="E1017" s="20"/>
      <c r="F1017" s="20"/>
      <c r="G1017" s="20"/>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c r="A1018" s="1"/>
      <c r="B1018" s="1"/>
      <c r="C1018" s="1"/>
      <c r="D1018" s="20"/>
      <c r="E1018" s="20"/>
      <c r="F1018" s="20"/>
      <c r="G1018" s="20"/>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c r="A1019" s="1"/>
      <c r="B1019" s="1"/>
      <c r="C1019" s="1"/>
      <c r="D1019" s="20"/>
      <c r="E1019" s="20"/>
      <c r="F1019" s="20"/>
      <c r="G1019" s="20"/>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c r="A1020" s="1"/>
      <c r="B1020" s="1"/>
      <c r="C1020" s="1"/>
      <c r="D1020" s="20"/>
      <c r="E1020" s="20"/>
      <c r="F1020" s="20"/>
      <c r="G1020" s="20"/>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c r="A1021" s="1"/>
      <c r="B1021" s="1"/>
      <c r="C1021" s="1"/>
      <c r="D1021" s="20"/>
      <c r="E1021" s="20"/>
      <c r="F1021" s="20"/>
      <c r="G1021" s="20"/>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c r="A1022" s="1"/>
      <c r="B1022" s="1"/>
      <c r="C1022" s="1"/>
      <c r="D1022" s="20"/>
      <c r="E1022" s="20"/>
      <c r="F1022" s="20"/>
      <c r="G1022" s="20"/>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c r="A1023" s="1"/>
      <c r="B1023" s="1"/>
      <c r="C1023" s="1"/>
      <c r="D1023" s="20"/>
      <c r="E1023" s="20"/>
      <c r="F1023" s="20"/>
      <c r="G1023" s="20"/>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c r="A1024" s="1"/>
      <c r="B1024" s="1"/>
      <c r="C1024" s="1"/>
      <c r="D1024" s="20"/>
      <c r="E1024" s="20"/>
      <c r="F1024" s="20"/>
      <c r="G1024" s="20"/>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c r="A1025" s="1"/>
      <c r="B1025" s="1"/>
      <c r="C1025" s="1"/>
      <c r="D1025" s="20"/>
      <c r="E1025" s="20"/>
      <c r="F1025" s="20"/>
      <c r="G1025" s="20"/>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sheetData>
  <mergeCells count="1">
    <mergeCell ref="B1:H1"/>
  </mergeCells>
  <hyperlinks>
    <hyperlink ref="C30" location="Google_Sheet_Link_633389037" display="**Pérdidas por extracción anual" xr:uid="{00000000-0004-0000-0100-000000000000}"/>
    <hyperlink ref="C38" location="Google_Sheet_Link_633389037" display="**Pérdidas por extracción anual" xr:uid="{00000000-0004-0000-0100-000001000000}"/>
    <hyperlink ref="N228" r:id="rId1" display="https://biblioteca.olade.org/opac-tmpl/Documentos/old0380.pdf" xr:uid="{00000000-0004-0000-0100-000002000000}"/>
    <hyperlink ref="N231" r:id="rId2" display="https://biblioteca.olade.org/opac-tmpl/Documentos/old0380.pdf" xr:uid="{00000000-0004-0000-0100-000003000000}"/>
    <hyperlink ref="L232" r:id="rId3" display="https://biblioteca.olade.org/opac-tmpl/Documentos/old0380.pdf" xr:uid="{00000000-0004-0000-0100-000004000000}"/>
    <hyperlink ref="L234" r:id="rId4" display="https://biblioteca.olade.org/opac-tmpl/Documentos/old0380.pdf" xr:uid="{00000000-0004-0000-0100-000005000000}"/>
    <hyperlink ref="J235" r:id="rId5" display="https://biblioteca.olade.org/opac-tmpl/Documentos/old0380.pdf" xr:uid="{00000000-0004-0000-0100-000006000000}"/>
  </hyperlinks>
  <pageMargins left="0.7" right="0.7" top="0.75" bottom="0.75" header="0" footer="0"/>
  <pageSetup orientation="landscape"/>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E1280"/>
  <sheetViews>
    <sheetView workbookViewId="0"/>
  </sheetViews>
  <sheetFormatPr defaultColWidth="12.6640625" defaultRowHeight="15" customHeight="1"/>
  <cols>
    <col min="1" max="1" width="3" customWidth="1"/>
    <col min="2" max="2" width="2.44140625" customWidth="1"/>
    <col min="3" max="3" width="20.21875" customWidth="1"/>
    <col min="4" max="4" width="67.44140625" customWidth="1"/>
    <col min="5" max="5" width="19.21875" customWidth="1"/>
    <col min="6" max="6" width="17.44140625" customWidth="1"/>
    <col min="7" max="8" width="13.77734375" customWidth="1"/>
    <col min="9" max="9" width="25.21875" customWidth="1"/>
    <col min="10" max="10" width="13.77734375" customWidth="1"/>
    <col min="11" max="11" width="51.77734375" customWidth="1"/>
    <col min="12" max="37" width="13.77734375" customWidth="1"/>
    <col min="38" max="38" width="3.44140625" customWidth="1"/>
    <col min="39" max="39" width="12.44140625" customWidth="1"/>
  </cols>
  <sheetData>
    <row r="1" spans="1:39" ht="14.25" customHeight="1">
      <c r="A1" s="619"/>
      <c r="B1" s="625" t="s">
        <v>6</v>
      </c>
      <c r="C1" s="653"/>
      <c r="D1" s="653"/>
      <c r="E1" s="653"/>
      <c r="F1" s="653"/>
      <c r="G1" s="653"/>
      <c r="H1" s="654"/>
      <c r="I1" s="619"/>
      <c r="J1" s="619"/>
      <c r="K1" s="619"/>
      <c r="L1" s="619"/>
      <c r="M1" s="619"/>
      <c r="N1" s="619"/>
      <c r="O1" s="619"/>
      <c r="P1" s="619"/>
      <c r="Q1" s="619"/>
      <c r="R1" s="619"/>
      <c r="S1" s="619"/>
      <c r="T1" s="619"/>
      <c r="U1" s="619"/>
      <c r="V1" s="619"/>
      <c r="W1" s="619"/>
      <c r="X1" s="619"/>
      <c r="Y1" s="619"/>
      <c r="Z1" s="619"/>
      <c r="AA1" s="619"/>
      <c r="AB1" s="619"/>
      <c r="AC1" s="619"/>
      <c r="AD1" s="619"/>
      <c r="AE1" s="619"/>
      <c r="AF1" s="619"/>
      <c r="AG1" s="619"/>
      <c r="AH1" s="619"/>
      <c r="AI1" s="619"/>
      <c r="AJ1" s="619"/>
      <c r="AK1" s="619"/>
      <c r="AL1" s="619"/>
      <c r="AM1" s="8"/>
    </row>
    <row r="2" spans="1:39" ht="14.25" customHeight="1">
      <c r="A2" s="619"/>
      <c r="B2" s="619"/>
      <c r="C2" s="619"/>
      <c r="D2" s="4"/>
      <c r="E2" s="21"/>
      <c r="F2" s="21"/>
      <c r="G2" s="21"/>
      <c r="H2" s="22"/>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c r="AL2" s="619"/>
      <c r="AM2" s="8"/>
    </row>
    <row r="3" spans="1:39" ht="14.25" customHeight="1">
      <c r="A3" s="619"/>
      <c r="B3" s="23"/>
      <c r="C3" s="249"/>
      <c r="D3" s="250"/>
      <c r="E3" s="251"/>
      <c r="F3" s="251"/>
      <c r="G3" s="251"/>
      <c r="H3" s="252"/>
      <c r="I3" s="619"/>
      <c r="J3" s="619"/>
      <c r="K3" s="619"/>
      <c r="L3" s="619"/>
      <c r="M3" s="619"/>
      <c r="N3" s="619"/>
      <c r="O3" s="619"/>
      <c r="P3" s="619"/>
      <c r="Q3" s="619"/>
      <c r="R3" s="619"/>
      <c r="S3" s="619"/>
      <c r="T3" s="619"/>
      <c r="U3" s="619"/>
      <c r="V3" s="619"/>
      <c r="W3" s="619"/>
      <c r="X3" s="619"/>
      <c r="Y3" s="619"/>
      <c r="Z3" s="619"/>
      <c r="AA3" s="619"/>
      <c r="AB3" s="619"/>
      <c r="AC3" s="619"/>
      <c r="AD3" s="619"/>
      <c r="AE3" s="619"/>
      <c r="AF3" s="619"/>
      <c r="AG3" s="619"/>
      <c r="AH3" s="619"/>
      <c r="AI3" s="619"/>
      <c r="AJ3" s="619"/>
      <c r="AK3" s="619"/>
      <c r="AL3" s="619"/>
      <c r="AM3" s="8"/>
    </row>
    <row r="4" spans="1:39" ht="14.25" customHeight="1">
      <c r="A4" s="24"/>
      <c r="B4" s="253"/>
      <c r="C4" s="254"/>
      <c r="D4" s="255" t="s">
        <v>129</v>
      </c>
      <c r="E4" s="256"/>
      <c r="F4" s="256"/>
      <c r="G4" s="256"/>
      <c r="H4" s="257"/>
      <c r="I4" s="619"/>
      <c r="J4" s="619"/>
      <c r="K4" s="619"/>
      <c r="L4" s="619"/>
      <c r="M4" s="619"/>
      <c r="N4" s="619"/>
      <c r="O4" s="619"/>
      <c r="P4" s="619"/>
      <c r="Q4" s="619"/>
      <c r="R4" s="619"/>
      <c r="S4" s="619"/>
      <c r="T4" s="619"/>
      <c r="U4" s="619"/>
      <c r="V4" s="619"/>
      <c r="W4" s="619"/>
      <c r="X4" s="619"/>
      <c r="Y4" s="619"/>
      <c r="Z4" s="619"/>
      <c r="AA4" s="619"/>
      <c r="AB4" s="619"/>
      <c r="AC4" s="619"/>
      <c r="AD4" s="619"/>
      <c r="AE4" s="619"/>
      <c r="AF4" s="619"/>
      <c r="AG4" s="619"/>
      <c r="AH4" s="619"/>
      <c r="AI4" s="619"/>
      <c r="AJ4" s="619"/>
      <c r="AK4" s="619"/>
      <c r="AL4" s="619"/>
      <c r="AM4" s="8"/>
    </row>
    <row r="5" spans="1:39" ht="14.25" customHeight="1">
      <c r="A5" s="619"/>
      <c r="B5" s="253"/>
      <c r="C5" s="258"/>
      <c r="D5" s="259" t="s">
        <v>130</v>
      </c>
      <c r="E5" s="260">
        <v>2018</v>
      </c>
      <c r="F5" s="260">
        <v>2019</v>
      </c>
      <c r="G5" s="260">
        <v>2020</v>
      </c>
      <c r="H5" s="261">
        <v>2021</v>
      </c>
      <c r="I5" s="619"/>
      <c r="J5" s="619"/>
      <c r="K5" s="619"/>
      <c r="L5" s="619"/>
      <c r="M5" s="619"/>
      <c r="N5" s="619"/>
      <c r="O5" s="619"/>
      <c r="P5" s="619"/>
      <c r="Q5" s="619"/>
      <c r="R5" s="619"/>
      <c r="S5" s="619"/>
      <c r="T5" s="619"/>
      <c r="U5" s="619"/>
      <c r="V5" s="619"/>
      <c r="W5" s="619"/>
      <c r="X5" s="619"/>
      <c r="Y5" s="619"/>
      <c r="Z5" s="619"/>
      <c r="AA5" s="619"/>
      <c r="AB5" s="619"/>
      <c r="AC5" s="619"/>
      <c r="AD5" s="619"/>
      <c r="AE5" s="619"/>
      <c r="AF5" s="619"/>
      <c r="AG5" s="619"/>
      <c r="AH5" s="619"/>
      <c r="AI5" s="619"/>
      <c r="AJ5" s="619"/>
      <c r="AK5" s="619"/>
      <c r="AL5" s="619"/>
      <c r="AM5" s="8"/>
    </row>
    <row r="6" spans="1:39" ht="14.25" customHeight="1">
      <c r="A6" s="619"/>
      <c r="B6" s="253"/>
      <c r="C6" s="258"/>
      <c r="D6" s="262" t="s">
        <v>131</v>
      </c>
      <c r="E6" s="263">
        <f>'Copia de Electricidad'!D7/1000</f>
        <v>0.14430000000000001</v>
      </c>
      <c r="F6" s="264">
        <f>'Copia de Electricidad'!E7/1000</f>
        <v>0.14430000000000001</v>
      </c>
      <c r="G6" s="264">
        <f>'Copia de Electricidad'!F7/1000</f>
        <v>0.14430000000000001</v>
      </c>
      <c r="H6" s="265">
        <f>'Copia de Electricidad'!G7/1000</f>
        <v>0.14430000000000001</v>
      </c>
      <c r="I6" s="619"/>
      <c r="J6" s="619"/>
      <c r="K6" s="619"/>
      <c r="L6" s="619"/>
      <c r="M6" s="619"/>
      <c r="N6" s="619"/>
      <c r="O6" s="619"/>
      <c r="P6" s="619"/>
      <c r="Q6" s="619"/>
      <c r="R6" s="619"/>
      <c r="S6" s="619"/>
      <c r="T6" s="619"/>
      <c r="U6" s="619"/>
      <c r="V6" s="619"/>
      <c r="W6" s="619"/>
      <c r="X6" s="619"/>
      <c r="Y6" s="619"/>
      <c r="Z6" s="619"/>
      <c r="AA6" s="619"/>
      <c r="AB6" s="619"/>
      <c r="AC6" s="619"/>
      <c r="AD6" s="619"/>
      <c r="AE6" s="619"/>
      <c r="AF6" s="619"/>
      <c r="AG6" s="619"/>
      <c r="AH6" s="619"/>
      <c r="AI6" s="619"/>
      <c r="AJ6" s="619"/>
      <c r="AK6" s="619"/>
      <c r="AL6" s="619"/>
      <c r="AM6" s="8"/>
    </row>
    <row r="7" spans="1:39" ht="14.25" customHeight="1">
      <c r="A7" s="619"/>
      <c r="B7" s="253"/>
      <c r="C7" s="258"/>
      <c r="D7" s="266" t="s">
        <v>132</v>
      </c>
      <c r="E7" s="267"/>
      <c r="F7" s="268"/>
      <c r="G7" s="268"/>
      <c r="H7" s="269"/>
      <c r="I7" s="619"/>
      <c r="J7" s="619"/>
      <c r="K7" s="619"/>
      <c r="L7" s="619"/>
      <c r="M7" s="619"/>
      <c r="N7" s="619"/>
      <c r="O7" s="619"/>
      <c r="P7" s="619"/>
      <c r="Q7" s="619"/>
      <c r="R7" s="619"/>
      <c r="S7" s="619"/>
      <c r="T7" s="619"/>
      <c r="U7" s="619"/>
      <c r="V7" s="619"/>
      <c r="W7" s="619"/>
      <c r="X7" s="619"/>
      <c r="Y7" s="619"/>
      <c r="Z7" s="619"/>
      <c r="AA7" s="619"/>
      <c r="AB7" s="619"/>
      <c r="AC7" s="619"/>
      <c r="AD7" s="619"/>
      <c r="AE7" s="619"/>
      <c r="AF7" s="619"/>
      <c r="AG7" s="619"/>
      <c r="AH7" s="619"/>
      <c r="AI7" s="619"/>
      <c r="AJ7" s="619"/>
      <c r="AK7" s="619"/>
      <c r="AL7" s="619"/>
      <c r="AM7" s="8"/>
    </row>
    <row r="8" spans="1:39" ht="14.25" customHeight="1">
      <c r="A8" s="619"/>
      <c r="B8" s="253"/>
      <c r="C8" s="258" t="s">
        <v>133</v>
      </c>
      <c r="D8" s="259" t="s">
        <v>134</v>
      </c>
      <c r="E8" s="270">
        <f>'Copia de Electricidad'!D9/1000</f>
        <v>0.14430000000000001</v>
      </c>
      <c r="F8" s="256">
        <f>'Copia de Electricidad'!E9/1000</f>
        <v>0.14430000000000001</v>
      </c>
      <c r="G8" s="256">
        <f>'Copia de Electricidad'!F9/1000</f>
        <v>0.14430000000000001</v>
      </c>
      <c r="H8" s="271">
        <f>'Copia de Electricidad'!G9/1000</f>
        <v>0.14430000000000001</v>
      </c>
      <c r="I8" s="619"/>
      <c r="J8" s="619"/>
      <c r="K8" s="619"/>
      <c r="L8" s="619"/>
      <c r="M8" s="619"/>
      <c r="N8" s="619"/>
      <c r="O8" s="619"/>
      <c r="P8" s="619"/>
      <c r="Q8" s="619"/>
      <c r="R8" s="619"/>
      <c r="S8" s="619"/>
      <c r="T8" s="619"/>
      <c r="U8" s="619"/>
      <c r="V8" s="619"/>
      <c r="W8" s="619"/>
      <c r="X8" s="619"/>
      <c r="Y8" s="619"/>
      <c r="Z8" s="619"/>
      <c r="AA8" s="619"/>
      <c r="AB8" s="619"/>
      <c r="AC8" s="619"/>
      <c r="AD8" s="619"/>
      <c r="AE8" s="619"/>
      <c r="AF8" s="619"/>
      <c r="AG8" s="619"/>
      <c r="AH8" s="619"/>
      <c r="AI8" s="619"/>
      <c r="AJ8" s="619"/>
      <c r="AK8" s="619"/>
      <c r="AL8" s="619"/>
      <c r="AM8" s="8"/>
    </row>
    <row r="9" spans="1:39" ht="14.25" customHeight="1">
      <c r="A9" s="619"/>
      <c r="B9" s="253"/>
      <c r="C9" s="258" t="s">
        <v>135</v>
      </c>
      <c r="D9" s="262" t="s">
        <v>136</v>
      </c>
      <c r="E9" s="263">
        <f>'Copia de Electricidad'!D10/1000</f>
        <v>1.6500000000000001E-2</v>
      </c>
      <c r="F9" s="264">
        <f>'Copia de Electricidad'!E10/1000</f>
        <v>1.6500000000000001E-2</v>
      </c>
      <c r="G9" s="264">
        <f>'Copia de Electricidad'!F10/1000</f>
        <v>1.6500000000000001E-2</v>
      </c>
      <c r="H9" s="265">
        <f>'Copia de Electricidad'!G10/1000</f>
        <v>1.6500000000000001E-2</v>
      </c>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8"/>
    </row>
    <row r="10" spans="1:39" ht="14.25" customHeight="1">
      <c r="A10" s="619"/>
      <c r="B10" s="253"/>
      <c r="C10" s="258"/>
      <c r="D10" s="262" t="s">
        <v>137</v>
      </c>
      <c r="E10" s="263">
        <f>'Copia de Electricidad'!D11/1000</f>
        <v>5.0603439900000007</v>
      </c>
      <c r="F10" s="264">
        <f>'Copia de Electricidad'!E11/1000</f>
        <v>5.0703439900000005</v>
      </c>
      <c r="G10" s="264">
        <f>'Copia de Electricidad'!F11/1000</f>
        <v>5.0926859899999997</v>
      </c>
      <c r="H10" s="265">
        <f>'Copia de Electricidad'!G11/1000</f>
        <v>5.1007859899999994</v>
      </c>
      <c r="I10" s="619"/>
      <c r="J10" s="619"/>
      <c r="K10" s="619"/>
      <c r="L10" s="619"/>
      <c r="M10" s="619"/>
      <c r="N10" s="619"/>
      <c r="O10" s="619"/>
      <c r="P10" s="619"/>
      <c r="Q10" s="619"/>
      <c r="R10" s="619"/>
      <c r="S10" s="619"/>
      <c r="T10" s="619"/>
      <c r="U10" s="619"/>
      <c r="V10" s="619"/>
      <c r="W10" s="619"/>
      <c r="X10" s="619"/>
      <c r="Y10" s="619"/>
      <c r="Z10" s="619"/>
      <c r="AA10" s="619"/>
      <c r="AB10" s="619"/>
      <c r="AC10" s="619"/>
      <c r="AD10" s="619"/>
      <c r="AE10" s="619"/>
      <c r="AF10" s="619"/>
      <c r="AG10" s="619"/>
      <c r="AH10" s="619"/>
      <c r="AI10" s="619"/>
      <c r="AJ10" s="619"/>
      <c r="AK10" s="619"/>
      <c r="AL10" s="619"/>
      <c r="AM10" s="8"/>
    </row>
    <row r="11" spans="1:39" ht="14.25" customHeight="1">
      <c r="A11" s="619"/>
      <c r="B11" s="253"/>
      <c r="C11" s="258"/>
      <c r="D11" s="266" t="s">
        <v>138</v>
      </c>
      <c r="E11" s="267">
        <f>'Copia de Electricidad'!D12/1000</f>
        <v>1.7332000000000001</v>
      </c>
      <c r="F11" s="268">
        <f>'Copia de Electricidad'!E12/1000</f>
        <v>1.7332000000000001</v>
      </c>
      <c r="G11" s="268">
        <f>'Copia de Electricidad'!F12/1000</f>
        <v>1.7332000000000001</v>
      </c>
      <c r="H11" s="269">
        <f>'Copia de Electricidad'!G12/1000</f>
        <v>1.7332000000000001</v>
      </c>
      <c r="I11" s="619"/>
      <c r="J11" s="619"/>
      <c r="K11" s="619"/>
      <c r="L11" s="619"/>
      <c r="M11" s="619"/>
      <c r="N11" s="619"/>
      <c r="O11" s="619"/>
      <c r="P11" s="619"/>
      <c r="Q11" s="619"/>
      <c r="R11" s="619"/>
      <c r="S11" s="619"/>
      <c r="T11" s="619"/>
      <c r="U11" s="619"/>
      <c r="V11" s="619"/>
      <c r="W11" s="619"/>
      <c r="X11" s="619"/>
      <c r="Y11" s="619"/>
      <c r="Z11" s="619"/>
      <c r="AA11" s="619"/>
      <c r="AB11" s="619"/>
      <c r="AC11" s="619"/>
      <c r="AD11" s="619"/>
      <c r="AE11" s="619"/>
      <c r="AF11" s="619"/>
      <c r="AG11" s="619"/>
      <c r="AH11" s="619"/>
      <c r="AI11" s="619"/>
      <c r="AJ11" s="619"/>
      <c r="AK11" s="619"/>
      <c r="AL11" s="619"/>
      <c r="AM11" s="8"/>
    </row>
    <row r="12" spans="1:39" ht="14.25" customHeight="1">
      <c r="A12" s="619"/>
      <c r="B12" s="253"/>
      <c r="C12" s="258"/>
      <c r="D12" s="259" t="s">
        <v>139</v>
      </c>
      <c r="E12" s="270">
        <f>'Copia de Electricidad'!D13/1000</f>
        <v>1.478</v>
      </c>
      <c r="F12" s="256">
        <f>'Copia de Electricidad'!E13/1000</f>
        <v>1.478</v>
      </c>
      <c r="G12" s="256">
        <f>'Copia de Electricidad'!F13/1000</f>
        <v>1.478</v>
      </c>
      <c r="H12" s="271">
        <f>'Copia de Electricidad'!G13/1000</f>
        <v>1.478</v>
      </c>
      <c r="I12" s="619"/>
      <c r="J12" s="619"/>
      <c r="K12" s="619"/>
      <c r="L12" s="619"/>
      <c r="M12" s="619"/>
      <c r="N12" s="619"/>
      <c r="O12" s="619"/>
      <c r="P12" s="619"/>
      <c r="Q12" s="619"/>
      <c r="R12" s="619"/>
      <c r="S12" s="619"/>
      <c r="T12" s="619"/>
      <c r="U12" s="619"/>
      <c r="V12" s="619"/>
      <c r="W12" s="619"/>
      <c r="X12" s="619"/>
      <c r="Y12" s="619"/>
      <c r="Z12" s="619"/>
      <c r="AA12" s="619"/>
      <c r="AB12" s="619"/>
      <c r="AC12" s="619"/>
      <c r="AD12" s="619"/>
      <c r="AE12" s="619"/>
      <c r="AF12" s="619"/>
      <c r="AG12" s="619"/>
      <c r="AH12" s="619"/>
      <c r="AI12" s="619"/>
      <c r="AJ12" s="619"/>
      <c r="AK12" s="619"/>
      <c r="AL12" s="619"/>
      <c r="AM12" s="8"/>
    </row>
    <row r="13" spans="1:39" ht="14.25" customHeight="1">
      <c r="A13" s="619"/>
      <c r="B13" s="253"/>
      <c r="C13" s="258"/>
      <c r="D13" s="259" t="s">
        <v>140</v>
      </c>
      <c r="E13" s="270">
        <f>'Copia de Electricidad'!D14/1000</f>
        <v>0.25519999999999998</v>
      </c>
      <c r="F13" s="256">
        <f>'Copia de Electricidad'!E14/1000</f>
        <v>0.25519999999999998</v>
      </c>
      <c r="G13" s="256">
        <f>'Copia de Electricidad'!F14/1000</f>
        <v>0.25519999999999998</v>
      </c>
      <c r="H13" s="271">
        <f>'Copia de Electricidad'!G14/1000</f>
        <v>0.25519999999999998</v>
      </c>
      <c r="I13" s="619"/>
      <c r="J13" s="619"/>
      <c r="K13" s="619"/>
      <c r="L13" s="619"/>
      <c r="M13" s="619"/>
      <c r="N13" s="619"/>
      <c r="O13" s="619"/>
      <c r="P13" s="619"/>
      <c r="Q13" s="619"/>
      <c r="R13" s="619"/>
      <c r="S13" s="619"/>
      <c r="T13" s="619"/>
      <c r="U13" s="619"/>
      <c r="V13" s="619"/>
      <c r="W13" s="619"/>
      <c r="X13" s="619"/>
      <c r="Y13" s="619"/>
      <c r="Z13" s="619"/>
      <c r="AA13" s="619"/>
      <c r="AB13" s="619"/>
      <c r="AC13" s="619"/>
      <c r="AD13" s="619"/>
      <c r="AE13" s="619"/>
      <c r="AF13" s="619"/>
      <c r="AG13" s="619"/>
      <c r="AH13" s="619"/>
      <c r="AI13" s="619"/>
      <c r="AJ13" s="619"/>
      <c r="AK13" s="619"/>
      <c r="AL13" s="619"/>
      <c r="AM13" s="8"/>
    </row>
    <row r="14" spans="1:39" ht="14.25" customHeight="1">
      <c r="A14" s="619"/>
      <c r="B14" s="253"/>
      <c r="C14" s="258"/>
      <c r="D14" s="266" t="s">
        <v>141</v>
      </c>
      <c r="E14" s="267">
        <f>'Copia de Electricidad'!D15/1000</f>
        <v>3.3271439900000002</v>
      </c>
      <c r="F14" s="268">
        <f>'Copia de Electricidad'!E15/1000</f>
        <v>3.3371439899999999</v>
      </c>
      <c r="G14" s="268">
        <f>'Copia de Electricidad'!F15/1000</f>
        <v>3.35948599</v>
      </c>
      <c r="H14" s="269">
        <f>'Copia de Electricidad'!G15/1000</f>
        <v>3.3675859900000003</v>
      </c>
      <c r="I14" s="619"/>
      <c r="J14" s="619"/>
      <c r="K14" s="619"/>
      <c r="L14" s="619"/>
      <c r="M14" s="619"/>
      <c r="N14" s="619"/>
      <c r="O14" s="619"/>
      <c r="P14" s="619"/>
      <c r="Q14" s="619"/>
      <c r="R14" s="619"/>
      <c r="S14" s="619"/>
      <c r="T14" s="619"/>
      <c r="U14" s="619"/>
      <c r="V14" s="619"/>
      <c r="W14" s="619"/>
      <c r="X14" s="619"/>
      <c r="Y14" s="619"/>
      <c r="Z14" s="619"/>
      <c r="AA14" s="619"/>
      <c r="AB14" s="619"/>
      <c r="AC14" s="619"/>
      <c r="AD14" s="619"/>
      <c r="AE14" s="619"/>
      <c r="AF14" s="619"/>
      <c r="AG14" s="619"/>
      <c r="AH14" s="619"/>
      <c r="AI14" s="619"/>
      <c r="AJ14" s="619"/>
      <c r="AK14" s="619"/>
      <c r="AL14" s="619"/>
      <c r="AM14" s="8"/>
    </row>
    <row r="15" spans="1:39" ht="14.25" customHeight="1">
      <c r="A15" s="619"/>
      <c r="B15" s="253"/>
      <c r="C15" s="258"/>
      <c r="D15" s="259" t="s">
        <v>139</v>
      </c>
      <c r="E15" s="270">
        <f>'Copia de Electricidad'!D16/1000</f>
        <v>2.93938999</v>
      </c>
      <c r="F15" s="256">
        <f>'Copia de Electricidad'!E16/1000</f>
        <v>2.9493899900000002</v>
      </c>
      <c r="G15" s="256">
        <f>'Copia de Electricidad'!F16/1000</f>
        <v>2.9615859900000001</v>
      </c>
      <c r="H15" s="271">
        <f>'Copia de Electricidad'!G16/1000</f>
        <v>2.9696859899999999</v>
      </c>
      <c r="I15" s="619"/>
      <c r="J15" s="619"/>
      <c r="K15" s="619"/>
      <c r="L15" s="619"/>
      <c r="M15" s="619"/>
      <c r="N15" s="619"/>
      <c r="O15" s="619"/>
      <c r="P15" s="619"/>
      <c r="Q15" s="619"/>
      <c r="R15" s="619"/>
      <c r="S15" s="619"/>
      <c r="T15" s="619"/>
      <c r="U15" s="619"/>
      <c r="V15" s="619"/>
      <c r="W15" s="619"/>
      <c r="X15" s="619"/>
      <c r="Y15" s="619"/>
      <c r="Z15" s="619"/>
      <c r="AA15" s="619"/>
      <c r="AB15" s="619"/>
      <c r="AC15" s="619"/>
      <c r="AD15" s="619"/>
      <c r="AE15" s="619"/>
      <c r="AF15" s="619"/>
      <c r="AG15" s="619"/>
      <c r="AH15" s="619"/>
      <c r="AI15" s="619"/>
      <c r="AJ15" s="619"/>
      <c r="AK15" s="619"/>
      <c r="AL15" s="619"/>
      <c r="AM15" s="8"/>
    </row>
    <row r="16" spans="1:39" ht="14.25" customHeight="1">
      <c r="A16" s="619"/>
      <c r="B16" s="253"/>
      <c r="C16" s="258"/>
      <c r="D16" s="259" t="s">
        <v>140</v>
      </c>
      <c r="E16" s="25">
        <f>'Copia de Electricidad'!D17/1000</f>
        <v>0.38775399999999999</v>
      </c>
      <c r="F16" s="26">
        <f>'Copia de Electricidad'!E17/1000</f>
        <v>0.38775399999999999</v>
      </c>
      <c r="G16" s="26">
        <f>'Copia de Electricidad'!F17/1000</f>
        <v>0.39789999999999998</v>
      </c>
      <c r="H16" s="27">
        <f>'Copia de Electricidad'!G17/1000</f>
        <v>0.39789999999999998</v>
      </c>
      <c r="I16" s="619"/>
      <c r="J16" s="619"/>
      <c r="K16" s="619"/>
      <c r="L16" s="619"/>
      <c r="M16" s="619"/>
      <c r="N16" s="619"/>
      <c r="O16" s="619"/>
      <c r="P16" s="619"/>
      <c r="Q16" s="619"/>
      <c r="R16" s="619"/>
      <c r="S16" s="619"/>
      <c r="T16" s="619"/>
      <c r="U16" s="619"/>
      <c r="V16" s="619"/>
      <c r="W16" s="619"/>
      <c r="X16" s="619"/>
      <c r="Y16" s="619"/>
      <c r="Z16" s="619"/>
      <c r="AA16" s="619"/>
      <c r="AB16" s="619"/>
      <c r="AC16" s="619"/>
      <c r="AD16" s="619"/>
      <c r="AE16" s="619"/>
      <c r="AF16" s="619"/>
      <c r="AG16" s="619"/>
      <c r="AH16" s="619"/>
      <c r="AI16" s="619"/>
      <c r="AJ16" s="619"/>
      <c r="AK16" s="619"/>
      <c r="AL16" s="619"/>
      <c r="AM16" s="8"/>
    </row>
    <row r="17" spans="1:39" ht="14.25" customHeight="1">
      <c r="A17" s="619"/>
      <c r="B17" s="253"/>
      <c r="C17" s="258" t="s">
        <v>142</v>
      </c>
      <c r="D17" s="262" t="s">
        <v>143</v>
      </c>
      <c r="E17" s="263">
        <f>'Copia de Electricidad'!D18/1000</f>
        <v>2.4460819999999991E-2</v>
      </c>
      <c r="F17" s="264">
        <f>'Copia de Electricidad'!E18/1000</f>
        <v>2.4460819999999991E-2</v>
      </c>
      <c r="G17" s="264">
        <f>'Copia de Electricidad'!F18/1000</f>
        <v>2.4460819999999991E-2</v>
      </c>
      <c r="H17" s="265">
        <f>'Copia de Electricidad'!G18/1000</f>
        <v>2.4460819999999991E-2</v>
      </c>
      <c r="I17" s="619"/>
      <c r="J17" s="619"/>
      <c r="K17" s="619"/>
      <c r="L17" s="619"/>
      <c r="M17" s="619"/>
      <c r="N17" s="619"/>
      <c r="O17" s="619"/>
      <c r="P17" s="619"/>
      <c r="Q17" s="619"/>
      <c r="R17" s="619"/>
      <c r="S17" s="619"/>
      <c r="T17" s="619"/>
      <c r="U17" s="619"/>
      <c r="V17" s="619"/>
      <c r="W17" s="619"/>
      <c r="X17" s="619"/>
      <c r="Y17" s="619"/>
      <c r="Z17" s="619"/>
      <c r="AA17" s="619"/>
      <c r="AB17" s="619"/>
      <c r="AC17" s="619"/>
      <c r="AD17" s="619"/>
      <c r="AE17" s="619"/>
      <c r="AF17" s="619"/>
      <c r="AG17" s="619"/>
      <c r="AH17" s="619"/>
      <c r="AI17" s="619"/>
      <c r="AJ17" s="619"/>
      <c r="AK17" s="619"/>
      <c r="AL17" s="619"/>
      <c r="AM17" s="8"/>
    </row>
    <row r="18" spans="1:39" ht="14.25" customHeight="1">
      <c r="A18" s="619"/>
      <c r="B18" s="253"/>
      <c r="C18" s="258"/>
      <c r="D18" s="262" t="s">
        <v>144</v>
      </c>
      <c r="E18" s="263">
        <f>'Copia de Electricidad'!D19/1000</f>
        <v>2.1026506</v>
      </c>
      <c r="F18" s="264">
        <f>'Copia de Electricidad'!E19/1000</f>
        <v>2.0550505999999999</v>
      </c>
      <c r="G18" s="264">
        <f>'Copia de Electricidad'!F19/1000</f>
        <v>2.0550505999999999</v>
      </c>
      <c r="H18" s="265">
        <f>'Copia de Electricidad'!G19/1000</f>
        <v>2.0634705999999996</v>
      </c>
      <c r="I18" s="619"/>
      <c r="J18" s="619"/>
      <c r="K18" s="619"/>
      <c r="L18" s="619"/>
      <c r="M18" s="619"/>
      <c r="N18" s="619"/>
      <c r="O18" s="619"/>
      <c r="P18" s="619"/>
      <c r="Q18" s="619"/>
      <c r="R18" s="619"/>
      <c r="S18" s="619"/>
      <c r="T18" s="619"/>
      <c r="U18" s="619"/>
      <c r="V18" s="619"/>
      <c r="W18" s="619"/>
      <c r="X18" s="619"/>
      <c r="Y18" s="619"/>
      <c r="Z18" s="619"/>
      <c r="AA18" s="619"/>
      <c r="AB18" s="619"/>
      <c r="AC18" s="619"/>
      <c r="AD18" s="619"/>
      <c r="AE18" s="619"/>
      <c r="AF18" s="619"/>
      <c r="AG18" s="619"/>
      <c r="AH18" s="619"/>
      <c r="AI18" s="619"/>
      <c r="AJ18" s="619"/>
      <c r="AK18" s="619"/>
      <c r="AL18" s="619"/>
      <c r="AM18" s="8"/>
    </row>
    <row r="19" spans="1:39" ht="14.25" customHeight="1">
      <c r="A19" s="619"/>
      <c r="B19" s="253"/>
      <c r="C19" s="258"/>
      <c r="D19" s="266" t="s">
        <v>145</v>
      </c>
      <c r="E19" s="267">
        <f>'Copia de Electricidad'!D20/1000</f>
        <v>0.83605560000000001</v>
      </c>
      <c r="F19" s="268">
        <f>'Copia de Electricidad'!E20/1000</f>
        <v>0.78845560000000003</v>
      </c>
      <c r="G19" s="268">
        <f>'Copia de Electricidad'!F20/1000</f>
        <v>0.78845560000000003</v>
      </c>
      <c r="H19" s="269">
        <f>'Copia de Electricidad'!G20/1000</f>
        <v>0.79767559999999993</v>
      </c>
      <c r="I19" s="619"/>
      <c r="J19" s="619"/>
      <c r="K19" s="619"/>
      <c r="L19" s="619"/>
      <c r="M19" s="619"/>
      <c r="N19" s="619"/>
      <c r="O19" s="619"/>
      <c r="P19" s="619"/>
      <c r="Q19" s="619"/>
      <c r="R19" s="619"/>
      <c r="S19" s="619"/>
      <c r="T19" s="619"/>
      <c r="U19" s="619"/>
      <c r="V19" s="619"/>
      <c r="W19" s="619"/>
      <c r="X19" s="619"/>
      <c r="Y19" s="619"/>
      <c r="Z19" s="619"/>
      <c r="AA19" s="619"/>
      <c r="AB19" s="619"/>
      <c r="AC19" s="619"/>
      <c r="AD19" s="619"/>
      <c r="AE19" s="619"/>
      <c r="AF19" s="619"/>
      <c r="AG19" s="619"/>
      <c r="AH19" s="619"/>
      <c r="AI19" s="619"/>
      <c r="AJ19" s="619"/>
      <c r="AK19" s="619"/>
      <c r="AL19" s="619"/>
      <c r="AM19" s="8"/>
    </row>
    <row r="20" spans="1:39" ht="14.25" customHeight="1">
      <c r="A20" s="619"/>
      <c r="B20" s="253"/>
      <c r="C20" s="258" t="s">
        <v>146</v>
      </c>
      <c r="D20" s="259" t="s">
        <v>147</v>
      </c>
      <c r="E20" s="270">
        <f>'Copia de Electricidad'!D21/1000</f>
        <v>0.30998559999999997</v>
      </c>
      <c r="F20" s="256">
        <f>'Copia de Electricidad'!E21/1000</f>
        <v>0.2623856</v>
      </c>
      <c r="G20" s="256">
        <f>'Copia de Electricidad'!F21/1000</f>
        <v>0.2623856</v>
      </c>
      <c r="H20" s="271">
        <f>'Copia de Electricidad'!G21/1000</f>
        <v>0.2623856</v>
      </c>
      <c r="I20" s="619"/>
      <c r="J20" s="619"/>
      <c r="K20" s="619"/>
      <c r="L20" s="619"/>
      <c r="M20" s="619"/>
      <c r="N20" s="619"/>
      <c r="O20" s="619"/>
      <c r="P20" s="619"/>
      <c r="Q20" s="619"/>
      <c r="R20" s="619"/>
      <c r="S20" s="619"/>
      <c r="T20" s="619"/>
      <c r="U20" s="619"/>
      <c r="V20" s="619"/>
      <c r="W20" s="619"/>
      <c r="X20" s="619"/>
      <c r="Y20" s="619"/>
      <c r="Z20" s="619"/>
      <c r="AA20" s="619"/>
      <c r="AB20" s="619"/>
      <c r="AC20" s="619"/>
      <c r="AD20" s="619"/>
      <c r="AE20" s="619"/>
      <c r="AF20" s="619"/>
      <c r="AG20" s="619"/>
      <c r="AH20" s="619"/>
      <c r="AI20" s="619"/>
      <c r="AJ20" s="619"/>
      <c r="AK20" s="619"/>
      <c r="AL20" s="619"/>
      <c r="AM20" s="8"/>
    </row>
    <row r="21" spans="1:39" ht="14.25" customHeight="1">
      <c r="A21" s="619"/>
      <c r="B21" s="253"/>
      <c r="C21" s="258" t="s">
        <v>148</v>
      </c>
      <c r="D21" s="259" t="s">
        <v>149</v>
      </c>
      <c r="E21" s="270">
        <f>'Copia de Electricidad'!D22/1000</f>
        <v>0.43722</v>
      </c>
      <c r="F21" s="256">
        <f>'Copia de Electricidad'!E22/1000</f>
        <v>0.43722</v>
      </c>
      <c r="G21" s="256">
        <f>'Copia de Electricidad'!F22/1000</f>
        <v>0.43722</v>
      </c>
      <c r="H21" s="271">
        <f>'Copia de Electricidad'!G22/1000</f>
        <v>0.44643999999999995</v>
      </c>
      <c r="I21" s="619"/>
      <c r="J21" s="619"/>
      <c r="K21" s="619"/>
      <c r="L21" s="619"/>
      <c r="M21" s="619"/>
      <c r="N21" s="619"/>
      <c r="O21" s="619"/>
      <c r="P21" s="619"/>
      <c r="Q21" s="619"/>
      <c r="R21" s="619"/>
      <c r="S21" s="619"/>
      <c r="T21" s="619"/>
      <c r="U21" s="619"/>
      <c r="V21" s="619"/>
      <c r="W21" s="619"/>
      <c r="X21" s="619"/>
      <c r="Y21" s="619"/>
      <c r="Z21" s="619"/>
      <c r="AA21" s="619"/>
      <c r="AB21" s="619"/>
      <c r="AC21" s="619"/>
      <c r="AD21" s="619"/>
      <c r="AE21" s="619"/>
      <c r="AF21" s="619"/>
      <c r="AG21" s="619"/>
      <c r="AH21" s="619"/>
      <c r="AI21" s="619"/>
      <c r="AJ21" s="619"/>
      <c r="AK21" s="619"/>
      <c r="AL21" s="619"/>
      <c r="AM21" s="8"/>
    </row>
    <row r="22" spans="1:39" ht="14.25" customHeight="1">
      <c r="A22" s="619"/>
      <c r="B22" s="253"/>
      <c r="C22" s="258"/>
      <c r="D22" s="259" t="s">
        <v>150</v>
      </c>
      <c r="E22" s="256">
        <f>'Copia de Electricidad'!D23/1000</f>
        <v>2.2499999999999998E-3</v>
      </c>
      <c r="F22" s="256">
        <f>'Copia de Electricidad'!E23/1000</f>
        <v>2.2499999999999998E-3</v>
      </c>
      <c r="G22" s="256">
        <f>'Copia de Electricidad'!F23/1000</f>
        <v>2.2499999999999998E-3</v>
      </c>
      <c r="H22" s="271">
        <f>'Copia de Electricidad'!G23/1000</f>
        <v>2.2499999999999998E-3</v>
      </c>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8"/>
    </row>
    <row r="23" spans="1:39" ht="14.25" customHeight="1">
      <c r="A23" s="619"/>
      <c r="B23" s="253"/>
      <c r="C23" s="258" t="s">
        <v>151</v>
      </c>
      <c r="D23" s="259" t="s">
        <v>152</v>
      </c>
      <c r="E23" s="270">
        <f>'Copia de Electricidad'!D24/1000</f>
        <v>8.6599999999999996E-2</v>
      </c>
      <c r="F23" s="256">
        <f>'Copia de Electricidad'!E24/1000</f>
        <v>8.6599999999999996E-2</v>
      </c>
      <c r="G23" s="256">
        <f>'Copia de Electricidad'!F24/1000</f>
        <v>8.6599999999999996E-2</v>
      </c>
      <c r="H23" s="271">
        <f>'Copia de Electricidad'!G24/1000</f>
        <v>8.6599999999999996E-2</v>
      </c>
      <c r="I23" s="619"/>
      <c r="J23" s="619"/>
      <c r="K23" s="619"/>
      <c r="L23" s="619"/>
      <c r="M23" s="619"/>
      <c r="N23" s="619"/>
      <c r="O23" s="619"/>
      <c r="P23" s="619"/>
      <c r="Q23" s="619"/>
      <c r="R23" s="619"/>
      <c r="S23" s="619"/>
      <c r="T23" s="619"/>
      <c r="U23" s="619"/>
      <c r="V23" s="619"/>
      <c r="W23" s="619"/>
      <c r="X23" s="619"/>
      <c r="Y23" s="619"/>
      <c r="Z23" s="619"/>
      <c r="AA23" s="619"/>
      <c r="AB23" s="619"/>
      <c r="AC23" s="619"/>
      <c r="AD23" s="619"/>
      <c r="AE23" s="619"/>
      <c r="AF23" s="619"/>
      <c r="AG23" s="619"/>
      <c r="AH23" s="619"/>
      <c r="AI23" s="619"/>
      <c r="AJ23" s="619"/>
      <c r="AK23" s="619"/>
      <c r="AL23" s="619"/>
      <c r="AM23" s="8"/>
    </row>
    <row r="24" spans="1:39" ht="14.25" customHeight="1">
      <c r="A24" s="619"/>
      <c r="B24" s="253"/>
      <c r="C24" s="258"/>
      <c r="D24" s="266" t="s">
        <v>153</v>
      </c>
      <c r="E24" s="267">
        <f>'Copia de Electricidad'!D25/1000</f>
        <v>0.82059499999999996</v>
      </c>
      <c r="F24" s="268">
        <f>'Copia de Electricidad'!E25/1000</f>
        <v>0.82059499999999996</v>
      </c>
      <c r="G24" s="268">
        <f>'Copia de Electricidad'!F25/1000</f>
        <v>0.82059499999999996</v>
      </c>
      <c r="H24" s="269">
        <f>'Copia de Electricidad'!G25/1000</f>
        <v>0.81979499999999994</v>
      </c>
      <c r="I24" s="619"/>
      <c r="J24" s="619"/>
      <c r="K24" s="619"/>
      <c r="L24" s="619"/>
      <c r="M24" s="619"/>
      <c r="N24" s="619"/>
      <c r="O24" s="619"/>
      <c r="P24" s="619"/>
      <c r="Q24" s="619"/>
      <c r="R24" s="619"/>
      <c r="S24" s="619"/>
      <c r="T24" s="619"/>
      <c r="U24" s="619"/>
      <c r="V24" s="619"/>
      <c r="W24" s="619"/>
      <c r="X24" s="619"/>
      <c r="Y24" s="619"/>
      <c r="Z24" s="619"/>
      <c r="AA24" s="619"/>
      <c r="AB24" s="619"/>
      <c r="AC24" s="619"/>
      <c r="AD24" s="619"/>
      <c r="AE24" s="619"/>
      <c r="AF24" s="619"/>
      <c r="AG24" s="619"/>
      <c r="AH24" s="619"/>
      <c r="AI24" s="619"/>
      <c r="AJ24" s="619"/>
      <c r="AK24" s="619"/>
      <c r="AL24" s="619"/>
      <c r="AM24" s="8"/>
    </row>
    <row r="25" spans="1:39" ht="14.25" customHeight="1">
      <c r="A25" s="619"/>
      <c r="B25" s="253"/>
      <c r="C25" s="258" t="s">
        <v>154</v>
      </c>
      <c r="D25" s="259" t="s">
        <v>155</v>
      </c>
      <c r="E25" s="25">
        <f>'Copia de Electricidad'!D26/1000</f>
        <v>0.54523499999999991</v>
      </c>
      <c r="F25" s="26">
        <f>'Copia de Electricidad'!E26/1000</f>
        <v>0.54523499999999991</v>
      </c>
      <c r="G25" s="26">
        <f>'Copia de Electricidad'!F26/1000</f>
        <v>0.54523499999999991</v>
      </c>
      <c r="H25" s="27">
        <f>'Copia de Electricidad'!G26/1000</f>
        <v>0.54443499999999989</v>
      </c>
      <c r="I25" s="619"/>
      <c r="J25" s="619"/>
      <c r="K25" s="619"/>
      <c r="L25" s="619"/>
      <c r="M25" s="619"/>
      <c r="N25" s="619"/>
      <c r="O25" s="619"/>
      <c r="P25" s="619"/>
      <c r="Q25" s="619"/>
      <c r="R25" s="619"/>
      <c r="S25" s="619"/>
      <c r="T25" s="619"/>
      <c r="U25" s="619"/>
      <c r="V25" s="619"/>
      <c r="W25" s="619"/>
      <c r="X25" s="619"/>
      <c r="Y25" s="619"/>
      <c r="Z25" s="619"/>
      <c r="AA25" s="619"/>
      <c r="AB25" s="619"/>
      <c r="AC25" s="619"/>
      <c r="AD25" s="619"/>
      <c r="AE25" s="619"/>
      <c r="AF25" s="619"/>
      <c r="AG25" s="619"/>
      <c r="AH25" s="619"/>
      <c r="AI25" s="619"/>
      <c r="AJ25" s="619"/>
      <c r="AK25" s="619"/>
      <c r="AL25" s="619"/>
      <c r="AM25" s="8"/>
    </row>
    <row r="26" spans="1:39" ht="14.25" customHeight="1">
      <c r="A26" s="619"/>
      <c r="B26" s="253"/>
      <c r="C26" s="258" t="s">
        <v>156</v>
      </c>
      <c r="D26" s="259" t="s">
        <v>157</v>
      </c>
      <c r="E26" s="25">
        <f>'Copia de Electricidad'!D27/1000</f>
        <v>0.27535999999999999</v>
      </c>
      <c r="F26" s="26">
        <f>'Copia de Electricidad'!E27/1000</f>
        <v>0.27535999999999999</v>
      </c>
      <c r="G26" s="26">
        <f>'Copia de Electricidad'!F27/1000</f>
        <v>0.27535999999999999</v>
      </c>
      <c r="H26" s="27">
        <f>'Copia de Electricidad'!G27/1000</f>
        <v>0.27535999999999999</v>
      </c>
      <c r="I26" s="619"/>
      <c r="J26" s="619"/>
      <c r="K26" s="619"/>
      <c r="L26" s="619"/>
      <c r="M26" s="619"/>
      <c r="N26" s="619"/>
      <c r="O26" s="619"/>
      <c r="P26" s="619"/>
      <c r="Q26" s="619"/>
      <c r="R26" s="619"/>
      <c r="S26" s="619"/>
      <c r="T26" s="619"/>
      <c r="U26" s="619"/>
      <c r="V26" s="619"/>
      <c r="W26" s="619"/>
      <c r="X26" s="619"/>
      <c r="Y26" s="619"/>
      <c r="Z26" s="619"/>
      <c r="AA26" s="619"/>
      <c r="AB26" s="619"/>
      <c r="AC26" s="619"/>
      <c r="AD26" s="619"/>
      <c r="AE26" s="619"/>
      <c r="AF26" s="619"/>
      <c r="AG26" s="619"/>
      <c r="AH26" s="619"/>
      <c r="AI26" s="619"/>
      <c r="AJ26" s="619"/>
      <c r="AK26" s="619"/>
      <c r="AL26" s="619"/>
      <c r="AM26" s="8"/>
    </row>
    <row r="27" spans="1:39" ht="14.25" customHeight="1">
      <c r="A27" s="619"/>
      <c r="B27" s="253"/>
      <c r="C27" s="258"/>
      <c r="D27" s="266" t="s">
        <v>158</v>
      </c>
      <c r="E27" s="267">
        <f>'Copia de Electricidad'!D28/1000</f>
        <v>0.44600000000000001</v>
      </c>
      <c r="F27" s="268">
        <f>'Copia de Electricidad'!E28/1000</f>
        <v>0.44600000000000001</v>
      </c>
      <c r="G27" s="268">
        <f>'Copia de Electricidad'!F28/1000</f>
        <v>0.44600000000000001</v>
      </c>
      <c r="H27" s="269">
        <f>'Copia de Electricidad'!G28/1000</f>
        <v>0.44600000000000001</v>
      </c>
      <c r="I27" s="619"/>
      <c r="J27" s="619"/>
      <c r="K27" s="619"/>
      <c r="L27" s="619"/>
      <c r="M27" s="619"/>
      <c r="N27" s="619"/>
      <c r="O27" s="619"/>
      <c r="P27" s="619"/>
      <c r="Q27" s="619"/>
      <c r="R27" s="619"/>
      <c r="S27" s="619"/>
      <c r="T27" s="619"/>
      <c r="U27" s="619"/>
      <c r="V27" s="619"/>
      <c r="W27" s="619"/>
      <c r="X27" s="619"/>
      <c r="Y27" s="619"/>
      <c r="Z27" s="619"/>
      <c r="AA27" s="619"/>
      <c r="AB27" s="619"/>
      <c r="AC27" s="619"/>
      <c r="AD27" s="619"/>
      <c r="AE27" s="619"/>
      <c r="AF27" s="619"/>
      <c r="AG27" s="619"/>
      <c r="AH27" s="619"/>
      <c r="AI27" s="619"/>
      <c r="AJ27" s="619"/>
      <c r="AK27" s="619"/>
      <c r="AL27" s="619"/>
      <c r="AM27" s="8"/>
    </row>
    <row r="28" spans="1:39" ht="14.25" customHeight="1">
      <c r="A28" s="619"/>
      <c r="B28" s="253"/>
      <c r="C28" s="258" t="s">
        <v>159</v>
      </c>
      <c r="D28" s="259" t="s">
        <v>160</v>
      </c>
      <c r="E28" s="25">
        <f>'Copia de Electricidad'!D29/1000</f>
        <v>0.44600000000000001</v>
      </c>
      <c r="F28" s="26">
        <f>'Copia de Electricidad'!E29/1000</f>
        <v>0.44600000000000001</v>
      </c>
      <c r="G28" s="26">
        <f>'Copia de Electricidad'!F29/1000</f>
        <v>0.44600000000000001</v>
      </c>
      <c r="H28" s="27">
        <f>'Copia de Electricidad'!G29/1000</f>
        <v>0.44600000000000001</v>
      </c>
      <c r="I28" s="619"/>
      <c r="J28" s="619"/>
      <c r="K28" s="619"/>
      <c r="L28" s="619"/>
      <c r="M28" s="619"/>
      <c r="N28" s="619"/>
      <c r="O28" s="619"/>
      <c r="P28" s="619"/>
      <c r="Q28" s="619"/>
      <c r="R28" s="619"/>
      <c r="S28" s="619"/>
      <c r="T28" s="619"/>
      <c r="U28" s="619"/>
      <c r="V28" s="619"/>
      <c r="W28" s="619"/>
      <c r="X28" s="619"/>
      <c r="Y28" s="619"/>
      <c r="Z28" s="619"/>
      <c r="AA28" s="619"/>
      <c r="AB28" s="619"/>
      <c r="AC28" s="619"/>
      <c r="AD28" s="619"/>
      <c r="AE28" s="619"/>
      <c r="AF28" s="619"/>
      <c r="AG28" s="619"/>
      <c r="AH28" s="619"/>
      <c r="AI28" s="619"/>
      <c r="AJ28" s="619"/>
      <c r="AK28" s="619"/>
      <c r="AL28" s="619"/>
      <c r="AM28" s="8"/>
    </row>
    <row r="29" spans="1:39" ht="14.25" customHeight="1">
      <c r="A29" s="619"/>
      <c r="B29" s="253"/>
      <c r="C29" s="258"/>
      <c r="D29" s="262" t="s">
        <v>161</v>
      </c>
      <c r="E29" s="263">
        <f>'Copia de Electricidad'!D30/1000</f>
        <v>7.26E-3</v>
      </c>
      <c r="F29" s="264">
        <f>'Copia de Electricidad'!E30/1000</f>
        <v>7.26E-3</v>
      </c>
      <c r="G29" s="264">
        <f>'Copia de Electricidad'!F30/1000</f>
        <v>7.26E-3</v>
      </c>
      <c r="H29" s="265">
        <f>'Copia de Electricidad'!G30/1000</f>
        <v>8.320000000000001E-3</v>
      </c>
      <c r="I29" s="619"/>
      <c r="J29" s="619"/>
      <c r="K29" s="619"/>
      <c r="L29" s="619"/>
      <c r="M29" s="619"/>
      <c r="N29" s="619"/>
      <c r="O29" s="619"/>
      <c r="P29" s="619"/>
      <c r="Q29" s="619"/>
      <c r="R29" s="619"/>
      <c r="S29" s="619"/>
      <c r="T29" s="619"/>
      <c r="U29" s="619"/>
      <c r="V29" s="619"/>
      <c r="W29" s="619"/>
      <c r="X29" s="619"/>
      <c r="Y29" s="619"/>
      <c r="Z29" s="619"/>
      <c r="AA29" s="619"/>
      <c r="AB29" s="619"/>
      <c r="AC29" s="619"/>
      <c r="AD29" s="619"/>
      <c r="AE29" s="619"/>
      <c r="AF29" s="619"/>
      <c r="AG29" s="619"/>
      <c r="AH29" s="619"/>
      <c r="AI29" s="619"/>
      <c r="AJ29" s="619"/>
      <c r="AK29" s="619"/>
      <c r="AL29" s="619"/>
      <c r="AM29" s="8"/>
    </row>
    <row r="30" spans="1:39" ht="14.25" customHeight="1">
      <c r="A30" s="619"/>
      <c r="B30" s="253"/>
      <c r="C30" s="258"/>
      <c r="D30" s="266" t="s">
        <v>162</v>
      </c>
      <c r="E30" s="267"/>
      <c r="F30" s="268"/>
      <c r="G30" s="268"/>
      <c r="H30" s="269"/>
      <c r="I30" s="619"/>
      <c r="J30" s="619"/>
      <c r="K30" s="619"/>
      <c r="L30" s="619"/>
      <c r="M30" s="619"/>
      <c r="N30" s="619"/>
      <c r="O30" s="619"/>
      <c r="P30" s="619"/>
      <c r="Q30" s="619"/>
      <c r="R30" s="619"/>
      <c r="S30" s="619"/>
      <c r="T30" s="619"/>
      <c r="U30" s="619"/>
      <c r="V30" s="619"/>
      <c r="W30" s="619"/>
      <c r="X30" s="619"/>
      <c r="Y30" s="619"/>
      <c r="Z30" s="619"/>
      <c r="AA30" s="619"/>
      <c r="AB30" s="619"/>
      <c r="AC30" s="619"/>
      <c r="AD30" s="619"/>
      <c r="AE30" s="619"/>
      <c r="AF30" s="619"/>
      <c r="AG30" s="619"/>
      <c r="AH30" s="619"/>
      <c r="AI30" s="619"/>
      <c r="AJ30" s="619"/>
      <c r="AK30" s="619"/>
      <c r="AL30" s="619"/>
      <c r="AM30" s="8"/>
    </row>
    <row r="31" spans="1:39" ht="14.25" customHeight="1">
      <c r="A31" s="619"/>
      <c r="B31" s="253"/>
      <c r="C31" s="258" t="s">
        <v>163</v>
      </c>
      <c r="D31" s="259" t="s">
        <v>161</v>
      </c>
      <c r="E31" s="270">
        <f>'Copia de Electricidad'!D32/1000</f>
        <v>7.26E-3</v>
      </c>
      <c r="F31" s="256">
        <f>'Copia de Electricidad'!E32/1000</f>
        <v>7.26E-3</v>
      </c>
      <c r="G31" s="256">
        <f>'Copia de Electricidad'!F32/1000</f>
        <v>7.26E-3</v>
      </c>
      <c r="H31" s="271">
        <f>'Copia de Electricidad'!G32/1000</f>
        <v>8.320000000000001E-3</v>
      </c>
      <c r="I31" s="619"/>
      <c r="J31" s="619"/>
      <c r="K31" s="619"/>
      <c r="L31" s="619"/>
      <c r="M31" s="619"/>
      <c r="N31" s="619"/>
      <c r="O31" s="619"/>
      <c r="P31" s="619"/>
      <c r="Q31" s="619"/>
      <c r="R31" s="619"/>
      <c r="S31" s="619"/>
      <c r="T31" s="619"/>
      <c r="U31" s="619"/>
      <c r="V31" s="619"/>
      <c r="W31" s="619"/>
      <c r="X31" s="619"/>
      <c r="Y31" s="619"/>
      <c r="Z31" s="619"/>
      <c r="AA31" s="619"/>
      <c r="AB31" s="619"/>
      <c r="AC31" s="619"/>
      <c r="AD31" s="619"/>
      <c r="AE31" s="619"/>
      <c r="AF31" s="619"/>
      <c r="AG31" s="619"/>
      <c r="AH31" s="619"/>
      <c r="AI31" s="619"/>
      <c r="AJ31" s="619"/>
      <c r="AK31" s="619"/>
      <c r="AL31" s="619"/>
      <c r="AM31" s="8"/>
    </row>
    <row r="32" spans="1:39" ht="14.25" customHeight="1">
      <c r="A32" s="619"/>
      <c r="B32" s="253"/>
      <c r="C32" s="258"/>
      <c r="D32" s="272" t="s">
        <v>164</v>
      </c>
      <c r="E32" s="256"/>
      <c r="F32" s="256"/>
      <c r="G32" s="256"/>
      <c r="H32" s="273"/>
      <c r="I32" s="619"/>
      <c r="J32" s="619"/>
      <c r="K32" s="619"/>
      <c r="L32" s="619"/>
      <c r="M32" s="619"/>
      <c r="N32" s="619"/>
      <c r="O32" s="619"/>
      <c r="P32" s="619"/>
      <c r="Q32" s="619"/>
      <c r="R32" s="619"/>
      <c r="S32" s="619"/>
      <c r="T32" s="619"/>
      <c r="U32" s="619"/>
      <c r="V32" s="619"/>
      <c r="W32" s="619"/>
      <c r="X32" s="619"/>
      <c r="Y32" s="619"/>
      <c r="Z32" s="619"/>
      <c r="AA32" s="619"/>
      <c r="AB32" s="619"/>
      <c r="AC32" s="619"/>
      <c r="AD32" s="619"/>
      <c r="AE32" s="619"/>
      <c r="AF32" s="619"/>
      <c r="AG32" s="619"/>
      <c r="AH32" s="619"/>
      <c r="AI32" s="619"/>
      <c r="AJ32" s="619"/>
      <c r="AK32" s="619"/>
      <c r="AL32" s="619"/>
      <c r="AM32" s="8"/>
    </row>
    <row r="33" spans="1:39" ht="14.25" customHeight="1">
      <c r="A33" s="619"/>
      <c r="B33" s="253"/>
      <c r="C33" s="258" t="s">
        <v>165</v>
      </c>
      <c r="D33" s="274" t="s">
        <v>166</v>
      </c>
      <c r="E33" s="275">
        <f>'Copia de Electricidad'!D34/1000</f>
        <v>4.2200000000000001E-2</v>
      </c>
      <c r="F33" s="275">
        <f>'Copia de Electricidad'!E34/1000</f>
        <v>4.2200000000000001E-2</v>
      </c>
      <c r="G33" s="275">
        <f>'Copia de Electricidad'!F34/1000</f>
        <v>4.2200000000000001E-2</v>
      </c>
      <c r="H33" s="276">
        <f>'Copia de Electricidad'!G34/1000</f>
        <v>4.2200000000000001E-2</v>
      </c>
      <c r="I33" s="619"/>
      <c r="J33" s="619"/>
      <c r="K33" s="619"/>
      <c r="L33" s="619"/>
      <c r="M33" s="619"/>
      <c r="N33" s="619"/>
      <c r="O33" s="619"/>
      <c r="P33" s="619"/>
      <c r="Q33" s="619"/>
      <c r="R33" s="619"/>
      <c r="S33" s="619"/>
      <c r="T33" s="619"/>
      <c r="U33" s="619"/>
      <c r="V33" s="619"/>
      <c r="W33" s="619"/>
      <c r="X33" s="619"/>
      <c r="Y33" s="619"/>
      <c r="Z33" s="619"/>
      <c r="AA33" s="619"/>
      <c r="AB33" s="619"/>
      <c r="AC33" s="619"/>
      <c r="AD33" s="619"/>
      <c r="AE33" s="619"/>
      <c r="AF33" s="619"/>
      <c r="AG33" s="619"/>
      <c r="AH33" s="619"/>
      <c r="AI33" s="619"/>
      <c r="AJ33" s="619"/>
      <c r="AK33" s="619"/>
      <c r="AL33" s="619"/>
      <c r="AM33" s="8"/>
    </row>
    <row r="34" spans="1:39" ht="14.25" customHeight="1">
      <c r="A34" s="619"/>
      <c r="B34" s="253"/>
      <c r="C34" s="258" t="s">
        <v>167</v>
      </c>
      <c r="D34" s="274" t="s">
        <v>168</v>
      </c>
      <c r="E34" s="275">
        <f>'Copia de Electricidad'!D35/1000</f>
        <v>0.21299999999999999</v>
      </c>
      <c r="F34" s="275">
        <f>'Copia de Electricidad'!E35/1000</f>
        <v>0.21299999999999999</v>
      </c>
      <c r="G34" s="275">
        <f>'Copia de Electricidad'!F35/1000</f>
        <v>0.21299999999999999</v>
      </c>
      <c r="H34" s="276">
        <f>'Copia de Electricidad'!G35/1000</f>
        <v>0.21299999999999999</v>
      </c>
      <c r="I34" s="619"/>
      <c r="J34" s="619"/>
      <c r="K34" s="619"/>
      <c r="L34" s="619"/>
      <c r="M34" s="619"/>
      <c r="N34" s="619"/>
      <c r="O34" s="619"/>
      <c r="P34" s="619"/>
      <c r="Q34" s="619"/>
      <c r="R34" s="619"/>
      <c r="S34" s="619"/>
      <c r="T34" s="619"/>
      <c r="U34" s="619"/>
      <c r="V34" s="619"/>
      <c r="W34" s="619"/>
      <c r="X34" s="619"/>
      <c r="Y34" s="619"/>
      <c r="Z34" s="619"/>
      <c r="AA34" s="619"/>
      <c r="AB34" s="619"/>
      <c r="AC34" s="619"/>
      <c r="AD34" s="619"/>
      <c r="AE34" s="619"/>
      <c r="AF34" s="619"/>
      <c r="AG34" s="619"/>
      <c r="AH34" s="619"/>
      <c r="AI34" s="619"/>
      <c r="AJ34" s="619"/>
      <c r="AK34" s="619"/>
      <c r="AL34" s="619"/>
      <c r="AM34" s="8"/>
    </row>
    <row r="35" spans="1:39" ht="14.25" customHeight="1">
      <c r="A35" s="619"/>
      <c r="B35" s="253"/>
      <c r="C35" s="258" t="s">
        <v>169</v>
      </c>
      <c r="D35" s="274" t="s">
        <v>170</v>
      </c>
      <c r="E35" s="275"/>
      <c r="F35" s="275"/>
      <c r="G35" s="275"/>
      <c r="H35" s="276"/>
      <c r="I35" s="619"/>
      <c r="J35" s="619"/>
      <c r="K35" s="619"/>
      <c r="L35" s="619"/>
      <c r="M35" s="619"/>
      <c r="N35" s="619"/>
      <c r="O35" s="619"/>
      <c r="P35" s="619"/>
      <c r="Q35" s="619"/>
      <c r="R35" s="619"/>
      <c r="S35" s="619"/>
      <c r="T35" s="619"/>
      <c r="U35" s="619"/>
      <c r="V35" s="619"/>
      <c r="W35" s="619"/>
      <c r="X35" s="619"/>
      <c r="Y35" s="619"/>
      <c r="Z35" s="619"/>
      <c r="AA35" s="619"/>
      <c r="AB35" s="619"/>
      <c r="AC35" s="619"/>
      <c r="AD35" s="619"/>
      <c r="AE35" s="619"/>
      <c r="AF35" s="619"/>
      <c r="AG35" s="619"/>
      <c r="AH35" s="619"/>
      <c r="AI35" s="619"/>
      <c r="AJ35" s="619"/>
      <c r="AK35" s="619"/>
      <c r="AL35" s="619"/>
      <c r="AM35" s="8"/>
    </row>
    <row r="36" spans="1:39" ht="14.25" customHeight="1">
      <c r="A36" s="619"/>
      <c r="B36" s="253"/>
      <c r="C36" s="258" t="s">
        <v>171</v>
      </c>
      <c r="D36" s="274" t="s">
        <v>172</v>
      </c>
      <c r="E36" s="275"/>
      <c r="F36" s="275"/>
      <c r="G36" s="275"/>
      <c r="H36" s="276"/>
      <c r="I36" s="619"/>
      <c r="J36" s="619"/>
      <c r="K36" s="619"/>
      <c r="L36" s="619"/>
      <c r="M36" s="619"/>
      <c r="N36" s="619"/>
      <c r="O36" s="619"/>
      <c r="P36" s="619"/>
      <c r="Q36" s="619"/>
      <c r="R36" s="619"/>
      <c r="S36" s="619"/>
      <c r="T36" s="619"/>
      <c r="U36" s="619"/>
      <c r="V36" s="619"/>
      <c r="W36" s="619"/>
      <c r="X36" s="619"/>
      <c r="Y36" s="619"/>
      <c r="Z36" s="619"/>
      <c r="AA36" s="619"/>
      <c r="AB36" s="619"/>
      <c r="AC36" s="619"/>
      <c r="AD36" s="619"/>
      <c r="AE36" s="619"/>
      <c r="AF36" s="619"/>
      <c r="AG36" s="619"/>
      <c r="AH36" s="619"/>
      <c r="AI36" s="619"/>
      <c r="AJ36" s="619"/>
      <c r="AK36" s="619"/>
      <c r="AL36" s="619"/>
      <c r="AM36" s="8"/>
    </row>
    <row r="37" spans="1:39" ht="14.25" customHeight="1">
      <c r="A37" s="619"/>
      <c r="B37" s="253"/>
      <c r="C37" s="258" t="s">
        <v>173</v>
      </c>
      <c r="D37" s="274" t="s">
        <v>174</v>
      </c>
      <c r="E37" s="275">
        <f>'Copia de Electricidad'!D38/1000</f>
        <v>0.40300000000000002</v>
      </c>
      <c r="F37" s="275">
        <f>'Copia de Electricidad'!E38/1000</f>
        <v>0.40300000000000002</v>
      </c>
      <c r="G37" s="275">
        <f>'Copia de Electricidad'!F38/1000</f>
        <v>0.40300000000000002</v>
      </c>
      <c r="H37" s="276">
        <f>'Copia de Electricidad'!G38/1000</f>
        <v>0.40300000000000002</v>
      </c>
      <c r="I37" s="619"/>
      <c r="J37" s="619"/>
      <c r="K37" s="619"/>
      <c r="L37" s="619"/>
      <c r="M37" s="619"/>
      <c r="N37" s="619"/>
      <c r="O37" s="619"/>
      <c r="P37" s="619"/>
      <c r="Q37" s="619"/>
      <c r="R37" s="619"/>
      <c r="S37" s="619"/>
      <c r="T37" s="619"/>
      <c r="U37" s="619"/>
      <c r="V37" s="619"/>
      <c r="W37" s="619"/>
      <c r="X37" s="619"/>
      <c r="Y37" s="619"/>
      <c r="Z37" s="619"/>
      <c r="AA37" s="619"/>
      <c r="AB37" s="619"/>
      <c r="AC37" s="619"/>
      <c r="AD37" s="619"/>
      <c r="AE37" s="619"/>
      <c r="AF37" s="619"/>
      <c r="AG37" s="619"/>
      <c r="AH37" s="619"/>
      <c r="AI37" s="619"/>
      <c r="AJ37" s="619"/>
      <c r="AK37" s="619"/>
      <c r="AL37" s="619"/>
      <c r="AM37" s="8"/>
    </row>
    <row r="38" spans="1:39" ht="14.25" customHeight="1">
      <c r="A38" s="619"/>
      <c r="B38" s="253"/>
      <c r="C38" s="258" t="s">
        <v>175</v>
      </c>
      <c r="D38" s="274" t="s">
        <v>176</v>
      </c>
      <c r="E38" s="275">
        <f>'Copia de Electricidad'!D39/1000</f>
        <v>1.075</v>
      </c>
      <c r="F38" s="275">
        <f>'Copia de Electricidad'!E39/1000</f>
        <v>1.075</v>
      </c>
      <c r="G38" s="275">
        <f>'Copia de Electricidad'!F39/1000</f>
        <v>1.075</v>
      </c>
      <c r="H38" s="276">
        <f>'Copia de Electricidad'!G39/1000</f>
        <v>1.075</v>
      </c>
      <c r="I38" s="619"/>
      <c r="J38" s="619"/>
      <c r="K38" s="619"/>
      <c r="L38" s="619"/>
      <c r="M38" s="619"/>
      <c r="N38" s="619"/>
      <c r="O38" s="619"/>
      <c r="P38" s="619"/>
      <c r="Q38" s="619"/>
      <c r="R38" s="619"/>
      <c r="S38" s="619"/>
      <c r="T38" s="619"/>
      <c r="U38" s="619"/>
      <c r="V38" s="619"/>
      <c r="W38" s="619"/>
      <c r="X38" s="619"/>
      <c r="Y38" s="619"/>
      <c r="Z38" s="619"/>
      <c r="AA38" s="619"/>
      <c r="AB38" s="619"/>
      <c r="AC38" s="619"/>
      <c r="AD38" s="619"/>
      <c r="AE38" s="619"/>
      <c r="AF38" s="619"/>
      <c r="AG38" s="619"/>
      <c r="AH38" s="619"/>
      <c r="AI38" s="619"/>
      <c r="AJ38" s="619"/>
      <c r="AK38" s="619"/>
      <c r="AL38" s="619"/>
      <c r="AM38" s="8"/>
    </row>
    <row r="39" spans="1:39" ht="14.25" customHeight="1">
      <c r="A39" s="619"/>
      <c r="B39" s="253"/>
      <c r="C39" s="258"/>
      <c r="D39" s="272" t="s">
        <v>177</v>
      </c>
      <c r="E39" s="277"/>
      <c r="F39" s="277"/>
      <c r="G39" s="277"/>
      <c r="H39" s="278"/>
      <c r="I39" s="619"/>
      <c r="J39" s="619"/>
      <c r="K39" s="619"/>
      <c r="L39" s="619"/>
      <c r="M39" s="619"/>
      <c r="N39" s="619"/>
      <c r="O39" s="619"/>
      <c r="P39" s="619"/>
      <c r="Q39" s="619"/>
      <c r="R39" s="619"/>
      <c r="S39" s="619"/>
      <c r="T39" s="619"/>
      <c r="U39" s="619"/>
      <c r="V39" s="619"/>
      <c r="W39" s="619"/>
      <c r="X39" s="619"/>
      <c r="Y39" s="619"/>
      <c r="Z39" s="619"/>
      <c r="AA39" s="619"/>
      <c r="AB39" s="619"/>
      <c r="AC39" s="619"/>
      <c r="AD39" s="619"/>
      <c r="AE39" s="619"/>
      <c r="AF39" s="619"/>
      <c r="AG39" s="619"/>
      <c r="AH39" s="619"/>
      <c r="AI39" s="619"/>
      <c r="AJ39" s="619"/>
      <c r="AK39" s="619"/>
      <c r="AL39" s="619"/>
      <c r="AM39" s="8"/>
    </row>
    <row r="40" spans="1:39" ht="14.25" customHeight="1">
      <c r="A40" s="619"/>
      <c r="B40" s="253"/>
      <c r="C40" s="258" t="s">
        <v>178</v>
      </c>
      <c r="D40" s="274" t="s">
        <v>166</v>
      </c>
      <c r="E40" s="275">
        <f>'Copia de Electricidad'!D41/1000</f>
        <v>5.4393999999999998E-2</v>
      </c>
      <c r="F40" s="275">
        <f>'Copia de Electricidad'!E41/1000</f>
        <v>5.4393999999999991E-2</v>
      </c>
      <c r="G40" s="275">
        <f>'Copia de Electricidad'!F41/1000</f>
        <v>6.4539999999999986E-2</v>
      </c>
      <c r="H40" s="276">
        <f>'Copia de Electricidad'!G41/1000</f>
        <v>6.4539999999999986E-2</v>
      </c>
      <c r="I40" s="619"/>
      <c r="J40" s="619"/>
      <c r="K40" s="619"/>
      <c r="L40" s="619"/>
      <c r="M40" s="619"/>
      <c r="N40" s="619"/>
      <c r="O40" s="619"/>
      <c r="P40" s="619"/>
      <c r="Q40" s="619"/>
      <c r="R40" s="619"/>
      <c r="S40" s="619"/>
      <c r="T40" s="619"/>
      <c r="U40" s="619"/>
      <c r="V40" s="619"/>
      <c r="W40" s="619"/>
      <c r="X40" s="619"/>
      <c r="Y40" s="619"/>
      <c r="Z40" s="619"/>
      <c r="AA40" s="619"/>
      <c r="AB40" s="619"/>
      <c r="AC40" s="619"/>
      <c r="AD40" s="619"/>
      <c r="AE40" s="619"/>
      <c r="AF40" s="619"/>
      <c r="AG40" s="619"/>
      <c r="AH40" s="619"/>
      <c r="AI40" s="619"/>
      <c r="AJ40" s="619"/>
      <c r="AK40" s="619"/>
      <c r="AL40" s="619"/>
      <c r="AM40" s="8"/>
    </row>
    <row r="41" spans="1:39" ht="14.25" customHeight="1">
      <c r="A41" s="619"/>
      <c r="B41" s="253"/>
      <c r="C41" s="258" t="s">
        <v>179</v>
      </c>
      <c r="D41" s="274" t="s">
        <v>168</v>
      </c>
      <c r="E41" s="275">
        <f>'Copia de Electricidad'!D42/1000</f>
        <v>0.33335999999999999</v>
      </c>
      <c r="F41" s="275">
        <f>'Copia de Electricidad'!E42/1000</f>
        <v>0.33335999999999999</v>
      </c>
      <c r="G41" s="275">
        <f>'Copia de Electricidad'!F42/1000</f>
        <v>0.33335999999999999</v>
      </c>
      <c r="H41" s="276">
        <f>'Copia de Electricidad'!G42/1000</f>
        <v>0.33335999999999999</v>
      </c>
      <c r="I41" s="619"/>
      <c r="J41" s="619"/>
      <c r="K41" s="619"/>
      <c r="L41" s="619"/>
      <c r="M41" s="619"/>
      <c r="N41" s="619"/>
      <c r="O41" s="619"/>
      <c r="P41" s="619"/>
      <c r="Q41" s="619"/>
      <c r="R41" s="619"/>
      <c r="S41" s="619"/>
      <c r="T41" s="619"/>
      <c r="U41" s="619"/>
      <c r="V41" s="619"/>
      <c r="W41" s="619"/>
      <c r="X41" s="619"/>
      <c r="Y41" s="619"/>
      <c r="Z41" s="619"/>
      <c r="AA41" s="619"/>
      <c r="AB41" s="619"/>
      <c r="AC41" s="619"/>
      <c r="AD41" s="619"/>
      <c r="AE41" s="619"/>
      <c r="AF41" s="619"/>
      <c r="AG41" s="619"/>
      <c r="AH41" s="619"/>
      <c r="AI41" s="619"/>
      <c r="AJ41" s="619"/>
      <c r="AK41" s="619"/>
      <c r="AL41" s="619"/>
      <c r="AM41" s="8"/>
    </row>
    <row r="42" spans="1:39" ht="14.25" customHeight="1">
      <c r="A42" s="619"/>
      <c r="B42" s="253"/>
      <c r="C42" s="258" t="s">
        <v>180</v>
      </c>
      <c r="D42" s="274" t="s">
        <v>170</v>
      </c>
      <c r="E42" s="275"/>
      <c r="F42" s="275"/>
      <c r="G42" s="275"/>
      <c r="H42" s="276"/>
      <c r="I42" s="619"/>
      <c r="J42" s="619"/>
      <c r="K42" s="619"/>
      <c r="L42" s="619"/>
      <c r="M42" s="619"/>
      <c r="N42" s="619"/>
      <c r="O42" s="619"/>
      <c r="P42" s="619"/>
      <c r="Q42" s="619"/>
      <c r="R42" s="619"/>
      <c r="S42" s="619"/>
      <c r="T42" s="619"/>
      <c r="U42" s="619"/>
      <c r="V42" s="619"/>
      <c r="W42" s="619"/>
      <c r="X42" s="619"/>
      <c r="Y42" s="619"/>
      <c r="Z42" s="619"/>
      <c r="AA42" s="619"/>
      <c r="AB42" s="619"/>
      <c r="AC42" s="619"/>
      <c r="AD42" s="619"/>
      <c r="AE42" s="619"/>
      <c r="AF42" s="619"/>
      <c r="AG42" s="619"/>
      <c r="AH42" s="619"/>
      <c r="AI42" s="619"/>
      <c r="AJ42" s="619"/>
      <c r="AK42" s="619"/>
      <c r="AL42" s="619"/>
      <c r="AM42" s="8"/>
    </row>
    <row r="43" spans="1:39" ht="14.25" customHeight="1">
      <c r="A43" s="619"/>
      <c r="B43" s="253"/>
      <c r="C43" s="258" t="s">
        <v>181</v>
      </c>
      <c r="D43" s="274" t="s">
        <v>172</v>
      </c>
      <c r="E43" s="275">
        <f>'Copia de Electricidad'!D44/1000</f>
        <v>0.54239000000000004</v>
      </c>
      <c r="F43" s="275">
        <f>'Copia de Electricidad'!E44/1000</f>
        <v>0.55239000000000005</v>
      </c>
      <c r="G43" s="275">
        <f>'Copia de Electricidad'!F44/1000</f>
        <v>0.500282</v>
      </c>
      <c r="H43" s="276">
        <f>'Copia de Electricidad'!G44/1000</f>
        <v>0.508382</v>
      </c>
      <c r="I43" s="619"/>
      <c r="J43" s="619"/>
      <c r="K43" s="619"/>
      <c r="L43" s="619"/>
      <c r="M43" s="619"/>
      <c r="N43" s="619"/>
      <c r="O43" s="619"/>
      <c r="P43" s="619"/>
      <c r="Q43" s="619"/>
      <c r="R43" s="619"/>
      <c r="S43" s="619"/>
      <c r="T43" s="619"/>
      <c r="U43" s="619"/>
      <c r="V43" s="619"/>
      <c r="W43" s="619"/>
      <c r="X43" s="619"/>
      <c r="Y43" s="619"/>
      <c r="Z43" s="619"/>
      <c r="AA43" s="619"/>
      <c r="AB43" s="619"/>
      <c r="AC43" s="619"/>
      <c r="AD43" s="619"/>
      <c r="AE43" s="619"/>
      <c r="AF43" s="619"/>
      <c r="AG43" s="619"/>
      <c r="AH43" s="619"/>
      <c r="AI43" s="619"/>
      <c r="AJ43" s="619"/>
      <c r="AK43" s="619"/>
      <c r="AL43" s="619"/>
      <c r="AM43" s="8"/>
    </row>
    <row r="44" spans="1:39" ht="14.25" customHeight="1">
      <c r="A44" s="619"/>
      <c r="B44" s="253"/>
      <c r="C44" s="258" t="s">
        <v>182</v>
      </c>
      <c r="D44" s="274" t="s">
        <v>174</v>
      </c>
      <c r="E44" s="275">
        <f>'Copia de Electricidad'!D45/1000</f>
        <v>0.41</v>
      </c>
      <c r="F44" s="275">
        <f>'Copia de Electricidad'!E45/1000</f>
        <v>0.41</v>
      </c>
      <c r="G44" s="275">
        <f>'Copia de Electricidad'!F45/1000</f>
        <v>0.47430399999999995</v>
      </c>
      <c r="H44" s="276">
        <f>'Copia de Electricidad'!G45/1000</f>
        <v>0.47430399999999995</v>
      </c>
      <c r="I44" s="619"/>
      <c r="J44" s="619"/>
      <c r="K44" s="619"/>
      <c r="L44" s="619"/>
      <c r="M44" s="619"/>
      <c r="N44" s="619"/>
      <c r="O44" s="619"/>
      <c r="P44" s="619"/>
      <c r="Q44" s="619"/>
      <c r="R44" s="619"/>
      <c r="S44" s="619"/>
      <c r="T44" s="619"/>
      <c r="U44" s="619"/>
      <c r="V44" s="619"/>
      <c r="W44" s="619"/>
      <c r="X44" s="619"/>
      <c r="Y44" s="619"/>
      <c r="Z44" s="619"/>
      <c r="AA44" s="619"/>
      <c r="AB44" s="619"/>
      <c r="AC44" s="619"/>
      <c r="AD44" s="619"/>
      <c r="AE44" s="619"/>
      <c r="AF44" s="619"/>
      <c r="AG44" s="619"/>
      <c r="AH44" s="619"/>
      <c r="AI44" s="619"/>
      <c r="AJ44" s="619"/>
      <c r="AK44" s="619"/>
      <c r="AL44" s="619"/>
      <c r="AM44" s="8"/>
    </row>
    <row r="45" spans="1:39" ht="14.25" customHeight="1">
      <c r="A45" s="619"/>
      <c r="B45" s="253"/>
      <c r="C45" s="258" t="s">
        <v>183</v>
      </c>
      <c r="D45" s="274" t="s">
        <v>176</v>
      </c>
      <c r="E45" s="275">
        <f>'Copia de Electricidad'!D46/1000</f>
        <v>1.9869999899999999</v>
      </c>
      <c r="F45" s="275">
        <f>'Copia de Electricidad'!E46/1000</f>
        <v>1.9869999899999999</v>
      </c>
      <c r="G45" s="275">
        <f>'Copia de Electricidad'!F46/1000</f>
        <v>1.9869999899999999</v>
      </c>
      <c r="H45" s="276">
        <f>'Copia de Electricidad'!G46/1000</f>
        <v>1.9869999899999999</v>
      </c>
      <c r="I45" s="619"/>
      <c r="J45" s="619"/>
      <c r="K45" s="619"/>
      <c r="L45" s="619"/>
      <c r="M45" s="619"/>
      <c r="N45" s="619"/>
      <c r="O45" s="619"/>
      <c r="P45" s="619"/>
      <c r="Q45" s="619"/>
      <c r="R45" s="619"/>
      <c r="S45" s="619"/>
      <c r="T45" s="619"/>
      <c r="U45" s="619"/>
      <c r="V45" s="619"/>
      <c r="W45" s="619"/>
      <c r="X45" s="619"/>
      <c r="Y45" s="619"/>
      <c r="Z45" s="619"/>
      <c r="AA45" s="619"/>
      <c r="AB45" s="619"/>
      <c r="AC45" s="619"/>
      <c r="AD45" s="619"/>
      <c r="AE45" s="619"/>
      <c r="AF45" s="619"/>
      <c r="AG45" s="619"/>
      <c r="AH45" s="619"/>
      <c r="AI45" s="619"/>
      <c r="AJ45" s="619"/>
      <c r="AK45" s="619"/>
      <c r="AL45" s="619"/>
      <c r="AM45" s="8"/>
    </row>
    <row r="46" spans="1:39" ht="14.25" customHeight="1">
      <c r="A46" s="619"/>
      <c r="B46" s="253"/>
      <c r="C46" s="258"/>
      <c r="D46" s="279" t="s">
        <v>39</v>
      </c>
      <c r="E46" s="28">
        <f t="shared" ref="E46:H46" si="0">E6+E9+E10+E17+E18+E29</f>
        <v>7.3555154099999998</v>
      </c>
      <c r="F46" s="28">
        <f t="shared" si="0"/>
        <v>7.3179154100000003</v>
      </c>
      <c r="G46" s="28">
        <f t="shared" si="0"/>
        <v>7.3402574099999987</v>
      </c>
      <c r="H46" s="29">
        <f t="shared" si="0"/>
        <v>7.3578374099999992</v>
      </c>
      <c r="I46" s="619"/>
      <c r="J46" s="619"/>
      <c r="K46" s="619"/>
      <c r="L46" s="619"/>
      <c r="M46" s="619"/>
      <c r="N46" s="619"/>
      <c r="O46" s="619"/>
      <c r="P46" s="619"/>
      <c r="Q46" s="619"/>
      <c r="R46" s="619"/>
      <c r="S46" s="619"/>
      <c r="T46" s="619"/>
      <c r="U46" s="619"/>
      <c r="V46" s="619"/>
      <c r="W46" s="619"/>
      <c r="X46" s="619"/>
      <c r="Y46" s="619"/>
      <c r="Z46" s="619"/>
      <c r="AA46" s="619"/>
      <c r="AB46" s="619"/>
      <c r="AC46" s="619"/>
      <c r="AD46" s="619"/>
      <c r="AE46" s="619"/>
      <c r="AF46" s="619"/>
      <c r="AG46" s="619"/>
      <c r="AH46" s="619"/>
      <c r="AI46" s="619"/>
      <c r="AJ46" s="619"/>
      <c r="AK46" s="619"/>
      <c r="AL46" s="619"/>
      <c r="AM46" s="8"/>
    </row>
    <row r="47" spans="1:39" ht="14.25" customHeight="1">
      <c r="A47" s="619"/>
      <c r="B47" s="253"/>
      <c r="C47" s="258"/>
      <c r="D47" s="259"/>
      <c r="E47" s="26"/>
      <c r="F47" s="256"/>
      <c r="G47" s="256"/>
      <c r="H47" s="280"/>
      <c r="I47" s="619"/>
      <c r="J47" s="619"/>
      <c r="K47" s="619"/>
      <c r="L47" s="619"/>
      <c r="M47" s="619"/>
      <c r="N47" s="619"/>
      <c r="O47" s="619"/>
      <c r="P47" s="619"/>
      <c r="Q47" s="619"/>
      <c r="R47" s="619"/>
      <c r="S47" s="619"/>
      <c r="T47" s="619"/>
      <c r="U47" s="619"/>
      <c r="V47" s="619"/>
      <c r="W47" s="619"/>
      <c r="X47" s="619"/>
      <c r="Y47" s="619"/>
      <c r="Z47" s="619"/>
      <c r="AA47" s="619"/>
      <c r="AB47" s="619"/>
      <c r="AC47" s="619"/>
      <c r="AD47" s="619"/>
      <c r="AE47" s="619"/>
      <c r="AF47" s="619"/>
      <c r="AG47" s="619"/>
      <c r="AH47" s="619"/>
      <c r="AI47" s="619"/>
      <c r="AJ47" s="619"/>
      <c r="AK47" s="619"/>
      <c r="AL47" s="619"/>
      <c r="AM47" s="8"/>
    </row>
    <row r="48" spans="1:39" ht="14.25" customHeight="1">
      <c r="A48" s="619"/>
      <c r="B48" s="253"/>
      <c r="C48" s="258"/>
      <c r="D48" s="281" t="s">
        <v>184</v>
      </c>
      <c r="E48" s="260">
        <v>2018</v>
      </c>
      <c r="F48" s="260">
        <v>2019</v>
      </c>
      <c r="G48" s="260">
        <v>2020</v>
      </c>
      <c r="H48" s="261">
        <v>2021</v>
      </c>
      <c r="I48" s="619"/>
      <c r="J48" s="619"/>
      <c r="K48" s="619"/>
      <c r="L48" s="619"/>
      <c r="M48" s="619"/>
      <c r="N48" s="619"/>
      <c r="O48" s="619"/>
      <c r="P48" s="619"/>
      <c r="Q48" s="619"/>
      <c r="R48" s="619"/>
      <c r="S48" s="619"/>
      <c r="T48" s="619"/>
      <c r="U48" s="619"/>
      <c r="V48" s="619"/>
      <c r="W48" s="619"/>
      <c r="X48" s="619"/>
      <c r="Y48" s="619"/>
      <c r="Z48" s="619"/>
      <c r="AA48" s="619"/>
      <c r="AB48" s="619"/>
      <c r="AC48" s="619"/>
      <c r="AD48" s="619"/>
      <c r="AE48" s="619"/>
      <c r="AF48" s="619"/>
      <c r="AG48" s="619"/>
      <c r="AH48" s="619"/>
      <c r="AI48" s="619"/>
      <c r="AJ48" s="619"/>
      <c r="AK48" s="619"/>
      <c r="AL48" s="619"/>
      <c r="AM48" s="8"/>
    </row>
    <row r="49" spans="1:39" ht="14.25" customHeight="1">
      <c r="A49" s="619"/>
      <c r="B49" s="253"/>
      <c r="C49" s="258"/>
      <c r="D49" s="262" t="s">
        <v>185</v>
      </c>
      <c r="E49" s="282" t="s">
        <v>186</v>
      </c>
      <c r="F49" s="282" t="s">
        <v>186</v>
      </c>
      <c r="G49" s="282" t="s">
        <v>186</v>
      </c>
      <c r="H49" s="283" t="s">
        <v>186</v>
      </c>
      <c r="I49" s="619"/>
      <c r="J49" s="619"/>
      <c r="K49" s="619"/>
      <c r="L49" s="619"/>
      <c r="M49" s="619"/>
      <c r="N49" s="619"/>
      <c r="O49" s="619"/>
      <c r="P49" s="619"/>
      <c r="Q49" s="619"/>
      <c r="R49" s="619"/>
      <c r="S49" s="619"/>
      <c r="T49" s="619"/>
      <c r="U49" s="619"/>
      <c r="V49" s="619"/>
      <c r="W49" s="619"/>
      <c r="X49" s="619"/>
      <c r="Y49" s="619"/>
      <c r="Z49" s="619"/>
      <c r="AA49" s="619"/>
      <c r="AB49" s="619"/>
      <c r="AC49" s="619"/>
      <c r="AD49" s="619"/>
      <c r="AE49" s="619"/>
      <c r="AF49" s="619"/>
      <c r="AG49" s="619"/>
      <c r="AH49" s="619"/>
      <c r="AI49" s="619"/>
      <c r="AJ49" s="619"/>
      <c r="AK49" s="619"/>
      <c r="AL49" s="619"/>
      <c r="AM49" s="8"/>
    </row>
    <row r="50" spans="1:39" ht="14.25" customHeight="1">
      <c r="A50" s="619"/>
      <c r="B50" s="253"/>
      <c r="C50" s="258"/>
      <c r="D50" s="262" t="s">
        <v>136</v>
      </c>
      <c r="E50" s="282">
        <f>'Copia de Electricidad'!D51/1000</f>
        <v>4.6500000000000005E-3</v>
      </c>
      <c r="F50" s="282">
        <f>'Copia de Electricidad'!E51/1000</f>
        <v>4.6500000000000005E-3</v>
      </c>
      <c r="G50" s="282">
        <f>'Copia de Electricidad'!F51/1000</f>
        <v>4.6500000000000005E-3</v>
      </c>
      <c r="H50" s="284">
        <f>'Copia de Electricidad'!G51/1000</f>
        <v>4.6500000000000005E-3</v>
      </c>
      <c r="I50" s="619"/>
      <c r="J50" s="619"/>
      <c r="K50" s="619"/>
      <c r="L50" s="619"/>
      <c r="M50" s="619"/>
      <c r="N50" s="619"/>
      <c r="O50" s="619"/>
      <c r="P50" s="619"/>
      <c r="Q50" s="619"/>
      <c r="R50" s="619"/>
      <c r="S50" s="619"/>
      <c r="T50" s="619"/>
      <c r="U50" s="619"/>
      <c r="V50" s="619"/>
      <c r="W50" s="619"/>
      <c r="X50" s="619"/>
      <c r="Y50" s="619"/>
      <c r="Z50" s="619"/>
      <c r="AA50" s="619"/>
      <c r="AB50" s="619"/>
      <c r="AC50" s="619"/>
      <c r="AD50" s="619"/>
      <c r="AE50" s="619"/>
      <c r="AF50" s="619"/>
      <c r="AG50" s="619"/>
      <c r="AH50" s="619"/>
      <c r="AI50" s="619"/>
      <c r="AJ50" s="619"/>
      <c r="AK50" s="619"/>
      <c r="AL50" s="619"/>
      <c r="AM50" s="8"/>
    </row>
    <row r="51" spans="1:39" ht="14.25" customHeight="1">
      <c r="A51" s="619"/>
      <c r="B51" s="253"/>
      <c r="C51" s="258" t="s">
        <v>187</v>
      </c>
      <c r="D51" s="285" t="s">
        <v>188</v>
      </c>
      <c r="E51" s="286">
        <f>'Copia de Electricidad'!D52/1000</f>
        <v>4.6500000000000005E-3</v>
      </c>
      <c r="F51" s="286">
        <f>'Copia de Electricidad'!E52/1000</f>
        <v>4.6500000000000005E-3</v>
      </c>
      <c r="G51" s="286">
        <f>'Copia de Electricidad'!F52/1000</f>
        <v>4.6500000000000005E-3</v>
      </c>
      <c r="H51" s="287">
        <f>'Copia de Electricidad'!G52/1000</f>
        <v>4.6500000000000005E-3</v>
      </c>
      <c r="I51" s="619">
        <v>5.0154127311128512E-3</v>
      </c>
      <c r="J51" s="619">
        <v>5.1402989972172903E-3</v>
      </c>
      <c r="K51" s="619">
        <v>5.2651852633217276E-3</v>
      </c>
      <c r="L51" s="619">
        <v>5.3900715294261676E-3</v>
      </c>
      <c r="M51" s="619">
        <v>5.5149577955306067E-3</v>
      </c>
      <c r="N51" s="619">
        <v>5.6398440616350458E-3</v>
      </c>
      <c r="O51" s="619">
        <v>5.7647303277394849E-3</v>
      </c>
      <c r="P51" s="619">
        <v>5.8896165938439231E-3</v>
      </c>
      <c r="Q51" s="619">
        <v>6.0145028599483613E-3</v>
      </c>
      <c r="R51" s="619">
        <v>6.0620175557647123E-3</v>
      </c>
      <c r="S51" s="619">
        <v>6.1095322515810633E-3</v>
      </c>
      <c r="T51" s="619">
        <v>6.1570469473974159E-3</v>
      </c>
      <c r="U51" s="619">
        <v>6.2045616432137669E-3</v>
      </c>
      <c r="V51" s="619">
        <v>6.2520763390301179E-3</v>
      </c>
      <c r="W51" s="619">
        <v>6.2995910348464679E-3</v>
      </c>
      <c r="X51" s="619">
        <v>6.3471057306628189E-3</v>
      </c>
      <c r="Y51" s="619">
        <v>6.3946204264791716E-3</v>
      </c>
      <c r="Z51" s="619">
        <v>6.4421351222955225E-3</v>
      </c>
      <c r="AA51" s="619">
        <v>6.4896498181118709E-3</v>
      </c>
      <c r="AB51" s="619">
        <v>6.4961395500784894E-3</v>
      </c>
      <c r="AC51" s="619">
        <v>6.5026292820451071E-3</v>
      </c>
      <c r="AD51" s="619">
        <v>6.5091190140117265E-3</v>
      </c>
      <c r="AE51" s="619">
        <v>6.5156087459783442E-3</v>
      </c>
      <c r="AF51" s="619">
        <v>6.5220984779449627E-3</v>
      </c>
      <c r="AG51" s="619">
        <v>6.5285882099115795E-3</v>
      </c>
      <c r="AH51" s="619">
        <v>6.5350779418781981E-3</v>
      </c>
      <c r="AI51" s="8">
        <v>6.5415676738448158E-3</v>
      </c>
      <c r="AJ51" s="8">
        <v>6.5480574058114352E-3</v>
      </c>
      <c r="AK51" s="8">
        <v>6.5545471377780485E-3</v>
      </c>
      <c r="AL51" s="8"/>
      <c r="AM51" s="8"/>
    </row>
    <row r="52" spans="1:39" ht="14.25" customHeight="1">
      <c r="A52" s="619"/>
      <c r="B52" s="253"/>
      <c r="C52" s="258"/>
      <c r="D52" s="262" t="s">
        <v>137</v>
      </c>
      <c r="E52" s="282">
        <f>'Copia de Electricidad'!D53/1000</f>
        <v>6.0600000000000003E-3</v>
      </c>
      <c r="F52" s="282">
        <f>'Copia de Electricidad'!E53/1000</f>
        <v>6.0600000000000003E-3</v>
      </c>
      <c r="G52" s="282">
        <f>'Copia de Electricidad'!F53/1000</f>
        <v>6.0600000000000003E-3</v>
      </c>
      <c r="H52" s="284">
        <f>'Copia de Electricidad'!G53/1000</f>
        <v>6.0600000000000003E-3</v>
      </c>
      <c r="I52" s="619"/>
      <c r="J52" s="619"/>
      <c r="K52" s="619"/>
      <c r="L52" s="619"/>
      <c r="M52" s="619"/>
      <c r="N52" s="619"/>
      <c r="O52" s="619"/>
      <c r="P52" s="619"/>
      <c r="Q52" s="619"/>
      <c r="R52" s="619"/>
      <c r="S52" s="619"/>
      <c r="T52" s="619"/>
      <c r="U52" s="619"/>
      <c r="V52" s="619"/>
      <c r="W52" s="619"/>
      <c r="X52" s="619"/>
      <c r="Y52" s="619"/>
      <c r="Z52" s="619"/>
      <c r="AA52" s="619"/>
      <c r="AB52" s="619"/>
      <c r="AC52" s="619"/>
      <c r="AD52" s="619"/>
      <c r="AE52" s="619"/>
      <c r="AF52" s="619"/>
      <c r="AG52" s="619"/>
      <c r="AH52" s="619"/>
      <c r="AI52" s="8"/>
      <c r="AJ52" s="8"/>
      <c r="AK52" s="8"/>
      <c r="AL52" s="8"/>
      <c r="AM52" s="8"/>
    </row>
    <row r="53" spans="1:39" ht="14.25" customHeight="1">
      <c r="A53" s="619"/>
      <c r="B53" s="253"/>
      <c r="C53" s="258"/>
      <c r="D53" s="266" t="s">
        <v>189</v>
      </c>
      <c r="E53" s="268">
        <f>'Copia de Electricidad'!D54/1000</f>
        <v>6.0600000000000003E-3</v>
      </c>
      <c r="F53" s="268">
        <f>'Copia de Electricidad'!E54/1000</f>
        <v>6.0600000000000003E-3</v>
      </c>
      <c r="G53" s="268">
        <f>'Copia de Electricidad'!F54/1000</f>
        <v>6.0600000000000003E-3</v>
      </c>
      <c r="H53" s="269">
        <f>'Copia de Electricidad'!G54/1000</f>
        <v>6.0600000000000003E-3</v>
      </c>
      <c r="I53" s="619"/>
      <c r="J53" s="619"/>
      <c r="K53" s="619"/>
      <c r="L53" s="619"/>
      <c r="M53" s="619"/>
      <c r="N53" s="619"/>
      <c r="O53" s="619"/>
      <c r="P53" s="619"/>
      <c r="Q53" s="619"/>
      <c r="R53" s="619"/>
      <c r="S53" s="619"/>
      <c r="T53" s="619"/>
      <c r="U53" s="619"/>
      <c r="V53" s="619"/>
      <c r="W53" s="619"/>
      <c r="X53" s="619"/>
      <c r="Y53" s="619"/>
      <c r="Z53" s="619"/>
      <c r="AA53" s="619"/>
      <c r="AB53" s="619"/>
      <c r="AC53" s="619"/>
      <c r="AD53" s="619"/>
      <c r="AE53" s="619"/>
      <c r="AF53" s="619"/>
      <c r="AG53" s="619"/>
      <c r="AH53" s="619"/>
      <c r="AI53" s="8"/>
      <c r="AJ53" s="8"/>
      <c r="AK53" s="8"/>
      <c r="AL53" s="8"/>
      <c r="AM53" s="8"/>
    </row>
    <row r="54" spans="1:39" ht="14.25" customHeight="1">
      <c r="A54" s="619"/>
      <c r="B54" s="253"/>
      <c r="C54" s="258"/>
      <c r="D54" s="285" t="s">
        <v>190</v>
      </c>
      <c r="E54" s="286"/>
      <c r="F54" s="286"/>
      <c r="G54" s="286"/>
      <c r="H54" s="287"/>
      <c r="I54" s="619"/>
      <c r="J54" s="619"/>
      <c r="K54" s="619"/>
      <c r="L54" s="619"/>
      <c r="M54" s="619"/>
      <c r="N54" s="619"/>
      <c r="O54" s="619"/>
      <c r="P54" s="619"/>
      <c r="Q54" s="619"/>
      <c r="R54" s="619"/>
      <c r="S54" s="619"/>
      <c r="T54" s="619"/>
      <c r="U54" s="619"/>
      <c r="V54" s="619"/>
      <c r="W54" s="619"/>
      <c r="X54" s="619"/>
      <c r="Y54" s="619"/>
      <c r="Z54" s="619"/>
      <c r="AA54" s="619"/>
      <c r="AB54" s="619"/>
      <c r="AC54" s="619"/>
      <c r="AD54" s="619"/>
      <c r="AE54" s="619"/>
      <c r="AF54" s="619"/>
      <c r="AG54" s="619"/>
      <c r="AH54" s="619"/>
      <c r="AI54" s="8"/>
      <c r="AJ54" s="8"/>
      <c r="AK54" s="8"/>
      <c r="AL54" s="8"/>
      <c r="AM54" s="8"/>
    </row>
    <row r="55" spans="1:39" ht="14.25" customHeight="1">
      <c r="A55" s="619"/>
      <c r="B55" s="253"/>
      <c r="C55" s="258" t="s">
        <v>191</v>
      </c>
      <c r="D55" s="259" t="s">
        <v>192</v>
      </c>
      <c r="E55" s="288">
        <f>'Copia de Electricidad'!D56/1000</f>
        <v>1.1600000000000002E-3</v>
      </c>
      <c r="F55" s="288">
        <f>'Copia de Electricidad'!E56/1000</f>
        <v>1.1600000000000002E-3</v>
      </c>
      <c r="G55" s="288">
        <f>'Copia de Electricidad'!F56/1000</f>
        <v>1.1600000000000002E-3</v>
      </c>
      <c r="H55" s="289">
        <f>'Copia de Electricidad'!G56/1000</f>
        <v>1.1600000000000002E-3</v>
      </c>
      <c r="I55" s="619">
        <v>1.3817428917463801E-3</v>
      </c>
      <c r="J55" s="619">
        <v>1.4047386202126826E-3</v>
      </c>
      <c r="K55" s="619">
        <v>1.4281252399001214E-3</v>
      </c>
      <c r="L55" s="619">
        <v>1.4515978651727338E-3</v>
      </c>
      <c r="M55" s="619">
        <v>1.4754105872199135E-3</v>
      </c>
      <c r="N55" s="619">
        <v>1.4993917517409612E-3</v>
      </c>
      <c r="O55" s="619">
        <v>1.5236808947682535E-3</v>
      </c>
      <c r="P55" s="619">
        <v>1.5481521602725879E-3</v>
      </c>
      <c r="Q55" s="619">
        <v>1.5729832693386799E-3</v>
      </c>
      <c r="R55" s="619">
        <v>1.5978883693784631E-3</v>
      </c>
      <c r="S55" s="619">
        <v>1.6229753539821889E-3</v>
      </c>
      <c r="T55" s="619">
        <v>1.6483082217734035E-3</v>
      </c>
      <c r="U55" s="619">
        <v>1.6738023946455253E-3</v>
      </c>
      <c r="V55" s="619">
        <v>1.6994025578031102E-3</v>
      </c>
      <c r="W55" s="619">
        <v>1.7251442792544115E-3</v>
      </c>
      <c r="X55" s="619">
        <v>1.7509316800206601E-3</v>
      </c>
      <c r="Y55" s="619">
        <v>1.7768408922934345E-3</v>
      </c>
      <c r="Z55" s="619">
        <v>1.8028973727742938E-3</v>
      </c>
      <c r="AA55" s="619">
        <v>1.8289025829823862E-3</v>
      </c>
      <c r="AB55" s="619">
        <v>1.8550445932222219E-3</v>
      </c>
      <c r="AC55" s="619">
        <v>1.8810094771600878E-3</v>
      </c>
      <c r="AD55" s="619">
        <v>1.9069757885765463E-3</v>
      </c>
      <c r="AE55" s="619">
        <v>1.9326347162695059E-3</v>
      </c>
      <c r="AF55" s="619">
        <v>1.9580105273750334E-3</v>
      </c>
      <c r="AG55" s="619">
        <v>1.983067891797973E-3</v>
      </c>
      <c r="AH55" s="619">
        <v>2.007721993518645E-3</v>
      </c>
      <c r="AI55" s="8">
        <v>2.0319606989690174E-3</v>
      </c>
      <c r="AJ55" s="8">
        <v>2.0558751288658841E-3</v>
      </c>
      <c r="AK55" s="8">
        <v>2.0793508470087797E-3</v>
      </c>
      <c r="AL55" s="8"/>
      <c r="AM55" s="8"/>
    </row>
    <row r="56" spans="1:39" ht="14.25" customHeight="1">
      <c r="A56" s="619"/>
      <c r="B56" s="253"/>
      <c r="C56" s="258" t="s">
        <v>193</v>
      </c>
      <c r="D56" s="259" t="s">
        <v>194</v>
      </c>
      <c r="E56" s="288">
        <f>'Copia de Electricidad'!D57/1000</f>
        <v>2.8999999999999998E-3</v>
      </c>
      <c r="F56" s="288">
        <f>'Copia de Electricidad'!E57/1000</f>
        <v>2.8999999999999998E-3</v>
      </c>
      <c r="G56" s="288">
        <f>'Copia de Electricidad'!F57/1000</f>
        <v>2.8999999999999998E-3</v>
      </c>
      <c r="H56" s="289">
        <f>'Copia de Electricidad'!G57/1000</f>
        <v>2.8999999999999998E-3</v>
      </c>
      <c r="I56" s="619">
        <v>4.0254732856577291E-3</v>
      </c>
      <c r="J56" s="619">
        <v>4.092467435711465E-3</v>
      </c>
      <c r="K56" s="619">
        <v>4.1606003809619638E-3</v>
      </c>
      <c r="L56" s="619">
        <v>4.228983888880526E-3</v>
      </c>
      <c r="M56" s="619">
        <v>4.2983582110010191E-3</v>
      </c>
      <c r="N56" s="619">
        <v>4.3682232616664351E-3</v>
      </c>
      <c r="O56" s="619">
        <v>4.4389855554129286E-3</v>
      </c>
      <c r="P56" s="619">
        <v>4.5102784320706331E-3</v>
      </c>
      <c r="Q56" s="619">
        <v>4.582619651841608E-3</v>
      </c>
      <c r="R56" s="619">
        <v>4.6551764317502549E-3</v>
      </c>
      <c r="S56" s="619">
        <v>4.7282631014506993E-3</v>
      </c>
      <c r="T56" s="619">
        <v>4.802066110065238E-3</v>
      </c>
      <c r="U56" s="619">
        <v>4.8763390536422854E-3</v>
      </c>
      <c r="V56" s="619">
        <v>4.950920781918151E-3</v>
      </c>
      <c r="W56" s="619">
        <v>5.0259149162451885E-3</v>
      </c>
      <c r="X56" s="619">
        <v>5.1010421294996611E-3</v>
      </c>
      <c r="Y56" s="619">
        <v>5.1765242198939668E-3</v>
      </c>
      <c r="Z56" s="619">
        <v>5.252435351205371E-3</v>
      </c>
      <c r="AA56" s="619">
        <v>5.3281971152831162E-3</v>
      </c>
      <c r="AB56" s="619">
        <v>5.4043574230237595E-3</v>
      </c>
      <c r="AC56" s="619">
        <v>5.4800017033608773E-3</v>
      </c>
      <c r="AD56" s="619">
        <v>5.5556501424144774E-3</v>
      </c>
      <c r="AE56" s="619">
        <v>5.6304030711855357E-3</v>
      </c>
      <c r="AF56" s="619">
        <v>5.704331187854253E-3</v>
      </c>
      <c r="AG56" s="619">
        <v>5.7773315641876863E-3</v>
      </c>
      <c r="AH56" s="619">
        <v>5.8491571031148472E-3</v>
      </c>
      <c r="AI56" s="8">
        <v>5.9197724555456292E-3</v>
      </c>
      <c r="AJ56" s="8">
        <v>5.9894430862154919E-3</v>
      </c>
      <c r="AK56" s="8">
        <v>6.0578356046864339E-3</v>
      </c>
      <c r="AL56" s="8"/>
      <c r="AM56" s="8"/>
    </row>
    <row r="57" spans="1:39" ht="14.25" customHeight="1">
      <c r="A57" s="619"/>
      <c r="B57" s="253"/>
      <c r="C57" s="258"/>
      <c r="D57" s="285" t="s">
        <v>195</v>
      </c>
      <c r="E57" s="290"/>
      <c r="F57" s="290"/>
      <c r="G57" s="290"/>
      <c r="H57" s="291"/>
      <c r="I57" s="619"/>
      <c r="J57" s="619"/>
      <c r="K57" s="619"/>
      <c r="L57" s="619"/>
      <c r="M57" s="619"/>
      <c r="N57" s="619"/>
      <c r="O57" s="619"/>
      <c r="P57" s="619"/>
      <c r="Q57" s="619"/>
      <c r="R57" s="619"/>
      <c r="S57" s="619"/>
      <c r="T57" s="619"/>
      <c r="U57" s="619"/>
      <c r="V57" s="619"/>
      <c r="W57" s="619"/>
      <c r="X57" s="619"/>
      <c r="Y57" s="619"/>
      <c r="Z57" s="619"/>
      <c r="AA57" s="619"/>
      <c r="AB57" s="619"/>
      <c r="AC57" s="619"/>
      <c r="AD57" s="619"/>
      <c r="AE57" s="619"/>
      <c r="AF57" s="619"/>
      <c r="AG57" s="619"/>
      <c r="AH57" s="619"/>
      <c r="AI57" s="8"/>
      <c r="AJ57" s="8"/>
      <c r="AK57" s="8"/>
      <c r="AL57" s="8"/>
      <c r="AM57" s="8"/>
    </row>
    <row r="58" spans="1:39" ht="14.25" customHeight="1">
      <c r="A58" s="619"/>
      <c r="B58" s="253"/>
      <c r="C58" s="258" t="s">
        <v>196</v>
      </c>
      <c r="D58" s="259" t="s">
        <v>192</v>
      </c>
      <c r="E58" s="288">
        <f>'Copia de Electricidad'!D59/1000</f>
        <v>2E-3</v>
      </c>
      <c r="F58" s="288">
        <f>'Copia de Electricidad'!E59/1000</f>
        <v>2E-3</v>
      </c>
      <c r="G58" s="288">
        <f>'Copia de Electricidad'!F59/1000</f>
        <v>2E-3</v>
      </c>
      <c r="H58" s="289">
        <f>'Copia de Electricidad'!G59/1000</f>
        <v>2E-3</v>
      </c>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8"/>
      <c r="AJ58" s="8"/>
      <c r="AK58" s="8"/>
      <c r="AL58" s="8"/>
      <c r="AM58" s="8"/>
    </row>
    <row r="59" spans="1:39" ht="14.25" customHeight="1">
      <c r="A59" s="619"/>
      <c r="B59" s="253"/>
      <c r="C59" s="258" t="s">
        <v>197</v>
      </c>
      <c r="D59" s="259" t="s">
        <v>194</v>
      </c>
      <c r="E59" s="288">
        <f>'Copia de Electricidad'!D60/1000</f>
        <v>0</v>
      </c>
      <c r="F59" s="288">
        <f>'Copia de Electricidad'!E60/1000</f>
        <v>0</v>
      </c>
      <c r="G59" s="288">
        <f>'Copia de Electricidad'!F60/1000</f>
        <v>0</v>
      </c>
      <c r="H59" s="289">
        <f>'Copia de Electricidad'!G60/1000</f>
        <v>0</v>
      </c>
      <c r="I59" s="619"/>
      <c r="J59" s="619"/>
      <c r="K59" s="619"/>
      <c r="L59" s="619"/>
      <c r="M59" s="619"/>
      <c r="N59" s="619"/>
      <c r="O59" s="619"/>
      <c r="P59" s="619"/>
      <c r="Q59" s="619"/>
      <c r="R59" s="619"/>
      <c r="S59" s="619"/>
      <c r="T59" s="619"/>
      <c r="U59" s="619"/>
      <c r="V59" s="619"/>
      <c r="W59" s="619"/>
      <c r="X59" s="619"/>
      <c r="Y59" s="619"/>
      <c r="Z59" s="619"/>
      <c r="AA59" s="619"/>
      <c r="AB59" s="619"/>
      <c r="AC59" s="619"/>
      <c r="AD59" s="619"/>
      <c r="AE59" s="619"/>
      <c r="AF59" s="619"/>
      <c r="AG59" s="619"/>
      <c r="AH59" s="619"/>
      <c r="AI59" s="8"/>
      <c r="AJ59" s="8"/>
      <c r="AK59" s="8"/>
      <c r="AL59" s="8"/>
      <c r="AM59" s="8"/>
    </row>
    <row r="60" spans="1:39" ht="14.25" customHeight="1">
      <c r="A60" s="619"/>
      <c r="B60" s="253"/>
      <c r="C60" s="258"/>
      <c r="D60" s="262" t="s">
        <v>143</v>
      </c>
      <c r="E60" s="282">
        <f>'Copia de Electricidad'!D61/1000</f>
        <v>3.1690199999999998E-3</v>
      </c>
      <c r="F60" s="282">
        <f>'Copia de Electricidad'!E61/1000</f>
        <v>3.1690199999999998E-3</v>
      </c>
      <c r="G60" s="282">
        <f>'Copia de Electricidad'!F61/1000</f>
        <v>3.1690199999999998E-3</v>
      </c>
      <c r="H60" s="284">
        <f>'Copia de Electricidad'!G61/1000</f>
        <v>3.19236E-3</v>
      </c>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8"/>
      <c r="AJ60" s="8"/>
      <c r="AK60" s="8"/>
      <c r="AL60" s="8"/>
      <c r="AM60" s="8"/>
    </row>
    <row r="61" spans="1:39" ht="14.25" customHeight="1">
      <c r="A61" s="619"/>
      <c r="B61" s="253"/>
      <c r="C61" s="258" t="s">
        <v>198</v>
      </c>
      <c r="D61" s="285" t="s">
        <v>188</v>
      </c>
      <c r="E61" s="286">
        <f>'Copia de Electricidad'!D62/1000</f>
        <v>2.5964199999999999E-3</v>
      </c>
      <c r="F61" s="286">
        <f>'Copia de Electricidad'!E62/1000</f>
        <v>2.5964199999999999E-3</v>
      </c>
      <c r="G61" s="286">
        <f>'Copia de Electricidad'!F62/1000</f>
        <v>2.5964199999999999E-3</v>
      </c>
      <c r="H61" s="287">
        <f>'Copia de Electricidad'!G62/1000</f>
        <v>2.6197600000000001E-3</v>
      </c>
      <c r="I61" s="619">
        <v>2.7993547995288893E-3</v>
      </c>
      <c r="J61" s="619">
        <v>2.8690601233292562E-3</v>
      </c>
      <c r="K61" s="619">
        <v>2.9387654471296231E-3</v>
      </c>
      <c r="L61" s="619">
        <v>3.0084707709299896E-3</v>
      </c>
      <c r="M61" s="619">
        <v>3.0781760947303565E-3</v>
      </c>
      <c r="N61" s="619">
        <v>3.1478814185307235E-3</v>
      </c>
      <c r="O61" s="619">
        <v>3.2175867423310904E-3</v>
      </c>
      <c r="P61" s="619">
        <v>3.2872920661314573E-3</v>
      </c>
      <c r="Q61" s="619">
        <v>3.356997389931823E-3</v>
      </c>
      <c r="R61" s="619">
        <v>3.383517738089121E-3</v>
      </c>
      <c r="S61" s="619">
        <v>3.4100380862464195E-3</v>
      </c>
      <c r="T61" s="619">
        <v>3.4365584344037171E-3</v>
      </c>
      <c r="U61" s="619">
        <v>3.4630787825610152E-3</v>
      </c>
      <c r="V61" s="619">
        <v>3.4895991307183137E-3</v>
      </c>
      <c r="W61" s="619">
        <v>3.5161194788756117E-3</v>
      </c>
      <c r="X61" s="619">
        <v>3.5426398270329098E-3</v>
      </c>
      <c r="Y61" s="619">
        <v>3.5691601751902079E-3</v>
      </c>
      <c r="Z61" s="619">
        <v>3.5956805233475059E-3</v>
      </c>
      <c r="AA61" s="619">
        <v>3.6222008715048027E-3</v>
      </c>
      <c r="AB61" s="619">
        <v>3.6258231182275317E-3</v>
      </c>
      <c r="AC61" s="619">
        <v>3.6294453649502617E-3</v>
      </c>
      <c r="AD61" s="619">
        <v>3.6330676116729907E-3</v>
      </c>
      <c r="AE61" s="619">
        <v>3.6366898583957198E-3</v>
      </c>
      <c r="AF61" s="619">
        <v>3.6403121051184497E-3</v>
      </c>
      <c r="AG61" s="619">
        <v>3.6439343518411787E-3</v>
      </c>
      <c r="AH61" s="619">
        <v>3.6475565985639078E-3</v>
      </c>
      <c r="AI61" s="8">
        <v>3.6511788452866377E-3</v>
      </c>
      <c r="AJ61" s="8">
        <v>3.6548010920093668E-3</v>
      </c>
      <c r="AK61" s="8">
        <v>3.6584233387320945E-3</v>
      </c>
      <c r="AL61" s="8"/>
      <c r="AM61" s="8"/>
    </row>
    <row r="62" spans="1:39" ht="13.5" customHeight="1">
      <c r="A62" s="619"/>
      <c r="B62" s="253"/>
      <c r="C62" s="258" t="s">
        <v>199</v>
      </c>
      <c r="D62" s="285" t="s">
        <v>190</v>
      </c>
      <c r="E62" s="286">
        <f>'Copia de Electricidad'!D63/1000</f>
        <v>5.7260000000000004E-4</v>
      </c>
      <c r="F62" s="286">
        <f>'Copia de Electricidad'!E63/1000</f>
        <v>5.7260000000000004E-4</v>
      </c>
      <c r="G62" s="286">
        <f>'Copia de Electricidad'!F63/1000</f>
        <v>5.7260000000000004E-4</v>
      </c>
      <c r="H62" s="287">
        <f>'Copia de Electricidad'!G63/1000</f>
        <v>5.7260000000000004E-4</v>
      </c>
      <c r="I62" s="619">
        <v>7.0590705667645268E-4</v>
      </c>
      <c r="J62" s="619">
        <v>7.1765515185012252E-4</v>
      </c>
      <c r="K62" s="619">
        <v>7.2960294616683952E-4</v>
      </c>
      <c r="L62" s="619">
        <v>7.4159467915684398E-4</v>
      </c>
      <c r="M62" s="619">
        <v>7.5376016134038801E-4</v>
      </c>
      <c r="N62" s="619">
        <v>7.6601169768904286E-4</v>
      </c>
      <c r="O62" s="619">
        <v>7.7842057459805939E-4</v>
      </c>
      <c r="P62" s="619">
        <v>7.9092249453446655E-4</v>
      </c>
      <c r="Q62" s="619">
        <v>8.0360825193518163E-4</v>
      </c>
      <c r="R62" s="619">
        <v>8.1633180996492163E-4</v>
      </c>
      <c r="S62" s="619">
        <v>8.2914828947662077E-4</v>
      </c>
      <c r="T62" s="619">
        <v>8.4209038619120443E-4</v>
      </c>
      <c r="U62" s="619">
        <v>8.5511489070797041E-4</v>
      </c>
      <c r="V62" s="619">
        <v>8.6819354371422356E-4</v>
      </c>
      <c r="W62" s="619">
        <v>8.8134451625189068E-4</v>
      </c>
      <c r="X62" s="619">
        <v>8.9451882551229976E-4</v>
      </c>
      <c r="Y62" s="619">
        <v>9.0775536603335391E-4</v>
      </c>
      <c r="Z62" s="619">
        <v>9.2106714317616463E-4</v>
      </c>
      <c r="AA62" s="619">
        <v>9.343527272786061E-4</v>
      </c>
      <c r="AB62" s="619">
        <v>9.4770820000384239E-4</v>
      </c>
      <c r="AC62" s="619">
        <v>9.6097318215573825E-4</v>
      </c>
      <c r="AD62" s="619">
        <v>9.742388935802199E-4</v>
      </c>
      <c r="AE62" s="619">
        <v>9.8734756830791718E-4</v>
      </c>
      <c r="AF62" s="619">
        <v>1.0003116039727872E-3</v>
      </c>
      <c r="AG62" s="619">
        <v>1.0131129510783331E-3</v>
      </c>
      <c r="AH62" s="619">
        <v>1.0257082786784236E-3</v>
      </c>
      <c r="AI62" s="8">
        <v>1.0380913879560793E-3</v>
      </c>
      <c r="AJ62" s="8">
        <v>1.0503088308113533E-3</v>
      </c>
      <c r="AK62" s="8">
        <v>1.0623021438919602E-3</v>
      </c>
      <c r="AL62" s="8"/>
      <c r="AM62" s="8"/>
    </row>
    <row r="63" spans="1:39" ht="14.25" customHeight="1">
      <c r="A63" s="619"/>
      <c r="B63" s="253"/>
      <c r="C63" s="258"/>
      <c r="D63" s="262" t="s">
        <v>144</v>
      </c>
      <c r="E63" s="282">
        <f>'Copia de Electricidad'!D64/1000</f>
        <v>1.29250778</v>
      </c>
      <c r="F63" s="282">
        <f>'Copia de Electricidad'!E64/1000</f>
        <v>1.3532197799999999</v>
      </c>
      <c r="G63" s="282">
        <f>'Copia de Electricidad'!F64/1000</f>
        <v>1.3581607800000002</v>
      </c>
      <c r="H63" s="284">
        <f>'Copia de Electricidad'!G64/1000</f>
        <v>1.3626707800000002</v>
      </c>
      <c r="I63" s="619"/>
      <c r="J63" s="619"/>
      <c r="K63" s="619"/>
      <c r="L63" s="619"/>
      <c r="M63" s="619"/>
      <c r="N63" s="619"/>
      <c r="O63" s="619"/>
      <c r="P63" s="619"/>
      <c r="Q63" s="619"/>
      <c r="R63" s="619"/>
      <c r="S63" s="619"/>
      <c r="T63" s="619"/>
      <c r="U63" s="619"/>
      <c r="V63" s="619"/>
      <c r="W63" s="619"/>
      <c r="X63" s="619"/>
      <c r="Y63" s="619"/>
      <c r="Z63" s="619"/>
      <c r="AA63" s="619"/>
      <c r="AB63" s="619"/>
      <c r="AC63" s="619"/>
      <c r="AD63" s="619"/>
      <c r="AE63" s="619"/>
      <c r="AF63" s="619"/>
      <c r="AG63" s="619"/>
      <c r="AH63" s="619"/>
      <c r="AI63" s="8"/>
      <c r="AJ63" s="8"/>
      <c r="AK63" s="8"/>
      <c r="AL63" s="8"/>
      <c r="AM63" s="8"/>
    </row>
    <row r="64" spans="1:39" ht="14.25" customHeight="1">
      <c r="A64" s="619"/>
      <c r="B64" s="253"/>
      <c r="C64" s="258"/>
      <c r="D64" s="266" t="s">
        <v>145</v>
      </c>
      <c r="E64" s="268">
        <f>'Copia de Electricidad'!D65/1000</f>
        <v>1.17538878</v>
      </c>
      <c r="F64" s="268">
        <f>'Copia de Electricidad'!E65/1000</f>
        <v>1.2363407799999999</v>
      </c>
      <c r="G64" s="268">
        <f>'Copia de Electricidad'!F65/1000</f>
        <v>1.2412817800000002</v>
      </c>
      <c r="H64" s="269">
        <f>'Copia de Electricidad'!G65/1000</f>
        <v>1.2229917800000001</v>
      </c>
      <c r="I64" s="619"/>
      <c r="J64" s="619"/>
      <c r="K64" s="619"/>
      <c r="L64" s="619"/>
      <c r="M64" s="619"/>
      <c r="N64" s="619"/>
      <c r="O64" s="619"/>
      <c r="P64" s="619"/>
      <c r="Q64" s="619"/>
      <c r="R64" s="619"/>
      <c r="S64" s="619"/>
      <c r="T64" s="619"/>
      <c r="U64" s="619"/>
      <c r="V64" s="619"/>
      <c r="W64" s="619"/>
      <c r="X64" s="619"/>
      <c r="Y64" s="619"/>
      <c r="Z64" s="619"/>
      <c r="AA64" s="619"/>
      <c r="AB64" s="619"/>
      <c r="AC64" s="619"/>
      <c r="AD64" s="619"/>
      <c r="AE64" s="619"/>
      <c r="AF64" s="619"/>
      <c r="AG64" s="619"/>
      <c r="AH64" s="619"/>
      <c r="AI64" s="8"/>
      <c r="AJ64" s="8"/>
      <c r="AK64" s="8"/>
      <c r="AL64" s="8"/>
      <c r="AM64" s="8"/>
    </row>
    <row r="65" spans="1:39" ht="13.5" customHeight="1">
      <c r="A65" s="619"/>
      <c r="B65" s="253"/>
      <c r="C65" s="258"/>
      <c r="D65" s="285" t="s">
        <v>190</v>
      </c>
      <c r="E65" s="290"/>
      <c r="F65" s="290"/>
      <c r="G65" s="290"/>
      <c r="H65" s="291"/>
      <c r="I65" s="619"/>
      <c r="J65" s="619"/>
      <c r="K65" s="619"/>
      <c r="L65" s="619"/>
      <c r="M65" s="619"/>
      <c r="N65" s="619"/>
      <c r="O65" s="619"/>
      <c r="P65" s="619"/>
      <c r="Q65" s="619"/>
      <c r="R65" s="619"/>
      <c r="S65" s="619"/>
      <c r="T65" s="619"/>
      <c r="U65" s="619"/>
      <c r="V65" s="619"/>
      <c r="W65" s="619"/>
      <c r="X65" s="619"/>
      <c r="Y65" s="619"/>
      <c r="Z65" s="619"/>
      <c r="AA65" s="619"/>
      <c r="AB65" s="619"/>
      <c r="AC65" s="619"/>
      <c r="AD65" s="619"/>
      <c r="AE65" s="619"/>
      <c r="AF65" s="619"/>
      <c r="AG65" s="619"/>
      <c r="AH65" s="619"/>
      <c r="AI65" s="8"/>
      <c r="AJ65" s="8"/>
      <c r="AK65" s="8"/>
      <c r="AL65" s="8"/>
      <c r="AM65" s="8"/>
    </row>
    <row r="66" spans="1:39" ht="14.25" customHeight="1">
      <c r="A66" s="619"/>
      <c r="B66" s="253"/>
      <c r="C66" s="258" t="s">
        <v>200</v>
      </c>
      <c r="D66" s="259" t="s">
        <v>201</v>
      </c>
      <c r="E66" s="288">
        <f>'Copia de Electricidad'!D67/1000</f>
        <v>3.2799999999999996E-2</v>
      </c>
      <c r="F66" s="288">
        <f>'Copia de Electricidad'!E67/1000</f>
        <v>3.2250000000000001E-2</v>
      </c>
      <c r="G66" s="288">
        <f>'Copia de Electricidad'!F67/1000</f>
        <v>3.3649999999999999E-2</v>
      </c>
      <c r="H66" s="289">
        <f>'Copia de Electricidad'!G67/1000</f>
        <v>1.325E-2</v>
      </c>
      <c r="I66" s="619">
        <v>3.2040982701391066E-2</v>
      </c>
      <c r="J66" s="619">
        <v>3.2574226434646997E-2</v>
      </c>
      <c r="K66" s="619">
        <v>3.3116534472795937E-2</v>
      </c>
      <c r="L66" s="619">
        <v>3.366083687869828E-2</v>
      </c>
      <c r="M66" s="619">
        <v>3.4213025726380637E-2</v>
      </c>
      <c r="N66" s="619">
        <v>3.4769120555721095E-2</v>
      </c>
      <c r="O66" s="619">
        <v>3.5332357042203374E-2</v>
      </c>
      <c r="P66" s="619">
        <v>3.5899816733430394E-2</v>
      </c>
      <c r="Q66" s="619">
        <v>3.6475620771066836E-2</v>
      </c>
      <c r="R66" s="619">
        <v>3.7053140571832753E-2</v>
      </c>
      <c r="S66" s="619">
        <v>3.7634878060420165E-2</v>
      </c>
      <c r="T66" s="619">
        <v>3.8222317289182212E-2</v>
      </c>
      <c r="U66" s="619">
        <v>3.8813496991904978E-2</v>
      </c>
      <c r="V66" s="619">
        <v>3.9407134483933799E-2</v>
      </c>
      <c r="W66" s="619">
        <v>4.0004054545293918E-2</v>
      </c>
      <c r="X66" s="619">
        <v>4.060203385591727E-2</v>
      </c>
      <c r="Y66" s="619">
        <v>4.1202837831242518E-2</v>
      </c>
      <c r="Z66" s="619">
        <v>4.1807056782056991E-2</v>
      </c>
      <c r="AA66" s="619">
        <v>4.2410086835911957E-2</v>
      </c>
      <c r="AB66" s="619">
        <v>4.3016289120633322E-2</v>
      </c>
      <c r="AC66" s="619">
        <v>4.3618384055998105E-2</v>
      </c>
      <c r="AD66" s="619">
        <v>4.4220512092902377E-2</v>
      </c>
      <c r="AE66" s="619">
        <v>4.4815512264972934E-2</v>
      </c>
      <c r="AF66" s="619">
        <v>4.5403947298380883E-2</v>
      </c>
      <c r="AG66" s="619">
        <v>4.5984997930024175E-2</v>
      </c>
      <c r="AH66" s="619">
        <v>4.6556697376765661E-2</v>
      </c>
      <c r="AI66" s="8">
        <v>4.7118764275519816E-2</v>
      </c>
      <c r="AJ66" s="8">
        <v>4.767331160788979E-2</v>
      </c>
      <c r="AK66" s="8">
        <v>4.8217685733794341E-2</v>
      </c>
      <c r="AL66" s="8"/>
      <c r="AM66" s="8"/>
    </row>
    <row r="67" spans="1:39" ht="14.25" customHeight="1">
      <c r="A67" s="619"/>
      <c r="B67" s="253"/>
      <c r="C67" s="258"/>
      <c r="D67" s="285" t="s">
        <v>188</v>
      </c>
      <c r="E67" s="290"/>
      <c r="F67" s="290"/>
      <c r="G67" s="290"/>
      <c r="H67" s="291"/>
      <c r="I67" s="619"/>
      <c r="J67" s="619"/>
      <c r="K67" s="619"/>
      <c r="L67" s="619"/>
      <c r="M67" s="619"/>
      <c r="N67" s="619"/>
      <c r="O67" s="619"/>
      <c r="P67" s="619"/>
      <c r="Q67" s="619"/>
      <c r="R67" s="619"/>
      <c r="S67" s="619"/>
      <c r="T67" s="619"/>
      <c r="U67" s="619"/>
      <c r="V67" s="619"/>
      <c r="W67" s="619"/>
      <c r="X67" s="619"/>
      <c r="Y67" s="619"/>
      <c r="Z67" s="619"/>
      <c r="AA67" s="619"/>
      <c r="AB67" s="619"/>
      <c r="AC67" s="619"/>
      <c r="AD67" s="619"/>
      <c r="AE67" s="619"/>
      <c r="AF67" s="619"/>
      <c r="AG67" s="619"/>
      <c r="AH67" s="619"/>
      <c r="AI67" s="8"/>
      <c r="AJ67" s="8"/>
      <c r="AK67" s="8"/>
      <c r="AL67" s="8"/>
      <c r="AM67" s="8"/>
    </row>
    <row r="68" spans="1:39" ht="14.25" customHeight="1">
      <c r="A68" s="619"/>
      <c r="B68" s="253"/>
      <c r="C68" s="258" t="s">
        <v>202</v>
      </c>
      <c r="D68" s="259" t="s">
        <v>201</v>
      </c>
      <c r="E68" s="288">
        <f>'Copia de Electricidad'!D69/1000</f>
        <v>2.7581999999999999E-2</v>
      </c>
      <c r="F68" s="288">
        <f>'Copia de Electricidad'!E69/1000</f>
        <v>2.4146999999999998E-2</v>
      </c>
      <c r="G68" s="288">
        <f>'Copia de Electricidad'!F69/1000</f>
        <v>2.4285000000000001E-2</v>
      </c>
      <c r="H68" s="289">
        <f>'Copia de Electricidad'!G69/1000</f>
        <v>2.4285000000000001E-2</v>
      </c>
      <c r="I68" s="619">
        <v>2.974179600031724E-2</v>
      </c>
      <c r="J68" s="619">
        <v>3.0482381481284307E-2</v>
      </c>
      <c r="K68" s="619">
        <v>3.122296696225137E-2</v>
      </c>
      <c r="L68" s="619">
        <v>3.196355244321844E-2</v>
      </c>
      <c r="M68" s="619">
        <v>3.2704137924185507E-2</v>
      </c>
      <c r="N68" s="619">
        <v>3.3444723405152574E-2</v>
      </c>
      <c r="O68" s="619">
        <v>3.4185308886119641E-2</v>
      </c>
      <c r="P68" s="619">
        <v>3.4925894367086707E-2</v>
      </c>
      <c r="Q68" s="619">
        <v>3.5666479848053767E-2</v>
      </c>
      <c r="R68" s="619">
        <v>3.5948245769574144E-2</v>
      </c>
      <c r="S68" s="619">
        <v>3.6230011691094514E-2</v>
      </c>
      <c r="T68" s="619">
        <v>3.6511777612614892E-2</v>
      </c>
      <c r="U68" s="619">
        <v>3.6793543534135276E-2</v>
      </c>
      <c r="V68" s="619">
        <v>3.7075309455655646E-2</v>
      </c>
      <c r="W68" s="619">
        <v>3.7357075377176023E-2</v>
      </c>
      <c r="X68" s="619">
        <v>3.76388412986964E-2</v>
      </c>
      <c r="Y68" s="619">
        <v>3.7920607220216784E-2</v>
      </c>
      <c r="Z68" s="619">
        <v>3.8202373141737161E-2</v>
      </c>
      <c r="AA68" s="619">
        <v>3.8484139063257525E-2</v>
      </c>
      <c r="AB68" s="619">
        <v>3.8522623689467947E-2</v>
      </c>
      <c r="AC68" s="619">
        <v>3.8561108315678376E-2</v>
      </c>
      <c r="AD68" s="619">
        <v>3.8599592941888805E-2</v>
      </c>
      <c r="AE68" s="619">
        <v>3.8638077568099234E-2</v>
      </c>
      <c r="AF68" s="619">
        <v>3.8676562194309663E-2</v>
      </c>
      <c r="AG68" s="619">
        <v>3.8715046820520085E-2</v>
      </c>
      <c r="AH68" s="619">
        <v>3.8753531446730514E-2</v>
      </c>
      <c r="AI68" s="8">
        <v>3.8792016072940937E-2</v>
      </c>
      <c r="AJ68" s="8">
        <v>3.8830500699151373E-2</v>
      </c>
      <c r="AK68" s="8">
        <v>3.8868985325361767E-2</v>
      </c>
      <c r="AL68" s="8"/>
      <c r="AM68" s="8"/>
    </row>
    <row r="69" spans="1:39" ht="14.25" customHeight="1">
      <c r="A69" s="619"/>
      <c r="B69" s="253"/>
      <c r="C69" s="258"/>
      <c r="D69" s="285" t="s">
        <v>203</v>
      </c>
      <c r="E69" s="290"/>
      <c r="F69" s="290"/>
      <c r="G69" s="290"/>
      <c r="H69" s="291"/>
      <c r="I69" s="619"/>
      <c r="J69" s="619"/>
      <c r="K69" s="619"/>
      <c r="L69" s="619"/>
      <c r="M69" s="619"/>
      <c r="N69" s="619"/>
      <c r="O69" s="619"/>
      <c r="P69" s="619"/>
      <c r="Q69" s="619"/>
      <c r="R69" s="619"/>
      <c r="S69" s="619"/>
      <c r="T69" s="619"/>
      <c r="U69" s="619"/>
      <c r="V69" s="619"/>
      <c r="W69" s="619"/>
      <c r="X69" s="619"/>
      <c r="Y69" s="619"/>
      <c r="Z69" s="619"/>
      <c r="AA69" s="619"/>
      <c r="AB69" s="619"/>
      <c r="AC69" s="619"/>
      <c r="AD69" s="619"/>
      <c r="AE69" s="619"/>
      <c r="AF69" s="619"/>
      <c r="AG69" s="619"/>
      <c r="AH69" s="619"/>
      <c r="AI69" s="619"/>
      <c r="AJ69" s="619"/>
      <c r="AK69" s="619"/>
      <c r="AL69" s="619"/>
      <c r="AM69" s="8"/>
    </row>
    <row r="70" spans="1:39" ht="14.25" customHeight="1">
      <c r="A70" s="619"/>
      <c r="B70" s="253"/>
      <c r="C70" s="258" t="s">
        <v>204</v>
      </c>
      <c r="D70" s="259" t="s">
        <v>205</v>
      </c>
      <c r="E70" s="288">
        <f>'Copia de Electricidad'!D71/1000</f>
        <v>0.37858699999999995</v>
      </c>
      <c r="F70" s="288">
        <f>'Copia de Electricidad'!E71/1000</f>
        <v>0.37858699999999995</v>
      </c>
      <c r="G70" s="288">
        <f>'Copia de Electricidad'!F71/1000</f>
        <v>0.3785369999999999</v>
      </c>
      <c r="H70" s="289">
        <f>'Copia de Electricidad'!G71/1000</f>
        <v>0.43229199999999995</v>
      </c>
      <c r="I70" s="619"/>
      <c r="J70" s="619"/>
      <c r="K70" s="619"/>
      <c r="L70" s="619"/>
      <c r="M70" s="619"/>
      <c r="N70" s="619"/>
      <c r="O70" s="619"/>
      <c r="P70" s="619"/>
      <c r="Q70" s="619"/>
      <c r="R70" s="619"/>
      <c r="S70" s="619"/>
      <c r="T70" s="619"/>
      <c r="U70" s="619"/>
      <c r="V70" s="619"/>
      <c r="W70" s="619"/>
      <c r="X70" s="619"/>
      <c r="Y70" s="619"/>
      <c r="Z70" s="619"/>
      <c r="AA70" s="619"/>
      <c r="AB70" s="619"/>
      <c r="AC70" s="619"/>
      <c r="AD70" s="619"/>
      <c r="AE70" s="619"/>
      <c r="AF70" s="619"/>
      <c r="AG70" s="619"/>
      <c r="AH70" s="619"/>
      <c r="AI70" s="619"/>
      <c r="AJ70" s="619"/>
      <c r="AK70" s="619"/>
      <c r="AL70" s="619"/>
      <c r="AM70" s="8"/>
    </row>
    <row r="71" spans="1:39" ht="14.25" customHeight="1">
      <c r="A71" s="619"/>
      <c r="B71" s="253"/>
      <c r="C71" s="258" t="s">
        <v>206</v>
      </c>
      <c r="D71" s="259" t="s">
        <v>201</v>
      </c>
      <c r="E71" s="288">
        <f>'Copia de Electricidad'!D72/1000</f>
        <v>0.53094777999999998</v>
      </c>
      <c r="F71" s="288">
        <f>'Copia de Electricidad'!E72/1000</f>
        <v>0.59061478000000001</v>
      </c>
      <c r="G71" s="288">
        <f>'Copia de Electricidad'!F72/1000</f>
        <v>0.59251978000000005</v>
      </c>
      <c r="H71" s="289">
        <f>'Copia de Electricidad'!G72/1000</f>
        <v>0.54150777999999999</v>
      </c>
      <c r="I71" s="619"/>
      <c r="J71" s="619"/>
      <c r="K71" s="619"/>
      <c r="L71" s="619"/>
      <c r="M71" s="619"/>
      <c r="N71" s="619"/>
      <c r="O71" s="619"/>
      <c r="P71" s="619"/>
      <c r="Q71" s="619"/>
      <c r="R71" s="619"/>
      <c r="S71" s="619"/>
      <c r="T71" s="619"/>
      <c r="U71" s="619"/>
      <c r="V71" s="619"/>
      <c r="W71" s="619"/>
      <c r="X71" s="619"/>
      <c r="Y71" s="619"/>
      <c r="Z71" s="619"/>
      <c r="AA71" s="619"/>
      <c r="AB71" s="619"/>
      <c r="AC71" s="619"/>
      <c r="AD71" s="619"/>
      <c r="AE71" s="619"/>
      <c r="AF71" s="619"/>
      <c r="AG71" s="619"/>
      <c r="AH71" s="619"/>
      <c r="AI71" s="619"/>
      <c r="AJ71" s="619"/>
      <c r="AK71" s="619"/>
      <c r="AL71" s="619"/>
      <c r="AM71" s="8"/>
    </row>
    <row r="72" spans="1:39" ht="14.25" customHeight="1">
      <c r="A72" s="619"/>
      <c r="B72" s="253"/>
      <c r="C72" s="258" t="s">
        <v>207</v>
      </c>
      <c r="D72" s="259" t="s">
        <v>208</v>
      </c>
      <c r="E72" s="288">
        <f>'Copia de Electricidad'!D73/1000</f>
        <v>1.44E-2</v>
      </c>
      <c r="F72" s="288">
        <f>'Copia de Electricidad'!E73/1000</f>
        <v>1.44E-2</v>
      </c>
      <c r="G72" s="288">
        <f>'Copia de Electricidad'!F73/1000</f>
        <v>1.44E-2</v>
      </c>
      <c r="H72" s="289">
        <f>'Copia de Electricidad'!G73/1000</f>
        <v>1.44E-2</v>
      </c>
      <c r="I72" s="619"/>
      <c r="J72" s="619"/>
      <c r="K72" s="619"/>
      <c r="L72" s="619"/>
      <c r="M72" s="619"/>
      <c r="N72" s="619"/>
      <c r="O72" s="619"/>
      <c r="P72" s="619"/>
      <c r="Q72" s="619"/>
      <c r="R72" s="619"/>
      <c r="S72" s="619"/>
      <c r="T72" s="619"/>
      <c r="U72" s="619"/>
      <c r="V72" s="619"/>
      <c r="W72" s="619"/>
      <c r="X72" s="619"/>
      <c r="Y72" s="619"/>
      <c r="Z72" s="619"/>
      <c r="AA72" s="619"/>
      <c r="AB72" s="619"/>
      <c r="AC72" s="619"/>
      <c r="AD72" s="619"/>
      <c r="AE72" s="619"/>
      <c r="AF72" s="619"/>
      <c r="AG72" s="619"/>
      <c r="AH72" s="619"/>
      <c r="AI72" s="619"/>
      <c r="AJ72" s="619"/>
      <c r="AK72" s="619"/>
      <c r="AL72" s="619"/>
      <c r="AM72" s="8"/>
    </row>
    <row r="73" spans="1:39" ht="14.25" customHeight="1">
      <c r="A73" s="619"/>
      <c r="B73" s="253"/>
      <c r="C73" s="258" t="s">
        <v>209</v>
      </c>
      <c r="D73" s="259" t="s">
        <v>210</v>
      </c>
      <c r="E73" s="288">
        <f>'Copia de Electricidad'!D74/1000</f>
        <v>0.19107200000000002</v>
      </c>
      <c r="F73" s="288">
        <f>'Copia de Electricidad'!E74/1000</f>
        <v>0.19634200000000007</v>
      </c>
      <c r="G73" s="288">
        <f>'Copia de Electricidad'!F74/1000</f>
        <v>0.19789000000000001</v>
      </c>
      <c r="H73" s="289">
        <f>'Copia de Electricidad'!G74/1000</f>
        <v>0.19725700000000002</v>
      </c>
      <c r="I73" s="619"/>
      <c r="J73" s="619"/>
      <c r="K73" s="619"/>
      <c r="L73" s="619"/>
      <c r="M73" s="619"/>
      <c r="N73" s="619"/>
      <c r="O73" s="619"/>
      <c r="P73" s="619"/>
      <c r="Q73" s="619"/>
      <c r="R73" s="619"/>
      <c r="S73" s="619"/>
      <c r="T73" s="619"/>
      <c r="U73" s="619"/>
      <c r="V73" s="619"/>
      <c r="W73" s="619"/>
      <c r="X73" s="619"/>
      <c r="Y73" s="619"/>
      <c r="Z73" s="619"/>
      <c r="AA73" s="619"/>
      <c r="AB73" s="619"/>
      <c r="AC73" s="619"/>
      <c r="AD73" s="619"/>
      <c r="AE73" s="619"/>
      <c r="AF73" s="619"/>
      <c r="AG73" s="619"/>
      <c r="AH73" s="619"/>
      <c r="AI73" s="619"/>
      <c r="AJ73" s="619"/>
      <c r="AK73" s="619"/>
      <c r="AL73" s="619"/>
      <c r="AM73" s="8"/>
    </row>
    <row r="74" spans="1:39" ht="14.25" customHeight="1">
      <c r="A74" s="619"/>
      <c r="B74" s="253"/>
      <c r="C74" s="258"/>
      <c r="D74" s="266" t="s">
        <v>153</v>
      </c>
      <c r="E74" s="268">
        <f>'Copia de Electricidad'!D75/1000</f>
        <v>0.10125400000000001</v>
      </c>
      <c r="F74" s="268">
        <f>'Copia de Electricidad'!E75/1000</f>
        <v>0.10125400000000001</v>
      </c>
      <c r="G74" s="268">
        <f>'Copia de Electricidad'!F75/1000</f>
        <v>0.10125400000000001</v>
      </c>
      <c r="H74" s="269">
        <f>'Copia de Electricidad'!G75/1000</f>
        <v>0.12405400000000001</v>
      </c>
      <c r="I74" s="619"/>
      <c r="J74" s="619"/>
      <c r="K74" s="619"/>
      <c r="L74" s="619"/>
      <c r="M74" s="619"/>
      <c r="N74" s="619"/>
      <c r="O74" s="619"/>
      <c r="P74" s="619"/>
      <c r="Q74" s="619"/>
      <c r="R74" s="619"/>
      <c r="S74" s="619"/>
      <c r="T74" s="619"/>
      <c r="U74" s="619"/>
      <c r="V74" s="619"/>
      <c r="W74" s="619"/>
      <c r="X74" s="619"/>
      <c r="Y74" s="619"/>
      <c r="Z74" s="619"/>
      <c r="AA74" s="619"/>
      <c r="AB74" s="619"/>
      <c r="AC74" s="619"/>
      <c r="AD74" s="619"/>
      <c r="AE74" s="619"/>
      <c r="AF74" s="619"/>
      <c r="AG74" s="619"/>
      <c r="AH74" s="619"/>
      <c r="AI74" s="619"/>
      <c r="AJ74" s="619"/>
      <c r="AK74" s="619"/>
      <c r="AL74" s="619"/>
      <c r="AM74" s="8"/>
    </row>
    <row r="75" spans="1:39" ht="14.25" customHeight="1">
      <c r="A75" s="619"/>
      <c r="B75" s="253"/>
      <c r="C75" s="258"/>
      <c r="D75" s="285" t="s">
        <v>203</v>
      </c>
      <c r="E75" s="290"/>
      <c r="F75" s="290"/>
      <c r="G75" s="290"/>
      <c r="H75" s="291"/>
      <c r="I75" s="619"/>
      <c r="J75" s="619"/>
      <c r="K75" s="619"/>
      <c r="L75" s="619"/>
      <c r="M75" s="619"/>
      <c r="N75" s="619"/>
      <c r="O75" s="619"/>
      <c r="P75" s="619"/>
      <c r="Q75" s="619"/>
      <c r="R75" s="619"/>
      <c r="S75" s="619"/>
      <c r="T75" s="619"/>
      <c r="U75" s="619"/>
      <c r="V75" s="619"/>
      <c r="W75" s="619"/>
      <c r="X75" s="619"/>
      <c r="Y75" s="619"/>
      <c r="Z75" s="619"/>
      <c r="AA75" s="619"/>
      <c r="AB75" s="619"/>
      <c r="AC75" s="619"/>
      <c r="AD75" s="619"/>
      <c r="AE75" s="619"/>
      <c r="AF75" s="619"/>
      <c r="AG75" s="619"/>
      <c r="AH75" s="619"/>
      <c r="AI75" s="619"/>
      <c r="AJ75" s="619"/>
      <c r="AK75" s="619"/>
      <c r="AL75" s="619"/>
      <c r="AM75" s="8"/>
    </row>
    <row r="76" spans="1:39" ht="14.25" customHeight="1">
      <c r="A76" s="619"/>
      <c r="B76" s="253"/>
      <c r="C76" s="258" t="s">
        <v>211</v>
      </c>
      <c r="D76" s="259" t="s">
        <v>201</v>
      </c>
      <c r="E76" s="288">
        <f>'Copia de Electricidad'!D77/1000</f>
        <v>5.04E-2</v>
      </c>
      <c r="F76" s="288">
        <f>'Copia de Electricidad'!E77/1000</f>
        <v>5.04E-2</v>
      </c>
      <c r="G76" s="288">
        <f>'Copia de Electricidad'!F77/1000</f>
        <v>5.04E-2</v>
      </c>
      <c r="H76" s="289">
        <f>'Copia de Electricidad'!G77/1000</f>
        <v>5.04E-2</v>
      </c>
      <c r="I76" s="619"/>
      <c r="J76" s="619"/>
      <c r="K76" s="619"/>
      <c r="L76" s="619"/>
      <c r="M76" s="619"/>
      <c r="N76" s="619"/>
      <c r="O76" s="619"/>
      <c r="P76" s="619"/>
      <c r="Q76" s="619"/>
      <c r="R76" s="619"/>
      <c r="S76" s="619"/>
      <c r="T76" s="619"/>
      <c r="U76" s="619"/>
      <c r="V76" s="619"/>
      <c r="W76" s="619"/>
      <c r="X76" s="619"/>
      <c r="Y76" s="619"/>
      <c r="Z76" s="619"/>
      <c r="AA76" s="619"/>
      <c r="AB76" s="619"/>
      <c r="AC76" s="619"/>
      <c r="AD76" s="619"/>
      <c r="AE76" s="619"/>
      <c r="AF76" s="619"/>
      <c r="AG76" s="619"/>
      <c r="AH76" s="619"/>
      <c r="AI76" s="619"/>
      <c r="AJ76" s="619"/>
      <c r="AK76" s="619"/>
      <c r="AL76" s="619"/>
      <c r="AM76" s="8"/>
    </row>
    <row r="77" spans="1:39" ht="14.25" customHeight="1">
      <c r="A77" s="619"/>
      <c r="B77" s="253"/>
      <c r="C77" s="258" t="s">
        <v>212</v>
      </c>
      <c r="D77" s="259" t="s">
        <v>210</v>
      </c>
      <c r="E77" s="288">
        <f>'Copia de Electricidad'!D78/1000</f>
        <v>4.5850000000000002E-2</v>
      </c>
      <c r="F77" s="288">
        <f>'Copia de Electricidad'!E78/1000</f>
        <v>4.5850000000000002E-2</v>
      </c>
      <c r="G77" s="288">
        <f>'Copia de Electricidad'!F78/1000</f>
        <v>4.5850000000000002E-2</v>
      </c>
      <c r="H77" s="289">
        <f>'Copia de Electricidad'!G78/1000</f>
        <v>6.8650000000000003E-2</v>
      </c>
      <c r="I77" s="619"/>
      <c r="J77" s="619"/>
      <c r="K77" s="619"/>
      <c r="L77" s="619"/>
      <c r="M77" s="619"/>
      <c r="N77" s="619"/>
      <c r="O77" s="619"/>
      <c r="P77" s="619"/>
      <c r="Q77" s="619"/>
      <c r="R77" s="619"/>
      <c r="S77" s="619"/>
      <c r="T77" s="619"/>
      <c r="U77" s="619"/>
      <c r="V77" s="619"/>
      <c r="W77" s="619"/>
      <c r="X77" s="619"/>
      <c r="Y77" s="619"/>
      <c r="Z77" s="619"/>
      <c r="AA77" s="619"/>
      <c r="AB77" s="619"/>
      <c r="AC77" s="619"/>
      <c r="AD77" s="619"/>
      <c r="AE77" s="619"/>
      <c r="AF77" s="619"/>
      <c r="AG77" s="619"/>
      <c r="AH77" s="619"/>
      <c r="AI77" s="619"/>
      <c r="AJ77" s="619"/>
      <c r="AK77" s="619"/>
      <c r="AL77" s="619"/>
      <c r="AM77" s="8"/>
    </row>
    <row r="78" spans="1:39" ht="14.25" customHeight="1">
      <c r="A78" s="619"/>
      <c r="B78" s="253"/>
      <c r="C78" s="258" t="s">
        <v>213</v>
      </c>
      <c r="D78" s="259" t="s">
        <v>205</v>
      </c>
      <c r="E78" s="288">
        <f>'Copia de Electricidad'!D79/1000</f>
        <v>5.0039999999999998E-3</v>
      </c>
      <c r="F78" s="288">
        <f>'Copia de Electricidad'!E79/1000</f>
        <v>5.0039999999999998E-3</v>
      </c>
      <c r="G78" s="288">
        <f>'Copia de Electricidad'!F79/1000</f>
        <v>5.0039999999999998E-3</v>
      </c>
      <c r="H78" s="289">
        <f>'Copia de Electricidad'!G79/1000</f>
        <v>5.0039999999999998E-3</v>
      </c>
      <c r="I78" s="619"/>
      <c r="J78" s="619"/>
      <c r="K78" s="619"/>
      <c r="L78" s="619"/>
      <c r="M78" s="619"/>
      <c r="N78" s="619"/>
      <c r="O78" s="619"/>
      <c r="P78" s="619"/>
      <c r="Q78" s="619"/>
      <c r="R78" s="619"/>
      <c r="S78" s="619"/>
      <c r="T78" s="619"/>
      <c r="U78" s="619"/>
      <c r="V78" s="619"/>
      <c r="W78" s="619"/>
      <c r="X78" s="619"/>
      <c r="Y78" s="619"/>
      <c r="Z78" s="619"/>
      <c r="AA78" s="619"/>
      <c r="AB78" s="619"/>
      <c r="AC78" s="619"/>
      <c r="AD78" s="619"/>
      <c r="AE78" s="619"/>
      <c r="AF78" s="619"/>
      <c r="AG78" s="619"/>
      <c r="AH78" s="619"/>
      <c r="AI78" s="619"/>
      <c r="AJ78" s="619"/>
      <c r="AK78" s="619"/>
      <c r="AL78" s="619"/>
      <c r="AM78" s="8"/>
    </row>
    <row r="79" spans="1:39" ht="14.25" customHeight="1">
      <c r="A79" s="619"/>
      <c r="B79" s="253"/>
      <c r="C79" s="258"/>
      <c r="D79" s="266" t="s">
        <v>158</v>
      </c>
      <c r="E79" s="268">
        <f>'Copia de Electricidad'!D80/1000</f>
        <v>1.5865000000000001E-2</v>
      </c>
      <c r="F79" s="268">
        <f>'Copia de Electricidad'!E80/1000</f>
        <v>1.5625E-2</v>
      </c>
      <c r="G79" s="268">
        <f>'Copia de Electricidad'!F80/1000</f>
        <v>1.5625E-2</v>
      </c>
      <c r="H79" s="269">
        <f>'Copia de Electricidad'!G80/1000</f>
        <v>1.5625E-2</v>
      </c>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8"/>
    </row>
    <row r="80" spans="1:39" ht="14.25" customHeight="1">
      <c r="A80" s="619"/>
      <c r="B80" s="253"/>
      <c r="C80" s="258"/>
      <c r="D80" s="285" t="s">
        <v>190</v>
      </c>
      <c r="E80" s="290"/>
      <c r="F80" s="290"/>
      <c r="G80" s="290"/>
      <c r="H80" s="291"/>
      <c r="I80" s="619"/>
      <c r="J80" s="619"/>
      <c r="K80" s="619"/>
      <c r="L80" s="619"/>
      <c r="M80" s="619"/>
      <c r="N80" s="619"/>
      <c r="O80" s="619"/>
      <c r="P80" s="619"/>
      <c r="Q80" s="619"/>
      <c r="R80" s="619"/>
      <c r="S80" s="619"/>
      <c r="T80" s="619"/>
      <c r="U80" s="619"/>
      <c r="V80" s="619"/>
      <c r="W80" s="619"/>
      <c r="X80" s="619"/>
      <c r="Y80" s="619"/>
      <c r="Z80" s="619"/>
      <c r="AA80" s="619"/>
      <c r="AB80" s="619"/>
      <c r="AC80" s="619"/>
      <c r="AD80" s="619"/>
      <c r="AE80" s="619"/>
      <c r="AF80" s="619"/>
      <c r="AG80" s="619"/>
      <c r="AH80" s="619"/>
      <c r="AI80" s="619"/>
      <c r="AJ80" s="619"/>
      <c r="AK80" s="619"/>
      <c r="AL80" s="619"/>
      <c r="AM80" s="8"/>
    </row>
    <row r="81" spans="1:39" ht="14.25" customHeight="1">
      <c r="A81" s="619"/>
      <c r="B81" s="253"/>
      <c r="C81" s="258" t="s">
        <v>214</v>
      </c>
      <c r="D81" s="259" t="s">
        <v>201</v>
      </c>
      <c r="E81" s="288">
        <f>'Copia de Electricidad'!D82/1000</f>
        <v>2.3999999999999998E-4</v>
      </c>
      <c r="F81" s="288">
        <f>'Copia de Electricidad'!E82/1000</f>
        <v>0</v>
      </c>
      <c r="G81" s="288">
        <f>'Copia de Electricidad'!F82/1000</f>
        <v>0</v>
      </c>
      <c r="H81" s="289">
        <f>'Copia de Electricidad'!G82/1000</f>
        <v>0</v>
      </c>
      <c r="I81" s="30"/>
      <c r="J81" s="619"/>
      <c r="K81" s="619"/>
      <c r="L81" s="619"/>
      <c r="M81" s="619"/>
      <c r="N81" s="619"/>
      <c r="O81" s="619"/>
      <c r="P81" s="619"/>
      <c r="Q81" s="619"/>
      <c r="R81" s="619"/>
      <c r="S81" s="619"/>
      <c r="T81" s="619"/>
      <c r="U81" s="619"/>
      <c r="V81" s="619"/>
      <c r="W81" s="619"/>
      <c r="X81" s="619"/>
      <c r="Y81" s="619"/>
      <c r="Z81" s="619"/>
      <c r="AA81" s="619"/>
      <c r="AB81" s="619"/>
      <c r="AC81" s="619"/>
      <c r="AD81" s="619"/>
      <c r="AE81" s="619"/>
      <c r="AF81" s="619"/>
      <c r="AG81" s="619"/>
      <c r="AH81" s="619"/>
      <c r="AI81" s="619"/>
      <c r="AJ81" s="619"/>
      <c r="AK81" s="619"/>
      <c r="AL81" s="619"/>
      <c r="AM81" s="8"/>
    </row>
    <row r="82" spans="1:39" ht="14.25" customHeight="1">
      <c r="A82" s="619"/>
      <c r="B82" s="253"/>
      <c r="C82" s="258"/>
      <c r="D82" s="285" t="s">
        <v>195</v>
      </c>
      <c r="E82" s="290"/>
      <c r="F82" s="290"/>
      <c r="G82" s="290"/>
      <c r="H82" s="291"/>
      <c r="I82" s="619"/>
      <c r="J82" s="619"/>
      <c r="K82" s="619"/>
      <c r="L82" s="619"/>
      <c r="M82" s="619"/>
      <c r="N82" s="619"/>
      <c r="O82" s="619"/>
      <c r="P82" s="619"/>
      <c r="Q82" s="619"/>
      <c r="R82" s="619"/>
      <c r="S82" s="619"/>
      <c r="T82" s="619"/>
      <c r="U82" s="619"/>
      <c r="V82" s="619"/>
      <c r="W82" s="619"/>
      <c r="X82" s="619"/>
      <c r="Y82" s="619"/>
      <c r="Z82" s="619"/>
      <c r="AA82" s="619"/>
      <c r="AB82" s="619"/>
      <c r="AC82" s="619"/>
      <c r="AD82" s="619"/>
      <c r="AE82" s="619"/>
      <c r="AF82" s="619"/>
      <c r="AG82" s="619"/>
      <c r="AH82" s="619"/>
      <c r="AI82" s="619"/>
      <c r="AJ82" s="619"/>
      <c r="AK82" s="619"/>
      <c r="AL82" s="619"/>
      <c r="AM82" s="8"/>
    </row>
    <row r="83" spans="1:39" ht="14.25" customHeight="1">
      <c r="A83" s="619"/>
      <c r="B83" s="253"/>
      <c r="C83" s="258" t="s">
        <v>215</v>
      </c>
      <c r="D83" s="259" t="s">
        <v>201</v>
      </c>
      <c r="E83" s="288">
        <f>'Copia de Electricidad'!D84/1000</f>
        <v>3.6250000000000002E-3</v>
      </c>
      <c r="F83" s="288">
        <f>'Copia de Electricidad'!E84/1000</f>
        <v>3.6250000000000002E-3</v>
      </c>
      <c r="G83" s="288">
        <f>'Copia de Electricidad'!F84/1000</f>
        <v>3.6250000000000002E-3</v>
      </c>
      <c r="H83" s="289">
        <f>'Copia de Electricidad'!G84/1000</f>
        <v>3.6250000000000002E-3</v>
      </c>
      <c r="I83" s="619"/>
      <c r="J83" s="619"/>
      <c r="K83" s="619"/>
      <c r="L83" s="619"/>
      <c r="M83" s="619"/>
      <c r="N83" s="619"/>
      <c r="O83" s="619"/>
      <c r="P83" s="619"/>
      <c r="Q83" s="619"/>
      <c r="R83" s="619"/>
      <c r="S83" s="619"/>
      <c r="T83" s="619"/>
      <c r="U83" s="619"/>
      <c r="V83" s="619"/>
      <c r="W83" s="619"/>
      <c r="X83" s="619"/>
      <c r="Y83" s="619"/>
      <c r="Z83" s="619"/>
      <c r="AA83" s="619"/>
      <c r="AB83" s="619"/>
      <c r="AC83" s="619"/>
      <c r="AD83" s="619"/>
      <c r="AE83" s="619"/>
      <c r="AF83" s="619"/>
      <c r="AG83" s="619"/>
      <c r="AH83" s="619"/>
      <c r="AI83" s="619"/>
      <c r="AJ83" s="619"/>
      <c r="AK83" s="619"/>
      <c r="AL83" s="619"/>
      <c r="AM83" s="8"/>
    </row>
    <row r="84" spans="1:39" ht="14.25" customHeight="1">
      <c r="A84" s="619"/>
      <c r="B84" s="253"/>
      <c r="C84" s="258"/>
      <c r="D84" s="285" t="s">
        <v>203</v>
      </c>
      <c r="E84" s="282"/>
      <c r="F84" s="282"/>
      <c r="G84" s="282"/>
      <c r="H84" s="284"/>
      <c r="I84" s="619"/>
      <c r="J84" s="619"/>
      <c r="K84" s="619"/>
      <c r="L84" s="619"/>
      <c r="M84" s="619"/>
      <c r="N84" s="619"/>
      <c r="O84" s="619"/>
      <c r="P84" s="619"/>
      <c r="Q84" s="619"/>
      <c r="R84" s="619"/>
      <c r="S84" s="619"/>
      <c r="T84" s="619"/>
      <c r="U84" s="619"/>
      <c r="V84" s="619"/>
      <c r="W84" s="619"/>
      <c r="X84" s="619"/>
      <c r="Y84" s="619"/>
      <c r="Z84" s="619"/>
      <c r="AA84" s="619"/>
      <c r="AB84" s="619"/>
      <c r="AC84" s="619"/>
      <c r="AD84" s="619"/>
      <c r="AE84" s="619"/>
      <c r="AF84" s="619"/>
      <c r="AG84" s="619"/>
      <c r="AH84" s="619"/>
      <c r="AI84" s="619"/>
      <c r="AJ84" s="619"/>
      <c r="AK84" s="619"/>
      <c r="AL84" s="619"/>
      <c r="AM84" s="8"/>
    </row>
    <row r="85" spans="1:39" ht="14.25" customHeight="1">
      <c r="A85" s="619"/>
      <c r="B85" s="253"/>
      <c r="C85" s="258" t="s">
        <v>216</v>
      </c>
      <c r="D85" s="259" t="s">
        <v>210</v>
      </c>
      <c r="E85" s="288">
        <f>'Copia de Electricidad'!D86/1000</f>
        <v>1.2E-2</v>
      </c>
      <c r="F85" s="288">
        <f>'Copia de Electricidad'!E86/1000</f>
        <v>1.2E-2</v>
      </c>
      <c r="G85" s="288">
        <f>'Copia de Electricidad'!F86/1000</f>
        <v>1.2E-2</v>
      </c>
      <c r="H85" s="289">
        <f>'Copia de Electricidad'!G86/1000</f>
        <v>1.2E-2</v>
      </c>
      <c r="I85" s="619"/>
      <c r="J85" s="619"/>
      <c r="K85" s="619"/>
      <c r="L85" s="619"/>
      <c r="M85" s="619"/>
      <c r="N85" s="619"/>
      <c r="O85" s="619"/>
      <c r="P85" s="619"/>
      <c r="Q85" s="619"/>
      <c r="R85" s="619"/>
      <c r="S85" s="619"/>
      <c r="T85" s="619"/>
      <c r="U85" s="619"/>
      <c r="V85" s="619"/>
      <c r="W85" s="619"/>
      <c r="X85" s="619"/>
      <c r="Y85" s="619"/>
      <c r="Z85" s="619"/>
      <c r="AA85" s="619"/>
      <c r="AB85" s="619"/>
      <c r="AC85" s="619"/>
      <c r="AD85" s="619"/>
      <c r="AE85" s="619"/>
      <c r="AF85" s="619"/>
      <c r="AG85" s="619"/>
      <c r="AH85" s="619"/>
      <c r="AI85" s="619"/>
      <c r="AJ85" s="619"/>
      <c r="AK85" s="619"/>
      <c r="AL85" s="619"/>
      <c r="AM85" s="8"/>
    </row>
    <row r="86" spans="1:39" ht="14.25" customHeight="1">
      <c r="A86" s="619"/>
      <c r="B86" s="253"/>
      <c r="C86" s="258"/>
      <c r="D86" s="262" t="s">
        <v>217</v>
      </c>
      <c r="E86" s="282"/>
      <c r="F86" s="282"/>
      <c r="G86" s="282"/>
      <c r="H86" s="283"/>
      <c r="I86" s="619"/>
      <c r="J86" s="619"/>
      <c r="K86" s="619"/>
      <c r="L86" s="619"/>
      <c r="M86" s="619"/>
      <c r="N86" s="619"/>
      <c r="O86" s="619"/>
      <c r="P86" s="619"/>
      <c r="Q86" s="619"/>
      <c r="R86" s="619"/>
      <c r="S86" s="619"/>
      <c r="T86" s="619"/>
      <c r="U86" s="619"/>
      <c r="V86" s="619"/>
      <c r="W86" s="619"/>
      <c r="X86" s="619"/>
      <c r="Y86" s="619"/>
      <c r="Z86" s="619"/>
      <c r="AA86" s="619"/>
      <c r="AB86" s="619"/>
      <c r="AC86" s="619"/>
      <c r="AD86" s="619"/>
      <c r="AE86" s="619"/>
      <c r="AF86" s="619"/>
      <c r="AG86" s="619"/>
      <c r="AH86" s="619"/>
      <c r="AI86" s="619"/>
      <c r="AJ86" s="619"/>
      <c r="AK86" s="619"/>
      <c r="AL86" s="619"/>
      <c r="AM86" s="8"/>
    </row>
    <row r="87" spans="1:39" ht="14.25" customHeight="1">
      <c r="A87" s="619"/>
      <c r="B87" s="253"/>
      <c r="C87" s="258"/>
      <c r="D87" s="281" t="s">
        <v>39</v>
      </c>
      <c r="E87" s="256">
        <f t="shared" ref="E87:H87" si="1">SUM(E50+E52+E60+E63)</f>
        <v>1.3063868000000001</v>
      </c>
      <c r="F87" s="256">
        <f t="shared" si="1"/>
        <v>1.3670987999999999</v>
      </c>
      <c r="G87" s="256">
        <f t="shared" si="1"/>
        <v>1.3720398000000003</v>
      </c>
      <c r="H87" s="273">
        <f t="shared" si="1"/>
        <v>1.3765731400000001</v>
      </c>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619"/>
      <c r="AL87" s="619"/>
      <c r="AM87" s="8"/>
    </row>
    <row r="88" spans="1:39" ht="14.25" customHeight="1">
      <c r="A88" s="619"/>
      <c r="B88" s="253"/>
      <c r="C88" s="258"/>
      <c r="D88" s="281"/>
      <c r="E88" s="256"/>
      <c r="F88" s="256"/>
      <c r="G88" s="256"/>
      <c r="H88" s="280"/>
      <c r="I88" s="619"/>
      <c r="J88" s="619"/>
      <c r="K88" s="619"/>
      <c r="L88" s="619"/>
      <c r="M88" s="619"/>
      <c r="N88" s="619"/>
      <c r="O88" s="619"/>
      <c r="P88" s="619"/>
      <c r="Q88" s="619"/>
      <c r="R88" s="619"/>
      <c r="S88" s="619"/>
      <c r="T88" s="619"/>
      <c r="U88" s="619"/>
      <c r="V88" s="619"/>
      <c r="W88" s="619"/>
      <c r="X88" s="619"/>
      <c r="Y88" s="619"/>
      <c r="Z88" s="619"/>
      <c r="AA88" s="619"/>
      <c r="AB88" s="619"/>
      <c r="AC88" s="619"/>
      <c r="AD88" s="619"/>
      <c r="AE88" s="619"/>
      <c r="AF88" s="619"/>
      <c r="AG88" s="619"/>
      <c r="AH88" s="619"/>
      <c r="AI88" s="619"/>
      <c r="AJ88" s="619"/>
      <c r="AK88" s="619"/>
      <c r="AL88" s="619"/>
      <c r="AM88" s="8"/>
    </row>
    <row r="89" spans="1:39" ht="14.25" customHeight="1">
      <c r="A89" s="619"/>
      <c r="B89" s="253"/>
      <c r="C89" s="258"/>
      <c r="D89" s="281" t="s">
        <v>218</v>
      </c>
      <c r="E89" s="260">
        <v>2018</v>
      </c>
      <c r="F89" s="260">
        <v>2019</v>
      </c>
      <c r="G89" s="260">
        <v>2020</v>
      </c>
      <c r="H89" s="261">
        <v>2021</v>
      </c>
      <c r="I89" s="619"/>
      <c r="J89" s="619"/>
      <c r="K89" s="619"/>
      <c r="L89" s="619"/>
      <c r="M89" s="619"/>
      <c r="N89" s="619"/>
      <c r="O89" s="619"/>
      <c r="P89" s="619"/>
      <c r="Q89" s="619"/>
      <c r="R89" s="619"/>
      <c r="S89" s="619"/>
      <c r="T89" s="619"/>
      <c r="U89" s="619"/>
      <c r="V89" s="619"/>
      <c r="W89" s="619"/>
      <c r="X89" s="619"/>
      <c r="Y89" s="619"/>
      <c r="Z89" s="619"/>
      <c r="AA89" s="619"/>
      <c r="AB89" s="619"/>
      <c r="AC89" s="619"/>
      <c r="AD89" s="619"/>
      <c r="AE89" s="619"/>
      <c r="AF89" s="619"/>
      <c r="AG89" s="619"/>
      <c r="AH89" s="619"/>
      <c r="AI89" s="619"/>
      <c r="AJ89" s="619"/>
      <c r="AK89" s="619"/>
      <c r="AL89" s="619"/>
      <c r="AM89" s="8"/>
    </row>
    <row r="90" spans="1:39" ht="14.25" customHeight="1">
      <c r="A90" s="619"/>
      <c r="B90" s="253"/>
      <c r="C90" s="258"/>
      <c r="D90" s="262" t="s">
        <v>185</v>
      </c>
      <c r="E90" s="264">
        <f>'Copia de Electricidad'!D91/1000</f>
        <v>0.14430000000000001</v>
      </c>
      <c r="F90" s="264">
        <f>'Copia de Electricidad'!E91/1000</f>
        <v>0.14430000000000001</v>
      </c>
      <c r="G90" s="264">
        <f>'Copia de Electricidad'!F91/1000</f>
        <v>0.14430000000000001</v>
      </c>
      <c r="H90" s="292">
        <f>'Copia de Electricidad'!G91/1000</f>
        <v>0.14430000000000001</v>
      </c>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8"/>
    </row>
    <row r="91" spans="1:39" ht="14.25" customHeight="1">
      <c r="A91" s="619"/>
      <c r="B91" s="253"/>
      <c r="C91" s="258"/>
      <c r="D91" s="262" t="s">
        <v>219</v>
      </c>
      <c r="E91" s="264">
        <f>'Copia de Electricidad'!D92/1000</f>
        <v>2.1149999999999999E-2</v>
      </c>
      <c r="F91" s="264">
        <f>'Copia de Electricidad'!E92/1000</f>
        <v>2.1149999999999999E-2</v>
      </c>
      <c r="G91" s="264">
        <f>'Copia de Electricidad'!F92/1000</f>
        <v>2.1149999999999999E-2</v>
      </c>
      <c r="H91" s="292">
        <f>'Copia de Electricidad'!G92/1000</f>
        <v>2.1149999999999999E-2</v>
      </c>
      <c r="I91" s="619"/>
      <c r="J91" s="619"/>
      <c r="K91" s="619"/>
      <c r="L91" s="619"/>
      <c r="M91" s="619"/>
      <c r="N91" s="619"/>
      <c r="O91" s="619"/>
      <c r="P91" s="619"/>
      <c r="Q91" s="619"/>
      <c r="R91" s="619"/>
      <c r="S91" s="619"/>
      <c r="T91" s="619"/>
      <c r="U91" s="619"/>
      <c r="V91" s="619"/>
      <c r="W91" s="619"/>
      <c r="X91" s="619"/>
      <c r="Y91" s="619"/>
      <c r="Z91" s="619"/>
      <c r="AA91" s="619"/>
      <c r="AB91" s="619"/>
      <c r="AC91" s="619"/>
      <c r="AD91" s="619"/>
      <c r="AE91" s="619"/>
      <c r="AF91" s="619"/>
      <c r="AG91" s="619"/>
      <c r="AH91" s="619"/>
      <c r="AI91" s="619"/>
      <c r="AJ91" s="619"/>
      <c r="AK91" s="619"/>
      <c r="AL91" s="619"/>
      <c r="AM91" s="8"/>
    </row>
    <row r="92" spans="1:39" ht="14.25" customHeight="1">
      <c r="A92" s="619"/>
      <c r="B92" s="253"/>
      <c r="C92" s="258"/>
      <c r="D92" s="262" t="s">
        <v>220</v>
      </c>
      <c r="E92" s="264">
        <f>'Copia de Electricidad'!D93/1000</f>
        <v>5.0664039899999995</v>
      </c>
      <c r="F92" s="264">
        <f>'Copia de Electricidad'!E93/1000</f>
        <v>5.0764039900000002</v>
      </c>
      <c r="G92" s="264">
        <f>'Copia de Electricidad'!F93/1000</f>
        <v>5.0987459900000003</v>
      </c>
      <c r="H92" s="292">
        <f>'Copia de Electricidad'!G93/1000</f>
        <v>5.1068459900000001</v>
      </c>
      <c r="I92" s="619"/>
      <c r="J92" s="619"/>
      <c r="K92" s="619"/>
      <c r="L92" s="619"/>
      <c r="M92" s="619"/>
      <c r="N92" s="619"/>
      <c r="O92" s="619"/>
      <c r="P92" s="619"/>
      <c r="Q92" s="619"/>
      <c r="R92" s="619"/>
      <c r="S92" s="619"/>
      <c r="T92" s="619"/>
      <c r="U92" s="619"/>
      <c r="V92" s="619"/>
      <c r="W92" s="619"/>
      <c r="X92" s="619"/>
      <c r="Y92" s="619"/>
      <c r="Z92" s="619"/>
      <c r="AA92" s="619"/>
      <c r="AB92" s="619"/>
      <c r="AC92" s="619"/>
      <c r="AD92" s="619"/>
      <c r="AE92" s="619"/>
      <c r="AF92" s="619"/>
      <c r="AG92" s="619"/>
      <c r="AH92" s="619"/>
      <c r="AI92" s="619"/>
      <c r="AJ92" s="619"/>
      <c r="AK92" s="619"/>
      <c r="AL92" s="619"/>
      <c r="AM92" s="8"/>
    </row>
    <row r="93" spans="1:39" ht="14.25" customHeight="1">
      <c r="A93" s="619"/>
      <c r="B93" s="253"/>
      <c r="C93" s="258"/>
      <c r="D93" s="266" t="s">
        <v>138</v>
      </c>
      <c r="E93" s="268">
        <f>'Copia de Electricidad'!D94/1000</f>
        <v>1.7332000000000001</v>
      </c>
      <c r="F93" s="268">
        <f>'Copia de Electricidad'!E94/1000</f>
        <v>1.7332000000000001</v>
      </c>
      <c r="G93" s="268">
        <f>'Copia de Electricidad'!F94/1000</f>
        <v>1.7332000000000001</v>
      </c>
      <c r="H93" s="293">
        <f>'Copia de Electricidad'!G94/1000</f>
        <v>1.7332000000000001</v>
      </c>
      <c r="I93" s="619"/>
      <c r="J93" s="619"/>
      <c r="K93" s="619"/>
      <c r="L93" s="619"/>
      <c r="M93" s="619"/>
      <c r="N93" s="619"/>
      <c r="O93" s="619"/>
      <c r="P93" s="619"/>
      <c r="Q93" s="619"/>
      <c r="R93" s="619"/>
      <c r="S93" s="619"/>
      <c r="T93" s="619"/>
      <c r="U93" s="619"/>
      <c r="V93" s="619"/>
      <c r="W93" s="619"/>
      <c r="X93" s="619"/>
      <c r="Y93" s="619"/>
      <c r="Z93" s="619"/>
      <c r="AA93" s="619"/>
      <c r="AB93" s="619"/>
      <c r="AC93" s="619"/>
      <c r="AD93" s="619"/>
      <c r="AE93" s="619"/>
      <c r="AF93" s="619"/>
      <c r="AG93" s="619"/>
      <c r="AH93" s="619"/>
      <c r="AI93" s="619"/>
      <c r="AJ93" s="619"/>
      <c r="AK93" s="619"/>
      <c r="AL93" s="619"/>
      <c r="AM93" s="8"/>
    </row>
    <row r="94" spans="1:39" ht="14.25" customHeight="1">
      <c r="A94" s="619"/>
      <c r="B94" s="253"/>
      <c r="C94" s="258"/>
      <c r="D94" s="266" t="s">
        <v>141</v>
      </c>
      <c r="E94" s="268">
        <f>'Copia de Electricidad'!D95/1000</f>
        <v>3.3332039899999999</v>
      </c>
      <c r="F94" s="268">
        <f>'Copia de Electricidad'!E95/1000</f>
        <v>3.3432039900000001</v>
      </c>
      <c r="G94" s="268">
        <f>'Copia de Electricidad'!F95/1000</f>
        <v>3.3655459900000002</v>
      </c>
      <c r="H94" s="293">
        <f>'Copia de Electricidad'!G95/1000</f>
        <v>3.37364599</v>
      </c>
      <c r="I94" s="619"/>
      <c r="J94" s="619"/>
      <c r="K94" s="619"/>
      <c r="L94" s="619"/>
      <c r="M94" s="619"/>
      <c r="N94" s="619"/>
      <c r="O94" s="619"/>
      <c r="P94" s="619"/>
      <c r="Q94" s="619"/>
      <c r="R94" s="619"/>
      <c r="S94" s="619"/>
      <c r="T94" s="619"/>
      <c r="U94" s="619"/>
      <c r="V94" s="619"/>
      <c r="W94" s="619"/>
      <c r="X94" s="619"/>
      <c r="Y94" s="619"/>
      <c r="Z94" s="619"/>
      <c r="AA94" s="619"/>
      <c r="AB94" s="619"/>
      <c r="AC94" s="619"/>
      <c r="AD94" s="619"/>
      <c r="AE94" s="619"/>
      <c r="AF94" s="619"/>
      <c r="AG94" s="619"/>
      <c r="AH94" s="619"/>
      <c r="AI94" s="619"/>
      <c r="AJ94" s="619"/>
      <c r="AK94" s="619"/>
      <c r="AL94" s="619"/>
      <c r="AM94" s="8"/>
    </row>
    <row r="95" spans="1:39" ht="14.25" customHeight="1">
      <c r="A95" s="619"/>
      <c r="B95" s="253"/>
      <c r="C95" s="258"/>
      <c r="D95" s="262" t="s">
        <v>221</v>
      </c>
      <c r="E95" s="264">
        <f>'Copia de Electricidad'!D96/1000</f>
        <v>2.7629839999999992E-2</v>
      </c>
      <c r="F95" s="264">
        <f>'Copia de Electricidad'!E96/1000</f>
        <v>2.7629839999999992E-2</v>
      </c>
      <c r="G95" s="264">
        <f>'Copia de Electricidad'!F96/1000</f>
        <v>2.7629839999999992E-2</v>
      </c>
      <c r="H95" s="292">
        <f>'Copia de Electricidad'!G96/1000</f>
        <v>2.7653179999999992E-2</v>
      </c>
      <c r="I95" s="619"/>
      <c r="J95" s="619"/>
      <c r="K95" s="619"/>
      <c r="L95" s="619"/>
      <c r="M95" s="619"/>
      <c r="N95" s="619"/>
      <c r="O95" s="619"/>
      <c r="P95" s="619"/>
      <c r="Q95" s="619"/>
      <c r="R95" s="619"/>
      <c r="S95" s="619"/>
      <c r="T95" s="619"/>
      <c r="U95" s="619"/>
      <c r="V95" s="619"/>
      <c r="W95" s="619"/>
      <c r="X95" s="619"/>
      <c r="Y95" s="619"/>
      <c r="Z95" s="619"/>
      <c r="AA95" s="619"/>
      <c r="AB95" s="619"/>
      <c r="AC95" s="619"/>
      <c r="AD95" s="619"/>
      <c r="AE95" s="619"/>
      <c r="AF95" s="619"/>
      <c r="AG95" s="619"/>
      <c r="AH95" s="619"/>
      <c r="AI95" s="619"/>
      <c r="AJ95" s="619"/>
      <c r="AK95" s="619"/>
      <c r="AL95" s="619"/>
      <c r="AM95" s="8"/>
    </row>
    <row r="96" spans="1:39" ht="14.25" customHeight="1">
      <c r="A96" s="619"/>
      <c r="B96" s="253"/>
      <c r="C96" s="258"/>
      <c r="D96" s="262" t="s">
        <v>222</v>
      </c>
      <c r="E96" s="264">
        <f>'Copia de Electricidad'!D97/1000</f>
        <v>3.3951583799999998</v>
      </c>
      <c r="F96" s="264">
        <f>'Copia de Electricidad'!E97/1000</f>
        <v>3.4082703799999998</v>
      </c>
      <c r="G96" s="264">
        <f>'Copia de Electricidad'!F97/1000</f>
        <v>3.4132113800000004</v>
      </c>
      <c r="H96" s="292">
        <f>'Copia de Electricidad'!G97/1000</f>
        <v>3.4261413800000002</v>
      </c>
      <c r="I96" s="619"/>
      <c r="J96" s="619"/>
      <c r="K96" s="619"/>
      <c r="L96" s="619"/>
      <c r="M96" s="619"/>
      <c r="N96" s="619"/>
      <c r="O96" s="619"/>
      <c r="P96" s="619"/>
      <c r="Q96" s="619"/>
      <c r="R96" s="619"/>
      <c r="S96" s="619"/>
      <c r="T96" s="619"/>
      <c r="U96" s="619"/>
      <c r="V96" s="619"/>
      <c r="W96" s="619"/>
      <c r="X96" s="619"/>
      <c r="Y96" s="619"/>
      <c r="Z96" s="619"/>
      <c r="AA96" s="619"/>
      <c r="AB96" s="619"/>
      <c r="AC96" s="619"/>
      <c r="AD96" s="619"/>
      <c r="AE96" s="619"/>
      <c r="AF96" s="619"/>
      <c r="AG96" s="619"/>
      <c r="AH96" s="619"/>
      <c r="AI96" s="619"/>
      <c r="AJ96" s="619"/>
      <c r="AK96" s="619"/>
      <c r="AL96" s="619"/>
      <c r="AM96" s="8"/>
    </row>
    <row r="97" spans="1:57" ht="14.25" customHeight="1">
      <c r="A97" s="619"/>
      <c r="B97" s="253"/>
      <c r="C97" s="258"/>
      <c r="D97" s="266" t="s">
        <v>145</v>
      </c>
      <c r="E97" s="268">
        <f>'Copia de Electricidad'!D98/1000</f>
        <v>2.0114443799999999</v>
      </c>
      <c r="F97" s="268">
        <f>'Copia de Electricidad'!E98/1000</f>
        <v>2.0247963800000002</v>
      </c>
      <c r="G97" s="268">
        <f>'Copia de Electricidad'!F98/1000</f>
        <v>2.0297373800000003</v>
      </c>
      <c r="H97" s="293">
        <f>'Copia de Electricidad'!G98/1000</f>
        <v>2.0206673799999999</v>
      </c>
      <c r="I97" s="619"/>
      <c r="J97" s="619"/>
      <c r="K97" s="619"/>
      <c r="L97" s="619"/>
      <c r="M97" s="619"/>
      <c r="N97" s="619"/>
      <c r="O97" s="619"/>
      <c r="P97" s="619"/>
      <c r="Q97" s="619"/>
      <c r="R97" s="619"/>
      <c r="S97" s="619"/>
      <c r="T97" s="619"/>
      <c r="U97" s="619"/>
      <c r="V97" s="619"/>
      <c r="W97" s="619"/>
      <c r="X97" s="619"/>
      <c r="Y97" s="619"/>
      <c r="Z97" s="619"/>
      <c r="AA97" s="619"/>
      <c r="AB97" s="619"/>
      <c r="AC97" s="619"/>
      <c r="AD97" s="619"/>
      <c r="AE97" s="619"/>
      <c r="AF97" s="619"/>
      <c r="AG97" s="619"/>
      <c r="AH97" s="619"/>
      <c r="AI97" s="619"/>
      <c r="AJ97" s="619"/>
      <c r="AK97" s="619"/>
      <c r="AL97" s="619"/>
      <c r="AM97" s="8"/>
      <c r="AN97" s="8"/>
      <c r="AO97" s="8"/>
      <c r="AP97" s="8"/>
      <c r="AQ97" s="8"/>
      <c r="AR97" s="8"/>
      <c r="AS97" s="8"/>
      <c r="AT97" s="8"/>
      <c r="AU97" s="8"/>
      <c r="AV97" s="8"/>
      <c r="AW97" s="8"/>
      <c r="AX97" s="8"/>
      <c r="AY97" s="8"/>
      <c r="AZ97" s="8"/>
      <c r="BA97" s="8"/>
      <c r="BB97" s="8"/>
      <c r="BC97" s="8"/>
      <c r="BD97" s="8"/>
      <c r="BE97" s="8"/>
    </row>
    <row r="98" spans="1:57" ht="14.25" customHeight="1">
      <c r="A98" s="619"/>
      <c r="B98" s="253"/>
      <c r="C98" s="258"/>
      <c r="D98" s="266" t="s">
        <v>153</v>
      </c>
      <c r="E98" s="268">
        <f>'Copia de Electricidad'!D99/1000</f>
        <v>0.92184899999999992</v>
      </c>
      <c r="F98" s="268">
        <f>'Copia de Electricidad'!E99/1000</f>
        <v>0.92184899999999992</v>
      </c>
      <c r="G98" s="268">
        <f>'Copia de Electricidad'!F99/1000</f>
        <v>0.92184899999999992</v>
      </c>
      <c r="H98" s="293">
        <f>'Copia de Electricidad'!G99/1000</f>
        <v>0.94384899999999994</v>
      </c>
      <c r="I98" s="619"/>
      <c r="J98" s="619"/>
      <c r="K98" s="619"/>
      <c r="L98" s="619"/>
      <c r="M98" s="619"/>
      <c r="N98" s="619"/>
      <c r="O98" s="619"/>
      <c r="P98" s="619"/>
      <c r="Q98" s="619"/>
      <c r="R98" s="619"/>
      <c r="S98" s="619"/>
      <c r="T98" s="619"/>
      <c r="U98" s="619"/>
      <c r="V98" s="619"/>
      <c r="W98" s="619"/>
      <c r="X98" s="619"/>
      <c r="Y98" s="619"/>
      <c r="Z98" s="619"/>
      <c r="AA98" s="619"/>
      <c r="AB98" s="619"/>
      <c r="AC98" s="619"/>
      <c r="AD98" s="619"/>
      <c r="AE98" s="619"/>
      <c r="AF98" s="619"/>
      <c r="AG98" s="619"/>
      <c r="AH98" s="619"/>
      <c r="AI98" s="619"/>
      <c r="AJ98" s="619"/>
      <c r="AK98" s="619"/>
      <c r="AL98" s="619"/>
      <c r="AM98" s="8"/>
      <c r="AN98" s="8"/>
      <c r="AO98" s="8"/>
      <c r="AP98" s="8"/>
      <c r="AQ98" s="8"/>
      <c r="AR98" s="8"/>
      <c r="AS98" s="8"/>
      <c r="AT98" s="8"/>
      <c r="AU98" s="8"/>
      <c r="AV98" s="8"/>
      <c r="AW98" s="8"/>
      <c r="AX98" s="8"/>
      <c r="AY98" s="8"/>
      <c r="AZ98" s="8"/>
      <c r="BA98" s="8"/>
      <c r="BB98" s="8"/>
      <c r="BC98" s="8"/>
      <c r="BD98" s="8"/>
      <c r="BE98" s="8"/>
    </row>
    <row r="99" spans="1:57" ht="14.25" customHeight="1">
      <c r="A99" s="619"/>
      <c r="B99" s="253"/>
      <c r="C99" s="258"/>
      <c r="D99" s="266" t="s">
        <v>158</v>
      </c>
      <c r="E99" s="268">
        <f>'Copia de Electricidad'!D100/1000</f>
        <v>0.46186500000000003</v>
      </c>
      <c r="F99" s="268">
        <f>'Copia de Electricidad'!E100/1000</f>
        <v>0.46162500000000001</v>
      </c>
      <c r="G99" s="268">
        <f>'Copia de Electricidad'!F100/1000</f>
        <v>0.46162500000000001</v>
      </c>
      <c r="H99" s="293">
        <f>'Copia de Electricidad'!G100/1000</f>
        <v>0.46162500000000001</v>
      </c>
      <c r="I99" s="619"/>
      <c r="J99" s="619"/>
      <c r="K99" s="619"/>
      <c r="L99" s="619"/>
      <c r="M99" s="619"/>
      <c r="N99" s="619"/>
      <c r="O99" s="619"/>
      <c r="P99" s="619"/>
      <c r="Q99" s="619"/>
      <c r="R99" s="619"/>
      <c r="S99" s="619"/>
      <c r="T99" s="619"/>
      <c r="U99" s="619"/>
      <c r="V99" s="619"/>
      <c r="W99" s="619"/>
      <c r="X99" s="619"/>
      <c r="Y99" s="619"/>
      <c r="Z99" s="619"/>
      <c r="AA99" s="619"/>
      <c r="AB99" s="619"/>
      <c r="AC99" s="619"/>
      <c r="AD99" s="619"/>
      <c r="AE99" s="619"/>
      <c r="AF99" s="619"/>
      <c r="AG99" s="619"/>
      <c r="AH99" s="619"/>
      <c r="AI99" s="619"/>
      <c r="AJ99" s="619"/>
      <c r="AK99" s="619"/>
      <c r="AL99" s="619"/>
      <c r="AM99" s="8"/>
      <c r="AN99" s="8"/>
      <c r="AO99" s="8"/>
      <c r="AP99" s="8"/>
      <c r="AQ99" s="8"/>
      <c r="AR99" s="8"/>
      <c r="AS99" s="8"/>
      <c r="AT99" s="8"/>
      <c r="AU99" s="8"/>
      <c r="AV99" s="8"/>
      <c r="AW99" s="8"/>
      <c r="AX99" s="8"/>
      <c r="AY99" s="8"/>
      <c r="AZ99" s="8"/>
      <c r="BA99" s="8"/>
      <c r="BB99" s="8"/>
      <c r="BC99" s="8"/>
      <c r="BD99" s="8"/>
      <c r="BE99" s="8"/>
    </row>
    <row r="100" spans="1:57" ht="14.25" customHeight="1">
      <c r="A100" s="619"/>
      <c r="B100" s="253"/>
      <c r="C100" s="258"/>
      <c r="D100" s="262" t="s">
        <v>217</v>
      </c>
      <c r="E100" s="264">
        <f>'Copia de Electricidad'!D101/1000</f>
        <v>7.26E-3</v>
      </c>
      <c r="F100" s="264">
        <f>'Copia de Electricidad'!E101/1000</f>
        <v>7.26E-3</v>
      </c>
      <c r="G100" s="264">
        <f>'Copia de Electricidad'!F101/1000</f>
        <v>7.26E-3</v>
      </c>
      <c r="H100" s="292">
        <f>'Copia de Electricidad'!G101/1000</f>
        <v>8.320000000000001E-3</v>
      </c>
      <c r="I100" s="619"/>
      <c r="J100" s="619"/>
      <c r="K100" s="619"/>
      <c r="L100" s="619"/>
      <c r="M100" s="619"/>
      <c r="N100" s="619"/>
      <c r="O100" s="619"/>
      <c r="P100" s="619"/>
      <c r="Q100" s="619"/>
      <c r="R100" s="619"/>
      <c r="S100" s="619"/>
      <c r="T100" s="619"/>
      <c r="U100" s="619"/>
      <c r="V100" s="619"/>
      <c r="W100" s="619"/>
      <c r="X100" s="619"/>
      <c r="Y100" s="619"/>
      <c r="Z100" s="619"/>
      <c r="AA100" s="619"/>
      <c r="AB100" s="619"/>
      <c r="AC100" s="619"/>
      <c r="AD100" s="619"/>
      <c r="AE100" s="619"/>
      <c r="AF100" s="619"/>
      <c r="AG100" s="619"/>
      <c r="AH100" s="619"/>
      <c r="AI100" s="619"/>
      <c r="AJ100" s="619"/>
      <c r="AK100" s="619"/>
      <c r="AL100" s="619"/>
      <c r="AM100" s="8"/>
      <c r="AN100" s="8"/>
      <c r="AO100" s="8"/>
      <c r="AP100" s="8"/>
      <c r="AQ100" s="8"/>
      <c r="AR100" s="8"/>
      <c r="AS100" s="8"/>
      <c r="AT100" s="8"/>
      <c r="AU100" s="8"/>
      <c r="AV100" s="8"/>
      <c r="AW100" s="8"/>
      <c r="AX100" s="8"/>
      <c r="AY100" s="8"/>
      <c r="AZ100" s="8"/>
      <c r="BA100" s="8"/>
      <c r="BB100" s="8"/>
      <c r="BC100" s="8"/>
      <c r="BD100" s="8"/>
      <c r="BE100" s="8"/>
    </row>
    <row r="101" spans="1:57" ht="14.25" customHeight="1">
      <c r="A101" s="619"/>
      <c r="B101" s="294"/>
      <c r="C101" s="295"/>
      <c r="D101" s="296" t="s">
        <v>39</v>
      </c>
      <c r="E101" s="297">
        <f t="shared" ref="E101:H101" si="2">E90+E91+E92+E95+E96+E100</f>
        <v>8.6619022099999992</v>
      </c>
      <c r="F101" s="297">
        <f t="shared" si="2"/>
        <v>8.6850142100000003</v>
      </c>
      <c r="G101" s="297">
        <f t="shared" si="2"/>
        <v>8.7122972100000009</v>
      </c>
      <c r="H101" s="298">
        <f t="shared" si="2"/>
        <v>8.7344105499999998</v>
      </c>
      <c r="I101" s="619"/>
      <c r="J101" s="619"/>
      <c r="K101" s="619"/>
      <c r="L101" s="619"/>
      <c r="M101" s="619"/>
      <c r="N101" s="619"/>
      <c r="O101" s="619"/>
      <c r="P101" s="619"/>
      <c r="Q101" s="619"/>
      <c r="R101" s="619"/>
      <c r="S101" s="619"/>
      <c r="T101" s="619"/>
      <c r="U101" s="619"/>
      <c r="V101" s="619"/>
      <c r="W101" s="619"/>
      <c r="X101" s="619"/>
      <c r="Y101" s="619"/>
      <c r="Z101" s="619"/>
      <c r="AA101" s="619"/>
      <c r="AB101" s="619"/>
      <c r="AC101" s="619"/>
      <c r="AD101" s="619"/>
      <c r="AE101" s="619"/>
      <c r="AF101" s="619"/>
      <c r="AG101" s="619"/>
      <c r="AH101" s="619"/>
      <c r="AI101" s="619"/>
      <c r="AJ101" s="619"/>
      <c r="AK101" s="619"/>
      <c r="AL101" s="619"/>
      <c r="AM101" s="8"/>
      <c r="AN101" s="8"/>
      <c r="AO101" s="8"/>
      <c r="AP101" s="8"/>
      <c r="AQ101" s="8"/>
      <c r="AR101" s="8"/>
      <c r="AS101" s="8"/>
      <c r="AT101" s="8"/>
      <c r="AU101" s="8"/>
      <c r="AV101" s="8"/>
      <c r="AW101" s="8"/>
      <c r="AX101" s="8"/>
      <c r="AY101" s="8"/>
      <c r="AZ101" s="8"/>
      <c r="BA101" s="8"/>
      <c r="BB101" s="8"/>
      <c r="BC101" s="8"/>
      <c r="BD101" s="8"/>
      <c r="BE101" s="8"/>
    </row>
    <row r="102" spans="1:57" ht="14.25" customHeight="1">
      <c r="A102" s="619"/>
      <c r="B102" s="619"/>
      <c r="C102" s="619"/>
      <c r="D102" s="619"/>
      <c r="E102" s="619"/>
      <c r="F102" s="619"/>
      <c r="G102" s="619"/>
      <c r="H102" s="619"/>
      <c r="I102" s="619"/>
      <c r="J102" s="619"/>
      <c r="K102" s="619"/>
      <c r="L102" s="8"/>
      <c r="M102" s="8"/>
      <c r="N102" s="619"/>
      <c r="O102" s="619"/>
      <c r="P102" s="619"/>
      <c r="Q102" s="619"/>
      <c r="R102" s="619"/>
      <c r="S102" s="619"/>
      <c r="T102" s="619"/>
      <c r="U102" s="619"/>
      <c r="V102" s="619"/>
      <c r="W102" s="619"/>
      <c r="X102" s="619"/>
      <c r="Y102" s="619"/>
      <c r="Z102" s="619"/>
      <c r="AA102" s="619"/>
      <c r="AB102" s="619"/>
      <c r="AC102" s="619"/>
      <c r="AD102" s="619"/>
      <c r="AE102" s="619"/>
      <c r="AF102" s="619"/>
      <c r="AG102" s="619"/>
      <c r="AH102" s="619"/>
      <c r="AI102" s="619"/>
      <c r="AJ102" s="619"/>
      <c r="AK102" s="619"/>
      <c r="AL102" s="619"/>
      <c r="AM102" s="8"/>
      <c r="AN102" s="8"/>
      <c r="AO102" s="8"/>
      <c r="AP102" s="8"/>
      <c r="AQ102" s="8"/>
      <c r="AR102" s="8"/>
      <c r="AS102" s="8"/>
      <c r="AT102" s="8"/>
      <c r="AU102" s="8"/>
      <c r="AV102" s="8"/>
      <c r="AW102" s="8"/>
      <c r="AX102" s="8"/>
      <c r="AY102" s="8"/>
      <c r="AZ102" s="8"/>
      <c r="BA102" s="8"/>
      <c r="BB102" s="8"/>
      <c r="BC102" s="8"/>
      <c r="BD102" s="8"/>
      <c r="BE102" s="8"/>
    </row>
    <row r="103" spans="1:57" ht="14.25" customHeight="1">
      <c r="A103" s="619"/>
      <c r="B103" s="23"/>
      <c r="C103" s="249"/>
      <c r="D103" s="299" t="s">
        <v>223</v>
      </c>
      <c r="E103" s="628" t="s">
        <v>224</v>
      </c>
      <c r="F103" s="655"/>
      <c r="G103" s="655"/>
      <c r="H103" s="655"/>
      <c r="I103" s="655"/>
      <c r="J103" s="31"/>
      <c r="K103" s="31"/>
      <c r="L103" s="31"/>
      <c r="M103" s="31"/>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3"/>
      <c r="AL103" s="619"/>
      <c r="AM103" s="8"/>
      <c r="AN103" s="8"/>
      <c r="AO103" s="8"/>
      <c r="AP103" s="8"/>
      <c r="AQ103" s="8"/>
      <c r="AR103" s="8"/>
      <c r="AS103" s="8"/>
      <c r="AT103" s="8"/>
      <c r="AU103" s="8"/>
      <c r="AV103" s="8"/>
      <c r="AW103" s="8"/>
      <c r="AX103" s="8"/>
      <c r="AY103" s="8"/>
      <c r="AZ103" s="8"/>
      <c r="BA103" s="8"/>
      <c r="BB103" s="8"/>
      <c r="BC103" s="8"/>
      <c r="BD103" s="8"/>
      <c r="BE103" s="8"/>
    </row>
    <row r="104" spans="1:57" ht="14.25" customHeight="1">
      <c r="A104" s="619"/>
      <c r="B104" s="253"/>
      <c r="C104" s="258"/>
      <c r="D104" s="259"/>
      <c r="E104" s="172">
        <v>2018</v>
      </c>
      <c r="F104" s="172">
        <v>2019</v>
      </c>
      <c r="G104" s="172">
        <v>2020</v>
      </c>
      <c r="H104" s="172">
        <v>2021</v>
      </c>
      <c r="I104" s="189">
        <v>2022</v>
      </c>
      <c r="J104" s="189">
        <v>2023</v>
      </c>
      <c r="K104" s="189">
        <v>2024</v>
      </c>
      <c r="L104" s="189">
        <v>2025</v>
      </c>
      <c r="M104" s="189">
        <v>2026</v>
      </c>
      <c r="N104" s="189">
        <v>2027</v>
      </c>
      <c r="O104" s="189">
        <v>2028</v>
      </c>
      <c r="P104" s="189">
        <v>2029</v>
      </c>
      <c r="Q104" s="189">
        <v>2030</v>
      </c>
      <c r="R104" s="189">
        <v>2031</v>
      </c>
      <c r="S104" s="189">
        <v>2032</v>
      </c>
      <c r="T104" s="189">
        <v>2033</v>
      </c>
      <c r="U104" s="189">
        <v>2034</v>
      </c>
      <c r="V104" s="189">
        <v>2035</v>
      </c>
      <c r="W104" s="189">
        <v>2036</v>
      </c>
      <c r="X104" s="189">
        <v>2037</v>
      </c>
      <c r="Y104" s="189">
        <v>2038</v>
      </c>
      <c r="Z104" s="189">
        <v>2039</v>
      </c>
      <c r="AA104" s="189">
        <v>2040</v>
      </c>
      <c r="AB104" s="189">
        <v>2041</v>
      </c>
      <c r="AC104" s="189">
        <v>2042</v>
      </c>
      <c r="AD104" s="189">
        <v>2043</v>
      </c>
      <c r="AE104" s="189">
        <v>2044</v>
      </c>
      <c r="AF104" s="189">
        <v>2045</v>
      </c>
      <c r="AG104" s="189">
        <v>2046</v>
      </c>
      <c r="AH104" s="189">
        <v>2047</v>
      </c>
      <c r="AI104" s="189">
        <v>2048</v>
      </c>
      <c r="AJ104" s="189">
        <v>2049</v>
      </c>
      <c r="AK104" s="218">
        <v>2050</v>
      </c>
      <c r="AL104" s="189">
        <v>2051</v>
      </c>
      <c r="AM104" s="189">
        <v>2052</v>
      </c>
      <c r="AN104" s="189">
        <v>2053</v>
      </c>
      <c r="AO104" s="189">
        <v>2054</v>
      </c>
      <c r="AP104" s="189">
        <v>2055</v>
      </c>
      <c r="AQ104" s="189">
        <v>2056</v>
      </c>
      <c r="AR104" s="189">
        <v>2057</v>
      </c>
      <c r="AS104" s="189">
        <v>2058</v>
      </c>
      <c r="AT104" s="218">
        <v>2059</v>
      </c>
      <c r="AU104" s="189">
        <v>2060</v>
      </c>
      <c r="AV104" s="189">
        <v>2061</v>
      </c>
      <c r="AW104" s="189">
        <v>2062</v>
      </c>
      <c r="AX104" s="189">
        <v>2063</v>
      </c>
      <c r="AY104" s="189">
        <v>2064</v>
      </c>
      <c r="AZ104" s="189">
        <v>2065</v>
      </c>
      <c r="BA104" s="189">
        <v>2066</v>
      </c>
      <c r="BB104" s="189">
        <v>2067</v>
      </c>
      <c r="BC104" s="218">
        <v>2068</v>
      </c>
      <c r="BD104" s="189">
        <v>2069</v>
      </c>
      <c r="BE104" s="189">
        <v>2070</v>
      </c>
    </row>
    <row r="105" spans="1:57" ht="14.25" customHeight="1">
      <c r="A105" s="619"/>
      <c r="B105" s="253"/>
      <c r="C105" s="258"/>
      <c r="D105" s="259" t="s">
        <v>185</v>
      </c>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6"/>
      <c r="AG105" s="256"/>
      <c r="AH105" s="256"/>
      <c r="AI105" s="256"/>
      <c r="AJ105" s="256"/>
      <c r="AK105" s="256"/>
      <c r="AL105" s="619"/>
      <c r="AM105" s="8"/>
      <c r="AN105" s="8"/>
      <c r="AO105" s="8"/>
      <c r="AP105" s="8"/>
      <c r="AQ105" s="8"/>
      <c r="AR105" s="8"/>
      <c r="AS105" s="8"/>
      <c r="AT105" s="8"/>
      <c r="AU105" s="8"/>
      <c r="AV105" s="8"/>
      <c r="AW105" s="8"/>
      <c r="AX105" s="8"/>
      <c r="AY105" s="8"/>
      <c r="AZ105" s="8"/>
      <c r="BA105" s="8"/>
      <c r="BB105" s="8"/>
      <c r="BC105" s="8"/>
      <c r="BD105" s="8"/>
      <c r="BE105" s="8"/>
    </row>
    <row r="106" spans="1:57" ht="14.25" customHeight="1">
      <c r="A106" s="619"/>
      <c r="B106" s="253"/>
      <c r="C106" s="258"/>
      <c r="D106" s="259" t="s">
        <v>225</v>
      </c>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c r="AE106" s="256"/>
      <c r="AF106" s="256"/>
      <c r="AG106" s="256"/>
      <c r="AH106" s="256"/>
      <c r="AI106" s="256"/>
      <c r="AJ106" s="256"/>
      <c r="AK106" s="256"/>
      <c r="AL106" s="619"/>
      <c r="AM106" s="8"/>
      <c r="AN106" s="8"/>
      <c r="AO106" s="8"/>
      <c r="AP106" s="8"/>
      <c r="AQ106" s="8"/>
      <c r="AR106" s="8"/>
      <c r="AS106" s="8"/>
      <c r="AT106" s="8"/>
      <c r="AU106" s="8"/>
      <c r="AV106" s="8"/>
      <c r="AW106" s="8"/>
      <c r="AX106" s="8"/>
      <c r="AY106" s="8"/>
      <c r="AZ106" s="8"/>
      <c r="BA106" s="8"/>
      <c r="BB106" s="8"/>
      <c r="BC106" s="8"/>
      <c r="BD106" s="8"/>
      <c r="BE106" s="8"/>
    </row>
    <row r="107" spans="1:57" ht="14.25" customHeight="1">
      <c r="A107" s="619"/>
      <c r="B107" s="253"/>
      <c r="C107" s="258"/>
      <c r="D107" s="259" t="s">
        <v>226</v>
      </c>
      <c r="E107" s="256"/>
      <c r="F107" s="26"/>
      <c r="G107" s="26"/>
      <c r="H107" s="26"/>
      <c r="I107" s="26"/>
      <c r="J107" s="26"/>
      <c r="K107" s="26"/>
      <c r="L107" s="26"/>
      <c r="M107" s="26"/>
      <c r="N107" s="26"/>
      <c r="O107" s="26">
        <f>'Copia de Electricidad'!N107/1000</f>
        <v>0.05</v>
      </c>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619"/>
      <c r="AM107" s="8"/>
      <c r="AN107" s="8"/>
      <c r="AO107" s="8"/>
      <c r="AP107" s="8"/>
      <c r="AQ107" s="8"/>
      <c r="AR107" s="8"/>
      <c r="AS107" s="8"/>
      <c r="AT107" s="8"/>
      <c r="AU107" s="8"/>
      <c r="AV107" s="8"/>
      <c r="AW107" s="8"/>
      <c r="AX107" s="8"/>
      <c r="AY107" s="8"/>
      <c r="AZ107" s="8"/>
      <c r="BA107" s="8"/>
      <c r="BB107" s="8"/>
      <c r="BC107" s="8"/>
      <c r="BD107" s="8"/>
      <c r="BE107" s="8"/>
    </row>
    <row r="108" spans="1:57" ht="14.25" customHeight="1">
      <c r="A108" s="619"/>
      <c r="B108" s="253"/>
      <c r="C108" s="258"/>
      <c r="D108" s="259" t="s">
        <v>164</v>
      </c>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619"/>
      <c r="AM108" s="8"/>
      <c r="AN108" s="8"/>
      <c r="AO108" s="8"/>
      <c r="AP108" s="8"/>
      <c r="AQ108" s="8"/>
      <c r="AR108" s="8"/>
      <c r="AS108" s="8"/>
      <c r="AT108" s="8"/>
      <c r="AU108" s="8"/>
      <c r="AV108" s="8"/>
      <c r="AW108" s="8"/>
      <c r="AX108" s="8"/>
      <c r="AY108" s="8"/>
      <c r="AZ108" s="8"/>
      <c r="BA108" s="8"/>
      <c r="BB108" s="8"/>
      <c r="BC108" s="8"/>
      <c r="BD108" s="8"/>
      <c r="BE108" s="8"/>
    </row>
    <row r="109" spans="1:57" ht="14.25" customHeight="1">
      <c r="A109" s="619"/>
      <c r="B109" s="253"/>
      <c r="C109" s="258"/>
      <c r="D109" s="259" t="s">
        <v>166</v>
      </c>
      <c r="E109" s="26">
        <f>'Copia de Electricidad'!D109/1000</f>
        <v>0</v>
      </c>
      <c r="F109" s="26"/>
      <c r="G109" s="26"/>
      <c r="H109" s="26">
        <f>'Copia de Electricidad'!G109/1000</f>
        <v>4.9000000000000002E-2</v>
      </c>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619"/>
      <c r="AM109" s="8"/>
      <c r="AN109" s="8"/>
      <c r="AO109" s="8"/>
      <c r="AP109" s="8"/>
      <c r="AQ109" s="8"/>
      <c r="AR109" s="8"/>
      <c r="AS109" s="8"/>
      <c r="AT109" s="8"/>
      <c r="AU109" s="8"/>
      <c r="AV109" s="8"/>
      <c r="AW109" s="8"/>
      <c r="AX109" s="8"/>
      <c r="AY109" s="8"/>
      <c r="AZ109" s="8"/>
      <c r="BA109" s="8"/>
      <c r="BB109" s="8"/>
      <c r="BC109" s="8"/>
      <c r="BD109" s="8"/>
      <c r="BE109" s="8"/>
    </row>
    <row r="110" spans="1:57" ht="14.25" customHeight="1">
      <c r="A110" s="619"/>
      <c r="B110" s="253"/>
      <c r="C110" s="258"/>
      <c r="D110" s="259" t="s">
        <v>168</v>
      </c>
      <c r="E110" s="26">
        <f>'Copia de Electricidad'!D110/1000</f>
        <v>0</v>
      </c>
      <c r="F110" s="26"/>
      <c r="G110" s="26"/>
      <c r="H110" s="26">
        <f>'Copia de Electricidad'!G110/1000</f>
        <v>0.2054</v>
      </c>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619"/>
      <c r="AM110" s="8"/>
      <c r="AN110" s="8"/>
      <c r="AO110" s="8"/>
      <c r="AP110" s="8"/>
      <c r="AQ110" s="8"/>
      <c r="AR110" s="8"/>
      <c r="AS110" s="8"/>
      <c r="AT110" s="8"/>
      <c r="AU110" s="8"/>
      <c r="AV110" s="8"/>
      <c r="AW110" s="8"/>
      <c r="AX110" s="8"/>
      <c r="AY110" s="8"/>
      <c r="AZ110" s="8"/>
      <c r="BA110" s="8"/>
      <c r="BB110" s="8"/>
      <c r="BC110" s="8"/>
      <c r="BD110" s="8"/>
      <c r="BE110" s="8"/>
    </row>
    <row r="111" spans="1:57" ht="14.25" customHeight="1">
      <c r="A111" s="619"/>
      <c r="B111" s="253"/>
      <c r="C111" s="258"/>
      <c r="D111" s="259" t="s">
        <v>170</v>
      </c>
      <c r="E111" s="26">
        <f>'Copia de Electricidad'!D111/1000</f>
        <v>0</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619"/>
      <c r="AM111" s="8"/>
      <c r="AN111" s="8"/>
      <c r="AO111" s="8"/>
      <c r="AP111" s="8"/>
      <c r="AQ111" s="8"/>
      <c r="AR111" s="8"/>
      <c r="AS111" s="8"/>
      <c r="AT111" s="8"/>
      <c r="AU111" s="8"/>
      <c r="AV111" s="8"/>
      <c r="AW111" s="8"/>
      <c r="AX111" s="8"/>
      <c r="AY111" s="8"/>
      <c r="AZ111" s="8"/>
      <c r="BA111" s="8"/>
      <c r="BB111" s="8"/>
      <c r="BC111" s="8"/>
      <c r="BD111" s="8"/>
      <c r="BE111" s="8"/>
    </row>
    <row r="112" spans="1:57" ht="14.25" customHeight="1">
      <c r="A112" s="619"/>
      <c r="B112" s="253"/>
      <c r="C112" s="258"/>
      <c r="D112" s="259" t="s">
        <v>172</v>
      </c>
      <c r="E112" s="26">
        <f>'Copia de Electricidad'!D112/1000</f>
        <v>0</v>
      </c>
      <c r="F112" s="26"/>
      <c r="G112" s="26"/>
      <c r="H112" s="26"/>
      <c r="I112" s="26"/>
      <c r="J112" s="26"/>
      <c r="K112" s="26">
        <f>'Copia de Electricidad'!J112/1000</f>
        <v>2.18E-2</v>
      </c>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619"/>
      <c r="AM112" s="8"/>
      <c r="AN112" s="8"/>
      <c r="AO112" s="8"/>
      <c r="AP112" s="8"/>
      <c r="AQ112" s="8"/>
      <c r="AR112" s="8"/>
      <c r="AS112" s="8"/>
      <c r="AT112" s="8"/>
      <c r="AU112" s="8"/>
      <c r="AV112" s="8"/>
      <c r="AW112" s="8"/>
      <c r="AX112" s="8"/>
      <c r="AY112" s="8"/>
      <c r="AZ112" s="8"/>
      <c r="BA112" s="8"/>
      <c r="BB112" s="8"/>
      <c r="BC112" s="8"/>
      <c r="BD112" s="8"/>
      <c r="BE112" s="8"/>
    </row>
    <row r="113" spans="1:39" ht="14.25" customHeight="1">
      <c r="A113" s="619"/>
      <c r="B113" s="253"/>
      <c r="C113" s="258"/>
      <c r="D113" s="259" t="s">
        <v>174</v>
      </c>
      <c r="E113" s="26">
        <f>'Copia de Electricidad'!D113/1000</f>
        <v>0</v>
      </c>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619"/>
      <c r="AM113" s="8"/>
    </row>
    <row r="114" spans="1:39" ht="14.25" customHeight="1">
      <c r="A114" s="619"/>
      <c r="B114" s="253"/>
      <c r="C114" s="258"/>
      <c r="D114" s="259" t="s">
        <v>176</v>
      </c>
      <c r="E114" s="26">
        <f>'Copia de Electricidad'!D114/1000</f>
        <v>3.6</v>
      </c>
      <c r="F114" s="26"/>
      <c r="G114" s="26"/>
      <c r="H114" s="26"/>
      <c r="I114" s="26"/>
      <c r="J114" s="26"/>
      <c r="K114" s="26"/>
      <c r="L114" s="26"/>
      <c r="M114" s="26"/>
      <c r="N114" s="26"/>
      <c r="O114" s="26"/>
      <c r="P114" s="26">
        <f>'Copia de Electricidad'!O114/1000</f>
        <v>0.59560000000000002</v>
      </c>
      <c r="Q114" s="26">
        <f>'Copia de Electricidad'!P114/1000</f>
        <v>1.2</v>
      </c>
      <c r="R114" s="26">
        <f>'Copia de Electricidad'!Q114/1000</f>
        <v>1.2</v>
      </c>
      <c r="S114" s="26"/>
      <c r="T114" s="26"/>
      <c r="U114" s="26"/>
      <c r="V114" s="26"/>
      <c r="W114" s="26"/>
      <c r="X114" s="26"/>
      <c r="Y114" s="26"/>
      <c r="Z114" s="26"/>
      <c r="AA114" s="26"/>
      <c r="AB114" s="26"/>
      <c r="AC114" s="26"/>
      <c r="AD114" s="26"/>
      <c r="AE114" s="26"/>
      <c r="AF114" s="26"/>
      <c r="AG114" s="26"/>
      <c r="AH114" s="26"/>
      <c r="AI114" s="26"/>
      <c r="AJ114" s="26"/>
      <c r="AK114" s="26"/>
      <c r="AL114" s="619"/>
      <c r="AM114" s="8"/>
    </row>
    <row r="115" spans="1:39" ht="14.25" customHeight="1">
      <c r="A115" s="619"/>
      <c r="B115" s="253"/>
      <c r="C115" s="258"/>
      <c r="D115" s="259" t="s">
        <v>177</v>
      </c>
      <c r="E115" s="2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256"/>
      <c r="AF115" s="256"/>
      <c r="AG115" s="256"/>
      <c r="AH115" s="256"/>
      <c r="AI115" s="256"/>
      <c r="AJ115" s="256"/>
      <c r="AK115" s="256"/>
      <c r="AL115" s="619"/>
      <c r="AM115" s="8"/>
    </row>
    <row r="116" spans="1:39" ht="14.25" customHeight="1">
      <c r="A116" s="619"/>
      <c r="B116" s="253"/>
      <c r="C116" s="258"/>
      <c r="D116" s="259" t="s">
        <v>166</v>
      </c>
      <c r="E116" s="26">
        <f>'Copia de Electricidad'!D116/1000</f>
        <v>1.2124999999999999</v>
      </c>
      <c r="F116" s="256"/>
      <c r="G116" s="256">
        <f>'Copia de Electricidad'!F116/1000</f>
        <v>5.9500000000000004E-3</v>
      </c>
      <c r="H116" s="256">
        <f>'Copia de Electricidad'!G116/1000</f>
        <v>7.5899999999999995E-3</v>
      </c>
      <c r="I116" s="256"/>
      <c r="J116" s="256">
        <f>'Copia de Electricidad'!I116/1000</f>
        <v>8.9999999999999993E-3</v>
      </c>
      <c r="K116" s="256">
        <f>'Copia de Electricidad'!J116/1000</f>
        <v>0.05</v>
      </c>
      <c r="L116" s="256"/>
      <c r="M116" s="256" t="s">
        <v>186</v>
      </c>
      <c r="N116" s="256"/>
      <c r="O116" s="256"/>
      <c r="P116" s="256"/>
      <c r="Q116" s="256"/>
      <c r="R116" s="256"/>
      <c r="S116" s="256"/>
      <c r="T116" s="256"/>
      <c r="U116" s="256"/>
      <c r="V116" s="256"/>
      <c r="W116" s="256"/>
      <c r="X116" s="256"/>
      <c r="Y116" s="256"/>
      <c r="Z116" s="256"/>
      <c r="AA116" s="256"/>
      <c r="AB116" s="256"/>
      <c r="AC116" s="256"/>
      <c r="AD116" s="256"/>
      <c r="AE116" s="256"/>
      <c r="AF116" s="256"/>
      <c r="AG116" s="256"/>
      <c r="AH116" s="256"/>
      <c r="AI116" s="256"/>
      <c r="AJ116" s="256"/>
      <c r="AK116" s="256"/>
      <c r="AL116" s="619"/>
      <c r="AM116" s="8"/>
    </row>
    <row r="117" spans="1:39" ht="14.25" customHeight="1">
      <c r="A117" s="619"/>
      <c r="B117" s="253"/>
      <c r="C117" s="258"/>
      <c r="D117" s="259" t="s">
        <v>168</v>
      </c>
      <c r="E117" s="26">
        <f>'Copia de Electricidad'!D117/1000</f>
        <v>1.3584000000000001</v>
      </c>
      <c r="F117" s="256"/>
      <c r="G117" s="256"/>
      <c r="H117" s="256"/>
      <c r="I117" s="256"/>
      <c r="J117" s="256"/>
      <c r="K117" s="256"/>
      <c r="L117" s="256"/>
      <c r="M117" s="256"/>
      <c r="N117" s="256"/>
      <c r="O117" s="256">
        <f>'Copia de Electricidad'!N117/1000</f>
        <v>0.19400000000000001</v>
      </c>
      <c r="P117" s="256"/>
      <c r="Q117" s="256"/>
      <c r="R117" s="256"/>
      <c r="S117" s="256"/>
      <c r="T117" s="256"/>
      <c r="U117" s="256"/>
      <c r="V117" s="256"/>
      <c r="W117" s="256"/>
      <c r="X117" s="256"/>
      <c r="Y117" s="256"/>
      <c r="Z117" s="256"/>
      <c r="AA117" s="256"/>
      <c r="AB117" s="256"/>
      <c r="AC117" s="256"/>
      <c r="AD117" s="256"/>
      <c r="AE117" s="256"/>
      <c r="AF117" s="256"/>
      <c r="AG117" s="256"/>
      <c r="AH117" s="256"/>
      <c r="AI117" s="256"/>
      <c r="AJ117" s="256"/>
      <c r="AK117" s="256"/>
      <c r="AL117" s="619"/>
      <c r="AM117" s="8"/>
    </row>
    <row r="118" spans="1:39" ht="14.25" customHeight="1">
      <c r="A118" s="619"/>
      <c r="B118" s="253"/>
      <c r="C118" s="258"/>
      <c r="D118" s="259" t="s">
        <v>170</v>
      </c>
      <c r="E118" s="26">
        <f>'Copia de Electricidad'!D118/1000</f>
        <v>0.46800000000000003</v>
      </c>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c r="AH118" s="256"/>
      <c r="AI118" s="256"/>
      <c r="AJ118" s="256"/>
      <c r="AK118" s="256"/>
      <c r="AL118" s="619"/>
      <c r="AM118" s="8"/>
    </row>
    <row r="119" spans="1:39" ht="14.25" customHeight="1">
      <c r="A119" s="619"/>
      <c r="B119" s="253"/>
      <c r="C119" s="258"/>
      <c r="D119" s="259" t="s">
        <v>172</v>
      </c>
      <c r="E119" s="26">
        <f>'Copia de Electricidad'!D119/1000</f>
        <v>0.3614</v>
      </c>
      <c r="F119" s="256"/>
      <c r="G119" s="256"/>
      <c r="H119" s="256"/>
      <c r="I119" s="256">
        <f>'Copia de Electricidad'!H119/1000</f>
        <v>3.7190000000000001E-2</v>
      </c>
      <c r="J119" s="256"/>
      <c r="K119" s="256">
        <f>'Copia de Electricidad'!J119/1000</f>
        <v>1.1379999999999999E-2</v>
      </c>
      <c r="L119" s="256"/>
      <c r="M119" s="256"/>
      <c r="N119" s="256"/>
      <c r="O119" s="256"/>
      <c r="P119" s="256"/>
      <c r="Q119" s="256"/>
      <c r="R119" s="256"/>
      <c r="S119" s="256"/>
      <c r="T119" s="256"/>
      <c r="U119" s="256"/>
      <c r="V119" s="256"/>
      <c r="W119" s="256"/>
      <c r="X119" s="256"/>
      <c r="Y119" s="256"/>
      <c r="Z119" s="256"/>
      <c r="AA119" s="256"/>
      <c r="AB119" s="256"/>
      <c r="AC119" s="256"/>
      <c r="AD119" s="256"/>
      <c r="AE119" s="256"/>
      <c r="AF119" s="256"/>
      <c r="AG119" s="256"/>
      <c r="AH119" s="256"/>
      <c r="AI119" s="256"/>
      <c r="AJ119" s="256"/>
      <c r="AK119" s="256"/>
      <c r="AL119" s="619"/>
      <c r="AM119" s="8"/>
    </row>
    <row r="120" spans="1:39" ht="14.25" customHeight="1">
      <c r="A120" s="619"/>
      <c r="B120" s="253"/>
      <c r="C120" s="258"/>
      <c r="D120" s="259" t="s">
        <v>174</v>
      </c>
      <c r="E120" s="26">
        <f>'Copia de Electricidad'!D120/1000</f>
        <v>1.2375</v>
      </c>
      <c r="F120" s="256"/>
      <c r="G120" s="256"/>
      <c r="H120" s="256"/>
      <c r="I120" s="256"/>
      <c r="J120" s="256"/>
      <c r="K120" s="256"/>
      <c r="L120" s="256">
        <f>'Copia de Electricidad'!K120/1000</f>
        <v>0.05</v>
      </c>
      <c r="M120" s="256"/>
      <c r="N120" s="256"/>
      <c r="O120" s="256"/>
      <c r="P120" s="256"/>
      <c r="Q120" s="256"/>
      <c r="R120" s="256"/>
      <c r="S120" s="256"/>
      <c r="T120" s="256"/>
      <c r="U120" s="256"/>
      <c r="V120" s="256"/>
      <c r="W120" s="256"/>
      <c r="X120" s="256"/>
      <c r="Y120" s="256"/>
      <c r="Z120" s="256"/>
      <c r="AA120" s="256"/>
      <c r="AB120" s="256"/>
      <c r="AC120" s="256"/>
      <c r="AD120" s="256"/>
      <c r="AE120" s="256"/>
      <c r="AF120" s="256"/>
      <c r="AG120" s="256"/>
      <c r="AH120" s="256"/>
      <c r="AI120" s="256"/>
      <c r="AJ120" s="256"/>
      <c r="AK120" s="256"/>
      <c r="AL120" s="619"/>
      <c r="AM120" s="8"/>
    </row>
    <row r="121" spans="1:39" ht="14.25" customHeight="1">
      <c r="A121" s="619"/>
      <c r="B121" s="253"/>
      <c r="C121" s="258"/>
      <c r="D121" s="259" t="s">
        <v>176</v>
      </c>
      <c r="E121" s="26">
        <f>'Copia de Electricidad'!D121/1000</f>
        <v>4.8360000000000003</v>
      </c>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c r="AE121" s="256"/>
      <c r="AF121" s="256"/>
      <c r="AG121" s="256"/>
      <c r="AH121" s="256"/>
      <c r="AI121" s="256"/>
      <c r="AJ121" s="256"/>
      <c r="AK121" s="256"/>
      <c r="AL121" s="619"/>
      <c r="AM121" s="8"/>
    </row>
    <row r="122" spans="1:39" ht="14.25" customHeight="1">
      <c r="A122" s="619"/>
      <c r="B122" s="253"/>
      <c r="C122" s="258"/>
      <c r="D122" s="259" t="s">
        <v>227</v>
      </c>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c r="AE122" s="256"/>
      <c r="AF122" s="256"/>
      <c r="AG122" s="256"/>
      <c r="AH122" s="256"/>
      <c r="AI122" s="256"/>
      <c r="AJ122" s="256"/>
      <c r="AK122" s="256"/>
      <c r="AL122" s="619"/>
      <c r="AM122" s="8"/>
    </row>
    <row r="123" spans="1:39" ht="14.25" customHeight="1">
      <c r="A123" s="619"/>
      <c r="B123" s="253"/>
      <c r="C123" s="258"/>
      <c r="D123" s="259" t="s">
        <v>228</v>
      </c>
      <c r="E123" s="256"/>
      <c r="F123" s="256"/>
      <c r="G123" s="256"/>
      <c r="H123" s="256"/>
      <c r="I123" s="256">
        <f>'Copia de Electricidad'!H123/1000</f>
        <v>0.2</v>
      </c>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256"/>
      <c r="AI123" s="256"/>
      <c r="AJ123" s="256"/>
      <c r="AK123" s="256"/>
      <c r="AL123" s="619"/>
      <c r="AM123" s="8"/>
    </row>
    <row r="124" spans="1:39" ht="14.25" customHeight="1">
      <c r="A124" s="619"/>
      <c r="B124" s="253"/>
      <c r="C124" s="258"/>
      <c r="D124" s="259" t="s">
        <v>229</v>
      </c>
      <c r="E124" s="256"/>
      <c r="F124" s="256"/>
      <c r="G124" s="256"/>
      <c r="H124" s="256">
        <f>'Copia de Electricidad'!G124/1000</f>
        <v>0.05</v>
      </c>
      <c r="I124" s="256"/>
      <c r="J124" s="256">
        <f>'Copia de Electricidad'!I124/1000</f>
        <v>0.11</v>
      </c>
      <c r="K124" s="256"/>
      <c r="L124" s="256"/>
      <c r="M124" s="256"/>
      <c r="N124" s="256"/>
      <c r="O124" s="256"/>
      <c r="P124" s="256"/>
      <c r="Q124" s="256"/>
      <c r="R124" s="256"/>
      <c r="S124" s="256"/>
      <c r="T124" s="256"/>
      <c r="U124" s="256"/>
      <c r="V124" s="256"/>
      <c r="W124" s="256"/>
      <c r="X124" s="256"/>
      <c r="Y124" s="256"/>
      <c r="Z124" s="256"/>
      <c r="AA124" s="256"/>
      <c r="AB124" s="256"/>
      <c r="AC124" s="256"/>
      <c r="AD124" s="256"/>
      <c r="AE124" s="256"/>
      <c r="AF124" s="256"/>
      <c r="AG124" s="256"/>
      <c r="AH124" s="256"/>
      <c r="AI124" s="256"/>
      <c r="AJ124" s="256"/>
      <c r="AK124" s="256"/>
      <c r="AL124" s="619"/>
      <c r="AM124" s="8"/>
    </row>
    <row r="125" spans="1:39" ht="14.25" customHeight="1">
      <c r="A125" s="619"/>
      <c r="B125" s="253"/>
      <c r="C125" s="258"/>
      <c r="D125" s="259" t="s">
        <v>230</v>
      </c>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c r="AE125" s="256"/>
      <c r="AF125" s="256"/>
      <c r="AG125" s="256"/>
      <c r="AH125" s="256"/>
      <c r="AI125" s="256"/>
      <c r="AJ125" s="256"/>
      <c r="AK125" s="256"/>
      <c r="AL125" s="619"/>
      <c r="AM125" s="8"/>
    </row>
    <row r="126" spans="1:39" ht="14.25" customHeight="1">
      <c r="A126" s="619"/>
      <c r="B126" s="253"/>
      <c r="C126" s="258"/>
      <c r="D126" s="259" t="s">
        <v>231</v>
      </c>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c r="AC126" s="256"/>
      <c r="AD126" s="256"/>
      <c r="AE126" s="256"/>
      <c r="AF126" s="256"/>
      <c r="AG126" s="256"/>
      <c r="AH126" s="256"/>
      <c r="AI126" s="256"/>
      <c r="AJ126" s="256"/>
      <c r="AK126" s="256"/>
      <c r="AL126" s="619"/>
      <c r="AM126" s="8"/>
    </row>
    <row r="127" spans="1:39" ht="14.25" customHeight="1">
      <c r="A127" s="619"/>
      <c r="B127" s="253"/>
      <c r="C127" s="258"/>
      <c r="D127" s="259" t="s">
        <v>232</v>
      </c>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c r="AI127" s="256"/>
      <c r="AJ127" s="256"/>
      <c r="AK127" s="256"/>
      <c r="AL127" s="619"/>
      <c r="AM127" s="8"/>
    </row>
    <row r="128" spans="1:39" ht="14.25" customHeight="1">
      <c r="A128" s="619"/>
      <c r="B128" s="253"/>
      <c r="C128" s="258"/>
      <c r="D128" s="259" t="s">
        <v>233</v>
      </c>
      <c r="E128" s="256"/>
      <c r="F128" s="256"/>
      <c r="G128" s="256"/>
      <c r="H128" s="256"/>
      <c r="I128" s="256"/>
      <c r="J128" s="256"/>
      <c r="K128" s="256">
        <f>'Copia de Electricidad'!J128/1000</f>
        <v>0.11</v>
      </c>
      <c r="L128" s="256"/>
      <c r="M128" s="256">
        <f>'Copia de Electricidad'!L128/1000</f>
        <v>0.4</v>
      </c>
      <c r="N128" s="256"/>
      <c r="O128" s="256"/>
      <c r="P128" s="256"/>
      <c r="Q128" s="256"/>
      <c r="R128" s="256"/>
      <c r="S128" s="256"/>
      <c r="T128" s="256"/>
      <c r="U128" s="256"/>
      <c r="V128" s="256"/>
      <c r="W128" s="256"/>
      <c r="X128" s="256"/>
      <c r="Y128" s="256"/>
      <c r="Z128" s="256"/>
      <c r="AA128" s="256"/>
      <c r="AB128" s="256"/>
      <c r="AC128" s="256"/>
      <c r="AD128" s="256"/>
      <c r="AE128" s="256"/>
      <c r="AF128" s="256"/>
      <c r="AG128" s="256"/>
      <c r="AH128" s="256"/>
      <c r="AI128" s="256"/>
      <c r="AJ128" s="256"/>
      <c r="AK128" s="256"/>
      <c r="AL128" s="619"/>
      <c r="AM128" s="8"/>
    </row>
    <row r="129" spans="1:57" ht="14.25" customHeight="1">
      <c r="A129" s="619"/>
      <c r="B129" s="253"/>
      <c r="C129" s="258"/>
      <c r="D129" s="259" t="s">
        <v>234</v>
      </c>
      <c r="E129" s="256"/>
      <c r="F129" s="256"/>
      <c r="G129" s="256"/>
      <c r="H129" s="256"/>
      <c r="I129" s="256"/>
      <c r="J129" s="256"/>
      <c r="K129" s="256"/>
      <c r="L129" s="256">
        <f>'Copia de Electricidad'!K129/1000</f>
        <v>0.5</v>
      </c>
      <c r="M129" s="256">
        <f>'Copia de Electricidad'!L129/1000</f>
        <v>0.12</v>
      </c>
      <c r="N129" s="256"/>
      <c r="O129" s="256">
        <f>'Copia de Electricidad'!N129/1000</f>
        <v>0.32</v>
      </c>
      <c r="P129" s="256"/>
      <c r="Q129" s="256"/>
      <c r="R129" s="256"/>
      <c r="S129" s="256"/>
      <c r="T129" s="256"/>
      <c r="U129" s="256"/>
      <c r="V129" s="256"/>
      <c r="W129" s="256"/>
      <c r="X129" s="256"/>
      <c r="Y129" s="256"/>
      <c r="Z129" s="256"/>
      <c r="AA129" s="256"/>
      <c r="AB129" s="256"/>
      <c r="AC129" s="256"/>
      <c r="AD129" s="256"/>
      <c r="AE129" s="256"/>
      <c r="AF129" s="256"/>
      <c r="AG129" s="256"/>
      <c r="AH129" s="256"/>
      <c r="AI129" s="256"/>
      <c r="AJ129" s="256"/>
      <c r="AK129" s="256"/>
      <c r="AL129" s="619"/>
      <c r="AM129" s="8"/>
      <c r="AN129" s="8"/>
      <c r="AO129" s="8"/>
      <c r="AP129" s="8"/>
      <c r="AQ129" s="8"/>
      <c r="AR129" s="8"/>
      <c r="AS129" s="8"/>
      <c r="AT129" s="8"/>
      <c r="AU129" s="8"/>
      <c r="AV129" s="8"/>
      <c r="AW129" s="8"/>
      <c r="AX129" s="8"/>
      <c r="AY129" s="8"/>
      <c r="AZ129" s="8"/>
      <c r="BA129" s="8"/>
      <c r="BB129" s="8"/>
      <c r="BC129" s="8"/>
      <c r="BD129" s="8"/>
      <c r="BE129" s="8"/>
    </row>
    <row r="130" spans="1:57" ht="14.25" customHeight="1">
      <c r="A130" s="619"/>
      <c r="B130" s="253"/>
      <c r="C130" s="258"/>
      <c r="D130" s="259" t="s">
        <v>235</v>
      </c>
      <c r="E130" s="256"/>
      <c r="F130" s="256"/>
      <c r="G130" s="256"/>
      <c r="H130" s="256"/>
      <c r="I130" s="256"/>
      <c r="J130" s="256"/>
      <c r="K130" s="256">
        <f>'Copia de Electricidad'!J130/1000</f>
        <v>0.15</v>
      </c>
      <c r="L130" s="256"/>
      <c r="M130" s="256"/>
      <c r="N130" s="256"/>
      <c r="O130" s="256"/>
      <c r="P130" s="256"/>
      <c r="Q130" s="256"/>
      <c r="R130" s="256"/>
      <c r="S130" s="256"/>
      <c r="T130" s="256"/>
      <c r="U130" s="256"/>
      <c r="V130" s="256"/>
      <c r="W130" s="256"/>
      <c r="X130" s="256"/>
      <c r="Y130" s="256"/>
      <c r="Z130" s="256"/>
      <c r="AA130" s="256"/>
      <c r="AB130" s="256"/>
      <c r="AC130" s="256"/>
      <c r="AD130" s="256"/>
      <c r="AE130" s="256"/>
      <c r="AF130" s="256"/>
      <c r="AG130" s="256"/>
      <c r="AH130" s="256"/>
      <c r="AI130" s="256"/>
      <c r="AJ130" s="256"/>
      <c r="AK130" s="256"/>
      <c r="AL130" s="619"/>
      <c r="AM130" s="8"/>
      <c r="AN130" s="8"/>
      <c r="AO130" s="8"/>
      <c r="AP130" s="8"/>
      <c r="AQ130" s="8"/>
      <c r="AR130" s="8"/>
      <c r="AS130" s="8"/>
      <c r="AT130" s="8"/>
      <c r="AU130" s="8"/>
      <c r="AV130" s="8"/>
      <c r="AW130" s="8"/>
      <c r="AX130" s="8"/>
      <c r="AY130" s="8"/>
      <c r="AZ130" s="8"/>
      <c r="BA130" s="8"/>
      <c r="BB130" s="8"/>
      <c r="BC130" s="8"/>
      <c r="BD130" s="8"/>
      <c r="BE130" s="8"/>
    </row>
    <row r="131" spans="1:57" ht="14.25" customHeight="1">
      <c r="A131" s="619"/>
      <c r="B131" s="253"/>
      <c r="C131" s="258"/>
      <c r="D131" s="259" t="s">
        <v>236</v>
      </c>
      <c r="E131" s="256"/>
      <c r="F131" s="256"/>
      <c r="G131" s="256"/>
      <c r="H131" s="256"/>
      <c r="I131" s="256"/>
      <c r="J131" s="256"/>
      <c r="K131" s="256">
        <f>'Copia de Electricidad'!J131/1000</f>
        <v>0.2</v>
      </c>
      <c r="L131" s="256"/>
      <c r="M131" s="256"/>
      <c r="N131" s="256"/>
      <c r="O131" s="256"/>
      <c r="P131" s="256"/>
      <c r="Q131" s="256"/>
      <c r="R131" s="256"/>
      <c r="S131" s="256"/>
      <c r="T131" s="256"/>
      <c r="U131" s="256"/>
      <c r="V131" s="256"/>
      <c r="W131" s="256"/>
      <c r="X131" s="256"/>
      <c r="Y131" s="256"/>
      <c r="Z131" s="256"/>
      <c r="AA131" s="256"/>
      <c r="AB131" s="256"/>
      <c r="AC131" s="256"/>
      <c r="AD131" s="256"/>
      <c r="AE131" s="256"/>
      <c r="AF131" s="256"/>
      <c r="AG131" s="256"/>
      <c r="AH131" s="256"/>
      <c r="AI131" s="256"/>
      <c r="AJ131" s="256"/>
      <c r="AK131" s="256"/>
      <c r="AL131" s="619"/>
      <c r="AM131" s="8"/>
      <c r="AN131" s="8"/>
      <c r="AO131" s="8"/>
      <c r="AP131" s="8"/>
      <c r="AQ131" s="8"/>
      <c r="AR131" s="8"/>
      <c r="AS131" s="8"/>
      <c r="AT131" s="8"/>
      <c r="AU131" s="8"/>
      <c r="AV131" s="8"/>
      <c r="AW131" s="8"/>
      <c r="AX131" s="8"/>
      <c r="AY131" s="8"/>
      <c r="AZ131" s="8"/>
      <c r="BA131" s="8"/>
      <c r="BB131" s="8"/>
      <c r="BC131" s="8"/>
      <c r="BD131" s="8"/>
      <c r="BE131" s="8"/>
    </row>
    <row r="132" spans="1:57" ht="14.25" customHeight="1">
      <c r="A132" s="619"/>
      <c r="B132" s="253"/>
      <c r="C132" s="258"/>
      <c r="D132" s="259" t="s">
        <v>237</v>
      </c>
      <c r="E132" s="256"/>
      <c r="F132" s="256"/>
      <c r="G132" s="256"/>
      <c r="H132" s="256"/>
      <c r="I132" s="256"/>
      <c r="J132" s="256"/>
      <c r="K132" s="256">
        <f>'Copia de Electricidad'!J132/1000</f>
        <v>0.12</v>
      </c>
      <c r="L132" s="256"/>
      <c r="M132" s="256"/>
      <c r="N132" s="256"/>
      <c r="O132" s="256"/>
      <c r="P132" s="256"/>
      <c r="Q132" s="256"/>
      <c r="R132" s="256"/>
      <c r="S132" s="256"/>
      <c r="T132" s="256"/>
      <c r="U132" s="256"/>
      <c r="V132" s="256"/>
      <c r="W132" s="256"/>
      <c r="X132" s="256"/>
      <c r="Y132" s="256"/>
      <c r="Z132" s="256"/>
      <c r="AA132" s="256"/>
      <c r="AB132" s="256"/>
      <c r="AC132" s="256"/>
      <c r="AD132" s="256"/>
      <c r="AE132" s="256"/>
      <c r="AF132" s="256"/>
      <c r="AG132" s="256"/>
      <c r="AH132" s="256"/>
      <c r="AI132" s="256"/>
      <c r="AJ132" s="256"/>
      <c r="AK132" s="256"/>
      <c r="AL132" s="619"/>
      <c r="AM132" s="8"/>
      <c r="AN132" s="8"/>
      <c r="AO132" s="8"/>
      <c r="AP132" s="8"/>
      <c r="AQ132" s="8"/>
      <c r="AR132" s="8"/>
      <c r="AS132" s="8"/>
      <c r="AT132" s="8"/>
      <c r="AU132" s="8"/>
      <c r="AV132" s="8"/>
      <c r="AW132" s="8"/>
      <c r="AX132" s="8"/>
      <c r="AY132" s="8"/>
      <c r="AZ132" s="8"/>
      <c r="BA132" s="8"/>
      <c r="BB132" s="8"/>
      <c r="BC132" s="8"/>
      <c r="BD132" s="8"/>
      <c r="BE132" s="8"/>
    </row>
    <row r="133" spans="1:57" ht="14.25" customHeight="1">
      <c r="A133" s="619"/>
      <c r="B133" s="253"/>
      <c r="C133" s="258"/>
      <c r="D133" s="259" t="s">
        <v>238</v>
      </c>
      <c r="E133" s="256"/>
      <c r="F133" s="256"/>
      <c r="G133" s="256"/>
      <c r="H133" s="256"/>
      <c r="I133" s="256"/>
      <c r="J133" s="256"/>
      <c r="K133" s="256">
        <f>'Copia de Electricidad'!J133/1000</f>
        <v>0.03</v>
      </c>
      <c r="L133" s="256"/>
      <c r="M133" s="256"/>
      <c r="N133" s="256"/>
      <c r="O133" s="256"/>
      <c r="P133" s="256"/>
      <c r="Q133" s="256"/>
      <c r="R133" s="256"/>
      <c r="S133" s="256"/>
      <c r="T133" s="256"/>
      <c r="U133" s="256"/>
      <c r="V133" s="256"/>
      <c r="W133" s="256"/>
      <c r="X133" s="256"/>
      <c r="Y133" s="256"/>
      <c r="Z133" s="256"/>
      <c r="AA133" s="256"/>
      <c r="AB133" s="256"/>
      <c r="AC133" s="256"/>
      <c r="AD133" s="256"/>
      <c r="AE133" s="256"/>
      <c r="AF133" s="256"/>
      <c r="AG133" s="256"/>
      <c r="AH133" s="256"/>
      <c r="AI133" s="256"/>
      <c r="AJ133" s="256"/>
      <c r="AK133" s="256"/>
      <c r="AL133" s="619"/>
      <c r="AM133" s="8"/>
      <c r="AN133" s="8"/>
      <c r="AO133" s="8"/>
      <c r="AP133" s="8"/>
      <c r="AQ133" s="8"/>
      <c r="AR133" s="8"/>
      <c r="AS133" s="8"/>
      <c r="AT133" s="8"/>
      <c r="AU133" s="8"/>
      <c r="AV133" s="8"/>
      <c r="AW133" s="8"/>
      <c r="AX133" s="8"/>
      <c r="AY133" s="8"/>
      <c r="AZ133" s="8"/>
      <c r="BA133" s="8"/>
      <c r="BB133" s="8"/>
      <c r="BC133" s="8"/>
      <c r="BD133" s="8"/>
      <c r="BE133" s="8"/>
    </row>
    <row r="134" spans="1:57" ht="14.25" customHeight="1">
      <c r="A134" s="619"/>
      <c r="B134" s="253"/>
      <c r="C134" s="258"/>
      <c r="D134" s="259"/>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c r="AE134" s="256"/>
      <c r="AF134" s="256"/>
      <c r="AG134" s="256"/>
      <c r="AH134" s="256"/>
      <c r="AI134" s="256"/>
      <c r="AJ134" s="256"/>
      <c r="AK134" s="256"/>
      <c r="AL134" s="619"/>
      <c r="AM134" s="8"/>
      <c r="AN134" s="8"/>
      <c r="AO134" s="8"/>
      <c r="AP134" s="8"/>
      <c r="AQ134" s="8"/>
      <c r="AR134" s="8"/>
      <c r="AS134" s="8"/>
      <c r="AT134" s="8"/>
      <c r="AU134" s="8"/>
      <c r="AV134" s="8"/>
      <c r="AW134" s="8"/>
      <c r="AX134" s="8"/>
      <c r="AY134" s="8"/>
      <c r="AZ134" s="8"/>
      <c r="BA134" s="8"/>
      <c r="BB134" s="8"/>
      <c r="BC134" s="8"/>
      <c r="BD134" s="8"/>
      <c r="BE134" s="8"/>
    </row>
    <row r="135" spans="1:57" ht="14.25" customHeight="1">
      <c r="A135" s="619"/>
      <c r="B135" s="253"/>
      <c r="C135" s="258"/>
      <c r="D135" s="259" t="s">
        <v>239</v>
      </c>
      <c r="E135" s="256">
        <f t="shared" ref="E135:R135" si="3">SUM(E105:E107,E109:E114,E116:E121,E122:E127,E128:E133)</f>
        <v>13.0738</v>
      </c>
      <c r="F135" s="256">
        <f t="shared" si="3"/>
        <v>0</v>
      </c>
      <c r="G135" s="256">
        <f t="shared" si="3"/>
        <v>5.9500000000000004E-3</v>
      </c>
      <c r="H135" s="256">
        <f t="shared" si="3"/>
        <v>0.31198999999999999</v>
      </c>
      <c r="I135" s="256">
        <f t="shared" si="3"/>
        <v>0.23719000000000001</v>
      </c>
      <c r="J135" s="256">
        <f t="shared" si="3"/>
        <v>0.11899999999999999</v>
      </c>
      <c r="K135" s="256">
        <f t="shared" si="3"/>
        <v>0.69318000000000002</v>
      </c>
      <c r="L135" s="256">
        <f t="shared" si="3"/>
        <v>0.55000000000000004</v>
      </c>
      <c r="M135" s="256">
        <f t="shared" si="3"/>
        <v>0.52</v>
      </c>
      <c r="N135" s="256">
        <f t="shared" si="3"/>
        <v>0</v>
      </c>
      <c r="O135" s="256">
        <f t="shared" si="3"/>
        <v>0.56400000000000006</v>
      </c>
      <c r="P135" s="256">
        <f t="shared" si="3"/>
        <v>0.59560000000000002</v>
      </c>
      <c r="Q135" s="256">
        <f t="shared" si="3"/>
        <v>1.2</v>
      </c>
      <c r="R135" s="256">
        <f t="shared" si="3"/>
        <v>1.2</v>
      </c>
      <c r="S135" s="256"/>
      <c r="T135" s="256"/>
      <c r="U135" s="256"/>
      <c r="V135" s="256"/>
      <c r="W135" s="256"/>
      <c r="X135" s="256"/>
      <c r="Y135" s="256"/>
      <c r="Z135" s="256"/>
      <c r="AA135" s="256"/>
      <c r="AB135" s="256"/>
      <c r="AC135" s="256"/>
      <c r="AD135" s="256"/>
      <c r="AE135" s="256"/>
      <c r="AF135" s="256"/>
      <c r="AG135" s="256"/>
      <c r="AH135" s="256"/>
      <c r="AI135" s="256"/>
      <c r="AJ135" s="256"/>
      <c r="AK135" s="256"/>
      <c r="AL135" s="619"/>
      <c r="AM135" s="8"/>
      <c r="AN135" s="8"/>
      <c r="AO135" s="8"/>
      <c r="AP135" s="8"/>
      <c r="AQ135" s="8"/>
      <c r="AR135" s="8"/>
      <c r="AS135" s="8"/>
      <c r="AT135" s="8"/>
      <c r="AU135" s="8"/>
      <c r="AV135" s="8"/>
      <c r="AW135" s="8"/>
      <c r="AX135" s="8"/>
      <c r="AY135" s="8"/>
      <c r="AZ135" s="8"/>
      <c r="BA135" s="8"/>
      <c r="BB135" s="8"/>
      <c r="BC135" s="8"/>
      <c r="BD135" s="8"/>
      <c r="BE135" s="8"/>
    </row>
    <row r="136" spans="1:57" ht="14.25" customHeight="1">
      <c r="A136" s="619"/>
      <c r="B136" s="253"/>
      <c r="C136" s="258"/>
      <c r="D136" s="259"/>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c r="AC136" s="256"/>
      <c r="AD136" s="256"/>
      <c r="AE136" s="256"/>
      <c r="AF136" s="256"/>
      <c r="AG136" s="256"/>
      <c r="AH136" s="256"/>
      <c r="AI136" s="256"/>
      <c r="AJ136" s="256"/>
      <c r="AK136" s="256"/>
      <c r="AL136" s="619"/>
      <c r="AM136" s="8"/>
      <c r="AN136" s="8"/>
      <c r="AO136" s="8"/>
      <c r="AP136" s="8"/>
      <c r="AQ136" s="8"/>
      <c r="AR136" s="8"/>
      <c r="AS136" s="8"/>
      <c r="AT136" s="8"/>
      <c r="AU136" s="8"/>
      <c r="AV136" s="8"/>
      <c r="AW136" s="8"/>
      <c r="AX136" s="8"/>
      <c r="AY136" s="8"/>
      <c r="AZ136" s="8"/>
      <c r="BA136" s="8"/>
      <c r="BB136" s="8"/>
      <c r="BC136" s="8"/>
      <c r="BD136" s="8"/>
      <c r="BE136" s="8"/>
    </row>
    <row r="137" spans="1:57" ht="14.25" customHeight="1">
      <c r="A137" s="619"/>
      <c r="B137" s="253"/>
      <c r="C137" s="258"/>
      <c r="D137" s="281" t="s">
        <v>184</v>
      </c>
      <c r="E137" s="172">
        <v>2018</v>
      </c>
      <c r="F137" s="172">
        <v>2019</v>
      </c>
      <c r="G137" s="172">
        <v>2020</v>
      </c>
      <c r="H137" s="172">
        <v>2021</v>
      </c>
      <c r="I137" s="189">
        <v>2022</v>
      </c>
      <c r="J137" s="189">
        <v>2023</v>
      </c>
      <c r="K137" s="189">
        <v>2024</v>
      </c>
      <c r="L137" s="189">
        <v>2025</v>
      </c>
      <c r="M137" s="189">
        <v>2026</v>
      </c>
      <c r="N137" s="189">
        <v>2027</v>
      </c>
      <c r="O137" s="189">
        <v>2028</v>
      </c>
      <c r="P137" s="189">
        <v>2029</v>
      </c>
      <c r="Q137" s="189">
        <v>2030</v>
      </c>
      <c r="R137" s="189">
        <v>2031</v>
      </c>
      <c r="S137" s="189">
        <v>2032</v>
      </c>
      <c r="T137" s="189">
        <v>2033</v>
      </c>
      <c r="U137" s="189">
        <v>2034</v>
      </c>
      <c r="V137" s="189">
        <v>2035</v>
      </c>
      <c r="W137" s="189">
        <v>2036</v>
      </c>
      <c r="X137" s="189">
        <v>2037</v>
      </c>
      <c r="Y137" s="189">
        <v>2038</v>
      </c>
      <c r="Z137" s="189">
        <v>2039</v>
      </c>
      <c r="AA137" s="189">
        <v>2040</v>
      </c>
      <c r="AB137" s="189">
        <v>2041</v>
      </c>
      <c r="AC137" s="189">
        <v>2042</v>
      </c>
      <c r="AD137" s="189">
        <v>2043</v>
      </c>
      <c r="AE137" s="189">
        <v>2044</v>
      </c>
      <c r="AF137" s="189">
        <v>2045</v>
      </c>
      <c r="AG137" s="189">
        <v>2046</v>
      </c>
      <c r="AH137" s="189">
        <v>2047</v>
      </c>
      <c r="AI137" s="189">
        <v>2048</v>
      </c>
      <c r="AJ137" s="189">
        <v>2049</v>
      </c>
      <c r="AK137" s="218">
        <v>2050</v>
      </c>
      <c r="AL137" s="189">
        <v>2051</v>
      </c>
      <c r="AM137" s="189">
        <v>2052</v>
      </c>
      <c r="AN137" s="189">
        <v>2053</v>
      </c>
      <c r="AO137" s="189">
        <v>2054</v>
      </c>
      <c r="AP137" s="189">
        <v>2055</v>
      </c>
      <c r="AQ137" s="189">
        <v>2056</v>
      </c>
      <c r="AR137" s="189">
        <v>2057</v>
      </c>
      <c r="AS137" s="189">
        <v>2058</v>
      </c>
      <c r="AT137" s="218">
        <v>2059</v>
      </c>
      <c r="AU137" s="189">
        <v>2060</v>
      </c>
      <c r="AV137" s="189">
        <v>2061</v>
      </c>
      <c r="AW137" s="189">
        <v>2062</v>
      </c>
      <c r="AX137" s="189">
        <v>2063</v>
      </c>
      <c r="AY137" s="189">
        <v>2064</v>
      </c>
      <c r="AZ137" s="189">
        <v>2065</v>
      </c>
      <c r="BA137" s="189">
        <v>2066</v>
      </c>
      <c r="BB137" s="189">
        <v>2067</v>
      </c>
      <c r="BC137" s="218">
        <v>2068</v>
      </c>
      <c r="BD137" s="189">
        <v>2069</v>
      </c>
      <c r="BE137" s="189">
        <v>2070</v>
      </c>
    </row>
    <row r="138" spans="1:57" ht="14.25" customHeight="1">
      <c r="A138" s="619"/>
      <c r="B138" s="253"/>
      <c r="C138" s="258"/>
      <c r="D138" s="262" t="s">
        <v>185</v>
      </c>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256"/>
      <c r="AF138" s="256"/>
      <c r="AG138" s="256"/>
      <c r="AH138" s="256"/>
      <c r="AI138" s="256"/>
      <c r="AJ138" s="256"/>
      <c r="AK138" s="256"/>
      <c r="AL138" s="619"/>
      <c r="AM138" s="8"/>
      <c r="AN138" s="8"/>
      <c r="AO138" s="8"/>
      <c r="AP138" s="8"/>
      <c r="AQ138" s="8"/>
      <c r="AR138" s="8"/>
      <c r="AS138" s="8"/>
      <c r="AT138" s="8"/>
      <c r="AU138" s="8"/>
      <c r="AV138" s="8"/>
      <c r="AW138" s="8"/>
      <c r="AX138" s="8"/>
      <c r="AY138" s="8"/>
      <c r="AZ138" s="8"/>
      <c r="BA138" s="8"/>
      <c r="BB138" s="8"/>
      <c r="BC138" s="8"/>
      <c r="BD138" s="8"/>
      <c r="BE138" s="8"/>
    </row>
    <row r="139" spans="1:57" ht="14.25" customHeight="1">
      <c r="A139" s="619"/>
      <c r="B139" s="253"/>
      <c r="C139" s="258"/>
      <c r="D139" s="262" t="s">
        <v>136</v>
      </c>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256"/>
      <c r="AF139" s="256"/>
      <c r="AG139" s="256"/>
      <c r="AH139" s="256"/>
      <c r="AI139" s="256"/>
      <c r="AJ139" s="256"/>
      <c r="AK139" s="256"/>
      <c r="AL139" s="619"/>
      <c r="AM139" s="8"/>
      <c r="AN139" s="8"/>
      <c r="AO139" s="8"/>
      <c r="AP139" s="8"/>
      <c r="AQ139" s="8"/>
      <c r="AR139" s="8"/>
      <c r="AS139" s="8"/>
      <c r="AT139" s="8"/>
      <c r="AU139" s="8"/>
      <c r="AV139" s="8"/>
      <c r="AW139" s="8"/>
      <c r="AX139" s="8"/>
      <c r="AY139" s="8"/>
      <c r="AZ139" s="8"/>
      <c r="BA139" s="8"/>
      <c r="BB139" s="8"/>
      <c r="BC139" s="8"/>
      <c r="BD139" s="8"/>
      <c r="BE139" s="8"/>
    </row>
    <row r="140" spans="1:57" ht="14.25" customHeight="1">
      <c r="A140" s="619"/>
      <c r="B140" s="253"/>
      <c r="C140" s="258" t="s">
        <v>187</v>
      </c>
      <c r="D140" s="285" t="s">
        <v>188</v>
      </c>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619"/>
      <c r="AM140" s="8"/>
      <c r="AN140" s="8"/>
      <c r="AO140" s="8"/>
      <c r="AP140" s="8"/>
      <c r="AQ140" s="8"/>
      <c r="AR140" s="8"/>
      <c r="AS140" s="8"/>
      <c r="AT140" s="8"/>
      <c r="AU140" s="8"/>
      <c r="AV140" s="8"/>
      <c r="AW140" s="8"/>
      <c r="AX140" s="8"/>
      <c r="AY140" s="8"/>
      <c r="AZ140" s="8"/>
      <c r="BA140" s="8"/>
      <c r="BB140" s="8"/>
      <c r="BC140" s="8"/>
      <c r="BD140" s="8"/>
      <c r="BE140" s="8"/>
    </row>
    <row r="141" spans="1:57" ht="14.25" customHeight="1">
      <c r="A141" s="619"/>
      <c r="B141" s="253"/>
      <c r="C141" s="258"/>
      <c r="D141" s="262" t="s">
        <v>137</v>
      </c>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619"/>
      <c r="AM141" s="8"/>
      <c r="AN141" s="8"/>
      <c r="AO141" s="8"/>
      <c r="AP141" s="8"/>
      <c r="AQ141" s="8"/>
      <c r="AR141" s="8"/>
      <c r="AS141" s="8"/>
      <c r="AT141" s="8"/>
      <c r="AU141" s="8"/>
      <c r="AV141" s="8"/>
      <c r="AW141" s="8"/>
      <c r="AX141" s="8"/>
      <c r="AY141" s="8"/>
      <c r="AZ141" s="8"/>
      <c r="BA141" s="8"/>
      <c r="BB141" s="8"/>
      <c r="BC141" s="8"/>
      <c r="BD141" s="8"/>
      <c r="BE141" s="8"/>
    </row>
    <row r="142" spans="1:57" ht="14.25" customHeight="1">
      <c r="A142" s="619"/>
      <c r="B142" s="253"/>
      <c r="C142" s="258"/>
      <c r="D142" s="266" t="s">
        <v>189</v>
      </c>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619"/>
      <c r="AM142" s="8"/>
      <c r="AN142" s="8"/>
      <c r="AO142" s="8"/>
      <c r="AP142" s="8"/>
      <c r="AQ142" s="8"/>
      <c r="AR142" s="8"/>
      <c r="AS142" s="8"/>
      <c r="AT142" s="8"/>
      <c r="AU142" s="8"/>
      <c r="AV142" s="8"/>
      <c r="AW142" s="8"/>
      <c r="AX142" s="8"/>
      <c r="AY142" s="8"/>
      <c r="AZ142" s="8"/>
      <c r="BA142" s="8"/>
      <c r="BB142" s="8"/>
      <c r="BC142" s="8"/>
      <c r="BD142" s="8"/>
      <c r="BE142" s="8"/>
    </row>
    <row r="143" spans="1:57" ht="14.25" customHeight="1">
      <c r="A143" s="619"/>
      <c r="B143" s="253"/>
      <c r="C143" s="258"/>
      <c r="D143" s="285" t="s">
        <v>190</v>
      </c>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619"/>
      <c r="AM143" s="8"/>
      <c r="AN143" s="8"/>
      <c r="AO143" s="8"/>
      <c r="AP143" s="8"/>
      <c r="AQ143" s="8"/>
      <c r="AR143" s="8"/>
      <c r="AS143" s="8"/>
      <c r="AT143" s="8"/>
      <c r="AU143" s="8"/>
      <c r="AV143" s="8"/>
      <c r="AW143" s="8"/>
      <c r="AX143" s="8"/>
      <c r="AY143" s="8"/>
      <c r="AZ143" s="8"/>
      <c r="BA143" s="8"/>
      <c r="BB143" s="8"/>
      <c r="BC143" s="8"/>
      <c r="BD143" s="8"/>
      <c r="BE143" s="8"/>
    </row>
    <row r="144" spans="1:57" ht="14.25" customHeight="1">
      <c r="A144" s="619"/>
      <c r="B144" s="253"/>
      <c r="C144" s="258" t="s">
        <v>191</v>
      </c>
      <c r="D144" s="259" t="s">
        <v>192</v>
      </c>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619"/>
      <c r="AM144" s="8"/>
      <c r="AN144" s="8"/>
      <c r="AO144" s="8"/>
      <c r="AP144" s="8"/>
      <c r="AQ144" s="8"/>
      <c r="AR144" s="8"/>
      <c r="AS144" s="8"/>
      <c r="AT144" s="8"/>
      <c r="AU144" s="8"/>
      <c r="AV144" s="8"/>
      <c r="AW144" s="8"/>
      <c r="AX144" s="8"/>
      <c r="AY144" s="8"/>
      <c r="AZ144" s="8"/>
      <c r="BA144" s="8"/>
      <c r="BB144" s="8"/>
      <c r="BC144" s="8"/>
      <c r="BD144" s="8"/>
      <c r="BE144" s="8"/>
    </row>
    <row r="145" spans="1:39" ht="14.25" customHeight="1">
      <c r="A145" s="619"/>
      <c r="B145" s="253"/>
      <c r="C145" s="258" t="s">
        <v>193</v>
      </c>
      <c r="D145" s="259" t="s">
        <v>194</v>
      </c>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619"/>
      <c r="AM145" s="8"/>
    </row>
    <row r="146" spans="1:39" ht="14.25" customHeight="1">
      <c r="A146" s="619"/>
      <c r="B146" s="253"/>
      <c r="C146" s="258"/>
      <c r="D146" s="285" t="s">
        <v>195</v>
      </c>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619"/>
      <c r="AM146" s="8"/>
    </row>
    <row r="147" spans="1:39" ht="14.25" customHeight="1">
      <c r="A147" s="619"/>
      <c r="B147" s="253"/>
      <c r="C147" s="258" t="s">
        <v>196</v>
      </c>
      <c r="D147" s="259" t="s">
        <v>192</v>
      </c>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619"/>
      <c r="AM147" s="8"/>
    </row>
    <row r="148" spans="1:39" ht="14.25" customHeight="1">
      <c r="A148" s="619"/>
      <c r="B148" s="253"/>
      <c r="C148" s="258" t="s">
        <v>197</v>
      </c>
      <c r="D148" s="259" t="s">
        <v>194</v>
      </c>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619"/>
      <c r="AM148" s="8"/>
    </row>
    <row r="149" spans="1:39" ht="14.25" customHeight="1">
      <c r="A149" s="619"/>
      <c r="B149" s="253"/>
      <c r="C149" s="258"/>
      <c r="D149" s="262" t="s">
        <v>143</v>
      </c>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619"/>
      <c r="AM149" s="8"/>
    </row>
    <row r="150" spans="1:39" ht="14.25" customHeight="1">
      <c r="A150" s="619"/>
      <c r="B150" s="253"/>
      <c r="C150" s="258" t="s">
        <v>198</v>
      </c>
      <c r="D150" s="285" t="s">
        <v>188</v>
      </c>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619"/>
      <c r="AM150" s="8"/>
    </row>
    <row r="151" spans="1:39" ht="14.25" customHeight="1">
      <c r="A151" s="619"/>
      <c r="B151" s="253"/>
      <c r="C151" s="258" t="s">
        <v>199</v>
      </c>
      <c r="D151" s="285" t="s">
        <v>190</v>
      </c>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619"/>
      <c r="AM151" s="8"/>
    </row>
    <row r="152" spans="1:39" ht="14.25" customHeight="1">
      <c r="A152" s="619"/>
      <c r="B152" s="253"/>
      <c r="C152" s="258"/>
      <c r="D152" s="262" t="s">
        <v>144</v>
      </c>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619"/>
      <c r="AM152" s="8"/>
    </row>
    <row r="153" spans="1:39" ht="14.25" customHeight="1">
      <c r="A153" s="619"/>
      <c r="B153" s="253"/>
      <c r="C153" s="258"/>
      <c r="D153" s="266" t="s">
        <v>145</v>
      </c>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619"/>
      <c r="AM153" s="8"/>
    </row>
    <row r="154" spans="1:39" ht="14.25" customHeight="1">
      <c r="A154" s="619"/>
      <c r="B154" s="253"/>
      <c r="C154" s="258"/>
      <c r="D154" s="285" t="s">
        <v>190</v>
      </c>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256"/>
      <c r="AF154" s="256"/>
      <c r="AG154" s="256"/>
      <c r="AH154" s="256"/>
      <c r="AI154" s="256"/>
      <c r="AJ154" s="256"/>
      <c r="AK154" s="256"/>
      <c r="AL154" s="619"/>
      <c r="AM154" s="8"/>
    </row>
    <row r="155" spans="1:39" ht="14.25" customHeight="1">
      <c r="A155" s="619"/>
      <c r="B155" s="253"/>
      <c r="C155" s="258" t="s">
        <v>200</v>
      </c>
      <c r="D155" s="259" t="s">
        <v>201</v>
      </c>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256"/>
      <c r="AF155" s="256"/>
      <c r="AG155" s="256"/>
      <c r="AH155" s="256"/>
      <c r="AI155" s="256"/>
      <c r="AJ155" s="256"/>
      <c r="AK155" s="256"/>
      <c r="AL155" s="619"/>
      <c r="AM155" s="8"/>
    </row>
    <row r="156" spans="1:39" ht="14.25" customHeight="1">
      <c r="A156" s="619"/>
      <c r="B156" s="253"/>
      <c r="C156" s="258"/>
      <c r="D156" s="285" t="s">
        <v>188</v>
      </c>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c r="AE156" s="256"/>
      <c r="AF156" s="256"/>
      <c r="AG156" s="256"/>
      <c r="AH156" s="256"/>
      <c r="AI156" s="256"/>
      <c r="AJ156" s="256"/>
      <c r="AK156" s="256"/>
      <c r="AL156" s="619"/>
      <c r="AM156" s="8"/>
    </row>
    <row r="157" spans="1:39" ht="14.25" customHeight="1">
      <c r="A157" s="619"/>
      <c r="B157" s="253"/>
      <c r="C157" s="258" t="s">
        <v>202</v>
      </c>
      <c r="D157" s="259" t="s">
        <v>201</v>
      </c>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E157" s="256"/>
      <c r="AF157" s="256"/>
      <c r="AG157" s="256"/>
      <c r="AH157" s="256"/>
      <c r="AI157" s="256"/>
      <c r="AJ157" s="256"/>
      <c r="AK157" s="256"/>
      <c r="AL157" s="619"/>
      <c r="AM157" s="8"/>
    </row>
    <row r="158" spans="1:39" ht="14.25" customHeight="1">
      <c r="A158" s="619"/>
      <c r="B158" s="253"/>
      <c r="C158" s="258"/>
      <c r="D158" s="285" t="s">
        <v>203</v>
      </c>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c r="AE158" s="256"/>
      <c r="AF158" s="256"/>
      <c r="AG158" s="256"/>
      <c r="AH158" s="256"/>
      <c r="AI158" s="256"/>
      <c r="AJ158" s="256"/>
      <c r="AK158" s="256"/>
      <c r="AL158" s="619"/>
      <c r="AM158" s="8"/>
    </row>
    <row r="159" spans="1:39" ht="14.25" customHeight="1">
      <c r="A159" s="619"/>
      <c r="B159" s="253"/>
      <c r="C159" s="258" t="s">
        <v>204</v>
      </c>
      <c r="D159" s="259" t="s">
        <v>205</v>
      </c>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c r="AE159" s="256"/>
      <c r="AF159" s="256"/>
      <c r="AG159" s="256"/>
      <c r="AH159" s="256"/>
      <c r="AI159" s="256"/>
      <c r="AJ159" s="256"/>
      <c r="AK159" s="256"/>
      <c r="AL159" s="619"/>
      <c r="AM159" s="8"/>
    </row>
    <row r="160" spans="1:39" ht="14.25" customHeight="1">
      <c r="A160" s="619"/>
      <c r="B160" s="253"/>
      <c r="C160" s="258" t="s">
        <v>206</v>
      </c>
      <c r="D160" s="259" t="s">
        <v>201</v>
      </c>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c r="AC160" s="256"/>
      <c r="AD160" s="256"/>
      <c r="AE160" s="256"/>
      <c r="AF160" s="256"/>
      <c r="AG160" s="256"/>
      <c r="AH160" s="256"/>
      <c r="AI160" s="256"/>
      <c r="AJ160" s="256"/>
      <c r="AK160" s="256"/>
      <c r="AL160" s="619"/>
      <c r="AM160" s="8"/>
    </row>
    <row r="161" spans="1:39" ht="14.25" customHeight="1">
      <c r="A161" s="619"/>
      <c r="B161" s="253"/>
      <c r="C161" s="258" t="s">
        <v>207</v>
      </c>
      <c r="D161" s="259" t="s">
        <v>208</v>
      </c>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256"/>
      <c r="AF161" s="256"/>
      <c r="AG161" s="256"/>
      <c r="AH161" s="256"/>
      <c r="AI161" s="256"/>
      <c r="AJ161" s="256"/>
      <c r="AK161" s="256"/>
      <c r="AL161" s="619"/>
      <c r="AM161" s="8"/>
    </row>
    <row r="162" spans="1:39" ht="14.25" customHeight="1">
      <c r="A162" s="619"/>
      <c r="B162" s="253"/>
      <c r="C162" s="258" t="s">
        <v>209</v>
      </c>
      <c r="D162" s="259" t="s">
        <v>210</v>
      </c>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256"/>
      <c r="AF162" s="256"/>
      <c r="AG162" s="256"/>
      <c r="AH162" s="256"/>
      <c r="AI162" s="256"/>
      <c r="AJ162" s="256"/>
      <c r="AK162" s="256"/>
      <c r="AL162" s="619"/>
      <c r="AM162" s="8"/>
    </row>
    <row r="163" spans="1:39" ht="14.25" customHeight="1">
      <c r="A163" s="619"/>
      <c r="B163" s="253"/>
      <c r="C163" s="258"/>
      <c r="D163" s="266" t="s">
        <v>153</v>
      </c>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c r="AC163" s="256"/>
      <c r="AD163" s="256"/>
      <c r="AE163" s="256"/>
      <c r="AF163" s="256"/>
      <c r="AG163" s="256"/>
      <c r="AH163" s="256"/>
      <c r="AI163" s="256"/>
      <c r="AJ163" s="256"/>
      <c r="AK163" s="256"/>
      <c r="AL163" s="619"/>
      <c r="AM163" s="8"/>
    </row>
    <row r="164" spans="1:39" ht="14.25" customHeight="1">
      <c r="A164" s="619"/>
      <c r="B164" s="253"/>
      <c r="C164" s="258"/>
      <c r="D164" s="285" t="s">
        <v>203</v>
      </c>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c r="AE164" s="256"/>
      <c r="AF164" s="256"/>
      <c r="AG164" s="256"/>
      <c r="AH164" s="256"/>
      <c r="AI164" s="256"/>
      <c r="AJ164" s="256"/>
      <c r="AK164" s="256"/>
      <c r="AL164" s="619"/>
      <c r="AM164" s="8"/>
    </row>
    <row r="165" spans="1:39" ht="14.25" customHeight="1">
      <c r="A165" s="619"/>
      <c r="B165" s="253"/>
      <c r="C165" s="258" t="s">
        <v>211</v>
      </c>
      <c r="D165" s="259" t="s">
        <v>201</v>
      </c>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c r="AE165" s="256"/>
      <c r="AF165" s="256"/>
      <c r="AG165" s="256"/>
      <c r="AH165" s="256"/>
      <c r="AI165" s="256"/>
      <c r="AJ165" s="256"/>
      <c r="AK165" s="256"/>
      <c r="AL165" s="619"/>
      <c r="AM165" s="8"/>
    </row>
    <row r="166" spans="1:39" ht="14.25" customHeight="1">
      <c r="A166" s="619"/>
      <c r="B166" s="253"/>
      <c r="C166" s="258" t="s">
        <v>212</v>
      </c>
      <c r="D166" s="259" t="s">
        <v>210</v>
      </c>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256"/>
      <c r="AF166" s="256"/>
      <c r="AG166" s="256"/>
      <c r="AH166" s="256"/>
      <c r="AI166" s="256"/>
      <c r="AJ166" s="256"/>
      <c r="AK166" s="256"/>
      <c r="AL166" s="619"/>
      <c r="AM166" s="8"/>
    </row>
    <row r="167" spans="1:39" ht="14.25" customHeight="1">
      <c r="A167" s="619"/>
      <c r="B167" s="253"/>
      <c r="C167" s="258" t="s">
        <v>213</v>
      </c>
      <c r="D167" s="259" t="s">
        <v>205</v>
      </c>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256"/>
      <c r="AF167" s="256"/>
      <c r="AG167" s="256"/>
      <c r="AH167" s="256"/>
      <c r="AI167" s="256"/>
      <c r="AJ167" s="256"/>
      <c r="AK167" s="256"/>
      <c r="AL167" s="619"/>
      <c r="AM167" s="8"/>
    </row>
    <row r="168" spans="1:39" ht="14.25" customHeight="1">
      <c r="A168" s="619"/>
      <c r="B168" s="253"/>
      <c r="C168" s="258"/>
      <c r="D168" s="266" t="s">
        <v>158</v>
      </c>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619"/>
      <c r="AM168" s="8"/>
    </row>
    <row r="169" spans="1:39" ht="14.25" customHeight="1">
      <c r="A169" s="619"/>
      <c r="B169" s="253"/>
      <c r="C169" s="258"/>
      <c r="D169" s="285" t="s">
        <v>190</v>
      </c>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619"/>
      <c r="AM169" s="8"/>
    </row>
    <row r="170" spans="1:39" ht="14.25" customHeight="1">
      <c r="A170" s="619"/>
      <c r="B170" s="253"/>
      <c r="C170" s="258" t="s">
        <v>214</v>
      </c>
      <c r="D170" s="259" t="s">
        <v>201</v>
      </c>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619"/>
      <c r="AM170" s="8"/>
    </row>
    <row r="171" spans="1:39" ht="14.25" customHeight="1">
      <c r="A171" s="619"/>
      <c r="B171" s="253"/>
      <c r="C171" s="258"/>
      <c r="D171" s="285" t="s">
        <v>195</v>
      </c>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619"/>
      <c r="AM171" s="8"/>
    </row>
    <row r="172" spans="1:39" ht="14.25" customHeight="1">
      <c r="A172" s="619"/>
      <c r="B172" s="253"/>
      <c r="C172" s="258" t="s">
        <v>215</v>
      </c>
      <c r="D172" s="259" t="s">
        <v>201</v>
      </c>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619"/>
      <c r="AM172" s="8"/>
    </row>
    <row r="173" spans="1:39" ht="14.25" customHeight="1">
      <c r="A173" s="619"/>
      <c r="B173" s="253"/>
      <c r="C173" s="258"/>
      <c r="D173" s="285" t="s">
        <v>203</v>
      </c>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619"/>
      <c r="AM173" s="8"/>
    </row>
    <row r="174" spans="1:39" ht="14.25" customHeight="1">
      <c r="A174" s="619"/>
      <c r="B174" s="253"/>
      <c r="C174" s="258" t="s">
        <v>216</v>
      </c>
      <c r="D174" s="259" t="s">
        <v>210</v>
      </c>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619"/>
      <c r="AM174" s="8"/>
    </row>
    <row r="175" spans="1:39" ht="14.25" customHeight="1">
      <c r="A175" s="619"/>
      <c r="B175" s="253"/>
      <c r="C175" s="258"/>
      <c r="D175" s="262" t="s">
        <v>217</v>
      </c>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619"/>
      <c r="AM175" s="8"/>
    </row>
    <row r="176" spans="1:39" ht="14.25" customHeight="1">
      <c r="A176" s="619"/>
      <c r="B176" s="619"/>
      <c r="C176" s="619"/>
      <c r="D176" s="619"/>
      <c r="E176" s="619"/>
      <c r="F176" s="619"/>
      <c r="G176" s="619"/>
      <c r="H176" s="619"/>
      <c r="I176" s="619"/>
      <c r="J176" s="619"/>
      <c r="K176" s="619"/>
      <c r="L176" s="619"/>
      <c r="M176" s="619"/>
      <c r="N176" s="619"/>
      <c r="O176" s="619"/>
      <c r="P176" s="619"/>
      <c r="Q176" s="619"/>
      <c r="R176" s="619"/>
      <c r="S176" s="619"/>
      <c r="T176" s="619"/>
      <c r="U176" s="619"/>
      <c r="V176" s="619"/>
      <c r="W176" s="619"/>
      <c r="X176" s="619"/>
      <c r="Y176" s="619"/>
      <c r="Z176" s="619"/>
      <c r="AA176" s="619"/>
      <c r="AB176" s="619"/>
      <c r="AC176" s="619"/>
      <c r="AD176" s="619"/>
      <c r="AE176" s="619"/>
      <c r="AF176" s="619"/>
      <c r="AG176" s="619"/>
      <c r="AH176" s="619"/>
      <c r="AI176" s="619"/>
      <c r="AJ176" s="619"/>
      <c r="AK176" s="619"/>
      <c r="AL176" s="619"/>
      <c r="AM176" s="8"/>
    </row>
    <row r="177" spans="1:57" ht="14.25" customHeight="1">
      <c r="A177" s="619"/>
      <c r="B177" s="23"/>
      <c r="C177" s="249"/>
      <c r="D177" s="299" t="s">
        <v>240</v>
      </c>
      <c r="E177" s="172">
        <v>2018</v>
      </c>
      <c r="F177" s="172">
        <v>2019</v>
      </c>
      <c r="G177" s="172">
        <v>2020</v>
      </c>
      <c r="H177" s="172">
        <v>2021</v>
      </c>
      <c r="I177" s="189">
        <v>2022</v>
      </c>
      <c r="J177" s="189">
        <v>2023</v>
      </c>
      <c r="K177" s="189">
        <v>2024</v>
      </c>
      <c r="L177" s="189">
        <v>2025</v>
      </c>
      <c r="M177" s="189">
        <v>2026</v>
      </c>
      <c r="N177" s="189">
        <v>2027</v>
      </c>
      <c r="O177" s="189">
        <v>2028</v>
      </c>
      <c r="P177" s="189">
        <v>2029</v>
      </c>
      <c r="Q177" s="189">
        <v>2030</v>
      </c>
      <c r="R177" s="189">
        <v>2031</v>
      </c>
      <c r="S177" s="189">
        <v>2032</v>
      </c>
      <c r="T177" s="189">
        <v>2033</v>
      </c>
      <c r="U177" s="189">
        <v>2034</v>
      </c>
      <c r="V177" s="189">
        <v>2035</v>
      </c>
      <c r="W177" s="189">
        <v>2036</v>
      </c>
      <c r="X177" s="189">
        <v>2037</v>
      </c>
      <c r="Y177" s="189">
        <v>2038</v>
      </c>
      <c r="Z177" s="189">
        <v>2039</v>
      </c>
      <c r="AA177" s="189">
        <v>2040</v>
      </c>
      <c r="AB177" s="189">
        <v>2041</v>
      </c>
      <c r="AC177" s="189">
        <v>2042</v>
      </c>
      <c r="AD177" s="189">
        <v>2043</v>
      </c>
      <c r="AE177" s="189">
        <v>2044</v>
      </c>
      <c r="AF177" s="189">
        <v>2045</v>
      </c>
      <c r="AG177" s="189">
        <v>2046</v>
      </c>
      <c r="AH177" s="189">
        <v>2047</v>
      </c>
      <c r="AI177" s="189">
        <v>2048</v>
      </c>
      <c r="AJ177" s="189">
        <v>2049</v>
      </c>
      <c r="AK177" s="218">
        <v>2050</v>
      </c>
      <c r="AL177" s="189">
        <v>2051</v>
      </c>
      <c r="AM177" s="189">
        <v>2052</v>
      </c>
      <c r="AN177" s="189">
        <v>2053</v>
      </c>
      <c r="AO177" s="189">
        <v>2054</v>
      </c>
      <c r="AP177" s="189">
        <v>2055</v>
      </c>
      <c r="AQ177" s="189">
        <v>2056</v>
      </c>
      <c r="AR177" s="189">
        <v>2057</v>
      </c>
      <c r="AS177" s="189">
        <v>2058</v>
      </c>
      <c r="AT177" s="218">
        <v>2059</v>
      </c>
      <c r="AU177" s="189">
        <v>2060</v>
      </c>
      <c r="AV177" s="189">
        <v>2061</v>
      </c>
      <c r="AW177" s="189">
        <v>2062</v>
      </c>
      <c r="AX177" s="189">
        <v>2063</v>
      </c>
      <c r="AY177" s="189">
        <v>2064</v>
      </c>
      <c r="AZ177" s="189">
        <v>2065</v>
      </c>
      <c r="BA177" s="189">
        <v>2066</v>
      </c>
      <c r="BB177" s="189">
        <v>2067</v>
      </c>
      <c r="BC177" s="218">
        <v>2068</v>
      </c>
      <c r="BD177" s="189">
        <v>2069</v>
      </c>
      <c r="BE177" s="189">
        <v>2070</v>
      </c>
    </row>
    <row r="178" spans="1:57" ht="14.25" customHeight="1">
      <c r="A178" s="619"/>
      <c r="B178" s="253"/>
      <c r="C178" s="258"/>
      <c r="D178" s="259" t="s">
        <v>185</v>
      </c>
      <c r="E178" s="629" t="s">
        <v>241</v>
      </c>
      <c r="F178" s="300"/>
      <c r="G178" s="300"/>
      <c r="H178" s="300"/>
      <c r="I178" s="300"/>
      <c r="J178" s="300"/>
      <c r="K178" s="300"/>
      <c r="L178" s="300"/>
      <c r="M178" s="300"/>
      <c r="N178" s="300"/>
      <c r="O178" s="300"/>
      <c r="P178" s="300"/>
      <c r="Q178" s="300"/>
      <c r="R178" s="300"/>
      <c r="S178" s="300"/>
      <c r="T178" s="300"/>
      <c r="U178" s="300"/>
      <c r="V178" s="300"/>
      <c r="W178" s="300"/>
      <c r="X178" s="300"/>
      <c r="Y178" s="300"/>
      <c r="Z178" s="300"/>
      <c r="AA178" s="300"/>
      <c r="AB178" s="300"/>
      <c r="AC178" s="300"/>
      <c r="AD178" s="300"/>
      <c r="AE178" s="300"/>
      <c r="AF178" s="300"/>
      <c r="AG178" s="300"/>
      <c r="AH178" s="300"/>
      <c r="AI178" s="300"/>
      <c r="AJ178" s="300"/>
      <c r="AK178" s="257"/>
      <c r="AL178" s="619"/>
      <c r="AM178" s="8"/>
      <c r="AN178" s="8"/>
      <c r="AO178" s="8"/>
      <c r="AP178" s="8"/>
      <c r="AQ178" s="8"/>
      <c r="AR178" s="8"/>
      <c r="AS178" s="8"/>
      <c r="AT178" s="8"/>
      <c r="AU178" s="8"/>
      <c r="AV178" s="8"/>
      <c r="AW178" s="8"/>
      <c r="AX178" s="8"/>
      <c r="AY178" s="8"/>
      <c r="AZ178" s="8"/>
      <c r="BA178" s="8"/>
      <c r="BB178" s="8"/>
      <c r="BC178" s="8"/>
      <c r="BD178" s="8"/>
      <c r="BE178" s="8"/>
    </row>
    <row r="179" spans="1:57" ht="14.25" customHeight="1">
      <c r="A179" s="619"/>
      <c r="B179" s="253"/>
      <c r="C179" s="258"/>
      <c r="D179" s="259" t="s">
        <v>225</v>
      </c>
      <c r="E179" s="652"/>
      <c r="F179" s="300"/>
      <c r="G179" s="300"/>
      <c r="H179" s="300"/>
      <c r="I179" s="300"/>
      <c r="J179" s="300"/>
      <c r="K179" s="300"/>
      <c r="L179" s="300"/>
      <c r="M179" s="300"/>
      <c r="N179" s="300"/>
      <c r="O179" s="300"/>
      <c r="P179" s="300"/>
      <c r="Q179" s="300"/>
      <c r="R179" s="300"/>
      <c r="S179" s="300"/>
      <c r="T179" s="300"/>
      <c r="U179" s="300"/>
      <c r="V179" s="300"/>
      <c r="W179" s="300"/>
      <c r="X179" s="300"/>
      <c r="Y179" s="300"/>
      <c r="Z179" s="300"/>
      <c r="AA179" s="300"/>
      <c r="AB179" s="300"/>
      <c r="AC179" s="300"/>
      <c r="AD179" s="300"/>
      <c r="AE179" s="300"/>
      <c r="AF179" s="300"/>
      <c r="AG179" s="300"/>
      <c r="AH179" s="300"/>
      <c r="AI179" s="300"/>
      <c r="AJ179" s="300"/>
      <c r="AK179" s="257"/>
      <c r="AL179" s="619"/>
      <c r="AM179" s="8"/>
      <c r="AN179" s="8"/>
      <c r="AO179" s="8"/>
      <c r="AP179" s="8"/>
      <c r="AQ179" s="8"/>
      <c r="AR179" s="8"/>
      <c r="AS179" s="8"/>
      <c r="AT179" s="8"/>
      <c r="AU179" s="8"/>
      <c r="AV179" s="8"/>
      <c r="AW179" s="8"/>
      <c r="AX179" s="8"/>
      <c r="AY179" s="8"/>
      <c r="AZ179" s="8"/>
      <c r="BA179" s="8"/>
      <c r="BB179" s="8"/>
      <c r="BC179" s="8"/>
      <c r="BD179" s="8"/>
      <c r="BE179" s="8"/>
    </row>
    <row r="180" spans="1:57" ht="14.25" customHeight="1">
      <c r="A180" s="619"/>
      <c r="B180" s="253"/>
      <c r="C180" s="258"/>
      <c r="D180" s="259" t="s">
        <v>226</v>
      </c>
      <c r="E180" s="652"/>
      <c r="F180" s="300"/>
      <c r="G180" s="300"/>
      <c r="H180" s="300"/>
      <c r="I180" s="300"/>
      <c r="J180" s="300"/>
      <c r="K180" s="300"/>
      <c r="L180" s="300"/>
      <c r="M180" s="300"/>
      <c r="N180" s="300"/>
      <c r="O180" s="300"/>
      <c r="P180" s="300"/>
      <c r="Q180" s="300"/>
      <c r="R180" s="300"/>
      <c r="S180" s="300"/>
      <c r="T180" s="300"/>
      <c r="U180" s="300"/>
      <c r="V180" s="300"/>
      <c r="W180" s="300"/>
      <c r="X180" s="300"/>
      <c r="Y180" s="300"/>
      <c r="Z180" s="300"/>
      <c r="AA180" s="300"/>
      <c r="AB180" s="300"/>
      <c r="AC180" s="300"/>
      <c r="AD180" s="300"/>
      <c r="AE180" s="300"/>
      <c r="AF180" s="300"/>
      <c r="AG180" s="300"/>
      <c r="AH180" s="300"/>
      <c r="AI180" s="300"/>
      <c r="AJ180" s="300"/>
      <c r="AK180" s="257"/>
      <c r="AL180" s="619"/>
      <c r="AM180" s="8"/>
      <c r="AN180" s="8"/>
      <c r="AO180" s="8"/>
      <c r="AP180" s="8"/>
      <c r="AQ180" s="8"/>
      <c r="AR180" s="8"/>
      <c r="AS180" s="8"/>
      <c r="AT180" s="8"/>
      <c r="AU180" s="8"/>
      <c r="AV180" s="8"/>
      <c r="AW180" s="8"/>
      <c r="AX180" s="8"/>
      <c r="AY180" s="8"/>
      <c r="AZ180" s="8"/>
      <c r="BA180" s="8"/>
      <c r="BB180" s="8"/>
      <c r="BC180" s="8"/>
      <c r="BD180" s="8"/>
      <c r="BE180" s="8"/>
    </row>
    <row r="181" spans="1:57" ht="14.25" customHeight="1">
      <c r="A181" s="619"/>
      <c r="B181" s="253"/>
      <c r="C181" s="258"/>
      <c r="D181" s="259" t="s">
        <v>164</v>
      </c>
      <c r="E181" s="652"/>
      <c r="F181" s="300"/>
      <c r="G181" s="300"/>
      <c r="H181" s="300"/>
      <c r="I181" s="300"/>
      <c r="J181" s="300"/>
      <c r="K181" s="300"/>
      <c r="L181" s="300"/>
      <c r="M181" s="300"/>
      <c r="N181" s="300"/>
      <c r="O181" s="300"/>
      <c r="P181" s="300"/>
      <c r="Q181" s="300"/>
      <c r="R181" s="300"/>
      <c r="S181" s="300"/>
      <c r="T181" s="300"/>
      <c r="U181" s="300"/>
      <c r="V181" s="300"/>
      <c r="W181" s="300"/>
      <c r="X181" s="300"/>
      <c r="Y181" s="300"/>
      <c r="Z181" s="300"/>
      <c r="AA181" s="300"/>
      <c r="AB181" s="300"/>
      <c r="AC181" s="300"/>
      <c r="AD181" s="300"/>
      <c r="AE181" s="300"/>
      <c r="AF181" s="300"/>
      <c r="AG181" s="300"/>
      <c r="AH181" s="300"/>
      <c r="AI181" s="300"/>
      <c r="AJ181" s="300"/>
      <c r="AK181" s="257"/>
      <c r="AL181" s="619"/>
      <c r="AM181" s="8"/>
      <c r="AN181" s="8"/>
      <c r="AO181" s="8"/>
      <c r="AP181" s="8"/>
      <c r="AQ181" s="8"/>
      <c r="AR181" s="8"/>
      <c r="AS181" s="8"/>
      <c r="AT181" s="8"/>
      <c r="AU181" s="8"/>
      <c r="AV181" s="8"/>
      <c r="AW181" s="8"/>
      <c r="AX181" s="8"/>
      <c r="AY181" s="8"/>
      <c r="AZ181" s="8"/>
      <c r="BA181" s="8"/>
      <c r="BB181" s="8"/>
      <c r="BC181" s="8"/>
      <c r="BD181" s="8"/>
      <c r="BE181" s="8"/>
    </row>
    <row r="182" spans="1:57" ht="14.25" customHeight="1">
      <c r="A182" s="619"/>
      <c r="B182" s="253"/>
      <c r="C182" s="258"/>
      <c r="D182" s="259" t="s">
        <v>177</v>
      </c>
      <c r="E182" s="652"/>
      <c r="F182" s="300"/>
      <c r="G182" s="300"/>
      <c r="H182" s="300"/>
      <c r="I182" s="300"/>
      <c r="J182" s="300"/>
      <c r="K182" s="300"/>
      <c r="L182" s="300"/>
      <c r="M182" s="300"/>
      <c r="N182" s="300"/>
      <c r="O182" s="300"/>
      <c r="P182" s="300"/>
      <c r="Q182" s="300"/>
      <c r="R182" s="300"/>
      <c r="S182" s="300"/>
      <c r="T182" s="300"/>
      <c r="U182" s="300"/>
      <c r="V182" s="300"/>
      <c r="W182" s="300"/>
      <c r="X182" s="300"/>
      <c r="Y182" s="300"/>
      <c r="Z182" s="300"/>
      <c r="AA182" s="300"/>
      <c r="AB182" s="300"/>
      <c r="AC182" s="300"/>
      <c r="AD182" s="300"/>
      <c r="AE182" s="300"/>
      <c r="AF182" s="300"/>
      <c r="AG182" s="300"/>
      <c r="AH182" s="300"/>
      <c r="AI182" s="300"/>
      <c r="AJ182" s="300"/>
      <c r="AK182" s="257"/>
      <c r="AL182" s="619"/>
      <c r="AM182" s="8"/>
      <c r="AN182" s="8"/>
      <c r="AO182" s="8"/>
      <c r="AP182" s="8"/>
      <c r="AQ182" s="8"/>
      <c r="AR182" s="8"/>
      <c r="AS182" s="8"/>
      <c r="AT182" s="8"/>
      <c r="AU182" s="8"/>
      <c r="AV182" s="8"/>
      <c r="AW182" s="8"/>
      <c r="AX182" s="8"/>
      <c r="AY182" s="8"/>
      <c r="AZ182" s="8"/>
      <c r="BA182" s="8"/>
      <c r="BB182" s="8"/>
      <c r="BC182" s="8"/>
      <c r="BD182" s="8"/>
      <c r="BE182" s="8"/>
    </row>
    <row r="183" spans="1:57" ht="14.25" customHeight="1">
      <c r="A183" s="619"/>
      <c r="B183" s="253"/>
      <c r="C183" s="258"/>
      <c r="D183" s="259" t="s">
        <v>227</v>
      </c>
      <c r="E183" s="652"/>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c r="AG183" s="300"/>
      <c r="AH183" s="300"/>
      <c r="AI183" s="300"/>
      <c r="AJ183" s="300"/>
      <c r="AK183" s="257"/>
      <c r="AL183" s="619"/>
      <c r="AM183" s="8"/>
      <c r="AN183" s="8"/>
      <c r="AO183" s="8"/>
      <c r="AP183" s="8"/>
      <c r="AQ183" s="8"/>
      <c r="AR183" s="8"/>
      <c r="AS183" s="8"/>
      <c r="AT183" s="8"/>
      <c r="AU183" s="8"/>
      <c r="AV183" s="8"/>
      <c r="AW183" s="8"/>
      <c r="AX183" s="8"/>
      <c r="AY183" s="8"/>
      <c r="AZ183" s="8"/>
      <c r="BA183" s="8"/>
      <c r="BB183" s="8"/>
      <c r="BC183" s="8"/>
      <c r="BD183" s="8"/>
      <c r="BE183" s="8"/>
    </row>
    <row r="184" spans="1:57" ht="14.25" customHeight="1">
      <c r="A184" s="619"/>
      <c r="B184" s="253"/>
      <c r="C184" s="258"/>
      <c r="D184" s="259" t="s">
        <v>228</v>
      </c>
      <c r="E184" s="652"/>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c r="AG184" s="300"/>
      <c r="AH184" s="300"/>
      <c r="AI184" s="300"/>
      <c r="AJ184" s="300"/>
      <c r="AK184" s="257"/>
      <c r="AL184" s="619"/>
      <c r="AM184" s="8"/>
      <c r="AN184" s="8"/>
      <c r="AO184" s="8"/>
      <c r="AP184" s="8"/>
      <c r="AQ184" s="8"/>
      <c r="AR184" s="8"/>
      <c r="AS184" s="8"/>
      <c r="AT184" s="8"/>
      <c r="AU184" s="8"/>
      <c r="AV184" s="8"/>
      <c r="AW184" s="8"/>
      <c r="AX184" s="8"/>
      <c r="AY184" s="8"/>
      <c r="AZ184" s="8"/>
      <c r="BA184" s="8"/>
      <c r="BB184" s="8"/>
      <c r="BC184" s="8"/>
      <c r="BD184" s="8"/>
      <c r="BE184" s="8"/>
    </row>
    <row r="185" spans="1:57" ht="14.25" customHeight="1">
      <c r="A185" s="619"/>
      <c r="B185" s="253"/>
      <c r="C185" s="258"/>
      <c r="D185" s="259" t="s">
        <v>229</v>
      </c>
      <c r="E185" s="652"/>
      <c r="F185" s="300"/>
      <c r="G185" s="300"/>
      <c r="H185" s="300"/>
      <c r="I185" s="300"/>
      <c r="J185" s="300"/>
      <c r="K185" s="300"/>
      <c r="L185" s="300"/>
      <c r="M185" s="300"/>
      <c r="N185" s="300"/>
      <c r="O185" s="300"/>
      <c r="P185" s="300"/>
      <c r="Q185" s="300"/>
      <c r="R185" s="300"/>
      <c r="S185" s="300"/>
      <c r="T185" s="300"/>
      <c r="U185" s="300"/>
      <c r="V185" s="300"/>
      <c r="W185" s="300"/>
      <c r="X185" s="300"/>
      <c r="Y185" s="300"/>
      <c r="Z185" s="300"/>
      <c r="AA185" s="300"/>
      <c r="AB185" s="300"/>
      <c r="AC185" s="300"/>
      <c r="AD185" s="300"/>
      <c r="AE185" s="300"/>
      <c r="AF185" s="300"/>
      <c r="AG185" s="300"/>
      <c r="AH185" s="300"/>
      <c r="AI185" s="300"/>
      <c r="AJ185" s="300"/>
      <c r="AK185" s="257"/>
      <c r="AL185" s="619"/>
      <c r="AM185" s="8"/>
      <c r="AN185" s="8"/>
      <c r="AO185" s="8"/>
      <c r="AP185" s="8"/>
      <c r="AQ185" s="8"/>
      <c r="AR185" s="8"/>
      <c r="AS185" s="8"/>
      <c r="AT185" s="8"/>
      <c r="AU185" s="8"/>
      <c r="AV185" s="8"/>
      <c r="AW185" s="8"/>
      <c r="AX185" s="8"/>
      <c r="AY185" s="8"/>
      <c r="AZ185" s="8"/>
      <c r="BA185" s="8"/>
      <c r="BB185" s="8"/>
      <c r="BC185" s="8"/>
      <c r="BD185" s="8"/>
      <c r="BE185" s="8"/>
    </row>
    <row r="186" spans="1:57" ht="14.25" customHeight="1">
      <c r="A186" s="619"/>
      <c r="B186" s="253"/>
      <c r="C186" s="258"/>
      <c r="D186" s="259" t="s">
        <v>230</v>
      </c>
      <c r="E186" s="652"/>
      <c r="F186" s="300"/>
      <c r="G186" s="300"/>
      <c r="H186" s="300"/>
      <c r="I186" s="300"/>
      <c r="J186" s="300"/>
      <c r="K186" s="300"/>
      <c r="L186" s="300"/>
      <c r="M186" s="300"/>
      <c r="N186" s="300"/>
      <c r="O186" s="300"/>
      <c r="P186" s="300"/>
      <c r="Q186" s="300"/>
      <c r="R186" s="300"/>
      <c r="S186" s="300"/>
      <c r="T186" s="300"/>
      <c r="U186" s="300"/>
      <c r="V186" s="300"/>
      <c r="W186" s="300"/>
      <c r="X186" s="300"/>
      <c r="Y186" s="300"/>
      <c r="Z186" s="300"/>
      <c r="AA186" s="300"/>
      <c r="AB186" s="300"/>
      <c r="AC186" s="300"/>
      <c r="AD186" s="300"/>
      <c r="AE186" s="300"/>
      <c r="AF186" s="300"/>
      <c r="AG186" s="300"/>
      <c r="AH186" s="300"/>
      <c r="AI186" s="300"/>
      <c r="AJ186" s="300"/>
      <c r="AK186" s="257"/>
      <c r="AL186" s="619"/>
      <c r="AM186" s="8"/>
      <c r="AN186" s="8"/>
      <c r="AO186" s="8"/>
      <c r="AP186" s="8"/>
      <c r="AQ186" s="8"/>
      <c r="AR186" s="8"/>
      <c r="AS186" s="8"/>
      <c r="AT186" s="8"/>
      <c r="AU186" s="8"/>
      <c r="AV186" s="8"/>
      <c r="AW186" s="8"/>
      <c r="AX186" s="8"/>
      <c r="AY186" s="8"/>
      <c r="AZ186" s="8"/>
      <c r="BA186" s="8"/>
      <c r="BB186" s="8"/>
      <c r="BC186" s="8"/>
      <c r="BD186" s="8"/>
      <c r="BE186" s="8"/>
    </row>
    <row r="187" spans="1:57" ht="14.25" customHeight="1">
      <c r="A187" s="619"/>
      <c r="B187" s="253"/>
      <c r="C187" s="258"/>
      <c r="D187" s="259" t="s">
        <v>231</v>
      </c>
      <c r="E187" s="652"/>
      <c r="F187" s="300"/>
      <c r="G187" s="300"/>
      <c r="H187" s="300"/>
      <c r="I187" s="300"/>
      <c r="J187" s="300"/>
      <c r="K187" s="300"/>
      <c r="L187" s="300"/>
      <c r="M187" s="300"/>
      <c r="N187" s="300"/>
      <c r="O187" s="300"/>
      <c r="P187" s="300"/>
      <c r="Q187" s="300"/>
      <c r="R187" s="300"/>
      <c r="S187" s="300"/>
      <c r="T187" s="300"/>
      <c r="U187" s="300"/>
      <c r="V187" s="300"/>
      <c r="W187" s="300"/>
      <c r="X187" s="300"/>
      <c r="Y187" s="300"/>
      <c r="Z187" s="300"/>
      <c r="AA187" s="300"/>
      <c r="AB187" s="300"/>
      <c r="AC187" s="300"/>
      <c r="AD187" s="300"/>
      <c r="AE187" s="300"/>
      <c r="AF187" s="300"/>
      <c r="AG187" s="300"/>
      <c r="AH187" s="300"/>
      <c r="AI187" s="300"/>
      <c r="AJ187" s="300"/>
      <c r="AK187" s="257"/>
      <c r="AL187" s="619"/>
      <c r="AM187" s="8"/>
      <c r="AN187" s="8"/>
      <c r="AO187" s="8"/>
      <c r="AP187" s="8"/>
      <c r="AQ187" s="8"/>
      <c r="AR187" s="8"/>
      <c r="AS187" s="8"/>
      <c r="AT187" s="8"/>
      <c r="AU187" s="8"/>
      <c r="AV187" s="8"/>
      <c r="AW187" s="8"/>
      <c r="AX187" s="8"/>
      <c r="AY187" s="8"/>
      <c r="AZ187" s="8"/>
      <c r="BA187" s="8"/>
      <c r="BB187" s="8"/>
      <c r="BC187" s="8"/>
      <c r="BD187" s="8"/>
      <c r="BE187" s="8"/>
    </row>
    <row r="188" spans="1:57" ht="14.25" customHeight="1">
      <c r="A188" s="619"/>
      <c r="B188" s="253"/>
      <c r="C188" s="258"/>
      <c r="D188" s="259" t="s">
        <v>232</v>
      </c>
      <c r="E188" s="652"/>
      <c r="F188" s="300"/>
      <c r="G188" s="300"/>
      <c r="H188" s="300"/>
      <c r="I188" s="300"/>
      <c r="J188" s="300"/>
      <c r="K188" s="300"/>
      <c r="L188" s="300"/>
      <c r="M188" s="300"/>
      <c r="N188" s="300"/>
      <c r="O188" s="300"/>
      <c r="P188" s="300"/>
      <c r="Q188" s="300"/>
      <c r="R188" s="300"/>
      <c r="S188" s="300"/>
      <c r="T188" s="300"/>
      <c r="U188" s="300"/>
      <c r="V188" s="300"/>
      <c r="W188" s="300"/>
      <c r="X188" s="300"/>
      <c r="Y188" s="300"/>
      <c r="Z188" s="300"/>
      <c r="AA188" s="300"/>
      <c r="AB188" s="300"/>
      <c r="AC188" s="300"/>
      <c r="AD188" s="300"/>
      <c r="AE188" s="300"/>
      <c r="AF188" s="300"/>
      <c r="AG188" s="300"/>
      <c r="AH188" s="300"/>
      <c r="AI188" s="300"/>
      <c r="AJ188" s="300"/>
      <c r="AK188" s="257"/>
      <c r="AL188" s="619"/>
      <c r="AM188" s="8"/>
      <c r="AN188" s="8"/>
      <c r="AO188" s="8"/>
      <c r="AP188" s="8"/>
      <c r="AQ188" s="8"/>
      <c r="AR188" s="8"/>
      <c r="AS188" s="8"/>
      <c r="AT188" s="8"/>
      <c r="AU188" s="8"/>
      <c r="AV188" s="8"/>
      <c r="AW188" s="8"/>
      <c r="AX188" s="8"/>
      <c r="AY188" s="8"/>
      <c r="AZ188" s="8"/>
      <c r="BA188" s="8"/>
      <c r="BB188" s="8"/>
      <c r="BC188" s="8"/>
      <c r="BD188" s="8"/>
      <c r="BE188" s="8"/>
    </row>
    <row r="189" spans="1:57" ht="14.25" customHeight="1">
      <c r="A189" s="619"/>
      <c r="B189" s="253"/>
      <c r="C189" s="258"/>
      <c r="D189" s="259"/>
      <c r="E189" s="652"/>
      <c r="F189" s="300"/>
      <c r="G189" s="300"/>
      <c r="H189" s="300"/>
      <c r="I189" s="300"/>
      <c r="J189" s="300"/>
      <c r="K189" s="300"/>
      <c r="L189" s="300"/>
      <c r="M189" s="300"/>
      <c r="N189" s="300"/>
      <c r="O189" s="300"/>
      <c r="P189" s="300"/>
      <c r="Q189" s="300"/>
      <c r="R189" s="300"/>
      <c r="S189" s="300"/>
      <c r="T189" s="300"/>
      <c r="U189" s="300"/>
      <c r="V189" s="300"/>
      <c r="W189" s="300"/>
      <c r="X189" s="300"/>
      <c r="Y189" s="300"/>
      <c r="Z189" s="300"/>
      <c r="AA189" s="300"/>
      <c r="AB189" s="300"/>
      <c r="AC189" s="300"/>
      <c r="AD189" s="300"/>
      <c r="AE189" s="300"/>
      <c r="AF189" s="300"/>
      <c r="AG189" s="300"/>
      <c r="AH189" s="300"/>
      <c r="AI189" s="300"/>
      <c r="AJ189" s="300"/>
      <c r="AK189" s="257"/>
      <c r="AL189" s="619"/>
      <c r="AM189" s="8"/>
      <c r="AN189" s="8"/>
      <c r="AO189" s="8"/>
      <c r="AP189" s="8"/>
      <c r="AQ189" s="8"/>
      <c r="AR189" s="8"/>
      <c r="AS189" s="8"/>
      <c r="AT189" s="8"/>
      <c r="AU189" s="8"/>
      <c r="AV189" s="8"/>
      <c r="AW189" s="8"/>
      <c r="AX189" s="8"/>
      <c r="AY189" s="8"/>
      <c r="AZ189" s="8"/>
      <c r="BA189" s="8"/>
      <c r="BB189" s="8"/>
      <c r="BC189" s="8"/>
      <c r="BD189" s="8"/>
      <c r="BE189" s="8"/>
    </row>
    <row r="190" spans="1:57" ht="14.25" customHeight="1">
      <c r="A190" s="619"/>
      <c r="B190" s="294"/>
      <c r="C190" s="295"/>
      <c r="D190" s="301" t="s">
        <v>239</v>
      </c>
      <c r="E190" s="656"/>
      <c r="F190" s="297"/>
      <c r="G190" s="297"/>
      <c r="H190" s="302"/>
      <c r="I190" s="302"/>
      <c r="J190" s="302"/>
      <c r="K190" s="302"/>
      <c r="L190" s="302"/>
      <c r="M190" s="302"/>
      <c r="N190" s="302"/>
      <c r="O190" s="302"/>
      <c r="P190" s="302"/>
      <c r="Q190" s="302"/>
      <c r="R190" s="302"/>
      <c r="S190" s="302"/>
      <c r="T190" s="302"/>
      <c r="U190" s="302"/>
      <c r="V190" s="302"/>
      <c r="W190" s="302"/>
      <c r="X190" s="302"/>
      <c r="Y190" s="302"/>
      <c r="Z190" s="302"/>
      <c r="AA190" s="302"/>
      <c r="AB190" s="302"/>
      <c r="AC190" s="302"/>
      <c r="AD190" s="302"/>
      <c r="AE190" s="302"/>
      <c r="AF190" s="302"/>
      <c r="AG190" s="302"/>
      <c r="AH190" s="302"/>
      <c r="AI190" s="302"/>
      <c r="AJ190" s="302"/>
      <c r="AK190" s="303"/>
      <c r="AL190" s="619"/>
      <c r="AM190" s="8"/>
      <c r="AN190" s="8"/>
      <c r="AO190" s="8"/>
      <c r="AP190" s="8"/>
      <c r="AQ190" s="8"/>
      <c r="AR190" s="8"/>
      <c r="AS190" s="8"/>
      <c r="AT190" s="8"/>
      <c r="AU190" s="8"/>
      <c r="AV190" s="8"/>
      <c r="AW190" s="8"/>
      <c r="AX190" s="8"/>
      <c r="AY190" s="8"/>
      <c r="AZ190" s="8"/>
      <c r="BA190" s="8"/>
      <c r="BB190" s="8"/>
      <c r="BC190" s="8"/>
      <c r="BD190" s="8"/>
      <c r="BE190" s="8"/>
    </row>
    <row r="191" spans="1:57" ht="14.25" customHeight="1">
      <c r="A191" s="619"/>
      <c r="B191" s="619"/>
      <c r="C191" s="619"/>
      <c r="D191" s="619"/>
      <c r="E191" s="619"/>
      <c r="F191" s="619"/>
      <c r="G191" s="619"/>
      <c r="H191" s="619"/>
      <c r="I191" s="619"/>
      <c r="J191" s="619"/>
      <c r="K191" s="619"/>
      <c r="L191" s="619"/>
      <c r="M191" s="619"/>
      <c r="N191" s="619"/>
      <c r="O191" s="619"/>
      <c r="P191" s="619"/>
      <c r="Q191" s="619"/>
      <c r="R191" s="619"/>
      <c r="S191" s="619"/>
      <c r="T191" s="619"/>
      <c r="U191" s="619"/>
      <c r="V191" s="619"/>
      <c r="W191" s="619"/>
      <c r="X191" s="619"/>
      <c r="Y191" s="619"/>
      <c r="Z191" s="619"/>
      <c r="AA191" s="619"/>
      <c r="AB191" s="619"/>
      <c r="AC191" s="619"/>
      <c r="AD191" s="619"/>
      <c r="AE191" s="619"/>
      <c r="AF191" s="619"/>
      <c r="AG191" s="619"/>
      <c r="AH191" s="619"/>
      <c r="AI191" s="619"/>
      <c r="AJ191" s="619"/>
      <c r="AK191" s="619"/>
      <c r="AL191" s="619"/>
      <c r="AM191" s="8"/>
      <c r="AN191" s="8"/>
      <c r="AO191" s="8"/>
      <c r="AP191" s="8"/>
      <c r="AQ191" s="8"/>
      <c r="AR191" s="8"/>
      <c r="AS191" s="8"/>
      <c r="AT191" s="8"/>
      <c r="AU191" s="8"/>
      <c r="AV191" s="8"/>
      <c r="AW191" s="8"/>
      <c r="AX191" s="8"/>
      <c r="AY191" s="8"/>
      <c r="AZ191" s="8"/>
      <c r="BA191" s="8"/>
      <c r="BB191" s="8"/>
      <c r="BC191" s="8"/>
      <c r="BD191" s="8"/>
      <c r="BE191" s="8"/>
    </row>
    <row r="192" spans="1:57" ht="28.9">
      <c r="A192" s="619"/>
      <c r="B192" s="23"/>
      <c r="C192" s="249"/>
      <c r="D192" s="304" t="s">
        <v>242</v>
      </c>
      <c r="E192" s="305" t="s">
        <v>243</v>
      </c>
      <c r="F192" s="306" t="s">
        <v>244</v>
      </c>
      <c r="G192" s="619"/>
      <c r="H192" s="619"/>
      <c r="I192" s="619"/>
      <c r="J192" s="619"/>
      <c r="K192" s="619"/>
      <c r="L192" s="619"/>
      <c r="M192" s="619"/>
      <c r="N192" s="619"/>
      <c r="O192" s="619"/>
      <c r="P192" s="619"/>
      <c r="Q192" s="619"/>
      <c r="R192" s="619"/>
      <c r="S192" s="619"/>
      <c r="T192" s="619"/>
      <c r="U192" s="619"/>
      <c r="V192" s="619"/>
      <c r="W192" s="619"/>
      <c r="X192" s="619"/>
      <c r="Y192" s="619"/>
      <c r="Z192" s="619"/>
      <c r="AA192" s="619"/>
      <c r="AB192" s="619"/>
      <c r="AC192" s="619"/>
      <c r="AD192" s="619"/>
      <c r="AE192" s="619"/>
      <c r="AF192" s="619"/>
      <c r="AG192" s="619"/>
      <c r="AH192" s="619"/>
      <c r="AI192" s="619"/>
      <c r="AJ192" s="619"/>
      <c r="AK192" s="619"/>
      <c r="AL192" s="619"/>
      <c r="AM192" s="8"/>
      <c r="AN192" s="8"/>
      <c r="AO192" s="8"/>
      <c r="AP192" s="8"/>
      <c r="AQ192" s="8"/>
      <c r="AR192" s="8"/>
      <c r="AS192" s="8"/>
      <c r="AT192" s="8"/>
      <c r="AU192" s="8"/>
      <c r="AV192" s="8"/>
      <c r="AW192" s="8"/>
      <c r="AX192" s="8"/>
      <c r="AY192" s="8"/>
      <c r="AZ192" s="8"/>
      <c r="BA192" s="8"/>
      <c r="BB192" s="8"/>
      <c r="BC192" s="8"/>
      <c r="BD192" s="8"/>
      <c r="BE192" s="8"/>
    </row>
    <row r="193" spans="1:39" ht="14.25" customHeight="1">
      <c r="A193" s="619"/>
      <c r="B193" s="253"/>
      <c r="C193" s="258"/>
      <c r="D193" s="259" t="s">
        <v>131</v>
      </c>
      <c r="E193" s="307">
        <v>20</v>
      </c>
      <c r="F193" s="308">
        <f t="shared" ref="F193:F202" si="4">E193+2018</f>
        <v>2038</v>
      </c>
      <c r="G193" s="619"/>
      <c r="H193" s="619"/>
      <c r="I193" s="619"/>
      <c r="J193" s="619"/>
      <c r="K193" s="619"/>
      <c r="L193" s="619"/>
      <c r="M193" s="619"/>
      <c r="N193" s="619"/>
      <c r="O193" s="619"/>
      <c r="P193" s="619"/>
      <c r="Q193" s="619"/>
      <c r="R193" s="619"/>
      <c r="S193" s="619"/>
      <c r="T193" s="619"/>
      <c r="U193" s="619"/>
      <c r="V193" s="619"/>
      <c r="W193" s="619"/>
      <c r="X193" s="619"/>
      <c r="Y193" s="619"/>
      <c r="Z193" s="619"/>
      <c r="AA193" s="619"/>
      <c r="AB193" s="619"/>
      <c r="AC193" s="619"/>
      <c r="AD193" s="619"/>
      <c r="AE193" s="619"/>
      <c r="AF193" s="619"/>
      <c r="AG193" s="619"/>
      <c r="AH193" s="619"/>
      <c r="AI193" s="619"/>
      <c r="AJ193" s="619"/>
      <c r="AK193" s="619"/>
      <c r="AL193" s="619"/>
      <c r="AM193" s="8"/>
    </row>
    <row r="194" spans="1:39" ht="14.25" customHeight="1">
      <c r="A194" s="619"/>
      <c r="B194" s="253"/>
      <c r="C194" s="258"/>
      <c r="D194" s="259" t="s">
        <v>245</v>
      </c>
      <c r="E194" s="307">
        <v>15</v>
      </c>
      <c r="F194" s="308">
        <f t="shared" si="4"/>
        <v>2033</v>
      </c>
      <c r="G194" s="619"/>
      <c r="H194" s="619"/>
      <c r="I194" s="619"/>
      <c r="J194" s="619"/>
      <c r="K194" s="619"/>
      <c r="L194" s="619"/>
      <c r="M194" s="619"/>
      <c r="N194" s="619"/>
      <c r="O194" s="619"/>
      <c r="P194" s="619"/>
      <c r="Q194" s="619"/>
      <c r="R194" s="619"/>
      <c r="S194" s="619"/>
      <c r="T194" s="619"/>
      <c r="U194" s="619"/>
      <c r="V194" s="619"/>
      <c r="W194" s="619"/>
      <c r="X194" s="619"/>
      <c r="Y194" s="619"/>
      <c r="Z194" s="619"/>
      <c r="AA194" s="619"/>
      <c r="AB194" s="619"/>
      <c r="AC194" s="619"/>
      <c r="AD194" s="619"/>
      <c r="AE194" s="619"/>
      <c r="AF194" s="619"/>
      <c r="AG194" s="619"/>
      <c r="AH194" s="619"/>
      <c r="AI194" s="619"/>
      <c r="AJ194" s="619"/>
      <c r="AK194" s="619"/>
      <c r="AL194" s="619"/>
      <c r="AM194" s="8"/>
    </row>
    <row r="195" spans="1:39" ht="14.25" customHeight="1">
      <c r="A195" s="619"/>
      <c r="B195" s="253"/>
      <c r="C195" s="258"/>
      <c r="D195" s="259" t="s">
        <v>246</v>
      </c>
      <c r="E195" s="307">
        <v>30</v>
      </c>
      <c r="F195" s="308">
        <f t="shared" si="4"/>
        <v>2048</v>
      </c>
      <c r="G195" s="619"/>
      <c r="H195" s="619"/>
      <c r="I195" s="619"/>
      <c r="J195" s="619"/>
      <c r="K195" s="619"/>
      <c r="L195" s="619"/>
      <c r="M195" s="619"/>
      <c r="N195" s="619"/>
      <c r="O195" s="619"/>
      <c r="P195" s="619"/>
      <c r="Q195" s="619"/>
      <c r="R195" s="619"/>
      <c r="S195" s="619"/>
      <c r="T195" s="619"/>
      <c r="U195" s="619"/>
      <c r="V195" s="619"/>
      <c r="W195" s="619"/>
      <c r="X195" s="619"/>
      <c r="Y195" s="619"/>
      <c r="Z195" s="619"/>
      <c r="AA195" s="619"/>
      <c r="AB195" s="619"/>
      <c r="AC195" s="619"/>
      <c r="AD195" s="619"/>
      <c r="AE195" s="619"/>
      <c r="AF195" s="619"/>
      <c r="AG195" s="619"/>
      <c r="AH195" s="619"/>
      <c r="AI195" s="619"/>
      <c r="AJ195" s="619"/>
      <c r="AK195" s="619"/>
      <c r="AL195" s="619"/>
      <c r="AM195" s="8"/>
    </row>
    <row r="196" spans="1:39" ht="14.25" customHeight="1">
      <c r="A196" s="619"/>
      <c r="B196" s="253"/>
      <c r="C196" s="258"/>
      <c r="D196" s="259" t="s">
        <v>247</v>
      </c>
      <c r="E196" s="307">
        <v>75</v>
      </c>
      <c r="F196" s="308">
        <f t="shared" si="4"/>
        <v>2093</v>
      </c>
      <c r="G196" s="619"/>
      <c r="H196" s="619"/>
      <c r="I196" s="619"/>
      <c r="J196" s="619" t="s">
        <v>248</v>
      </c>
      <c r="K196" s="619"/>
      <c r="L196" s="619"/>
      <c r="M196" s="619"/>
      <c r="N196" s="619"/>
      <c r="O196" s="619"/>
      <c r="P196" s="619"/>
      <c r="Q196" s="619"/>
      <c r="R196" s="619"/>
      <c r="S196" s="619"/>
      <c r="T196" s="619"/>
      <c r="U196" s="619"/>
      <c r="V196" s="619"/>
      <c r="W196" s="619"/>
      <c r="X196" s="619"/>
      <c r="Y196" s="619"/>
      <c r="Z196" s="619"/>
      <c r="AA196" s="619"/>
      <c r="AB196" s="619"/>
      <c r="AC196" s="619"/>
      <c r="AD196" s="619"/>
      <c r="AE196" s="619"/>
      <c r="AF196" s="619"/>
      <c r="AG196" s="619"/>
      <c r="AH196" s="619"/>
      <c r="AI196" s="619"/>
      <c r="AJ196" s="619"/>
      <c r="AK196" s="619"/>
      <c r="AL196" s="619"/>
      <c r="AM196" s="8"/>
    </row>
    <row r="197" spans="1:39" ht="14.25" customHeight="1">
      <c r="A197" s="619"/>
      <c r="B197" s="253"/>
      <c r="C197" s="258"/>
      <c r="D197" s="259" t="s">
        <v>249</v>
      </c>
      <c r="E197" s="307">
        <v>75</v>
      </c>
      <c r="F197" s="308">
        <f t="shared" si="4"/>
        <v>2093</v>
      </c>
      <c r="G197" s="619"/>
      <c r="H197" s="619"/>
      <c r="I197" s="619"/>
      <c r="J197" s="619"/>
      <c r="K197" s="619"/>
      <c r="L197" s="619"/>
      <c r="M197" s="619"/>
      <c r="N197" s="619"/>
      <c r="O197" s="619"/>
      <c r="P197" s="619"/>
      <c r="Q197" s="619"/>
      <c r="R197" s="619"/>
      <c r="S197" s="619"/>
      <c r="T197" s="619"/>
      <c r="U197" s="619"/>
      <c r="V197" s="619"/>
      <c r="W197" s="619"/>
      <c r="X197" s="619"/>
      <c r="Y197" s="619"/>
      <c r="Z197" s="619"/>
      <c r="AA197" s="619"/>
      <c r="AB197" s="619"/>
      <c r="AC197" s="619"/>
      <c r="AD197" s="619"/>
      <c r="AE197" s="619"/>
      <c r="AF197" s="619"/>
      <c r="AG197" s="619"/>
      <c r="AH197" s="619"/>
      <c r="AI197" s="619"/>
      <c r="AJ197" s="619"/>
      <c r="AK197" s="619"/>
      <c r="AL197" s="619"/>
      <c r="AM197" s="8"/>
    </row>
    <row r="198" spans="1:39" ht="14.25" customHeight="1">
      <c r="A198" s="619"/>
      <c r="B198" s="253"/>
      <c r="C198" s="258"/>
      <c r="D198" s="259" t="s">
        <v>250</v>
      </c>
      <c r="E198" s="307">
        <v>15</v>
      </c>
      <c r="F198" s="308">
        <f t="shared" si="4"/>
        <v>2033</v>
      </c>
      <c r="G198" s="619"/>
      <c r="H198" s="619"/>
      <c r="I198" s="619"/>
      <c r="J198" s="619"/>
      <c r="K198" s="619"/>
      <c r="L198" s="619"/>
      <c r="M198" s="619"/>
      <c r="N198" s="619"/>
      <c r="O198" s="619"/>
      <c r="P198" s="619"/>
      <c r="Q198" s="619"/>
      <c r="R198" s="619"/>
      <c r="S198" s="619"/>
      <c r="T198" s="619"/>
      <c r="U198" s="619"/>
      <c r="V198" s="619"/>
      <c r="W198" s="619"/>
      <c r="X198" s="619"/>
      <c r="Y198" s="619"/>
      <c r="Z198" s="619"/>
      <c r="AA198" s="619"/>
      <c r="AB198" s="619"/>
      <c r="AC198" s="619"/>
      <c r="AD198" s="619"/>
      <c r="AE198" s="619"/>
      <c r="AF198" s="619"/>
      <c r="AG198" s="619"/>
      <c r="AH198" s="619"/>
      <c r="AI198" s="619"/>
      <c r="AJ198" s="619"/>
      <c r="AK198" s="619"/>
      <c r="AL198" s="619"/>
      <c r="AM198" s="8"/>
    </row>
    <row r="199" spans="1:39" ht="14.25" customHeight="1">
      <c r="A199" s="619"/>
      <c r="B199" s="253"/>
      <c r="C199" s="258"/>
      <c r="D199" s="259" t="s">
        <v>251</v>
      </c>
      <c r="E199" s="307">
        <v>25</v>
      </c>
      <c r="F199" s="308">
        <f t="shared" si="4"/>
        <v>2043</v>
      </c>
      <c r="G199" s="619"/>
      <c r="H199" s="619"/>
      <c r="I199" s="619"/>
      <c r="J199" s="619"/>
      <c r="K199" s="619"/>
      <c r="L199" s="619"/>
      <c r="M199" s="619"/>
      <c r="N199" s="619"/>
      <c r="O199" s="619"/>
      <c r="P199" s="619"/>
      <c r="Q199" s="619"/>
      <c r="R199" s="619"/>
      <c r="S199" s="619"/>
      <c r="T199" s="619"/>
      <c r="U199" s="619"/>
      <c r="V199" s="619"/>
      <c r="W199" s="619"/>
      <c r="X199" s="619"/>
      <c r="Y199" s="619"/>
      <c r="Z199" s="619"/>
      <c r="AA199" s="619"/>
      <c r="AB199" s="619"/>
      <c r="AC199" s="619"/>
      <c r="AD199" s="619"/>
      <c r="AE199" s="619"/>
      <c r="AF199" s="619"/>
      <c r="AG199" s="619"/>
      <c r="AH199" s="619"/>
      <c r="AI199" s="619"/>
      <c r="AJ199" s="619"/>
      <c r="AK199" s="619"/>
      <c r="AL199" s="619"/>
      <c r="AM199" s="8"/>
    </row>
    <row r="200" spans="1:39" ht="14.25" customHeight="1">
      <c r="A200" s="619"/>
      <c r="B200" s="253"/>
      <c r="C200" s="258"/>
      <c r="D200" s="259" t="s">
        <v>252</v>
      </c>
      <c r="E200" s="307">
        <v>20</v>
      </c>
      <c r="F200" s="308">
        <f t="shared" si="4"/>
        <v>2038</v>
      </c>
      <c r="G200" s="619"/>
      <c r="H200" s="619"/>
      <c r="I200" s="619"/>
      <c r="J200" s="619"/>
      <c r="K200" s="619"/>
      <c r="L200" s="619"/>
      <c r="M200" s="619"/>
      <c r="N200" s="619"/>
      <c r="O200" s="619"/>
      <c r="P200" s="619"/>
      <c r="Q200" s="619"/>
      <c r="R200" s="619"/>
      <c r="S200" s="619"/>
      <c r="T200" s="619"/>
      <c r="U200" s="619"/>
      <c r="V200" s="619"/>
      <c r="W200" s="619"/>
      <c r="X200" s="619"/>
      <c r="Y200" s="619"/>
      <c r="Z200" s="619"/>
      <c r="AA200" s="619"/>
      <c r="AB200" s="619"/>
      <c r="AC200" s="619"/>
      <c r="AD200" s="619"/>
      <c r="AE200" s="619"/>
      <c r="AF200" s="619"/>
      <c r="AG200" s="619"/>
      <c r="AH200" s="619"/>
      <c r="AI200" s="619"/>
      <c r="AJ200" s="619"/>
      <c r="AK200" s="619"/>
      <c r="AL200" s="619"/>
      <c r="AM200" s="8"/>
    </row>
    <row r="201" spans="1:39" ht="14.25" customHeight="1">
      <c r="A201" s="619"/>
      <c r="B201" s="253"/>
      <c r="C201" s="258"/>
      <c r="D201" s="259" t="s">
        <v>253</v>
      </c>
      <c r="E201" s="307">
        <v>40</v>
      </c>
      <c r="F201" s="308">
        <f t="shared" si="4"/>
        <v>2058</v>
      </c>
      <c r="G201" s="619"/>
      <c r="H201" s="619"/>
      <c r="I201" s="619"/>
      <c r="J201" s="619"/>
      <c r="K201" s="619"/>
      <c r="L201" s="619"/>
      <c r="M201" s="619"/>
      <c r="N201" s="619"/>
      <c r="O201" s="619"/>
      <c r="P201" s="619"/>
      <c r="Q201" s="619"/>
      <c r="R201" s="619"/>
      <c r="S201" s="619"/>
      <c r="T201" s="619"/>
      <c r="U201" s="619"/>
      <c r="V201" s="619"/>
      <c r="W201" s="619"/>
      <c r="X201" s="619"/>
      <c r="Y201" s="619"/>
      <c r="Z201" s="619"/>
      <c r="AA201" s="619"/>
      <c r="AB201" s="619"/>
      <c r="AC201" s="619"/>
      <c r="AD201" s="619"/>
      <c r="AE201" s="619"/>
      <c r="AF201" s="619"/>
      <c r="AG201" s="619"/>
      <c r="AH201" s="619"/>
      <c r="AI201" s="619"/>
      <c r="AJ201" s="619"/>
      <c r="AK201" s="619"/>
      <c r="AL201" s="619"/>
      <c r="AM201" s="8"/>
    </row>
    <row r="202" spans="1:39" ht="14.25" customHeight="1">
      <c r="A202" s="619"/>
      <c r="B202" s="253"/>
      <c r="C202" s="258"/>
      <c r="D202" s="259" t="s">
        <v>254</v>
      </c>
      <c r="E202" s="307">
        <v>30</v>
      </c>
      <c r="F202" s="308">
        <f t="shared" si="4"/>
        <v>2048</v>
      </c>
      <c r="G202" s="619"/>
      <c r="H202" s="619"/>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619"/>
      <c r="AM202" s="8"/>
    </row>
    <row r="203" spans="1:39" ht="14.25" customHeight="1">
      <c r="A203" s="619"/>
      <c r="B203" s="253"/>
      <c r="C203" s="258"/>
      <c r="D203" s="259" t="s">
        <v>255</v>
      </c>
      <c r="E203" s="307" t="s">
        <v>186</v>
      </c>
      <c r="F203" s="308"/>
      <c r="G203" s="619"/>
      <c r="H203" s="619"/>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619"/>
      <c r="AM203" s="8"/>
    </row>
    <row r="204" spans="1:39" ht="14.25" customHeight="1">
      <c r="A204" s="619"/>
      <c r="B204" s="253"/>
      <c r="C204" s="258"/>
      <c r="D204" s="259" t="s">
        <v>256</v>
      </c>
      <c r="E204" s="307">
        <v>25</v>
      </c>
      <c r="F204" s="308">
        <f t="shared" ref="F204:F208" si="5">E204+2018</f>
        <v>2043</v>
      </c>
      <c r="G204" s="619"/>
      <c r="H204" s="619"/>
      <c r="I204" s="619"/>
      <c r="J204" s="619"/>
      <c r="K204" s="619"/>
      <c r="L204" s="619"/>
      <c r="M204" s="619"/>
      <c r="N204" s="619"/>
      <c r="O204" s="619"/>
      <c r="P204" s="619"/>
      <c r="Q204" s="619"/>
      <c r="R204" s="619"/>
      <c r="S204" s="619"/>
      <c r="T204" s="619"/>
      <c r="U204" s="619"/>
      <c r="V204" s="619"/>
      <c r="W204" s="619"/>
      <c r="X204" s="619"/>
      <c r="Y204" s="619"/>
      <c r="Z204" s="619"/>
      <c r="AA204" s="619"/>
      <c r="AB204" s="619"/>
      <c r="AC204" s="619"/>
      <c r="AD204" s="619"/>
      <c r="AE204" s="619"/>
      <c r="AF204" s="619"/>
      <c r="AG204" s="619"/>
      <c r="AH204" s="619"/>
      <c r="AI204" s="619"/>
      <c r="AJ204" s="619"/>
      <c r="AK204" s="619"/>
      <c r="AL204" s="619"/>
      <c r="AM204" s="8"/>
    </row>
    <row r="205" spans="1:39" ht="14.25" customHeight="1">
      <c r="A205" s="619"/>
      <c r="B205" s="253"/>
      <c r="C205" s="258"/>
      <c r="D205" s="259" t="s">
        <v>257</v>
      </c>
      <c r="E205" s="307">
        <v>21</v>
      </c>
      <c r="F205" s="308">
        <f t="shared" si="5"/>
        <v>2039</v>
      </c>
      <c r="G205" s="619"/>
      <c r="H205" s="619"/>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619"/>
      <c r="AM205" s="8"/>
    </row>
    <row r="206" spans="1:39" ht="14.25" customHeight="1">
      <c r="A206" s="619"/>
      <c r="B206" s="253"/>
      <c r="C206" s="258"/>
      <c r="D206" s="259" t="s">
        <v>258</v>
      </c>
      <c r="E206" s="307">
        <v>20</v>
      </c>
      <c r="F206" s="308">
        <f t="shared" si="5"/>
        <v>2038</v>
      </c>
      <c r="G206" s="619"/>
      <c r="H206" s="619"/>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619"/>
      <c r="AM206" s="8"/>
    </row>
    <row r="207" spans="1:39" ht="14.25" customHeight="1">
      <c r="A207" s="619"/>
      <c r="B207" s="253"/>
      <c r="C207" s="258"/>
      <c r="D207" s="259" t="s">
        <v>259</v>
      </c>
      <c r="E207" s="307">
        <v>20</v>
      </c>
      <c r="F207" s="308">
        <f t="shared" si="5"/>
        <v>2038</v>
      </c>
      <c r="G207" s="619"/>
      <c r="H207" s="619"/>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619"/>
      <c r="AM207" s="8"/>
    </row>
    <row r="208" spans="1:39" ht="14.25" customHeight="1">
      <c r="A208" s="619"/>
      <c r="B208" s="294"/>
      <c r="C208" s="295"/>
      <c r="D208" s="301" t="s">
        <v>260</v>
      </c>
      <c r="E208" s="309">
        <v>30</v>
      </c>
      <c r="F208" s="310">
        <f t="shared" si="5"/>
        <v>2048</v>
      </c>
      <c r="G208" s="619"/>
      <c r="H208" s="619"/>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619"/>
      <c r="AM208" s="8"/>
    </row>
    <row r="209" spans="1:39" ht="14.25" customHeight="1">
      <c r="A209" s="619"/>
      <c r="B209" s="619"/>
      <c r="C209" s="619"/>
      <c r="D209" s="619"/>
      <c r="E209" s="619"/>
      <c r="F209" s="619"/>
      <c r="G209" s="619"/>
      <c r="H209" s="619"/>
      <c r="I209" s="16" t="s">
        <v>261</v>
      </c>
      <c r="J209" s="8"/>
      <c r="K209" s="8"/>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619"/>
      <c r="AM209" s="8"/>
    </row>
    <row r="210" spans="1:39" ht="14.25" customHeight="1">
      <c r="A210" s="619"/>
      <c r="B210" s="23"/>
      <c r="C210" s="249"/>
      <c r="D210" s="304" t="s">
        <v>262</v>
      </c>
      <c r="E210" s="311"/>
      <c r="F210" s="619"/>
      <c r="G210" s="619"/>
      <c r="H210" s="619"/>
      <c r="I210" s="34" t="s">
        <v>133</v>
      </c>
      <c r="J210" s="30">
        <f>E217</f>
        <v>0.01</v>
      </c>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619"/>
      <c r="AM210" s="8"/>
    </row>
    <row r="211" spans="1:39" ht="14.25" customHeight="1">
      <c r="A211" s="619"/>
      <c r="B211" s="253"/>
      <c r="C211" s="258"/>
      <c r="D211" s="281" t="s">
        <v>185</v>
      </c>
      <c r="E211" s="271"/>
      <c r="F211" s="619"/>
      <c r="G211" s="619"/>
      <c r="H211" s="619"/>
      <c r="I211" s="35" t="s">
        <v>263</v>
      </c>
      <c r="J211" s="30">
        <f>E212+E214+E215+E218+E219+E220+E221</f>
        <v>0.98730000000000007</v>
      </c>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619"/>
      <c r="AM211" s="8"/>
    </row>
    <row r="212" spans="1:39" ht="14.25" customHeight="1">
      <c r="A212" s="1"/>
      <c r="B212" s="253"/>
      <c r="C212" s="35" t="s">
        <v>263</v>
      </c>
      <c r="D212" s="259" t="s">
        <v>264</v>
      </c>
      <c r="E212" s="312">
        <f>'Copia de Electricidad'!D172/1000</f>
        <v>0.73</v>
      </c>
      <c r="F212" s="8"/>
      <c r="G212" s="619"/>
      <c r="H212" s="619"/>
      <c r="I212" s="34" t="s">
        <v>163</v>
      </c>
      <c r="J212" s="30">
        <f>E213</f>
        <v>9.2999999999999999E-2</v>
      </c>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619"/>
      <c r="AM212" s="8"/>
    </row>
    <row r="213" spans="1:39" ht="14.25" customHeight="1">
      <c r="A213" s="1"/>
      <c r="B213" s="253"/>
      <c r="C213" s="34" t="s">
        <v>163</v>
      </c>
      <c r="D213" s="259" t="s">
        <v>265</v>
      </c>
      <c r="E213" s="312">
        <f>'Copia de Electricidad'!D173/1000</f>
        <v>9.2999999999999999E-2</v>
      </c>
      <c r="F213" s="8"/>
      <c r="G213" s="619"/>
      <c r="H213" s="619"/>
      <c r="I213" s="35" t="s">
        <v>151</v>
      </c>
      <c r="J213" s="30">
        <f>E216</f>
        <v>7.0000000000000007E-2</v>
      </c>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619"/>
      <c r="AM213" s="8"/>
    </row>
    <row r="214" spans="1:39" ht="14.25" customHeight="1">
      <c r="A214" s="1"/>
      <c r="B214" s="253"/>
      <c r="C214" s="35" t="s">
        <v>263</v>
      </c>
      <c r="D214" s="259" t="s">
        <v>266</v>
      </c>
      <c r="E214" s="312">
        <f>'Copia de Electricidad'!D174/1000</f>
        <v>1.0999999999999999E-2</v>
      </c>
      <c r="F214" s="8"/>
      <c r="G214" s="619"/>
      <c r="H214" s="619"/>
      <c r="I214" s="36" t="s">
        <v>267</v>
      </c>
      <c r="J214" s="30">
        <f>E223</f>
        <v>0.9</v>
      </c>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619"/>
      <c r="AM214" s="8"/>
    </row>
    <row r="215" spans="1:39" ht="14.25" customHeight="1">
      <c r="A215" s="1"/>
      <c r="B215" s="253"/>
      <c r="C215" s="35" t="s">
        <v>263</v>
      </c>
      <c r="D215" s="259" t="s">
        <v>268</v>
      </c>
      <c r="E215" s="312">
        <f>'Copia de Electricidad'!D175/1000</f>
        <v>1.4999999999999999E-2</v>
      </c>
      <c r="F215" s="8"/>
      <c r="G215" s="619"/>
      <c r="H215" s="619"/>
      <c r="I215" s="258" t="s">
        <v>165</v>
      </c>
      <c r="J215" s="619">
        <f>F231</f>
        <v>2.7400000000000004E-2</v>
      </c>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619"/>
      <c r="AM215" s="8"/>
    </row>
    <row r="216" spans="1:39" ht="14.25" customHeight="1">
      <c r="A216" s="1"/>
      <c r="B216" s="253"/>
      <c r="C216" s="35" t="s">
        <v>151</v>
      </c>
      <c r="D216" s="259" t="s">
        <v>269</v>
      </c>
      <c r="E216" s="312">
        <f>'Copia de Electricidad'!D176/1000</f>
        <v>7.0000000000000007E-2</v>
      </c>
      <c r="F216" s="8"/>
      <c r="G216" s="619"/>
      <c r="H216" s="619"/>
      <c r="I216" s="258" t="s">
        <v>167</v>
      </c>
      <c r="J216" s="619">
        <v>0.2054</v>
      </c>
      <c r="K216" s="619" t="s">
        <v>270</v>
      </c>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619"/>
      <c r="AM216" s="8"/>
    </row>
    <row r="217" spans="1:39" ht="14.25" customHeight="1">
      <c r="A217" s="1"/>
      <c r="B217" s="253"/>
      <c r="C217" s="34" t="s">
        <v>133</v>
      </c>
      <c r="D217" s="313" t="s">
        <v>271</v>
      </c>
      <c r="E217" s="312">
        <f>'Copia de Electricidad'!D177/1000</f>
        <v>0.01</v>
      </c>
      <c r="F217" s="8"/>
      <c r="G217" s="619"/>
      <c r="H217" s="619"/>
      <c r="I217" s="258" t="s">
        <v>169</v>
      </c>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619"/>
      <c r="AM217" s="8"/>
    </row>
    <row r="218" spans="1:39" ht="14.25" customHeight="1">
      <c r="A218" s="1"/>
      <c r="B218" s="253"/>
      <c r="C218" s="35" t="s">
        <v>263</v>
      </c>
      <c r="D218" s="313" t="s">
        <v>272</v>
      </c>
      <c r="E218" s="312">
        <f>'Copia de Electricidad'!D178/1000</f>
        <v>0.16</v>
      </c>
      <c r="F218" s="8"/>
      <c r="G218" s="619"/>
      <c r="H218" s="619"/>
      <c r="I218" s="258" t="s">
        <v>171</v>
      </c>
      <c r="J218" s="30">
        <f t="shared" ref="J218:J220" si="6">F234</f>
        <v>0</v>
      </c>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619"/>
      <c r="AM218" s="8"/>
    </row>
    <row r="219" spans="1:39" ht="14.25" customHeight="1">
      <c r="A219" s="1"/>
      <c r="B219" s="253"/>
      <c r="C219" s="35" t="s">
        <v>263</v>
      </c>
      <c r="D219" s="259" t="s">
        <v>273</v>
      </c>
      <c r="E219" s="312">
        <f>'Copia de Electricidad'!D179/1000</f>
        <v>3.1300000000000001E-2</v>
      </c>
      <c r="F219" s="8"/>
      <c r="G219" s="619"/>
      <c r="H219" s="619"/>
      <c r="I219" s="258" t="s">
        <v>173</v>
      </c>
      <c r="J219" s="30">
        <f t="shared" si="6"/>
        <v>0.51917999999999997</v>
      </c>
      <c r="K219" s="619"/>
      <c r="L219" s="619"/>
      <c r="M219" s="619"/>
      <c r="N219" s="619"/>
      <c r="O219" s="619"/>
      <c r="P219" s="619"/>
      <c r="Q219" s="619"/>
      <c r="R219" s="619"/>
      <c r="S219" s="619"/>
      <c r="T219" s="619"/>
      <c r="U219" s="619"/>
      <c r="V219" s="619"/>
      <c r="W219" s="619"/>
      <c r="X219" s="619"/>
      <c r="Y219" s="619"/>
      <c r="Z219" s="619"/>
      <c r="AA219" s="619"/>
      <c r="AB219" s="619"/>
      <c r="AC219" s="619"/>
      <c r="AD219" s="619"/>
      <c r="AE219" s="619"/>
      <c r="AF219" s="619"/>
      <c r="AG219" s="619"/>
      <c r="AH219" s="619"/>
      <c r="AI219" s="619"/>
      <c r="AJ219" s="619"/>
      <c r="AK219" s="619"/>
      <c r="AL219" s="619"/>
      <c r="AM219" s="8"/>
    </row>
    <row r="220" spans="1:39" ht="14.25" customHeight="1">
      <c r="A220" s="1"/>
      <c r="B220" s="253"/>
      <c r="C220" s="35" t="s">
        <v>263</v>
      </c>
      <c r="D220" s="313" t="s">
        <v>274</v>
      </c>
      <c r="E220" s="312">
        <f>'Copia de Electricidad'!D180/1000</f>
        <v>0.03</v>
      </c>
      <c r="F220" s="8"/>
      <c r="G220" s="619"/>
      <c r="H220" s="619"/>
      <c r="I220" s="258" t="s">
        <v>175</v>
      </c>
      <c r="J220" s="30">
        <f t="shared" si="6"/>
        <v>1.7808000000000002</v>
      </c>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619"/>
      <c r="AM220" s="8"/>
    </row>
    <row r="221" spans="1:39" ht="14.25" customHeight="1">
      <c r="A221" s="1"/>
      <c r="B221" s="253"/>
      <c r="C221" s="35" t="s">
        <v>263</v>
      </c>
      <c r="D221" s="259" t="s">
        <v>275</v>
      </c>
      <c r="E221" s="312">
        <f>'Copia de Electricidad'!D181/1000</f>
        <v>0.01</v>
      </c>
      <c r="F221" s="8"/>
      <c r="G221" s="619"/>
      <c r="H221" s="619"/>
      <c r="I221" s="258"/>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619"/>
      <c r="AM221" s="8"/>
    </row>
    <row r="222" spans="1:39" ht="14.25" customHeight="1">
      <c r="A222" s="1"/>
      <c r="B222" s="253"/>
      <c r="C222" s="258"/>
      <c r="D222" s="281" t="s">
        <v>226</v>
      </c>
      <c r="E222" s="312"/>
      <c r="F222" s="8"/>
      <c r="G222" s="619"/>
      <c r="H222" s="619"/>
      <c r="I222" s="258" t="s">
        <v>178</v>
      </c>
      <c r="J222" s="619">
        <f>G231</f>
        <v>0.10960000000000002</v>
      </c>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619"/>
      <c r="AM222" s="8"/>
    </row>
    <row r="223" spans="1:39" ht="14.25" customHeight="1">
      <c r="A223" s="619"/>
      <c r="B223" s="253"/>
      <c r="C223" s="36" t="s">
        <v>267</v>
      </c>
      <c r="D223" s="259" t="s">
        <v>276</v>
      </c>
      <c r="E223" s="312">
        <f>'Copia de Electricidad'!D183/1000</f>
        <v>0.9</v>
      </c>
      <c r="F223" s="8"/>
      <c r="G223" s="619"/>
      <c r="H223" s="619"/>
      <c r="I223" s="258" t="s">
        <v>179</v>
      </c>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619"/>
      <c r="AM223" s="8"/>
    </row>
    <row r="224" spans="1:39" ht="14.25" customHeight="1">
      <c r="A224" s="619"/>
      <c r="B224" s="253"/>
      <c r="C224" s="258"/>
      <c r="D224" s="281" t="s">
        <v>277</v>
      </c>
      <c r="E224" s="271"/>
      <c r="F224" s="8"/>
      <c r="G224" s="619"/>
      <c r="H224" s="619"/>
      <c r="I224" s="258" t="s">
        <v>180</v>
      </c>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619"/>
      <c r="AL224" s="619"/>
      <c r="AM224" s="8"/>
    </row>
    <row r="225" spans="1:39" ht="14.25" customHeight="1">
      <c r="A225" s="619"/>
      <c r="B225" s="253"/>
      <c r="C225" s="258"/>
      <c r="D225" s="259" t="s">
        <v>278</v>
      </c>
      <c r="E225" s="312">
        <f>'Copia de Electricidad'!D185/1000</f>
        <v>91</v>
      </c>
      <c r="F225" s="8"/>
      <c r="G225" s="619"/>
      <c r="H225" s="619"/>
      <c r="I225" s="258" t="s">
        <v>181</v>
      </c>
      <c r="J225" s="30">
        <f t="shared" ref="J225:J227" si="7">G234</f>
        <v>1.4368999999999998</v>
      </c>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619"/>
      <c r="AL225" s="619"/>
      <c r="AM225" s="8"/>
    </row>
    <row r="226" spans="1:39" ht="14.25" customHeight="1">
      <c r="A226" s="619"/>
      <c r="B226" s="253"/>
      <c r="C226" s="258"/>
      <c r="D226" s="259" t="s">
        <v>279</v>
      </c>
      <c r="E226" s="312">
        <f>'Copia de Electricidad'!D186/1000</f>
        <v>31</v>
      </c>
      <c r="F226" s="8"/>
      <c r="G226" s="619"/>
      <c r="H226" s="619"/>
      <c r="I226" s="258" t="s">
        <v>182</v>
      </c>
      <c r="J226" s="619">
        <f t="shared" si="7"/>
        <v>2.0767199999999999</v>
      </c>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619"/>
      <c r="AL226" s="619"/>
      <c r="AM226" s="8"/>
    </row>
    <row r="227" spans="1:39" ht="14.25" customHeight="1">
      <c r="A227" s="619"/>
      <c r="B227" s="253"/>
      <c r="C227" s="258"/>
      <c r="D227" s="259" t="s">
        <v>280</v>
      </c>
      <c r="E227" s="312">
        <f>'Copia de Electricidad'!D187/1000</f>
        <v>22</v>
      </c>
      <c r="F227" s="8"/>
      <c r="G227" s="619"/>
      <c r="H227" s="619"/>
      <c r="I227" s="258" t="s">
        <v>183</v>
      </c>
      <c r="J227" s="619">
        <f t="shared" si="7"/>
        <v>7.1232000000000006</v>
      </c>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619"/>
      <c r="AL227" s="619"/>
      <c r="AM227" s="8"/>
    </row>
    <row r="228" spans="1:39" ht="14.25" customHeight="1">
      <c r="A228" s="619"/>
      <c r="B228" s="253"/>
      <c r="C228" s="258"/>
      <c r="D228" s="259" t="s">
        <v>281</v>
      </c>
      <c r="E228" s="312">
        <f>'Copia de Electricidad'!D188/1000</f>
        <v>16.5</v>
      </c>
      <c r="F228" s="8"/>
      <c r="G228" s="619"/>
      <c r="H228" s="619"/>
      <c r="I228" s="258" t="s">
        <v>135</v>
      </c>
      <c r="J228" s="314">
        <f>E240</f>
        <v>1.6910000000000001</v>
      </c>
      <c r="K228" s="315" t="s">
        <v>282</v>
      </c>
      <c r="L228" s="619"/>
      <c r="M228" s="619"/>
      <c r="N228" s="619"/>
      <c r="O228" s="619"/>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619"/>
      <c r="AL228" s="619"/>
      <c r="AM228" s="8"/>
    </row>
    <row r="229" spans="1:39" ht="14.25" customHeight="1">
      <c r="A229" s="619"/>
      <c r="B229" s="253"/>
      <c r="C229" s="258"/>
      <c r="D229" s="259" t="s">
        <v>283</v>
      </c>
      <c r="E229" s="312" t="s">
        <v>186</v>
      </c>
      <c r="F229" s="630" t="s">
        <v>284</v>
      </c>
      <c r="G229" s="651"/>
      <c r="H229" s="619"/>
      <c r="I229" s="258" t="s">
        <v>142</v>
      </c>
      <c r="J229" s="30">
        <f>E238</f>
        <v>18</v>
      </c>
      <c r="K229" s="619"/>
      <c r="L229" s="619"/>
      <c r="M229" s="619"/>
      <c r="N229" s="619"/>
      <c r="O229" s="619"/>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619"/>
      <c r="AL229" s="619"/>
      <c r="AM229" s="8"/>
    </row>
    <row r="230" spans="1:39" ht="14.25" customHeight="1">
      <c r="A230" s="619"/>
      <c r="B230" s="253"/>
      <c r="C230" s="258"/>
      <c r="D230" s="316" t="s">
        <v>285</v>
      </c>
      <c r="E230" s="312"/>
      <c r="F230" s="619" t="s">
        <v>286</v>
      </c>
      <c r="G230" s="619" t="s">
        <v>287</v>
      </c>
      <c r="H230" s="619"/>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619"/>
      <c r="AL230" s="619"/>
      <c r="AM230" s="8"/>
    </row>
    <row r="231" spans="1:39" ht="14.25" customHeight="1">
      <c r="A231" s="619"/>
      <c r="B231" s="253"/>
      <c r="C231" s="258"/>
      <c r="D231" s="317" t="s">
        <v>288</v>
      </c>
      <c r="E231" s="318">
        <f>'Copia de Electricidad'!D191/1000</f>
        <v>0.13700000000000001</v>
      </c>
      <c r="F231" s="619">
        <f>20%*E231</f>
        <v>2.7400000000000004E-2</v>
      </c>
      <c r="G231" s="619">
        <f>80%*E231</f>
        <v>0.10960000000000002</v>
      </c>
      <c r="H231" s="619"/>
      <c r="I231" s="619"/>
      <c r="J231" s="619"/>
      <c r="K231" s="619"/>
      <c r="L231" s="619"/>
      <c r="M231" s="619"/>
      <c r="N231" s="619"/>
      <c r="O231" s="619"/>
      <c r="P231" s="619"/>
      <c r="Q231" s="619"/>
      <c r="R231" s="619"/>
      <c r="S231" s="619"/>
      <c r="T231" s="619"/>
      <c r="U231" s="619"/>
      <c r="V231" s="619"/>
      <c r="W231" s="619"/>
      <c r="X231" s="619"/>
      <c r="Y231" s="619"/>
      <c r="Z231" s="619"/>
      <c r="AA231" s="619"/>
      <c r="AB231" s="619"/>
      <c r="AC231" s="619"/>
      <c r="AD231" s="619"/>
      <c r="AE231" s="619"/>
      <c r="AF231" s="619"/>
      <c r="AG231" s="619"/>
      <c r="AH231" s="619"/>
      <c r="AI231" s="619"/>
      <c r="AJ231" s="619"/>
      <c r="AK231" s="619"/>
      <c r="AL231" s="619"/>
      <c r="AM231" s="8"/>
    </row>
    <row r="232" spans="1:39" ht="14.25" customHeight="1">
      <c r="A232" s="619"/>
      <c r="B232" s="253"/>
      <c r="C232" s="258"/>
      <c r="D232" s="317" t="s">
        <v>289</v>
      </c>
      <c r="E232" s="318" t="s">
        <v>186</v>
      </c>
      <c r="F232" s="619"/>
      <c r="G232" s="619"/>
      <c r="H232" s="619"/>
      <c r="I232" s="619"/>
      <c r="J232" s="619"/>
      <c r="K232" s="619"/>
      <c r="L232" s="619"/>
      <c r="M232" s="619"/>
      <c r="N232" s="619"/>
      <c r="O232" s="619"/>
      <c r="P232" s="619"/>
      <c r="Q232" s="619"/>
      <c r="R232" s="619"/>
      <c r="S232" s="619"/>
      <c r="T232" s="619"/>
      <c r="U232" s="619"/>
      <c r="V232" s="619"/>
      <c r="W232" s="619"/>
      <c r="X232" s="619"/>
      <c r="Y232" s="619"/>
      <c r="Z232" s="619"/>
      <c r="AA232" s="619"/>
      <c r="AB232" s="619"/>
      <c r="AC232" s="619"/>
      <c r="AD232" s="619"/>
      <c r="AE232" s="619"/>
      <c r="AF232" s="619"/>
      <c r="AG232" s="619"/>
      <c r="AH232" s="619"/>
      <c r="AI232" s="619"/>
      <c r="AJ232" s="619"/>
      <c r="AK232" s="619"/>
      <c r="AL232" s="619"/>
      <c r="AM232" s="8"/>
    </row>
    <row r="233" spans="1:39" ht="14.25" customHeight="1">
      <c r="A233" s="619"/>
      <c r="B233" s="253"/>
      <c r="C233" s="258"/>
      <c r="D233" s="317" t="s">
        <v>290</v>
      </c>
      <c r="E233" s="318" t="s">
        <v>186</v>
      </c>
      <c r="F233" s="619"/>
      <c r="G233" s="619"/>
      <c r="H233" s="619"/>
      <c r="I233" s="619"/>
      <c r="J233" s="619"/>
      <c r="K233" s="619"/>
      <c r="L233" s="619"/>
      <c r="M233" s="619"/>
      <c r="N233" s="619"/>
      <c r="O233" s="619"/>
      <c r="P233" s="619"/>
      <c r="Q233" s="619"/>
      <c r="R233" s="619"/>
      <c r="S233" s="619"/>
      <c r="T233" s="619"/>
      <c r="U233" s="619"/>
      <c r="V233" s="619"/>
      <c r="W233" s="619"/>
      <c r="X233" s="619"/>
      <c r="Y233" s="619"/>
      <c r="Z233" s="619"/>
      <c r="AA233" s="619"/>
      <c r="AB233" s="619"/>
      <c r="AC233" s="619"/>
      <c r="AD233" s="619"/>
      <c r="AE233" s="619"/>
      <c r="AF233" s="619"/>
      <c r="AG233" s="619"/>
      <c r="AH233" s="619"/>
      <c r="AI233" s="619"/>
      <c r="AJ233" s="619"/>
      <c r="AK233" s="619"/>
      <c r="AL233" s="619"/>
      <c r="AM233" s="8"/>
    </row>
    <row r="234" spans="1:39" ht="14.25" customHeight="1">
      <c r="A234" s="619"/>
      <c r="B234" s="253"/>
      <c r="C234" s="258"/>
      <c r="D234" s="317" t="s">
        <v>291</v>
      </c>
      <c r="E234" s="318">
        <f>'Copia de Electricidad'!D194/1000</f>
        <v>1.4368999999999998</v>
      </c>
      <c r="F234" s="30"/>
      <c r="G234" s="30">
        <f>E234</f>
        <v>1.4368999999999998</v>
      </c>
      <c r="H234" s="619"/>
      <c r="I234" s="619"/>
      <c r="J234" s="619"/>
      <c r="K234" s="619"/>
      <c r="L234" s="619"/>
      <c r="M234" s="619"/>
      <c r="N234" s="619"/>
      <c r="O234" s="619"/>
      <c r="P234" s="619"/>
      <c r="Q234" s="619"/>
      <c r="R234" s="619"/>
      <c r="S234" s="619"/>
      <c r="T234" s="619"/>
      <c r="U234" s="619"/>
      <c r="V234" s="619"/>
      <c r="W234" s="619"/>
      <c r="X234" s="619"/>
      <c r="Y234" s="619"/>
      <c r="Z234" s="619"/>
      <c r="AA234" s="619"/>
      <c r="AB234" s="619"/>
      <c r="AC234" s="619"/>
      <c r="AD234" s="619"/>
      <c r="AE234" s="619"/>
      <c r="AF234" s="619"/>
      <c r="AG234" s="619"/>
      <c r="AH234" s="619"/>
      <c r="AI234" s="619"/>
      <c r="AJ234" s="619"/>
      <c r="AK234" s="619"/>
      <c r="AL234" s="619"/>
      <c r="AM234" s="8"/>
    </row>
    <row r="235" spans="1:39" ht="14.25" customHeight="1">
      <c r="A235" s="619"/>
      <c r="B235" s="253"/>
      <c r="C235" s="258"/>
      <c r="D235" s="317" t="s">
        <v>292</v>
      </c>
      <c r="E235" s="318">
        <f>'Copia de Electricidad'!D195/1000</f>
        <v>2.5958999999999999</v>
      </c>
      <c r="F235" s="619">
        <f t="shared" ref="F235:F236" si="8">20%*E235</f>
        <v>0.51917999999999997</v>
      </c>
      <c r="G235" s="619">
        <f t="shared" ref="G235:G236" si="9">80%*E235</f>
        <v>2.0767199999999999</v>
      </c>
      <c r="H235" s="619"/>
      <c r="I235" s="619"/>
      <c r="J235" s="619"/>
      <c r="K235" s="619"/>
      <c r="L235" s="619"/>
      <c r="M235" s="619"/>
      <c r="N235" s="619"/>
      <c r="O235" s="619"/>
      <c r="P235" s="619"/>
      <c r="Q235" s="619"/>
      <c r="R235" s="619"/>
      <c r="S235" s="619"/>
      <c r="T235" s="619"/>
      <c r="U235" s="619"/>
      <c r="V235" s="619"/>
      <c r="W235" s="619"/>
      <c r="X235" s="619"/>
      <c r="Y235" s="619"/>
      <c r="Z235" s="619"/>
      <c r="AA235" s="619"/>
      <c r="AB235" s="619"/>
      <c r="AC235" s="619"/>
      <c r="AD235" s="619"/>
      <c r="AE235" s="619"/>
      <c r="AF235" s="619"/>
      <c r="AG235" s="619"/>
      <c r="AH235" s="619"/>
      <c r="AI235" s="619"/>
      <c r="AJ235" s="619"/>
      <c r="AK235" s="619"/>
      <c r="AL235" s="619"/>
      <c r="AM235" s="8"/>
    </row>
    <row r="236" spans="1:39" ht="14.25" customHeight="1">
      <c r="A236" s="619"/>
      <c r="B236" s="253"/>
      <c r="C236" s="258"/>
      <c r="D236" s="317" t="s">
        <v>293</v>
      </c>
      <c r="E236" s="318">
        <f>'Copia de Electricidad'!D196/1000</f>
        <v>8.9039999999999999</v>
      </c>
      <c r="F236" s="619">
        <f t="shared" si="8"/>
        <v>1.7808000000000002</v>
      </c>
      <c r="G236" s="619">
        <f t="shared" si="9"/>
        <v>7.1232000000000006</v>
      </c>
      <c r="H236" s="619"/>
      <c r="I236" s="619"/>
      <c r="J236" s="619"/>
      <c r="K236" s="619"/>
      <c r="L236" s="619"/>
      <c r="M236" s="619"/>
      <c r="N236" s="619"/>
      <c r="O236" s="619"/>
      <c r="P236" s="619"/>
      <c r="Q236" s="619"/>
      <c r="R236" s="619"/>
      <c r="S236" s="619"/>
      <c r="T236" s="619"/>
      <c r="U236" s="619"/>
      <c r="V236" s="619"/>
      <c r="W236" s="619"/>
      <c r="X236" s="619"/>
      <c r="Y236" s="619"/>
      <c r="Z236" s="619"/>
      <c r="AA236" s="619"/>
      <c r="AB236" s="619"/>
      <c r="AC236" s="619"/>
      <c r="AD236" s="619"/>
      <c r="AE236" s="619"/>
      <c r="AF236" s="619"/>
      <c r="AG236" s="619"/>
      <c r="AH236" s="619"/>
      <c r="AI236" s="619"/>
      <c r="AJ236" s="619"/>
      <c r="AK236" s="619"/>
      <c r="AL236" s="619"/>
      <c r="AM236" s="8"/>
    </row>
    <row r="237" spans="1:39" ht="14.25" customHeight="1">
      <c r="A237" s="619"/>
      <c r="B237" s="253"/>
      <c r="C237" s="258"/>
      <c r="D237" s="281" t="s">
        <v>294</v>
      </c>
      <c r="E237" s="271" t="s">
        <v>186</v>
      </c>
      <c r="F237" s="619"/>
      <c r="G237" s="619"/>
      <c r="H237" s="619"/>
      <c r="I237" s="619"/>
      <c r="J237" s="619"/>
      <c r="K237" s="619"/>
      <c r="L237" s="619"/>
      <c r="M237" s="619"/>
      <c r="N237" s="619"/>
      <c r="O237" s="619"/>
      <c r="P237" s="619"/>
      <c r="Q237" s="619"/>
      <c r="R237" s="619"/>
      <c r="S237" s="619"/>
      <c r="T237" s="619"/>
      <c r="U237" s="619"/>
      <c r="V237" s="619"/>
      <c r="W237" s="619"/>
      <c r="X237" s="619"/>
      <c r="Y237" s="619"/>
      <c r="Z237" s="619"/>
      <c r="AA237" s="619"/>
      <c r="AB237" s="619"/>
      <c r="AC237" s="619"/>
      <c r="AD237" s="619"/>
      <c r="AE237" s="619"/>
      <c r="AF237" s="619"/>
      <c r="AG237" s="619"/>
      <c r="AH237" s="619"/>
      <c r="AI237" s="619"/>
      <c r="AJ237" s="619"/>
      <c r="AK237" s="619"/>
      <c r="AL237" s="619"/>
      <c r="AM237" s="8"/>
    </row>
    <row r="238" spans="1:39" ht="14.25" customHeight="1">
      <c r="A238" s="619"/>
      <c r="B238" s="253"/>
      <c r="C238" s="258"/>
      <c r="D238" s="259" t="s">
        <v>295</v>
      </c>
      <c r="E238" s="312">
        <f>'Copia de Electricidad'!D198/1000</f>
        <v>18</v>
      </c>
      <c r="F238" s="619"/>
      <c r="G238" s="619"/>
      <c r="H238" s="619"/>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619"/>
      <c r="AF238" s="619"/>
      <c r="AG238" s="619"/>
      <c r="AH238" s="619"/>
      <c r="AI238" s="619"/>
      <c r="AJ238" s="619"/>
      <c r="AK238" s="619"/>
      <c r="AL238" s="619"/>
      <c r="AM238" s="8"/>
    </row>
    <row r="239" spans="1:39" ht="14.25" customHeight="1">
      <c r="A239" s="1"/>
      <c r="B239" s="253"/>
      <c r="C239" s="258"/>
      <c r="D239" s="281" t="s">
        <v>229</v>
      </c>
      <c r="E239" s="312"/>
      <c r="F239" s="619"/>
      <c r="G239" s="619"/>
      <c r="H239" s="619"/>
      <c r="I239" s="619"/>
      <c r="J239" s="619"/>
      <c r="K239" s="619"/>
      <c r="L239" s="619"/>
      <c r="M239" s="619"/>
      <c r="N239" s="619"/>
      <c r="O239" s="619"/>
      <c r="P239" s="619"/>
      <c r="Q239" s="619"/>
      <c r="R239" s="619"/>
      <c r="S239" s="619"/>
      <c r="T239" s="619"/>
      <c r="U239" s="619"/>
      <c r="V239" s="619"/>
      <c r="W239" s="619"/>
      <c r="X239" s="619"/>
      <c r="Y239" s="619"/>
      <c r="Z239" s="619"/>
      <c r="AA239" s="619"/>
      <c r="AB239" s="619"/>
      <c r="AC239" s="619"/>
      <c r="AD239" s="619"/>
      <c r="AE239" s="619"/>
      <c r="AF239" s="619"/>
      <c r="AG239" s="619"/>
      <c r="AH239" s="619"/>
      <c r="AI239" s="619"/>
      <c r="AJ239" s="619"/>
      <c r="AK239" s="619"/>
      <c r="AL239" s="619"/>
      <c r="AM239" s="8"/>
    </row>
    <row r="240" spans="1:39" ht="14.25" customHeight="1">
      <c r="A240" s="619"/>
      <c r="B240" s="253"/>
      <c r="C240" s="258"/>
      <c r="D240" s="259" t="s">
        <v>296</v>
      </c>
      <c r="E240" s="312">
        <f>'Copia de Electricidad'!D200/1000</f>
        <v>1.6910000000000001</v>
      </c>
      <c r="F240" s="619"/>
      <c r="G240" s="619"/>
      <c r="H240" s="619"/>
      <c r="I240" s="619"/>
      <c r="J240" s="619"/>
      <c r="K240" s="619"/>
      <c r="L240" s="619"/>
      <c r="M240" s="619"/>
      <c r="N240" s="619"/>
      <c r="O240" s="619"/>
      <c r="P240" s="619"/>
      <c r="Q240" s="619"/>
      <c r="R240" s="619"/>
      <c r="S240" s="619"/>
      <c r="T240" s="619"/>
      <c r="U240" s="619"/>
      <c r="V240" s="619"/>
      <c r="W240" s="619"/>
      <c r="X240" s="619"/>
      <c r="Y240" s="619"/>
      <c r="Z240" s="619"/>
      <c r="AA240" s="619"/>
      <c r="AB240" s="619"/>
      <c r="AC240" s="619"/>
      <c r="AD240" s="619"/>
      <c r="AE240" s="619"/>
      <c r="AF240" s="619"/>
      <c r="AG240" s="619"/>
      <c r="AH240" s="619"/>
      <c r="AI240" s="619"/>
      <c r="AJ240" s="619"/>
      <c r="AK240" s="619"/>
      <c r="AL240" s="619"/>
      <c r="AM240" s="8"/>
    </row>
    <row r="241" spans="1:39" ht="14.25" customHeight="1">
      <c r="A241" s="619"/>
      <c r="B241" s="253"/>
      <c r="C241" s="258"/>
      <c r="D241" s="259" t="s">
        <v>297</v>
      </c>
      <c r="E241" s="312">
        <f>'Copia de Electricidad'!D201/1000</f>
        <v>0.88400000000000001</v>
      </c>
      <c r="F241" s="619"/>
      <c r="G241" s="619"/>
      <c r="H241" s="619"/>
      <c r="I241" s="619"/>
      <c r="J241" s="619"/>
      <c r="K241" s="619"/>
      <c r="L241" s="619"/>
      <c r="M241" s="619"/>
      <c r="N241" s="619"/>
      <c r="O241" s="619"/>
      <c r="P241" s="619"/>
      <c r="Q241" s="619"/>
      <c r="R241" s="619"/>
      <c r="S241" s="619"/>
      <c r="T241" s="619"/>
      <c r="U241" s="619"/>
      <c r="V241" s="619"/>
      <c r="W241" s="619"/>
      <c r="X241" s="619"/>
      <c r="Y241" s="619"/>
      <c r="Z241" s="619"/>
      <c r="AA241" s="619"/>
      <c r="AB241" s="619"/>
      <c r="AC241" s="619"/>
      <c r="AD241" s="619"/>
      <c r="AE241" s="619"/>
      <c r="AF241" s="619"/>
      <c r="AG241" s="619"/>
      <c r="AH241" s="619"/>
      <c r="AI241" s="619"/>
      <c r="AJ241" s="619"/>
      <c r="AK241" s="619"/>
      <c r="AL241" s="619"/>
      <c r="AM241" s="8"/>
    </row>
    <row r="242" spans="1:39" ht="14.25" customHeight="1">
      <c r="A242" s="619"/>
      <c r="B242" s="253"/>
      <c r="C242" s="258"/>
      <c r="D242" s="281" t="s">
        <v>298</v>
      </c>
      <c r="E242" s="312" t="s">
        <v>186</v>
      </c>
      <c r="F242" s="619"/>
      <c r="G242" s="619"/>
      <c r="H242" s="619"/>
      <c r="I242" s="619"/>
      <c r="J242" s="619"/>
      <c r="K242" s="619"/>
      <c r="L242" s="619"/>
      <c r="M242" s="619"/>
      <c r="N242" s="619"/>
      <c r="O242" s="619"/>
      <c r="P242" s="619"/>
      <c r="Q242" s="619"/>
      <c r="R242" s="619"/>
      <c r="S242" s="619"/>
      <c r="T242" s="619"/>
      <c r="U242" s="619"/>
      <c r="V242" s="619"/>
      <c r="W242" s="619"/>
      <c r="X242" s="619"/>
      <c r="Y242" s="619"/>
      <c r="Z242" s="619"/>
      <c r="AA242" s="619"/>
      <c r="AB242" s="619"/>
      <c r="AC242" s="619"/>
      <c r="AD242" s="619"/>
      <c r="AE242" s="619"/>
      <c r="AF242" s="619"/>
      <c r="AG242" s="619"/>
      <c r="AH242" s="619"/>
      <c r="AI242" s="619"/>
      <c r="AJ242" s="619"/>
      <c r="AK242" s="619"/>
      <c r="AL242" s="619"/>
      <c r="AM242" s="8"/>
    </row>
    <row r="243" spans="1:39" ht="14.25" customHeight="1">
      <c r="A243" s="619"/>
      <c r="B243" s="253"/>
      <c r="C243" s="258"/>
      <c r="D243" s="259" t="s">
        <v>299</v>
      </c>
      <c r="E243" s="312">
        <f>'Copia de Electricidad'!D203/1000</f>
        <v>0.78</v>
      </c>
      <c r="F243" s="619"/>
      <c r="G243" s="619"/>
      <c r="H243" s="619"/>
      <c r="I243" s="619"/>
      <c r="J243" s="619"/>
      <c r="K243" s="619"/>
      <c r="L243" s="619"/>
      <c r="M243" s="619"/>
      <c r="N243" s="619"/>
      <c r="O243" s="619"/>
      <c r="P243" s="619"/>
      <c r="Q243" s="619"/>
      <c r="R243" s="619"/>
      <c r="S243" s="619"/>
      <c r="T243" s="619"/>
      <c r="U243" s="619"/>
      <c r="V243" s="619"/>
      <c r="W243" s="619"/>
      <c r="X243" s="619"/>
      <c r="Y243" s="619"/>
      <c r="Z243" s="619"/>
      <c r="AA243" s="619"/>
      <c r="AB243" s="619"/>
      <c r="AC243" s="619"/>
      <c r="AD243" s="619"/>
      <c r="AE243" s="619"/>
      <c r="AF243" s="619"/>
      <c r="AG243" s="619"/>
      <c r="AH243" s="619"/>
      <c r="AI243" s="619"/>
      <c r="AJ243" s="619"/>
      <c r="AK243" s="619"/>
      <c r="AL243" s="619"/>
      <c r="AM243" s="8"/>
    </row>
    <row r="244" spans="1:39" ht="14.25" customHeight="1">
      <c r="A244" s="619"/>
      <c r="B244" s="253"/>
      <c r="C244" s="258"/>
      <c r="D244" s="319" t="s">
        <v>300</v>
      </c>
      <c r="E244" s="271" t="s">
        <v>186</v>
      </c>
      <c r="F244" s="619"/>
      <c r="G244" s="619"/>
      <c r="H244" s="619"/>
      <c r="I244" s="619"/>
      <c r="J244" s="619"/>
      <c r="K244" s="619"/>
      <c r="L244" s="619"/>
      <c r="M244" s="619"/>
      <c r="N244" s="619"/>
      <c r="O244" s="619"/>
      <c r="P244" s="619"/>
      <c r="Q244" s="619"/>
      <c r="R244" s="619"/>
      <c r="S244" s="619"/>
      <c r="T244" s="619"/>
      <c r="U244" s="619"/>
      <c r="V244" s="619"/>
      <c r="W244" s="619"/>
      <c r="X244" s="619"/>
      <c r="Y244" s="619"/>
      <c r="Z244" s="619"/>
      <c r="AA244" s="619"/>
      <c r="AB244" s="619"/>
      <c r="AC244" s="619"/>
      <c r="AD244" s="619"/>
      <c r="AE244" s="619"/>
      <c r="AF244" s="619"/>
      <c r="AG244" s="619"/>
      <c r="AH244" s="619"/>
      <c r="AI244" s="619"/>
      <c r="AJ244" s="619"/>
      <c r="AK244" s="619"/>
      <c r="AL244" s="619"/>
      <c r="AM244" s="8"/>
    </row>
    <row r="245" spans="1:39" ht="14.25" customHeight="1">
      <c r="A245" s="619"/>
      <c r="B245" s="294"/>
      <c r="C245" s="295"/>
      <c r="D245" s="301"/>
      <c r="E245" s="320"/>
      <c r="F245" s="619"/>
      <c r="G245" s="619"/>
      <c r="H245" s="619"/>
      <c r="I245" s="619"/>
      <c r="J245" s="619"/>
      <c r="K245" s="619"/>
      <c r="L245" s="619"/>
      <c r="M245" s="619"/>
      <c r="N245" s="619"/>
      <c r="O245" s="619"/>
      <c r="P245" s="619"/>
      <c r="Q245" s="619"/>
      <c r="R245" s="619"/>
      <c r="S245" s="619"/>
      <c r="T245" s="619"/>
      <c r="U245" s="619"/>
      <c r="V245" s="619"/>
      <c r="W245" s="619"/>
      <c r="X245" s="619"/>
      <c r="Y245" s="619"/>
      <c r="Z245" s="619"/>
      <c r="AA245" s="619"/>
      <c r="AB245" s="619"/>
      <c r="AC245" s="619"/>
      <c r="AD245" s="619"/>
      <c r="AE245" s="619"/>
      <c r="AF245" s="619"/>
      <c r="AG245" s="619"/>
      <c r="AH245" s="619"/>
      <c r="AI245" s="619"/>
      <c r="AJ245" s="619"/>
      <c r="AK245" s="619"/>
      <c r="AL245" s="619"/>
      <c r="AM245" s="8"/>
    </row>
    <row r="246" spans="1:39" ht="14.25" customHeight="1">
      <c r="A246" s="619"/>
      <c r="B246" s="619"/>
      <c r="C246" s="619"/>
      <c r="D246" s="619"/>
      <c r="E246" s="619"/>
      <c r="F246" s="619"/>
      <c r="G246" s="619"/>
      <c r="H246" s="619"/>
      <c r="I246" s="619"/>
      <c r="J246" s="619"/>
      <c r="K246" s="619"/>
      <c r="L246" s="619"/>
      <c r="M246" s="619"/>
      <c r="N246" s="619"/>
      <c r="O246" s="619"/>
      <c r="P246" s="619"/>
      <c r="Q246" s="619"/>
      <c r="R246" s="619"/>
      <c r="S246" s="619"/>
      <c r="T246" s="619"/>
      <c r="U246" s="619"/>
      <c r="V246" s="619"/>
      <c r="W246" s="619"/>
      <c r="X246" s="619"/>
      <c r="Y246" s="619"/>
      <c r="Z246" s="619"/>
      <c r="AA246" s="619"/>
      <c r="AB246" s="619"/>
      <c r="AC246" s="619"/>
      <c r="AD246" s="619"/>
      <c r="AE246" s="619"/>
      <c r="AF246" s="619"/>
      <c r="AG246" s="619"/>
      <c r="AH246" s="619"/>
      <c r="AI246" s="619"/>
      <c r="AJ246" s="619"/>
      <c r="AK246" s="619"/>
      <c r="AL246" s="619"/>
      <c r="AM246" s="8"/>
    </row>
    <row r="247" spans="1:39" ht="14.25" customHeight="1">
      <c r="A247" s="619"/>
      <c r="B247" s="23"/>
      <c r="C247" s="249"/>
      <c r="D247" s="321" t="s">
        <v>301</v>
      </c>
      <c r="E247" s="305"/>
      <c r="F247" s="305"/>
      <c r="G247" s="305"/>
      <c r="H247" s="322"/>
      <c r="I247" s="619"/>
      <c r="J247" s="619"/>
      <c r="K247" s="619"/>
      <c r="L247" s="619"/>
      <c r="M247" s="619"/>
      <c r="N247" s="619"/>
      <c r="O247" s="619"/>
      <c r="P247" s="619"/>
      <c r="Q247" s="619"/>
      <c r="R247" s="619"/>
      <c r="S247" s="619"/>
      <c r="T247" s="619"/>
      <c r="U247" s="619"/>
      <c r="V247" s="619"/>
      <c r="W247" s="619"/>
      <c r="X247" s="619"/>
      <c r="Y247" s="619"/>
      <c r="Z247" s="619"/>
      <c r="AA247" s="619"/>
      <c r="AB247" s="619"/>
      <c r="AC247" s="619"/>
      <c r="AD247" s="619"/>
      <c r="AE247" s="619"/>
      <c r="AF247" s="619"/>
      <c r="AG247" s="619"/>
      <c r="AH247" s="619"/>
      <c r="AI247" s="619"/>
      <c r="AJ247" s="619"/>
      <c r="AK247" s="619"/>
      <c r="AL247" s="619"/>
      <c r="AM247" s="8"/>
    </row>
    <row r="248" spans="1:39" ht="14.25" customHeight="1">
      <c r="A248" s="619"/>
      <c r="B248" s="253"/>
      <c r="C248" s="258"/>
      <c r="D248" s="259"/>
      <c r="E248" s="323"/>
      <c r="F248" s="323"/>
      <c r="G248" s="323"/>
      <c r="H248" s="324"/>
      <c r="I248" s="619"/>
      <c r="J248" s="619"/>
      <c r="K248" s="619"/>
      <c r="L248" s="619"/>
      <c r="M248" s="619"/>
      <c r="N248" s="619"/>
      <c r="O248" s="619"/>
      <c r="P248" s="619"/>
      <c r="Q248" s="619"/>
      <c r="R248" s="619"/>
      <c r="S248" s="619"/>
      <c r="T248" s="619"/>
      <c r="U248" s="619"/>
      <c r="V248" s="619"/>
      <c r="W248" s="619"/>
      <c r="X248" s="619"/>
      <c r="Y248" s="619"/>
      <c r="Z248" s="619"/>
      <c r="AA248" s="619"/>
      <c r="AB248" s="619"/>
      <c r="AC248" s="619"/>
      <c r="AD248" s="619"/>
      <c r="AE248" s="619"/>
      <c r="AF248" s="619"/>
      <c r="AG248" s="619"/>
      <c r="AH248" s="619"/>
      <c r="AI248" s="619"/>
      <c r="AJ248" s="619"/>
      <c r="AK248" s="619"/>
      <c r="AL248" s="619"/>
      <c r="AM248" s="8"/>
    </row>
    <row r="249" spans="1:39" ht="14.25" customHeight="1">
      <c r="A249" s="619"/>
      <c r="B249" s="253"/>
      <c r="C249" s="258"/>
      <c r="D249" s="281" t="s">
        <v>302</v>
      </c>
      <c r="E249" s="260">
        <v>2018</v>
      </c>
      <c r="F249" s="260">
        <v>2019</v>
      </c>
      <c r="G249" s="260">
        <v>2020</v>
      </c>
      <c r="H249" s="260">
        <v>2021</v>
      </c>
      <c r="I249" s="261"/>
      <c r="J249" s="619"/>
      <c r="K249" s="619"/>
      <c r="L249" s="619"/>
      <c r="M249" s="619"/>
      <c r="N249" s="619"/>
      <c r="O249" s="619"/>
      <c r="P249" s="619"/>
      <c r="Q249" s="619"/>
      <c r="R249" s="619"/>
      <c r="S249" s="619"/>
      <c r="T249" s="619"/>
      <c r="U249" s="619"/>
      <c r="V249" s="619"/>
      <c r="W249" s="619"/>
      <c r="X249" s="619"/>
      <c r="Y249" s="619"/>
      <c r="Z249" s="619"/>
      <c r="AA249" s="619"/>
      <c r="AB249" s="619"/>
      <c r="AC249" s="619"/>
      <c r="AD249" s="619"/>
      <c r="AE249" s="619"/>
      <c r="AF249" s="619"/>
      <c r="AG249" s="619"/>
      <c r="AH249" s="619"/>
      <c r="AI249" s="619"/>
      <c r="AJ249" s="619"/>
      <c r="AK249" s="619"/>
      <c r="AL249" s="619"/>
      <c r="AM249" s="8"/>
    </row>
    <row r="250" spans="1:39" ht="14.25" customHeight="1">
      <c r="A250" s="619"/>
      <c r="B250" s="253"/>
      <c r="C250" s="258"/>
      <c r="D250" s="262" t="s">
        <v>303</v>
      </c>
      <c r="E250" s="325">
        <f t="shared" ref="E250:H250" si="10">SUM(E252)</f>
        <v>1.3759203419650334</v>
      </c>
      <c r="F250" s="325">
        <f t="shared" si="10"/>
        <v>1.4878806610556581</v>
      </c>
      <c r="G250" s="325">
        <f t="shared" si="10"/>
        <v>1.5347486942352482</v>
      </c>
      <c r="H250" s="325">
        <f t="shared" si="10"/>
        <v>1.3412302309670938</v>
      </c>
      <c r="I250" s="326"/>
      <c r="J250" s="619"/>
      <c r="K250" s="619"/>
      <c r="L250" s="619"/>
      <c r="M250" s="619"/>
      <c r="N250" s="619"/>
      <c r="O250" s="619"/>
      <c r="P250" s="619"/>
      <c r="Q250" s="619"/>
      <c r="R250" s="619"/>
      <c r="S250" s="619"/>
      <c r="T250" s="619"/>
      <c r="U250" s="619"/>
      <c r="V250" s="619"/>
      <c r="W250" s="619"/>
      <c r="X250" s="619"/>
      <c r="Y250" s="619"/>
      <c r="Z250" s="619"/>
      <c r="AA250" s="619"/>
      <c r="AB250" s="619"/>
      <c r="AC250" s="619"/>
      <c r="AD250" s="619"/>
      <c r="AE250" s="619"/>
      <c r="AF250" s="619"/>
      <c r="AG250" s="619"/>
      <c r="AH250" s="619"/>
      <c r="AI250" s="619"/>
      <c r="AJ250" s="619"/>
      <c r="AK250" s="619"/>
      <c r="AL250" s="619"/>
      <c r="AM250" s="8"/>
    </row>
    <row r="251" spans="1:39" ht="14.25" customHeight="1">
      <c r="A251" s="619"/>
      <c r="B251" s="253"/>
      <c r="C251" s="258"/>
      <c r="D251" s="266" t="s">
        <v>132</v>
      </c>
      <c r="E251" s="267"/>
      <c r="F251" s="267"/>
      <c r="G251" s="267"/>
      <c r="H251" s="267"/>
      <c r="I251" s="327"/>
      <c r="J251" s="619"/>
      <c r="K251" s="619"/>
      <c r="L251" s="619"/>
      <c r="M251" s="619"/>
      <c r="N251" s="619"/>
      <c r="O251" s="619"/>
      <c r="P251" s="619"/>
      <c r="Q251" s="619"/>
      <c r="R251" s="619"/>
      <c r="S251" s="619"/>
      <c r="T251" s="619"/>
      <c r="U251" s="619"/>
      <c r="V251" s="619"/>
      <c r="W251" s="619"/>
      <c r="X251" s="619"/>
      <c r="Y251" s="619"/>
      <c r="Z251" s="619"/>
      <c r="AA251" s="619"/>
      <c r="AB251" s="619"/>
      <c r="AC251" s="619"/>
      <c r="AD251" s="619"/>
      <c r="AE251" s="619"/>
      <c r="AF251" s="619"/>
      <c r="AG251" s="619"/>
      <c r="AH251" s="619"/>
      <c r="AI251" s="619"/>
      <c r="AJ251" s="619"/>
      <c r="AK251" s="619"/>
      <c r="AL251" s="619"/>
      <c r="AM251" s="8"/>
    </row>
    <row r="252" spans="1:39" ht="14.25" customHeight="1">
      <c r="A252" s="619"/>
      <c r="B252" s="253"/>
      <c r="C252" s="258" t="s">
        <v>133</v>
      </c>
      <c r="D252" s="281" t="s">
        <v>134</v>
      </c>
      <c r="E252" s="270">
        <f>'Copia de Electricidad'!D212*$E$601*$E$604</f>
        <v>1.3759203419650334</v>
      </c>
      <c r="F252" s="270">
        <f>'Copia de Electricidad'!E212*$E$601*$E$604</f>
        <v>1.4878806610556581</v>
      </c>
      <c r="G252" s="270">
        <f>'Copia de Electricidad'!F212*$E$601*$E$604</f>
        <v>1.5347486942352482</v>
      </c>
      <c r="H252" s="270">
        <f>'Copia de Electricidad'!G212*$E$601*$E$604</f>
        <v>1.3412302309670938</v>
      </c>
      <c r="I252" s="312"/>
      <c r="J252" s="619"/>
      <c r="K252" s="619"/>
      <c r="L252" s="619"/>
      <c r="M252" s="619"/>
      <c r="N252" s="619"/>
      <c r="O252" s="619"/>
      <c r="P252" s="619"/>
      <c r="Q252" s="619"/>
      <c r="R252" s="619"/>
      <c r="S252" s="619"/>
      <c r="T252" s="619"/>
      <c r="U252" s="619"/>
      <c r="V252" s="619"/>
      <c r="W252" s="619"/>
      <c r="X252" s="619"/>
      <c r="Y252" s="619"/>
      <c r="Z252" s="619"/>
      <c r="AA252" s="619"/>
      <c r="AB252" s="619"/>
      <c r="AC252" s="619"/>
      <c r="AD252" s="619"/>
      <c r="AE252" s="619"/>
      <c r="AF252" s="619"/>
      <c r="AG252" s="619"/>
      <c r="AH252" s="619"/>
      <c r="AI252" s="619"/>
      <c r="AJ252" s="619"/>
      <c r="AK252" s="619"/>
      <c r="AL252" s="619"/>
      <c r="AM252" s="8"/>
    </row>
    <row r="253" spans="1:39" ht="14.25" customHeight="1">
      <c r="A253" s="619"/>
      <c r="B253" s="253"/>
      <c r="C253" s="258" t="s">
        <v>135</v>
      </c>
      <c r="D253" s="262" t="s">
        <v>304</v>
      </c>
      <c r="E253" s="325">
        <f>'Copia de Electricidad'!D213*$E$601*$E$604</f>
        <v>0.2651535644880843</v>
      </c>
      <c r="F253" s="325">
        <f>'Copia de Electricidad'!E213*$E$601*$E$604</f>
        <v>0.28774738246617343</v>
      </c>
      <c r="G253" s="325">
        <f>'Copia de Electricidad'!F213*$E$601*$E$604</f>
        <v>0.25774336782994567</v>
      </c>
      <c r="H253" s="325">
        <f>'Copia de Electricidad'!G213*$E$601*$E$604</f>
        <v>0.21608043943318372</v>
      </c>
      <c r="I253" s="326"/>
      <c r="J253" s="619"/>
      <c r="K253" s="619"/>
      <c r="L253" s="619"/>
      <c r="M253" s="619"/>
      <c r="N253" s="619"/>
      <c r="O253" s="619"/>
      <c r="P253" s="619"/>
      <c r="Q253" s="619"/>
      <c r="R253" s="619"/>
      <c r="S253" s="619"/>
      <c r="T253" s="619"/>
      <c r="U253" s="619"/>
      <c r="V253" s="619"/>
      <c r="W253" s="619"/>
      <c r="X253" s="619"/>
      <c r="Y253" s="619"/>
      <c r="Z253" s="619"/>
      <c r="AA253" s="619"/>
      <c r="AB253" s="619"/>
      <c r="AC253" s="619"/>
      <c r="AD253" s="619"/>
      <c r="AE253" s="619"/>
      <c r="AF253" s="619"/>
      <c r="AG253" s="619"/>
      <c r="AH253" s="619"/>
      <c r="AI253" s="619"/>
      <c r="AJ253" s="619"/>
      <c r="AK253" s="619"/>
      <c r="AL253" s="619"/>
      <c r="AM253" s="8"/>
    </row>
    <row r="254" spans="1:39" ht="14.25" customHeight="1">
      <c r="A254" s="619"/>
      <c r="B254" s="253"/>
      <c r="C254" s="258"/>
      <c r="D254" s="262" t="s">
        <v>305</v>
      </c>
      <c r="E254" s="325">
        <f t="shared" ref="E254:H254" si="11">SUM(E256:E257,E259:E260)</f>
        <v>74.335148310429105</v>
      </c>
      <c r="F254" s="325">
        <f t="shared" si="11"/>
        <v>88.573281059818669</v>
      </c>
      <c r="G254" s="325">
        <f t="shared" si="11"/>
        <v>87.471357422709744</v>
      </c>
      <c r="H254" s="325">
        <f t="shared" si="11"/>
        <v>91.94218588299249</v>
      </c>
      <c r="I254" s="326"/>
      <c r="J254" s="619"/>
      <c r="K254" s="619"/>
      <c r="L254" s="619"/>
      <c r="M254" s="619"/>
      <c r="N254" s="619"/>
      <c r="O254" s="619"/>
      <c r="P254" s="619"/>
      <c r="Q254" s="619"/>
      <c r="R254" s="619"/>
      <c r="S254" s="619"/>
      <c r="T254" s="619"/>
      <c r="U254" s="619"/>
      <c r="V254" s="619"/>
      <c r="W254" s="619"/>
      <c r="X254" s="619"/>
      <c r="Y254" s="619"/>
      <c r="Z254" s="619"/>
      <c r="AA254" s="619"/>
      <c r="AB254" s="619"/>
      <c r="AC254" s="619"/>
      <c r="AD254" s="619"/>
      <c r="AE254" s="619"/>
      <c r="AF254" s="619"/>
      <c r="AG254" s="619"/>
      <c r="AH254" s="619"/>
      <c r="AI254" s="619"/>
      <c r="AJ254" s="619"/>
      <c r="AK254" s="619"/>
      <c r="AL254" s="619"/>
      <c r="AM254" s="8"/>
    </row>
    <row r="255" spans="1:39" ht="14.25" customHeight="1">
      <c r="A255" s="619"/>
      <c r="B255" s="253"/>
      <c r="C255" s="258"/>
      <c r="D255" s="266" t="s">
        <v>138</v>
      </c>
      <c r="E255" s="267">
        <f t="shared" ref="E255:H255" si="12">SUM(E256:E257)</f>
        <v>27.737653219489321</v>
      </c>
      <c r="F255" s="267">
        <f t="shared" si="12"/>
        <v>32.205948855043715</v>
      </c>
      <c r="G255" s="267">
        <f t="shared" si="12"/>
        <v>29.053183047679433</v>
      </c>
      <c r="H255" s="267">
        <f t="shared" si="12"/>
        <v>31.319432746924779</v>
      </c>
      <c r="I255" s="327"/>
      <c r="J255" s="619"/>
      <c r="K255" s="619"/>
      <c r="L255" s="619"/>
      <c r="M255" s="619"/>
      <c r="N255" s="619"/>
      <c r="O255" s="619"/>
      <c r="P255" s="619"/>
      <c r="Q255" s="619"/>
      <c r="R255" s="619"/>
      <c r="S255" s="619"/>
      <c r="T255" s="619"/>
      <c r="U255" s="619"/>
      <c r="V255" s="619"/>
      <c r="W255" s="619"/>
      <c r="X255" s="619"/>
      <c r="Y255" s="619"/>
      <c r="Z255" s="619"/>
      <c r="AA255" s="619"/>
      <c r="AB255" s="619"/>
      <c r="AC255" s="619"/>
      <c r="AD255" s="619"/>
      <c r="AE255" s="619"/>
      <c r="AF255" s="619"/>
      <c r="AG255" s="619"/>
      <c r="AH255" s="619"/>
      <c r="AI255" s="619"/>
      <c r="AJ255" s="619"/>
      <c r="AK255" s="619"/>
      <c r="AL255" s="619"/>
      <c r="AM255" s="8"/>
    </row>
    <row r="256" spans="1:39" ht="14.25" customHeight="1">
      <c r="A256" s="619"/>
      <c r="B256" s="253"/>
      <c r="C256" s="258"/>
      <c r="D256" s="259" t="s">
        <v>139</v>
      </c>
      <c r="E256" s="270">
        <f>'Copia de Electricidad'!D216*$E$601*$E$604</f>
        <v>24.167506182196774</v>
      </c>
      <c r="F256" s="270">
        <f>'Copia de Electricidad'!E216*$E$601*$E$604</f>
        <v>27.418570490678494</v>
      </c>
      <c r="G256" s="270">
        <f>'Copia de Electricidad'!F216*$E$601*$E$604</f>
        <v>25.378201263177889</v>
      </c>
      <c r="H256" s="270">
        <f>'Copia de Electricidad'!G216*$E$601*$E$604</f>
        <v>26.940818240734398</v>
      </c>
      <c r="I256" s="312"/>
      <c r="J256" s="619"/>
      <c r="K256" s="619"/>
      <c r="L256" s="619"/>
      <c r="M256" s="619"/>
      <c r="N256" s="619"/>
      <c r="O256" s="619"/>
      <c r="P256" s="619"/>
      <c r="Q256" s="619"/>
      <c r="R256" s="619"/>
      <c r="S256" s="619"/>
      <c r="T256" s="619"/>
      <c r="U256" s="619"/>
      <c r="V256" s="619"/>
      <c r="W256" s="619"/>
      <c r="X256" s="619"/>
      <c r="Y256" s="619"/>
      <c r="Z256" s="619"/>
      <c r="AA256" s="619"/>
      <c r="AB256" s="619"/>
      <c r="AC256" s="619"/>
      <c r="AD256" s="619"/>
      <c r="AE256" s="619"/>
      <c r="AF256" s="619"/>
      <c r="AG256" s="619"/>
      <c r="AH256" s="619"/>
      <c r="AI256" s="619"/>
      <c r="AJ256" s="619"/>
      <c r="AK256" s="619"/>
      <c r="AL256" s="619"/>
      <c r="AM256" s="8"/>
    </row>
    <row r="257" spans="1:39" ht="14.25" customHeight="1">
      <c r="A257" s="619"/>
      <c r="B257" s="253"/>
      <c r="C257" s="258"/>
      <c r="D257" s="259" t="s">
        <v>140</v>
      </c>
      <c r="E257" s="270">
        <f>'Copia de Electricidad'!D217*$E$601*$E$604</f>
        <v>3.5701470372925472</v>
      </c>
      <c r="F257" s="270">
        <f>'Copia de Electricidad'!E217*$E$601*$E$604</f>
        <v>4.7873783643652201</v>
      </c>
      <c r="G257" s="270">
        <f>'Copia de Electricidad'!F217*$E$601*$E$604</f>
        <v>3.6749817845015427</v>
      </c>
      <c r="H257" s="270">
        <f>'Copia de Electricidad'!G217*$E$601*$E$604</f>
        <v>4.378614506190381</v>
      </c>
      <c r="I257" s="312"/>
      <c r="J257" s="619"/>
      <c r="K257" s="619"/>
      <c r="L257" s="619"/>
      <c r="M257" s="619"/>
      <c r="N257" s="619"/>
      <c r="O257" s="619"/>
      <c r="P257" s="619"/>
      <c r="Q257" s="619"/>
      <c r="R257" s="619"/>
      <c r="S257" s="619"/>
      <c r="T257" s="619"/>
      <c r="U257" s="619"/>
      <c r="V257" s="619"/>
      <c r="W257" s="619"/>
      <c r="X257" s="619"/>
      <c r="Y257" s="619"/>
      <c r="Z257" s="619"/>
      <c r="AA257" s="619"/>
      <c r="AB257" s="619"/>
      <c r="AC257" s="619"/>
      <c r="AD257" s="619"/>
      <c r="AE257" s="619"/>
      <c r="AF257" s="619"/>
      <c r="AG257" s="619"/>
      <c r="AH257" s="619"/>
      <c r="AI257" s="619"/>
      <c r="AJ257" s="619"/>
      <c r="AK257" s="619"/>
      <c r="AL257" s="619"/>
      <c r="AM257" s="8"/>
    </row>
    <row r="258" spans="1:39" ht="14.25" customHeight="1">
      <c r="A258" s="619"/>
      <c r="B258" s="253"/>
      <c r="C258" s="258"/>
      <c r="D258" s="266" t="s">
        <v>141</v>
      </c>
      <c r="E258" s="267">
        <f t="shared" ref="E258:H258" si="13">SUM(E259:E260)</f>
        <v>46.597495090939773</v>
      </c>
      <c r="F258" s="267">
        <f t="shared" si="13"/>
        <v>56.367332204774961</v>
      </c>
      <c r="G258" s="267">
        <f t="shared" si="13"/>
        <v>58.418174375030326</v>
      </c>
      <c r="H258" s="267">
        <f t="shared" si="13"/>
        <v>60.622753136067708</v>
      </c>
      <c r="I258" s="327"/>
      <c r="J258" s="619"/>
      <c r="K258" s="619"/>
      <c r="L258" s="619"/>
      <c r="M258" s="619"/>
      <c r="N258" s="619"/>
      <c r="O258" s="619"/>
      <c r="P258" s="619"/>
      <c r="Q258" s="619"/>
      <c r="R258" s="619"/>
      <c r="S258" s="619"/>
      <c r="T258" s="619"/>
      <c r="U258" s="619"/>
      <c r="V258" s="619"/>
      <c r="W258" s="619"/>
      <c r="X258" s="619"/>
      <c r="Y258" s="619"/>
      <c r="Z258" s="619"/>
      <c r="AA258" s="619"/>
      <c r="AB258" s="619"/>
      <c r="AC258" s="619"/>
      <c r="AD258" s="619"/>
      <c r="AE258" s="619"/>
      <c r="AF258" s="619"/>
      <c r="AG258" s="619"/>
      <c r="AH258" s="619"/>
      <c r="AI258" s="619"/>
      <c r="AJ258" s="619"/>
      <c r="AK258" s="619"/>
      <c r="AL258" s="619"/>
      <c r="AM258" s="8"/>
    </row>
    <row r="259" spans="1:39" ht="14.25" customHeight="1">
      <c r="A259" s="619"/>
      <c r="B259" s="253"/>
      <c r="C259" s="258"/>
      <c r="D259" s="259" t="s">
        <v>139</v>
      </c>
      <c r="E259" s="270">
        <f>'Copia de Electricidad'!D219*$E$601*$E$604</f>
        <v>44.225900196707251</v>
      </c>
      <c r="F259" s="270">
        <f>'Copia de Electricidad'!E219*$E$601*$E$604</f>
        <v>50.553626124459505</v>
      </c>
      <c r="G259" s="270">
        <f>'Copia de Electricidad'!F219*$E$601*$E$604</f>
        <v>52.460123055364875</v>
      </c>
      <c r="H259" s="270">
        <f>'Copia de Electricidad'!G219*$E$601*$E$604</f>
        <v>53.734557172728323</v>
      </c>
      <c r="I259" s="312"/>
      <c r="J259" s="619"/>
      <c r="K259" s="619"/>
      <c r="L259" s="619"/>
      <c r="M259" s="619"/>
      <c r="N259" s="619"/>
      <c r="O259" s="619"/>
      <c r="P259" s="619"/>
      <c r="Q259" s="619"/>
      <c r="R259" s="619"/>
      <c r="S259" s="619"/>
      <c r="T259" s="619"/>
      <c r="U259" s="619"/>
      <c r="V259" s="619"/>
      <c r="W259" s="619"/>
      <c r="X259" s="619"/>
      <c r="Y259" s="619"/>
      <c r="Z259" s="619"/>
      <c r="AA259" s="619"/>
      <c r="AB259" s="619"/>
      <c r="AC259" s="619"/>
      <c r="AD259" s="619"/>
      <c r="AE259" s="619"/>
      <c r="AF259" s="619"/>
      <c r="AG259" s="619"/>
      <c r="AH259" s="619"/>
      <c r="AI259" s="619"/>
      <c r="AJ259" s="619"/>
      <c r="AK259" s="619"/>
      <c r="AL259" s="619"/>
      <c r="AM259" s="8"/>
    </row>
    <row r="260" spans="1:39" ht="14.25" customHeight="1">
      <c r="A260" s="619"/>
      <c r="B260" s="253"/>
      <c r="C260" s="258"/>
      <c r="D260" s="259" t="s">
        <v>140</v>
      </c>
      <c r="E260" s="270">
        <f>'Copia de Electricidad'!D220*$E$601*$E$604</f>
        <v>2.3715948942325227</v>
      </c>
      <c r="F260" s="270">
        <f>'Copia de Electricidad'!E220*$E$601*$E$604</f>
        <v>5.8137060803154572</v>
      </c>
      <c r="G260" s="270">
        <f>'Copia de Electricidad'!F220*$E$601*$E$604</f>
        <v>5.9580513196654481</v>
      </c>
      <c r="H260" s="270">
        <f>'Copia de Electricidad'!G220*$E$601*$E$604</f>
        <v>6.8881959633393821</v>
      </c>
      <c r="I260" s="312"/>
      <c r="J260" s="619"/>
      <c r="K260" s="619"/>
      <c r="L260" s="619"/>
      <c r="M260" s="619"/>
      <c r="N260" s="619"/>
      <c r="O260" s="619"/>
      <c r="P260" s="619"/>
      <c r="Q260" s="619"/>
      <c r="R260" s="619"/>
      <c r="S260" s="619"/>
      <c r="T260" s="619"/>
      <c r="U260" s="619"/>
      <c r="V260" s="619"/>
      <c r="W260" s="619"/>
      <c r="X260" s="619"/>
      <c r="Y260" s="619"/>
      <c r="Z260" s="619"/>
      <c r="AA260" s="619"/>
      <c r="AB260" s="619"/>
      <c r="AC260" s="619"/>
      <c r="AD260" s="619"/>
      <c r="AE260" s="619"/>
      <c r="AF260" s="619"/>
      <c r="AG260" s="619"/>
      <c r="AH260" s="619"/>
      <c r="AI260" s="619"/>
      <c r="AJ260" s="619"/>
      <c r="AK260" s="619"/>
      <c r="AL260" s="619"/>
      <c r="AM260" s="8"/>
    </row>
    <row r="261" spans="1:39" ht="14.25" customHeight="1">
      <c r="A261" s="619"/>
      <c r="B261" s="253"/>
      <c r="C261" s="258" t="s">
        <v>142</v>
      </c>
      <c r="D261" s="262" t="s">
        <v>306</v>
      </c>
      <c r="E261" s="325">
        <f>'Copia de Electricidad'!D221*$E$601*$E$604</f>
        <v>0.12509347947422919</v>
      </c>
      <c r="F261" s="325">
        <f>'Copia de Electricidad'!E221*$E$601*$E$604</f>
        <v>0.11919318305956898</v>
      </c>
      <c r="G261" s="325">
        <f>'Copia de Electricidad'!F221*$E$601*$E$604</f>
        <v>0.12166033701747472</v>
      </c>
      <c r="H261" s="325">
        <f>'Copia de Electricidad'!G221*$E$601*$E$604</f>
        <v>0.12030848299160839</v>
      </c>
      <c r="I261" s="326"/>
      <c r="J261" s="619"/>
      <c r="K261" s="619"/>
      <c r="L261" s="619"/>
      <c r="M261" s="619"/>
      <c r="N261" s="619"/>
      <c r="O261" s="619"/>
      <c r="P261" s="619"/>
      <c r="Q261" s="619"/>
      <c r="R261" s="619"/>
      <c r="S261" s="619"/>
      <c r="T261" s="619"/>
      <c r="U261" s="619"/>
      <c r="V261" s="619"/>
      <c r="W261" s="619"/>
      <c r="X261" s="619"/>
      <c r="Y261" s="619"/>
      <c r="Z261" s="619"/>
      <c r="AA261" s="619"/>
      <c r="AB261" s="619"/>
      <c r="AC261" s="619"/>
      <c r="AD261" s="619"/>
      <c r="AE261" s="619"/>
      <c r="AF261" s="619"/>
      <c r="AG261" s="619"/>
      <c r="AH261" s="619"/>
      <c r="AI261" s="619"/>
      <c r="AJ261" s="619"/>
      <c r="AK261" s="619"/>
      <c r="AL261" s="619"/>
      <c r="AM261" s="8"/>
    </row>
    <row r="262" spans="1:39" ht="14.25" customHeight="1">
      <c r="A262" s="619"/>
      <c r="B262" s="253"/>
      <c r="C262" s="258"/>
      <c r="D262" s="262" t="s">
        <v>307</v>
      </c>
      <c r="E262" s="325">
        <f t="shared" ref="E262:H262" si="14">SUM(E263,E268,E271)</f>
        <v>15.031056312211534</v>
      </c>
      <c r="F262" s="325">
        <f t="shared" si="14"/>
        <v>10.711110455199522</v>
      </c>
      <c r="G262" s="325">
        <f t="shared" si="14"/>
        <v>8.6764265024499458</v>
      </c>
      <c r="H262" s="325">
        <f t="shared" si="14"/>
        <v>7.5895845909128115</v>
      </c>
      <c r="I262" s="326"/>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619"/>
      <c r="AM262" s="8"/>
    </row>
    <row r="263" spans="1:39" ht="14.25" customHeight="1">
      <c r="A263" s="619"/>
      <c r="B263" s="253"/>
      <c r="C263" s="258"/>
      <c r="D263" s="266" t="s">
        <v>145</v>
      </c>
      <c r="E263" s="267">
        <f t="shared" ref="E263:H263" si="15">SUM(E264:E267)</f>
        <v>5.2151942896970978</v>
      </c>
      <c r="F263" s="267">
        <f t="shared" si="15"/>
        <v>3.0732732370488023</v>
      </c>
      <c r="G263" s="267">
        <f t="shared" si="15"/>
        <v>2.8174068776664263</v>
      </c>
      <c r="H263" s="267">
        <f t="shared" si="15"/>
        <v>2.4175035894863339</v>
      </c>
      <c r="I263" s="327"/>
      <c r="J263" s="619"/>
      <c r="K263" s="619"/>
      <c r="L263" s="619"/>
      <c r="M263" s="619"/>
      <c r="N263" s="619"/>
      <c r="O263" s="619"/>
      <c r="P263" s="619"/>
      <c r="Q263" s="619"/>
      <c r="R263" s="619"/>
      <c r="S263" s="619"/>
      <c r="T263" s="619"/>
      <c r="U263" s="619"/>
      <c r="V263" s="619"/>
      <c r="W263" s="619"/>
      <c r="X263" s="619"/>
      <c r="Y263" s="619"/>
      <c r="Z263" s="619"/>
      <c r="AA263" s="619"/>
      <c r="AB263" s="619"/>
      <c r="AC263" s="619"/>
      <c r="AD263" s="619"/>
      <c r="AE263" s="619"/>
      <c r="AF263" s="619"/>
      <c r="AG263" s="619"/>
      <c r="AH263" s="619"/>
      <c r="AI263" s="619"/>
      <c r="AJ263" s="619"/>
      <c r="AK263" s="619"/>
      <c r="AL263" s="619"/>
      <c r="AM263" s="8"/>
    </row>
    <row r="264" spans="1:39" ht="14.25" customHeight="1">
      <c r="A264" s="3"/>
      <c r="B264" s="328"/>
      <c r="C264" s="258" t="s">
        <v>146</v>
      </c>
      <c r="D264" s="281" t="s">
        <v>155</v>
      </c>
      <c r="E264" s="329">
        <f>'Copia de Electricidad'!D224*$E$601*$E$604</f>
        <v>0.79536078417679257</v>
      </c>
      <c r="F264" s="329">
        <f>'Copia de Electricidad'!E224*$E$601*$E$604</f>
        <v>8.5024525079884797E-2</v>
      </c>
      <c r="G264" s="330">
        <f>'Copia de Electricidad'!F224*$E$601*$E$604</f>
        <v>0.28855296870148778</v>
      </c>
      <c r="H264" s="329">
        <f>'Copia de Electricidad'!G224*$E$601*$E$604</f>
        <v>0.13770625764264094</v>
      </c>
      <c r="I264" s="331"/>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8"/>
    </row>
    <row r="265" spans="1:39" ht="14.25" customHeight="1">
      <c r="A265" s="619"/>
      <c r="B265" s="253"/>
      <c r="C265" s="258" t="s">
        <v>148</v>
      </c>
      <c r="D265" s="281" t="s">
        <v>160</v>
      </c>
      <c r="E265" s="329">
        <f>'Copia de Electricidad'!D225*$E$601*$E$604</f>
        <v>3.567888267110829</v>
      </c>
      <c r="F265" s="329">
        <f>'Copia de Electricidad'!E225*$E$601*$E$604</f>
        <v>2.4146508363674135</v>
      </c>
      <c r="G265" s="329">
        <f>'Copia de Electricidad'!F225*$E$601*$E$604</f>
        <v>1.9707872520283418</v>
      </c>
      <c r="H265" s="329">
        <f>'Copia de Electricidad'!G225*$E$601*$E$604</f>
        <v>1.5897608518991015</v>
      </c>
      <c r="I265" s="331"/>
      <c r="J265" s="619"/>
      <c r="K265" s="619"/>
      <c r="L265" s="619"/>
      <c r="M265" s="619"/>
      <c r="N265" s="619"/>
      <c r="O265" s="619"/>
      <c r="P265" s="619"/>
      <c r="Q265" s="619"/>
      <c r="R265" s="619"/>
      <c r="S265" s="619"/>
      <c r="T265" s="619"/>
      <c r="U265" s="619"/>
      <c r="V265" s="619"/>
      <c r="W265" s="619"/>
      <c r="X265" s="619"/>
      <c r="Y265" s="619"/>
      <c r="Z265" s="619"/>
      <c r="AA265" s="619"/>
      <c r="AB265" s="619"/>
      <c r="AC265" s="619"/>
      <c r="AD265" s="619"/>
      <c r="AE265" s="619"/>
      <c r="AF265" s="619"/>
      <c r="AG265" s="619"/>
      <c r="AH265" s="619"/>
      <c r="AI265" s="619"/>
      <c r="AJ265" s="619"/>
      <c r="AK265" s="619"/>
      <c r="AL265" s="619"/>
      <c r="AM265" s="8"/>
    </row>
    <row r="266" spans="1:39" ht="14.25" customHeight="1">
      <c r="A266" s="619"/>
      <c r="B266" s="253"/>
      <c r="C266" s="258"/>
      <c r="D266" s="259" t="s">
        <v>308</v>
      </c>
      <c r="E266" s="332">
        <f>'Copia de Electricidad'!D226*$E$601*$E$604</f>
        <v>1.5830063551527422E-3</v>
      </c>
      <c r="F266" s="332">
        <f>'Copia de Electricidad'!E226*$E$601*$E$604</f>
        <v>0</v>
      </c>
      <c r="G266" s="332">
        <f>'Copia de Electricidad'!F226*$E$601*$E$604</f>
        <v>0</v>
      </c>
      <c r="H266" s="332">
        <f>'Copia de Electricidad'!G226*$E$601*$E$604</f>
        <v>0</v>
      </c>
      <c r="I266" s="333"/>
      <c r="J266" s="619"/>
      <c r="K266" s="619"/>
      <c r="L266" s="619"/>
      <c r="M266" s="619"/>
      <c r="N266" s="619"/>
      <c r="O266" s="619"/>
      <c r="P266" s="619"/>
      <c r="Q266" s="619"/>
      <c r="R266" s="619"/>
      <c r="S266" s="619"/>
      <c r="T266" s="619"/>
      <c r="U266" s="619"/>
      <c r="V266" s="619"/>
      <c r="W266" s="619"/>
      <c r="X266" s="619"/>
      <c r="Y266" s="619"/>
      <c r="Z266" s="619"/>
      <c r="AA266" s="619"/>
      <c r="AB266" s="619"/>
      <c r="AC266" s="619"/>
      <c r="AD266" s="619"/>
      <c r="AE266" s="619"/>
      <c r="AF266" s="619"/>
      <c r="AG266" s="619"/>
      <c r="AH266" s="619"/>
      <c r="AI266" s="619"/>
      <c r="AJ266" s="619"/>
      <c r="AK266" s="619"/>
      <c r="AL266" s="619"/>
      <c r="AM266" s="8"/>
    </row>
    <row r="267" spans="1:39" ht="14.25" customHeight="1">
      <c r="A267" s="619"/>
      <c r="B267" s="253"/>
      <c r="C267" s="258" t="s">
        <v>151</v>
      </c>
      <c r="D267" s="259" t="s">
        <v>309</v>
      </c>
      <c r="E267" s="329">
        <f>'Copia de Electricidad'!D227*$E$601*$E$604</f>
        <v>0.85036223205432315</v>
      </c>
      <c r="F267" s="329">
        <f>'Copia de Electricidad'!E227*$E$601*$E$604</f>
        <v>0.57359787560150388</v>
      </c>
      <c r="G267" s="329">
        <f>'Copia de Electricidad'!F227*$E$601*$E$604</f>
        <v>0.55806665693659674</v>
      </c>
      <c r="H267" s="329">
        <f>'Copia de Electricidad'!G227*$E$601*$E$604</f>
        <v>0.69003647994459161</v>
      </c>
      <c r="I267" s="331"/>
      <c r="J267" s="619"/>
      <c r="K267" s="619"/>
      <c r="L267" s="619"/>
      <c r="M267" s="619"/>
      <c r="N267" s="619"/>
      <c r="O267" s="619"/>
      <c r="P267" s="619"/>
      <c r="Q267" s="619"/>
      <c r="R267" s="619"/>
      <c r="S267" s="619"/>
      <c r="T267" s="619"/>
      <c r="U267" s="619"/>
      <c r="V267" s="619"/>
      <c r="W267" s="619"/>
      <c r="X267" s="619"/>
      <c r="Y267" s="619"/>
      <c r="Z267" s="619"/>
      <c r="AA267" s="619"/>
      <c r="AB267" s="619"/>
      <c r="AC267" s="619"/>
      <c r="AD267" s="619"/>
      <c r="AE267" s="619"/>
      <c r="AF267" s="619"/>
      <c r="AG267" s="619"/>
      <c r="AH267" s="619"/>
      <c r="AI267" s="619"/>
      <c r="AJ267" s="619"/>
      <c r="AK267" s="619"/>
      <c r="AL267" s="619"/>
      <c r="AM267" s="8"/>
    </row>
    <row r="268" spans="1:39" ht="14.25" customHeight="1">
      <c r="A268" s="619"/>
      <c r="B268" s="253"/>
      <c r="C268" s="258"/>
      <c r="D268" s="266" t="s">
        <v>153</v>
      </c>
      <c r="E268" s="267">
        <f t="shared" ref="E268:H268" si="16">SUM(E269:E270)</f>
        <v>3.6690123680391764</v>
      </c>
      <c r="F268" s="267">
        <f t="shared" si="16"/>
        <v>3.197134921735806</v>
      </c>
      <c r="G268" s="267">
        <f t="shared" si="16"/>
        <v>2.5477829624933923</v>
      </c>
      <c r="H268" s="267">
        <f t="shared" si="16"/>
        <v>2.1389826903226283</v>
      </c>
      <c r="I268" s="327"/>
      <c r="J268" s="619"/>
      <c r="K268" s="619"/>
      <c r="L268" s="619"/>
      <c r="M268" s="619"/>
      <c r="N268" s="619"/>
      <c r="O268" s="619"/>
      <c r="P268" s="619"/>
      <c r="Q268" s="619"/>
      <c r="R268" s="619"/>
      <c r="S268" s="619"/>
      <c r="T268" s="619"/>
      <c r="U268" s="619"/>
      <c r="V268" s="619"/>
      <c r="W268" s="619"/>
      <c r="X268" s="619"/>
      <c r="Y268" s="619"/>
      <c r="Z268" s="619"/>
      <c r="AA268" s="619"/>
      <c r="AB268" s="619"/>
      <c r="AC268" s="619"/>
      <c r="AD268" s="619"/>
      <c r="AE268" s="619"/>
      <c r="AF268" s="619"/>
      <c r="AG268" s="619"/>
      <c r="AH268" s="619"/>
      <c r="AI268" s="619"/>
      <c r="AJ268" s="619"/>
      <c r="AK268" s="619"/>
      <c r="AL268" s="619"/>
      <c r="AM268" s="8"/>
    </row>
    <row r="269" spans="1:39" ht="14.25" customHeight="1">
      <c r="A269" s="619"/>
      <c r="B269" s="253"/>
      <c r="C269" s="258" t="s">
        <v>154</v>
      </c>
      <c r="D269" s="281" t="s">
        <v>155</v>
      </c>
      <c r="E269" s="25">
        <f>'Copia de Electricidad'!D229*$E$601*$E$604</f>
        <v>0.43115275566005506</v>
      </c>
      <c r="F269" s="25">
        <f>'Copia de Electricidad'!E229*$E$601*$E$604</f>
        <v>0.2463369722966349</v>
      </c>
      <c r="G269" s="37">
        <f>'Copia de Electricidad'!F229*$E$601*$E$604</f>
        <v>8.2980216623659148E-2</v>
      </c>
      <c r="H269" s="37">
        <f>'Copia de Electricidad'!G229*$E$601*$E$604</f>
        <v>5.5827521251574572E-2</v>
      </c>
      <c r="I269" s="38"/>
      <c r="J269" s="619"/>
      <c r="K269" s="619"/>
      <c r="L269" s="619"/>
      <c r="M269" s="619"/>
      <c r="N269" s="619"/>
      <c r="O269" s="619"/>
      <c r="P269" s="619"/>
      <c r="Q269" s="619"/>
      <c r="R269" s="619"/>
      <c r="S269" s="619"/>
      <c r="T269" s="619"/>
      <c r="U269" s="619"/>
      <c r="V269" s="619"/>
      <c r="W269" s="619"/>
      <c r="X269" s="619"/>
      <c r="Y269" s="619"/>
      <c r="Z269" s="619"/>
      <c r="AA269" s="619"/>
      <c r="AB269" s="619"/>
      <c r="AC269" s="619"/>
      <c r="AD269" s="619"/>
      <c r="AE269" s="619"/>
      <c r="AF269" s="619"/>
      <c r="AG269" s="619"/>
      <c r="AH269" s="619"/>
      <c r="AI269" s="619"/>
      <c r="AJ269" s="619"/>
      <c r="AK269" s="619"/>
      <c r="AL269" s="619"/>
      <c r="AM269" s="8"/>
    </row>
    <row r="270" spans="1:39" ht="14.25" customHeight="1">
      <c r="A270" s="619"/>
      <c r="B270" s="253"/>
      <c r="C270" s="258" t="s">
        <v>156</v>
      </c>
      <c r="D270" s="281" t="s">
        <v>157</v>
      </c>
      <c r="E270" s="25">
        <f>'Copia de Electricidad'!D230*$E$601*$E$604</f>
        <v>3.2378596123791215</v>
      </c>
      <c r="F270" s="25">
        <f>'Copia de Electricidad'!E230*$E$601*$E$604</f>
        <v>2.950797949439171</v>
      </c>
      <c r="G270" s="25">
        <f>'Copia de Electricidad'!F230*$E$601*$E$604</f>
        <v>2.4648027458697332</v>
      </c>
      <c r="H270" s="25">
        <f>'Copia de Electricidad'!G230*$E$601*$E$604</f>
        <v>2.0831551690710537</v>
      </c>
      <c r="I270" s="38"/>
      <c r="J270" s="619"/>
      <c r="K270" s="619"/>
      <c r="L270" s="619"/>
      <c r="M270" s="619"/>
      <c r="N270" s="619"/>
      <c r="O270" s="619"/>
      <c r="P270" s="619"/>
      <c r="Q270" s="619"/>
      <c r="R270" s="619"/>
      <c r="S270" s="619"/>
      <c r="T270" s="619"/>
      <c r="U270" s="619"/>
      <c r="V270" s="619"/>
      <c r="W270" s="619"/>
      <c r="X270" s="619"/>
      <c r="Y270" s="619"/>
      <c r="Z270" s="619"/>
      <c r="AA270" s="619"/>
      <c r="AB270" s="619"/>
      <c r="AC270" s="619"/>
      <c r="AD270" s="619"/>
      <c r="AE270" s="619"/>
      <c r="AF270" s="619"/>
      <c r="AG270" s="619"/>
      <c r="AH270" s="619"/>
      <c r="AI270" s="619"/>
      <c r="AJ270" s="619"/>
      <c r="AK270" s="619"/>
      <c r="AL270" s="619"/>
      <c r="AM270" s="8"/>
    </row>
    <row r="271" spans="1:39" ht="14.25" customHeight="1">
      <c r="A271" s="619"/>
      <c r="B271" s="253"/>
      <c r="C271" s="258"/>
      <c r="D271" s="266" t="s">
        <v>158</v>
      </c>
      <c r="E271" s="267">
        <f t="shared" ref="E271:H271" si="17">SUM(E272)</f>
        <v>6.1468496544752593</v>
      </c>
      <c r="F271" s="267">
        <f t="shared" si="17"/>
        <v>4.4407022964149139</v>
      </c>
      <c r="G271" s="267">
        <f t="shared" si="17"/>
        <v>3.3112366622901273</v>
      </c>
      <c r="H271" s="267">
        <f t="shared" si="17"/>
        <v>3.0330983111038492</v>
      </c>
      <c r="I271" s="327"/>
      <c r="J271" s="619"/>
      <c r="K271" s="619"/>
      <c r="L271" s="619"/>
      <c r="M271" s="619"/>
      <c r="N271" s="619"/>
      <c r="O271" s="619"/>
      <c r="P271" s="619"/>
      <c r="Q271" s="619"/>
      <c r="R271" s="619"/>
      <c r="S271" s="619"/>
      <c r="T271" s="619"/>
      <c r="U271" s="619"/>
      <c r="V271" s="619"/>
      <c r="W271" s="619"/>
      <c r="X271" s="619"/>
      <c r="Y271" s="619"/>
      <c r="Z271" s="619"/>
      <c r="AA271" s="619"/>
      <c r="AB271" s="619"/>
      <c r="AC271" s="619"/>
      <c r="AD271" s="619"/>
      <c r="AE271" s="619"/>
      <c r="AF271" s="619"/>
      <c r="AG271" s="619"/>
      <c r="AH271" s="619"/>
      <c r="AI271" s="619"/>
      <c r="AJ271" s="619"/>
      <c r="AK271" s="619"/>
      <c r="AL271" s="619"/>
      <c r="AM271" s="8"/>
    </row>
    <row r="272" spans="1:39" ht="14.25" customHeight="1">
      <c r="A272" s="619"/>
      <c r="B272" s="253"/>
      <c r="C272" s="258" t="s">
        <v>159</v>
      </c>
      <c r="D272" s="281" t="s">
        <v>160</v>
      </c>
      <c r="E272" s="25">
        <f>'Copia de Electricidad'!D232*$E$601*$E$604</f>
        <v>6.1468496544752593</v>
      </c>
      <c r="F272" s="25">
        <f>'Copia de Electricidad'!E232*$E$601*$E$604</f>
        <v>4.4407022964149139</v>
      </c>
      <c r="G272" s="25">
        <f>'Copia de Electricidad'!F232*$E$601*$E$604</f>
        <v>3.3112366622901273</v>
      </c>
      <c r="H272" s="25">
        <f>'Copia de Electricidad'!G232*$E$601*$E$604</f>
        <v>3.0330983111038492</v>
      </c>
      <c r="I272" s="38"/>
      <c r="J272" s="619"/>
      <c r="K272" s="619"/>
      <c r="L272" s="619"/>
      <c r="M272" s="619"/>
      <c r="N272" s="619"/>
      <c r="O272" s="619"/>
      <c r="P272" s="619"/>
      <c r="Q272" s="619"/>
      <c r="R272" s="619"/>
      <c r="S272" s="619"/>
      <c r="T272" s="619"/>
      <c r="U272" s="619"/>
      <c r="V272" s="619"/>
      <c r="W272" s="619"/>
      <c r="X272" s="619"/>
      <c r="Y272" s="619"/>
      <c r="Z272" s="619"/>
      <c r="AA272" s="619"/>
      <c r="AB272" s="619"/>
      <c r="AC272" s="619"/>
      <c r="AD272" s="619"/>
      <c r="AE272" s="619"/>
      <c r="AF272" s="619"/>
      <c r="AG272" s="619"/>
      <c r="AH272" s="619"/>
      <c r="AI272" s="619"/>
      <c r="AJ272" s="619"/>
      <c r="AK272" s="619"/>
      <c r="AL272" s="619"/>
      <c r="AM272" s="8"/>
    </row>
    <row r="273" spans="1:39" ht="14.25" customHeight="1">
      <c r="A273" s="619"/>
      <c r="B273" s="253"/>
      <c r="C273" s="258"/>
      <c r="D273" s="262" t="s">
        <v>310</v>
      </c>
      <c r="E273" s="325">
        <f t="shared" ref="E273:H273" si="18">SUM(E275)</f>
        <v>0.16380518034114624</v>
      </c>
      <c r="F273" s="325">
        <f t="shared" si="18"/>
        <v>0.1480830490411065</v>
      </c>
      <c r="G273" s="325">
        <f t="shared" si="18"/>
        <v>0.15826465809811166</v>
      </c>
      <c r="H273" s="325">
        <f t="shared" si="18"/>
        <v>0.15157285850587507</v>
      </c>
      <c r="I273" s="326"/>
      <c r="J273" s="619"/>
      <c r="K273" s="619"/>
      <c r="L273" s="619"/>
      <c r="M273" s="619"/>
      <c r="N273" s="619"/>
      <c r="O273" s="619"/>
      <c r="P273" s="619"/>
      <c r="Q273" s="619"/>
      <c r="R273" s="619"/>
      <c r="S273" s="619"/>
      <c r="T273" s="619"/>
      <c r="U273" s="619"/>
      <c r="V273" s="619"/>
      <c r="W273" s="619"/>
      <c r="X273" s="619"/>
      <c r="Y273" s="619"/>
      <c r="Z273" s="619"/>
      <c r="AA273" s="619"/>
      <c r="AB273" s="619"/>
      <c r="AC273" s="619"/>
      <c r="AD273" s="619"/>
      <c r="AE273" s="619"/>
      <c r="AF273" s="619"/>
      <c r="AG273" s="619"/>
      <c r="AH273" s="619"/>
      <c r="AI273" s="619"/>
      <c r="AJ273" s="619"/>
      <c r="AK273" s="619"/>
      <c r="AL273" s="619"/>
      <c r="AM273" s="8"/>
    </row>
    <row r="274" spans="1:39" ht="14.25" customHeight="1">
      <c r="A274" s="619"/>
      <c r="B274" s="253"/>
      <c r="C274" s="258"/>
      <c r="D274" s="266" t="s">
        <v>162</v>
      </c>
      <c r="E274" s="267"/>
      <c r="F274" s="267"/>
      <c r="G274" s="267"/>
      <c r="H274" s="267"/>
      <c r="I274" s="327"/>
      <c r="J274" s="619"/>
      <c r="K274" s="619"/>
      <c r="L274" s="619"/>
      <c r="M274" s="619"/>
      <c r="N274" s="619"/>
      <c r="O274" s="619"/>
      <c r="P274" s="619"/>
      <c r="Q274" s="619"/>
      <c r="R274" s="619"/>
      <c r="S274" s="619"/>
      <c r="T274" s="619"/>
      <c r="U274" s="619"/>
      <c r="V274" s="619"/>
      <c r="W274" s="619"/>
      <c r="X274" s="619"/>
      <c r="Y274" s="619"/>
      <c r="Z274" s="619"/>
      <c r="AA274" s="619"/>
      <c r="AB274" s="619"/>
      <c r="AC274" s="619"/>
      <c r="AD274" s="619"/>
      <c r="AE274" s="619"/>
      <c r="AF274" s="619"/>
      <c r="AG274" s="619"/>
      <c r="AH274" s="619"/>
      <c r="AI274" s="619"/>
      <c r="AJ274" s="619"/>
      <c r="AK274" s="619"/>
      <c r="AL274" s="619"/>
      <c r="AM274" s="8"/>
    </row>
    <row r="275" spans="1:39" ht="14.25" customHeight="1">
      <c r="A275" s="619"/>
      <c r="B275" s="253"/>
      <c r="C275" s="258" t="s">
        <v>163</v>
      </c>
      <c r="D275" s="281" t="s">
        <v>161</v>
      </c>
      <c r="E275" s="270">
        <f>'Copia de Electricidad'!D235*$E$601*$E$604</f>
        <v>0.16380518034114624</v>
      </c>
      <c r="F275" s="270">
        <f>'Copia de Electricidad'!E235*$E$601*$E$604</f>
        <v>0.1480830490411065</v>
      </c>
      <c r="G275" s="270">
        <f>'Copia de Electricidad'!F235*$E$601*$E$604</f>
        <v>0.15826465809811166</v>
      </c>
      <c r="H275" s="270">
        <f>'Copia de Electricidad'!G235*$E$601*$E$604</f>
        <v>0.15157285850587507</v>
      </c>
      <c r="I275" s="312"/>
      <c r="J275" s="619"/>
      <c r="K275" s="619"/>
      <c r="L275" s="619"/>
      <c r="M275" s="619"/>
      <c r="N275" s="619"/>
      <c r="O275" s="619"/>
      <c r="P275" s="619"/>
      <c r="Q275" s="619"/>
      <c r="R275" s="619"/>
      <c r="S275" s="619"/>
      <c r="T275" s="619"/>
      <c r="U275" s="619"/>
      <c r="V275" s="619"/>
      <c r="W275" s="619"/>
      <c r="X275" s="619"/>
      <c r="Y275" s="619"/>
      <c r="Z275" s="619"/>
      <c r="AA275" s="619"/>
      <c r="AB275" s="619"/>
      <c r="AC275" s="619"/>
      <c r="AD275" s="619"/>
      <c r="AE275" s="619"/>
      <c r="AF275" s="619"/>
      <c r="AG275" s="619"/>
      <c r="AH275" s="619"/>
      <c r="AI275" s="619"/>
      <c r="AJ275" s="619"/>
      <c r="AK275" s="619"/>
      <c r="AL275" s="619"/>
      <c r="AM275" s="8"/>
    </row>
    <row r="276" spans="1:39" ht="14.25" customHeight="1">
      <c r="A276" s="619"/>
      <c r="B276" s="253"/>
      <c r="C276" s="258"/>
      <c r="D276" s="272" t="s">
        <v>311</v>
      </c>
      <c r="E276" s="256"/>
      <c r="F276" s="256"/>
      <c r="G276" s="256"/>
      <c r="H276" s="256"/>
      <c r="I276" s="273"/>
      <c r="J276" s="619"/>
      <c r="K276" s="619"/>
      <c r="L276" s="619"/>
      <c r="M276" s="619"/>
      <c r="N276" s="619"/>
      <c r="O276" s="619"/>
      <c r="P276" s="619"/>
      <c r="Q276" s="619"/>
      <c r="R276" s="619"/>
      <c r="S276" s="619"/>
      <c r="T276" s="619"/>
      <c r="U276" s="619"/>
      <c r="V276" s="619"/>
      <c r="W276" s="619"/>
      <c r="X276" s="619"/>
      <c r="Y276" s="619"/>
      <c r="Z276" s="619"/>
      <c r="AA276" s="619"/>
      <c r="AB276" s="619"/>
      <c r="AC276" s="619"/>
      <c r="AD276" s="619"/>
      <c r="AE276" s="619"/>
      <c r="AF276" s="619"/>
      <c r="AG276" s="619"/>
      <c r="AH276" s="619"/>
      <c r="AI276" s="619"/>
      <c r="AJ276" s="619"/>
      <c r="AK276" s="619"/>
      <c r="AL276" s="619"/>
      <c r="AM276" s="8"/>
    </row>
    <row r="277" spans="1:39" ht="14.25" customHeight="1">
      <c r="A277" s="619"/>
      <c r="B277" s="253"/>
      <c r="C277" s="258" t="s">
        <v>165</v>
      </c>
      <c r="D277" s="334" t="s">
        <v>166</v>
      </c>
      <c r="E277" s="270">
        <f>'Copia de Electricidad'!D237*$E$601*$E$604</f>
        <v>0.37542434809133779</v>
      </c>
      <c r="F277" s="270">
        <f>'Copia de Electricidad'!E237*$E$601*$E$604</f>
        <v>0.54153208313088808</v>
      </c>
      <c r="G277" s="270">
        <f>'Copia de Electricidad'!F237*$E$601*$E$604</f>
        <v>0.51336176549260171</v>
      </c>
      <c r="H277" s="270">
        <f>'Copia de Electricidad'!G237*$E$601*$E$604</f>
        <v>0.54099696438214062</v>
      </c>
      <c r="I277" s="312"/>
      <c r="J277" s="619"/>
      <c r="K277" s="619"/>
      <c r="L277" s="619"/>
      <c r="M277" s="619"/>
      <c r="N277" s="619"/>
      <c r="O277" s="619"/>
      <c r="P277" s="619"/>
      <c r="Q277" s="619"/>
      <c r="R277" s="619"/>
      <c r="S277" s="619"/>
      <c r="T277" s="619"/>
      <c r="U277" s="619"/>
      <c r="V277" s="619"/>
      <c r="W277" s="619"/>
      <c r="X277" s="619"/>
      <c r="Y277" s="619"/>
      <c r="Z277" s="619"/>
      <c r="AA277" s="619"/>
      <c r="AB277" s="619"/>
      <c r="AC277" s="619"/>
      <c r="AD277" s="619"/>
      <c r="AE277" s="619"/>
      <c r="AF277" s="619"/>
      <c r="AG277" s="619"/>
      <c r="AH277" s="619"/>
      <c r="AI277" s="619"/>
      <c r="AJ277" s="619"/>
      <c r="AK277" s="619"/>
      <c r="AL277" s="619"/>
      <c r="AM277" s="8"/>
    </row>
    <row r="278" spans="1:39" ht="14.25" customHeight="1">
      <c r="A278" s="619"/>
      <c r="B278" s="253"/>
      <c r="C278" s="258" t="s">
        <v>167</v>
      </c>
      <c r="D278" s="334" t="s">
        <v>168</v>
      </c>
      <c r="E278" s="270">
        <f>'Copia de Electricidad'!D238*$E$601*$E$604</f>
        <v>3.1947226892012086</v>
      </c>
      <c r="F278" s="270">
        <f>'Copia de Electricidad'!E238*$E$601*$E$604</f>
        <v>4.2458389090226296</v>
      </c>
      <c r="G278" s="270">
        <f>'Copia de Electricidad'!F238*$E$601*$E$604</f>
        <v>3.1616234654116511</v>
      </c>
      <c r="H278" s="270">
        <f>'Copia de Electricidad'!G238*$E$601*$E$604</f>
        <v>3.8376175418082394</v>
      </c>
      <c r="I278" s="312"/>
      <c r="J278" s="619"/>
      <c r="K278" s="619"/>
      <c r="L278" s="619"/>
      <c r="M278" s="619"/>
      <c r="N278" s="619"/>
      <c r="O278" s="619"/>
      <c r="P278" s="619"/>
      <c r="Q278" s="619"/>
      <c r="R278" s="619"/>
      <c r="S278" s="619"/>
      <c r="T278" s="619"/>
      <c r="U278" s="619"/>
      <c r="V278" s="619"/>
      <c r="W278" s="619"/>
      <c r="X278" s="619"/>
      <c r="Y278" s="619"/>
      <c r="Z278" s="619"/>
      <c r="AA278" s="619"/>
      <c r="AB278" s="619"/>
      <c r="AC278" s="619"/>
      <c r="AD278" s="619"/>
      <c r="AE278" s="619"/>
      <c r="AF278" s="619"/>
      <c r="AG278" s="619"/>
      <c r="AH278" s="619"/>
      <c r="AI278" s="619"/>
      <c r="AJ278" s="619"/>
      <c r="AK278" s="619"/>
      <c r="AL278" s="619"/>
      <c r="AM278" s="8"/>
    </row>
    <row r="279" spans="1:39" ht="14.25" customHeight="1">
      <c r="A279" s="619"/>
      <c r="B279" s="253"/>
      <c r="C279" s="258" t="s">
        <v>169</v>
      </c>
      <c r="D279" s="334" t="s">
        <v>170</v>
      </c>
      <c r="E279" s="270"/>
      <c r="F279" s="270"/>
      <c r="G279" s="270"/>
      <c r="H279" s="270"/>
      <c r="I279" s="273"/>
      <c r="J279" s="619"/>
      <c r="K279" s="619"/>
      <c r="L279" s="619"/>
      <c r="M279" s="619"/>
      <c r="N279" s="619"/>
      <c r="O279" s="619"/>
      <c r="P279" s="619"/>
      <c r="Q279" s="619"/>
      <c r="R279" s="619"/>
      <c r="S279" s="619"/>
      <c r="T279" s="619"/>
      <c r="U279" s="619"/>
      <c r="V279" s="619"/>
      <c r="W279" s="619"/>
      <c r="X279" s="619"/>
      <c r="Y279" s="619"/>
      <c r="Z279" s="619"/>
      <c r="AA279" s="619"/>
      <c r="AB279" s="619"/>
      <c r="AC279" s="619"/>
      <c r="AD279" s="619"/>
      <c r="AE279" s="619"/>
      <c r="AF279" s="619"/>
      <c r="AG279" s="619"/>
      <c r="AH279" s="619"/>
      <c r="AI279" s="619"/>
      <c r="AJ279" s="619"/>
      <c r="AK279" s="619"/>
      <c r="AL279" s="619"/>
      <c r="AM279" s="8"/>
    </row>
    <row r="280" spans="1:39" ht="14.25" customHeight="1">
      <c r="A280" s="619"/>
      <c r="B280" s="253"/>
      <c r="C280" s="258" t="s">
        <v>171</v>
      </c>
      <c r="D280" s="334" t="s">
        <v>172</v>
      </c>
      <c r="E280" s="270"/>
      <c r="F280" s="270"/>
      <c r="G280" s="270"/>
      <c r="H280" s="270"/>
      <c r="I280" s="273"/>
      <c r="J280" s="619"/>
      <c r="K280" s="619"/>
      <c r="L280" s="619"/>
      <c r="M280" s="619"/>
      <c r="N280" s="619"/>
      <c r="O280" s="619"/>
      <c r="P280" s="619"/>
      <c r="Q280" s="619"/>
      <c r="R280" s="619"/>
      <c r="S280" s="619"/>
      <c r="T280" s="619"/>
      <c r="U280" s="619"/>
      <c r="V280" s="619"/>
      <c r="W280" s="619"/>
      <c r="X280" s="619"/>
      <c r="Y280" s="619"/>
      <c r="Z280" s="619"/>
      <c r="AA280" s="619"/>
      <c r="AB280" s="619"/>
      <c r="AC280" s="619"/>
      <c r="AD280" s="619"/>
      <c r="AE280" s="619"/>
      <c r="AF280" s="619"/>
      <c r="AG280" s="619"/>
      <c r="AH280" s="619"/>
      <c r="AI280" s="619"/>
      <c r="AJ280" s="619"/>
      <c r="AK280" s="619"/>
      <c r="AL280" s="619"/>
      <c r="AM280" s="8"/>
    </row>
    <row r="281" spans="1:39" ht="14.25" customHeight="1">
      <c r="A281" s="619"/>
      <c r="B281" s="253"/>
      <c r="C281" s="258" t="s">
        <v>173</v>
      </c>
      <c r="D281" s="334" t="s">
        <v>174</v>
      </c>
      <c r="E281" s="270">
        <f>'Copia de Electricidad'!D241*$E$601*$E$604</f>
        <v>6.524720466933652</v>
      </c>
      <c r="F281" s="270">
        <f>'Copia de Electricidad'!E241*$E$601*$E$604</f>
        <v>7.2397564350668668</v>
      </c>
      <c r="G281" s="270">
        <f>'Copia de Electricidad'!F241*$E$601*$E$604</f>
        <v>6.6742268083107694</v>
      </c>
      <c r="H281" s="270">
        <f>'Copia de Electricidad'!G241*$E$601*$E$604</f>
        <v>7.1979511673869325</v>
      </c>
      <c r="I281" s="312"/>
      <c r="J281" s="619"/>
      <c r="K281" s="619"/>
      <c r="L281" s="619"/>
      <c r="M281" s="619"/>
      <c r="N281" s="619"/>
      <c r="O281" s="619"/>
      <c r="P281" s="619"/>
      <c r="Q281" s="619"/>
      <c r="R281" s="619"/>
      <c r="S281" s="619"/>
      <c r="T281" s="619"/>
      <c r="U281" s="619"/>
      <c r="V281" s="619"/>
      <c r="W281" s="619"/>
      <c r="X281" s="619"/>
      <c r="Y281" s="619"/>
      <c r="Z281" s="619"/>
      <c r="AA281" s="619"/>
      <c r="AB281" s="619"/>
      <c r="AC281" s="619"/>
      <c r="AD281" s="619"/>
      <c r="AE281" s="619"/>
      <c r="AF281" s="619"/>
      <c r="AG281" s="619"/>
      <c r="AH281" s="619"/>
      <c r="AI281" s="619"/>
      <c r="AJ281" s="619"/>
      <c r="AK281" s="619"/>
      <c r="AL281" s="619"/>
      <c r="AM281" s="8"/>
    </row>
    <row r="282" spans="1:39" ht="14.25" customHeight="1">
      <c r="A282" s="619"/>
      <c r="B282" s="253"/>
      <c r="C282" s="258" t="s">
        <v>175</v>
      </c>
      <c r="D282" s="334" t="s">
        <v>176</v>
      </c>
      <c r="E282" s="270">
        <f>'Copia de Electricidad'!D242*$E$601*$E$604</f>
        <v>17.642785715263123</v>
      </c>
      <c r="F282" s="270">
        <f>'Copia de Electricidad'!E242*$E$601*$E$604</f>
        <v>20.178814055611628</v>
      </c>
      <c r="G282" s="270">
        <f>'Copia de Electricidad'!F242*$E$601*$E$604</f>
        <v>18.703974454867119</v>
      </c>
      <c r="H282" s="270">
        <f>'Copia de Electricidad'!G242*$E$601*$E$604</f>
        <v>19.742867073347465</v>
      </c>
      <c r="I282" s="312"/>
      <c r="J282" s="619"/>
      <c r="K282" s="619"/>
      <c r="L282" s="619"/>
      <c r="M282" s="619"/>
      <c r="N282" s="619"/>
      <c r="O282" s="619"/>
      <c r="P282" s="619"/>
      <c r="Q282" s="619"/>
      <c r="R282" s="619"/>
      <c r="S282" s="619"/>
      <c r="T282" s="619"/>
      <c r="U282" s="619"/>
      <c r="V282" s="619"/>
      <c r="W282" s="619"/>
      <c r="X282" s="619"/>
      <c r="Y282" s="619"/>
      <c r="Z282" s="619"/>
      <c r="AA282" s="619"/>
      <c r="AB282" s="619"/>
      <c r="AC282" s="619"/>
      <c r="AD282" s="619"/>
      <c r="AE282" s="619"/>
      <c r="AF282" s="619"/>
      <c r="AG282" s="619"/>
      <c r="AH282" s="619"/>
      <c r="AI282" s="619"/>
      <c r="AJ282" s="619"/>
      <c r="AK282" s="619"/>
      <c r="AL282" s="619"/>
      <c r="AM282" s="8"/>
    </row>
    <row r="283" spans="1:39" ht="14.25" customHeight="1">
      <c r="A283" s="619"/>
      <c r="B283" s="253"/>
      <c r="C283" s="258"/>
      <c r="D283" s="272" t="s">
        <v>312</v>
      </c>
      <c r="E283" s="270"/>
      <c r="F283" s="270"/>
      <c r="G283" s="270"/>
      <c r="H283" s="270"/>
      <c r="I283" s="273"/>
      <c r="J283" s="619"/>
      <c r="K283" s="619"/>
      <c r="L283" s="619"/>
      <c r="M283" s="619"/>
      <c r="N283" s="619"/>
      <c r="O283" s="619"/>
      <c r="P283" s="619"/>
      <c r="Q283" s="619"/>
      <c r="R283" s="619"/>
      <c r="S283" s="619"/>
      <c r="T283" s="619"/>
      <c r="U283" s="619"/>
      <c r="V283" s="619"/>
      <c r="W283" s="619"/>
      <c r="X283" s="619"/>
      <c r="Y283" s="619"/>
      <c r="Z283" s="619"/>
      <c r="AA283" s="619"/>
      <c r="AB283" s="619"/>
      <c r="AC283" s="619"/>
      <c r="AD283" s="619"/>
      <c r="AE283" s="619"/>
      <c r="AF283" s="619"/>
      <c r="AG283" s="619"/>
      <c r="AH283" s="619"/>
      <c r="AI283" s="619"/>
      <c r="AJ283" s="619"/>
      <c r="AK283" s="619"/>
      <c r="AL283" s="619"/>
      <c r="AM283" s="8"/>
    </row>
    <row r="284" spans="1:39" ht="14.25" customHeight="1">
      <c r="A284" s="619"/>
      <c r="B284" s="253"/>
      <c r="C284" s="258" t="s">
        <v>178</v>
      </c>
      <c r="D284" s="334" t="s">
        <v>166</v>
      </c>
      <c r="E284" s="270">
        <f>'Copia de Electricidad'!D244*$E$601*$E$604</f>
        <v>0.9713178408484342</v>
      </c>
      <c r="F284" s="270">
        <f>'Copia de Electricidad'!E244*$E$601*$E$604</f>
        <v>0.97648875999740659</v>
      </c>
      <c r="G284" s="270">
        <f>'Copia de Electricidad'!F244*$E$601*$E$604</f>
        <v>1.0890751083914971</v>
      </c>
      <c r="H284" s="270">
        <f>'Copia de Electricidad'!G244*$E$601*$E$604</f>
        <v>1.3443982771533969</v>
      </c>
      <c r="I284" s="312"/>
      <c r="J284" s="619"/>
      <c r="K284" s="619"/>
      <c r="L284" s="619"/>
      <c r="M284" s="619"/>
      <c r="N284" s="619"/>
      <c r="O284" s="619"/>
      <c r="P284" s="619"/>
      <c r="Q284" s="619"/>
      <c r="R284" s="619"/>
      <c r="S284" s="619"/>
      <c r="T284" s="619"/>
      <c r="U284" s="619"/>
      <c r="V284" s="619"/>
      <c r="W284" s="619"/>
      <c r="X284" s="619"/>
      <c r="Y284" s="619"/>
      <c r="Z284" s="619"/>
      <c r="AA284" s="619"/>
      <c r="AB284" s="619"/>
      <c r="AC284" s="619"/>
      <c r="AD284" s="619"/>
      <c r="AE284" s="619"/>
      <c r="AF284" s="619"/>
      <c r="AG284" s="619"/>
      <c r="AH284" s="619"/>
      <c r="AI284" s="619"/>
      <c r="AJ284" s="619"/>
      <c r="AK284" s="619"/>
      <c r="AL284" s="619"/>
      <c r="AM284" s="8"/>
    </row>
    <row r="285" spans="1:39" ht="14.25" customHeight="1">
      <c r="A285" s="619"/>
      <c r="B285" s="253"/>
      <c r="C285" s="258" t="s">
        <v>179</v>
      </c>
      <c r="D285" s="334" t="s">
        <v>168</v>
      </c>
      <c r="E285" s="270">
        <f>'Copia de Electricidad'!D245*$E$601*$E$604</f>
        <v>1.400277053384088</v>
      </c>
      <c r="F285" s="270">
        <f>'Copia de Electricidad'!E245*$E$601*$E$604</f>
        <v>4.837217320318052</v>
      </c>
      <c r="G285" s="270">
        <f>'Copia de Electricidad'!F245*$E$601*$E$604</f>
        <v>4.8689762112739512</v>
      </c>
      <c r="H285" s="270">
        <f>'Copia de Electricidad'!G245*$E$601*$E$604</f>
        <v>5.543797686185985</v>
      </c>
      <c r="I285" s="312"/>
      <c r="J285" s="619"/>
      <c r="K285" s="619"/>
      <c r="L285" s="619"/>
      <c r="M285" s="619"/>
      <c r="N285" s="619"/>
      <c r="O285" s="619"/>
      <c r="P285" s="619"/>
      <c r="Q285" s="619"/>
      <c r="R285" s="619"/>
      <c r="S285" s="619"/>
      <c r="T285" s="619"/>
      <c r="U285" s="619"/>
      <c r="V285" s="619"/>
      <c r="W285" s="619"/>
      <c r="X285" s="619"/>
      <c r="Y285" s="619"/>
      <c r="Z285" s="619"/>
      <c r="AA285" s="619"/>
      <c r="AB285" s="619"/>
      <c r="AC285" s="619"/>
      <c r="AD285" s="619"/>
      <c r="AE285" s="619"/>
      <c r="AF285" s="619"/>
      <c r="AG285" s="619"/>
      <c r="AH285" s="619"/>
      <c r="AI285" s="619"/>
      <c r="AJ285" s="619"/>
      <c r="AK285" s="619"/>
      <c r="AL285" s="619"/>
      <c r="AM285" s="8"/>
    </row>
    <row r="286" spans="1:39" ht="14.25" customHeight="1">
      <c r="A286" s="619"/>
      <c r="B286" s="253"/>
      <c r="C286" s="258" t="s">
        <v>180</v>
      </c>
      <c r="D286" s="334" t="s">
        <v>170</v>
      </c>
      <c r="E286" s="270"/>
      <c r="F286" s="270"/>
      <c r="G286" s="270"/>
      <c r="H286" s="270"/>
      <c r="I286" s="273"/>
      <c r="J286" s="619"/>
      <c r="K286" s="619"/>
      <c r="L286" s="619"/>
      <c r="M286" s="619"/>
      <c r="N286" s="619"/>
      <c r="O286" s="619"/>
      <c r="P286" s="619"/>
      <c r="Q286" s="619"/>
      <c r="R286" s="619"/>
      <c r="S286" s="619"/>
      <c r="T286" s="619"/>
      <c r="U286" s="619"/>
      <c r="V286" s="619"/>
      <c r="W286" s="619"/>
      <c r="X286" s="619"/>
      <c r="Y286" s="619"/>
      <c r="Z286" s="619"/>
      <c r="AA286" s="619"/>
      <c r="AB286" s="619"/>
      <c r="AC286" s="619"/>
      <c r="AD286" s="619"/>
      <c r="AE286" s="619"/>
      <c r="AF286" s="619"/>
      <c r="AG286" s="619"/>
      <c r="AH286" s="619"/>
      <c r="AI286" s="619"/>
      <c r="AJ286" s="619"/>
      <c r="AK286" s="619"/>
      <c r="AL286" s="619"/>
      <c r="AM286" s="8"/>
    </row>
    <row r="287" spans="1:39" ht="14.25" customHeight="1">
      <c r="A287" s="619"/>
      <c r="B287" s="253"/>
      <c r="C287" s="258" t="s">
        <v>181</v>
      </c>
      <c r="D287" s="334" t="s">
        <v>172</v>
      </c>
      <c r="E287" s="270">
        <f>'Copia de Electricidad'!D247*$E$601*$E$604</f>
        <v>9.7867334823474437</v>
      </c>
      <c r="F287" s="270">
        <f>'Copia de Electricidad'!E247*$E$601*$E$604</f>
        <v>11.980628286001632</v>
      </c>
      <c r="G287" s="270">
        <f>'Copia de Electricidad'!F247*$E$601*$E$604</f>
        <v>10.299665497592036</v>
      </c>
      <c r="H287" s="270">
        <f>'Copia de Electricidad'!G247*$E$601*$E$604</f>
        <v>11.104534031082485</v>
      </c>
      <c r="I287" s="312"/>
      <c r="J287" s="619"/>
      <c r="K287" s="619"/>
      <c r="L287" s="619"/>
      <c r="M287" s="619"/>
      <c r="N287" s="619"/>
      <c r="O287" s="619"/>
      <c r="P287" s="619"/>
      <c r="Q287" s="619"/>
      <c r="R287" s="619"/>
      <c r="S287" s="619"/>
      <c r="T287" s="619"/>
      <c r="U287" s="619"/>
      <c r="V287" s="619"/>
      <c r="W287" s="619"/>
      <c r="X287" s="619"/>
      <c r="Y287" s="619"/>
      <c r="Z287" s="619"/>
      <c r="AA287" s="619"/>
      <c r="AB287" s="619"/>
      <c r="AC287" s="619"/>
      <c r="AD287" s="619"/>
      <c r="AE287" s="619"/>
      <c r="AF287" s="619"/>
      <c r="AG287" s="619"/>
      <c r="AH287" s="619"/>
      <c r="AI287" s="619"/>
      <c r="AJ287" s="619"/>
      <c r="AK287" s="619"/>
      <c r="AL287" s="619"/>
      <c r="AM287" s="8"/>
    </row>
    <row r="288" spans="1:39" ht="14.25" customHeight="1">
      <c r="A288" s="619"/>
      <c r="B288" s="253"/>
      <c r="C288" s="258" t="s">
        <v>182</v>
      </c>
      <c r="D288" s="334" t="s">
        <v>174</v>
      </c>
      <c r="E288" s="270">
        <f>'Copia de Electricidad'!D248*$E$601*$E$604</f>
        <v>4.4398291423631662</v>
      </c>
      <c r="F288" s="270">
        <f>'Copia de Electricidad'!E248*$E$601*$E$604</f>
        <v>6.9170193209854558</v>
      </c>
      <c r="G288" s="270">
        <f>'Copia de Electricidad'!F248*$E$601*$E$604</f>
        <v>8.8806710849968749</v>
      </c>
      <c r="H288" s="270">
        <f>'Copia de Electricidad'!G248*$E$601*$E$604</f>
        <v>9.5041972473159557</v>
      </c>
      <c r="I288" s="312"/>
      <c r="J288" s="619"/>
      <c r="K288" s="619"/>
      <c r="L288" s="619"/>
      <c r="M288" s="619"/>
      <c r="N288" s="619"/>
      <c r="O288" s="619"/>
      <c r="P288" s="619"/>
      <c r="Q288" s="619"/>
      <c r="R288" s="619"/>
      <c r="S288" s="619"/>
      <c r="T288" s="619"/>
      <c r="U288" s="619"/>
      <c r="V288" s="619"/>
      <c r="W288" s="619"/>
      <c r="X288" s="619"/>
      <c r="Y288" s="619"/>
      <c r="Z288" s="619"/>
      <c r="AA288" s="619"/>
      <c r="AB288" s="619"/>
      <c r="AC288" s="619"/>
      <c r="AD288" s="619"/>
      <c r="AE288" s="619"/>
      <c r="AF288" s="619"/>
      <c r="AG288" s="619"/>
      <c r="AH288" s="619"/>
      <c r="AI288" s="619"/>
      <c r="AJ288" s="619"/>
      <c r="AK288" s="619"/>
      <c r="AL288" s="619"/>
      <c r="AM288" s="8"/>
    </row>
    <row r="289" spans="1:57" ht="14.25" customHeight="1">
      <c r="A289" s="619"/>
      <c r="B289" s="253"/>
      <c r="C289" s="258" t="s">
        <v>183</v>
      </c>
      <c r="D289" s="334" t="s">
        <v>176</v>
      </c>
      <c r="E289" s="270">
        <f>'Copia de Electricidad'!D249*$E$601*$E$604</f>
        <v>29.999337571996644</v>
      </c>
      <c r="F289" s="270">
        <f>'Copia de Electricidad'!E249*$E$601*$E$604</f>
        <v>31.65598970008115</v>
      </c>
      <c r="G289" s="270">
        <f>'Copia de Electricidad'!F249*$E$601*$E$604</f>
        <v>33.279827423516998</v>
      </c>
      <c r="H289" s="270">
        <f>'Copia de Electricidad'!G249*$E$601*$E$604</f>
        <v>33.125825894329864</v>
      </c>
      <c r="I289" s="312"/>
      <c r="J289" s="619"/>
      <c r="K289" s="619"/>
      <c r="L289" s="619"/>
      <c r="M289" s="619"/>
      <c r="N289" s="619"/>
      <c r="O289" s="619"/>
      <c r="P289" s="619"/>
      <c r="Q289" s="619"/>
      <c r="R289" s="619"/>
      <c r="S289" s="619"/>
      <c r="T289" s="619"/>
      <c r="U289" s="619"/>
      <c r="V289" s="619"/>
      <c r="W289" s="619"/>
      <c r="X289" s="619"/>
      <c r="Y289" s="619"/>
      <c r="Z289" s="619"/>
      <c r="AA289" s="619"/>
      <c r="AB289" s="619"/>
      <c r="AC289" s="619"/>
      <c r="AD289" s="619"/>
      <c r="AE289" s="619"/>
      <c r="AF289" s="619"/>
      <c r="AG289" s="619"/>
      <c r="AH289" s="619"/>
      <c r="AI289" s="619"/>
      <c r="AJ289" s="619"/>
      <c r="AK289" s="619"/>
      <c r="AL289" s="619"/>
      <c r="AM289" s="8"/>
      <c r="AN289" s="8"/>
      <c r="AO289" s="8"/>
      <c r="AP289" s="8"/>
      <c r="AQ289" s="8"/>
      <c r="AR289" s="8"/>
      <c r="AS289" s="8"/>
      <c r="AT289" s="8"/>
      <c r="AU289" s="8"/>
      <c r="AV289" s="8"/>
      <c r="AW289" s="8"/>
      <c r="AX289" s="8"/>
      <c r="AY289" s="8"/>
      <c r="AZ289" s="8"/>
      <c r="BA289" s="8"/>
      <c r="BB289" s="8"/>
      <c r="BC289" s="8"/>
      <c r="BD289" s="8"/>
      <c r="BE289" s="8"/>
    </row>
    <row r="290" spans="1:57" ht="14.25" customHeight="1">
      <c r="A290" s="619"/>
      <c r="B290" s="253"/>
      <c r="C290" s="258"/>
      <c r="D290" s="259" t="s">
        <v>313</v>
      </c>
      <c r="E290" s="25">
        <f t="shared" ref="E290:H290" si="19">E250+E253+E254+E261+E262+E273</f>
        <v>91.296177188909127</v>
      </c>
      <c r="F290" s="25">
        <f t="shared" si="19"/>
        <v>101.32729579064069</v>
      </c>
      <c r="G290" s="25">
        <f t="shared" si="19"/>
        <v>98.220200982340458</v>
      </c>
      <c r="H290" s="25">
        <f t="shared" si="19"/>
        <v>101.36096248580306</v>
      </c>
      <c r="I290" s="38"/>
      <c r="J290" s="619"/>
      <c r="K290" s="619"/>
      <c r="L290" s="619"/>
      <c r="M290" s="619"/>
      <c r="N290" s="619"/>
      <c r="O290" s="619"/>
      <c r="P290" s="619"/>
      <c r="Q290" s="619"/>
      <c r="R290" s="619"/>
      <c r="S290" s="619"/>
      <c r="T290" s="619"/>
      <c r="U290" s="619"/>
      <c r="V290" s="619"/>
      <c r="W290" s="619"/>
      <c r="X290" s="619"/>
      <c r="Y290" s="619"/>
      <c r="Z290" s="619"/>
      <c r="AA290" s="619"/>
      <c r="AB290" s="619"/>
      <c r="AC290" s="619"/>
      <c r="AD290" s="619"/>
      <c r="AE290" s="619"/>
      <c r="AF290" s="619"/>
      <c r="AG290" s="619"/>
      <c r="AH290" s="619"/>
      <c r="AI290" s="619"/>
      <c r="AJ290" s="619"/>
      <c r="AK290" s="619"/>
      <c r="AL290" s="619"/>
      <c r="AM290" s="8"/>
      <c r="AN290" s="8"/>
      <c r="AO290" s="8"/>
      <c r="AP290" s="8"/>
      <c r="AQ290" s="8"/>
      <c r="AR290" s="8"/>
      <c r="AS290" s="8"/>
      <c r="AT290" s="8"/>
      <c r="AU290" s="8"/>
      <c r="AV290" s="8"/>
      <c r="AW290" s="8"/>
      <c r="AX290" s="8"/>
      <c r="AY290" s="8"/>
      <c r="AZ290" s="8"/>
      <c r="BA290" s="8"/>
      <c r="BB290" s="8"/>
      <c r="BC290" s="8"/>
      <c r="BD290" s="8"/>
      <c r="BE290" s="8"/>
    </row>
    <row r="291" spans="1:57" ht="14.25" customHeight="1">
      <c r="A291" s="619"/>
      <c r="B291" s="253"/>
      <c r="C291" s="258"/>
      <c r="D291" s="259"/>
      <c r="E291" s="270"/>
      <c r="F291" s="270"/>
      <c r="G291" s="270"/>
      <c r="H291" s="270"/>
      <c r="I291" s="324"/>
      <c r="J291" s="619"/>
      <c r="K291" s="619"/>
      <c r="L291" s="619"/>
      <c r="M291" s="619"/>
      <c r="N291" s="619"/>
      <c r="O291" s="619"/>
      <c r="P291" s="619"/>
      <c r="Q291" s="619"/>
      <c r="R291" s="619"/>
      <c r="S291" s="619"/>
      <c r="T291" s="619"/>
      <c r="U291" s="619"/>
      <c r="V291" s="619"/>
      <c r="W291" s="619"/>
      <c r="X291" s="619"/>
      <c r="Y291" s="619"/>
      <c r="Z291" s="619"/>
      <c r="AA291" s="619"/>
      <c r="AB291" s="619"/>
      <c r="AC291" s="619"/>
      <c r="AD291" s="619"/>
      <c r="AE291" s="619"/>
      <c r="AF291" s="619"/>
      <c r="AG291" s="619"/>
      <c r="AH291" s="619"/>
      <c r="AI291" s="619"/>
      <c r="AJ291" s="619"/>
      <c r="AK291" s="619"/>
      <c r="AL291" s="619"/>
      <c r="AM291" s="8"/>
      <c r="AN291" s="8"/>
      <c r="AO291" s="8"/>
      <c r="AP291" s="8"/>
      <c r="AQ291" s="8"/>
      <c r="AR291" s="8"/>
      <c r="AS291" s="8"/>
      <c r="AT291" s="8"/>
      <c r="AU291" s="8"/>
      <c r="AV291" s="8"/>
      <c r="AW291" s="8"/>
      <c r="AX291" s="8"/>
      <c r="AY291" s="8"/>
      <c r="AZ291" s="8"/>
      <c r="BA291" s="8"/>
      <c r="BB291" s="8"/>
      <c r="BC291" s="8"/>
      <c r="BD291" s="8"/>
      <c r="BE291" s="8"/>
    </row>
    <row r="292" spans="1:57" ht="14.25" customHeight="1">
      <c r="A292" s="619"/>
      <c r="B292" s="253"/>
      <c r="C292" s="258"/>
      <c r="D292" s="281" t="s">
        <v>314</v>
      </c>
      <c r="E292" s="172">
        <v>2018</v>
      </c>
      <c r="F292" s="172">
        <v>2019</v>
      </c>
      <c r="G292" s="172">
        <v>2020</v>
      </c>
      <c r="H292" s="172">
        <v>2021</v>
      </c>
      <c r="I292" s="172">
        <v>2022</v>
      </c>
      <c r="J292" s="189">
        <v>2023</v>
      </c>
      <c r="K292" s="189">
        <v>2024</v>
      </c>
      <c r="L292" s="189">
        <v>2025</v>
      </c>
      <c r="M292" s="189">
        <v>2026</v>
      </c>
      <c r="N292" s="189">
        <v>2027</v>
      </c>
      <c r="O292" s="189">
        <v>2028</v>
      </c>
      <c r="P292" s="189">
        <v>2029</v>
      </c>
      <c r="Q292" s="189">
        <v>2030</v>
      </c>
      <c r="R292" s="189">
        <v>2031</v>
      </c>
      <c r="S292" s="189">
        <v>2032</v>
      </c>
      <c r="T292" s="189">
        <v>2033</v>
      </c>
      <c r="U292" s="189">
        <v>2034</v>
      </c>
      <c r="V292" s="189">
        <v>2035</v>
      </c>
      <c r="W292" s="189">
        <v>2036</v>
      </c>
      <c r="X292" s="189">
        <v>2037</v>
      </c>
      <c r="Y292" s="189">
        <v>2038</v>
      </c>
      <c r="Z292" s="189">
        <v>2039</v>
      </c>
      <c r="AA292" s="189">
        <v>2040</v>
      </c>
      <c r="AB292" s="189">
        <v>2041</v>
      </c>
      <c r="AC292" s="189">
        <v>2042</v>
      </c>
      <c r="AD292" s="189">
        <v>2043</v>
      </c>
      <c r="AE292" s="189">
        <v>2044</v>
      </c>
      <c r="AF292" s="189">
        <v>2045</v>
      </c>
      <c r="AG292" s="189">
        <v>2046</v>
      </c>
      <c r="AH292" s="189">
        <v>2047</v>
      </c>
      <c r="AI292" s="189">
        <v>2048</v>
      </c>
      <c r="AJ292" s="189">
        <v>2049</v>
      </c>
      <c r="AK292" s="218">
        <v>2050</v>
      </c>
      <c r="AL292" s="189">
        <v>2051</v>
      </c>
      <c r="AM292" s="189">
        <v>2052</v>
      </c>
      <c r="AN292" s="189">
        <v>2053</v>
      </c>
      <c r="AO292" s="189">
        <v>2054</v>
      </c>
      <c r="AP292" s="189">
        <v>2055</v>
      </c>
      <c r="AQ292" s="189">
        <v>2056</v>
      </c>
      <c r="AR292" s="189">
        <v>2057</v>
      </c>
      <c r="AS292" s="189">
        <v>2058</v>
      </c>
      <c r="AT292" s="218">
        <v>2059</v>
      </c>
      <c r="AU292" s="189">
        <v>2060</v>
      </c>
      <c r="AV292" s="189">
        <v>2061</v>
      </c>
      <c r="AW292" s="189">
        <v>2062</v>
      </c>
      <c r="AX292" s="189">
        <v>2063</v>
      </c>
      <c r="AY292" s="189">
        <v>2064</v>
      </c>
      <c r="AZ292" s="189">
        <v>2065</v>
      </c>
      <c r="BA292" s="189">
        <v>2066</v>
      </c>
      <c r="BB292" s="189">
        <v>2067</v>
      </c>
      <c r="BC292" s="218">
        <v>2068</v>
      </c>
      <c r="BD292" s="189">
        <v>2069</v>
      </c>
      <c r="BE292" s="189">
        <v>2070</v>
      </c>
    </row>
    <row r="293" spans="1:57" ht="14.25" customHeight="1">
      <c r="A293" s="619"/>
      <c r="B293" s="253"/>
      <c r="C293" s="258"/>
      <c r="D293" s="262" t="s">
        <v>303</v>
      </c>
      <c r="E293" s="325"/>
      <c r="F293" s="325"/>
      <c r="G293" s="325"/>
      <c r="H293" s="325"/>
      <c r="I293" s="32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c r="AK293" s="335"/>
      <c r="AL293" s="619"/>
      <c r="AM293" s="8"/>
      <c r="AN293" s="8"/>
      <c r="AO293" s="8"/>
      <c r="AP293" s="8"/>
      <c r="AQ293" s="8"/>
      <c r="AR293" s="8"/>
      <c r="AS293" s="8"/>
      <c r="AT293" s="8"/>
      <c r="AU293" s="8"/>
      <c r="AV293" s="8"/>
      <c r="AW293" s="8"/>
      <c r="AX293" s="8"/>
      <c r="AY293" s="8"/>
      <c r="AZ293" s="8"/>
      <c r="BA293" s="8"/>
      <c r="BB293" s="8"/>
      <c r="BC293" s="8"/>
      <c r="BD293" s="8"/>
      <c r="BE293" s="8"/>
    </row>
    <row r="294" spans="1:57" ht="14.25" customHeight="1">
      <c r="A294" s="619"/>
      <c r="B294" s="253"/>
      <c r="C294" s="258"/>
      <c r="D294" s="262" t="s">
        <v>136</v>
      </c>
      <c r="E294" s="325">
        <f t="shared" ref="E294:H294" si="20">E295</f>
        <v>2.3586003188598284E-2</v>
      </c>
      <c r="F294" s="325">
        <f t="shared" si="20"/>
        <v>1.9954694542129378E-2</v>
      </c>
      <c r="G294" s="325">
        <f t="shared" si="20"/>
        <v>1.965593807001146E-2</v>
      </c>
      <c r="H294" s="325">
        <f t="shared" si="20"/>
        <v>7.0155963466996523E-3</v>
      </c>
      <c r="I294" s="325"/>
      <c r="J294" s="335"/>
      <c r="K294" s="335"/>
      <c r="L294" s="335"/>
      <c r="M294" s="335"/>
      <c r="N294" s="335"/>
      <c r="O294" s="335"/>
      <c r="P294" s="335"/>
      <c r="Q294" s="335"/>
      <c r="R294" s="335"/>
      <c r="S294" s="335"/>
      <c r="T294" s="335"/>
      <c r="U294" s="335"/>
      <c r="V294" s="335"/>
      <c r="W294" s="335"/>
      <c r="X294" s="335"/>
      <c r="Y294" s="335"/>
      <c r="Z294" s="335"/>
      <c r="AA294" s="335"/>
      <c r="AB294" s="335"/>
      <c r="AC294" s="335"/>
      <c r="AD294" s="335"/>
      <c r="AE294" s="335"/>
      <c r="AF294" s="335"/>
      <c r="AG294" s="335"/>
      <c r="AH294" s="335"/>
      <c r="AI294" s="335"/>
      <c r="AJ294" s="335"/>
      <c r="AK294" s="335"/>
      <c r="AL294" s="619"/>
      <c r="AM294" s="8"/>
      <c r="AN294" s="8"/>
      <c r="AO294" s="8"/>
      <c r="AP294" s="8"/>
      <c r="AQ294" s="8"/>
      <c r="AR294" s="8"/>
      <c r="AS294" s="8"/>
      <c r="AT294" s="8"/>
      <c r="AU294" s="8"/>
      <c r="AV294" s="8"/>
      <c r="AW294" s="8"/>
      <c r="AX294" s="8"/>
      <c r="AY294" s="8"/>
      <c r="AZ294" s="8"/>
      <c r="BA294" s="8"/>
      <c r="BB294" s="8"/>
      <c r="BC294" s="8"/>
      <c r="BD294" s="8"/>
      <c r="BE294" s="8"/>
    </row>
    <row r="295" spans="1:57" ht="14.25" customHeight="1">
      <c r="A295" s="619"/>
      <c r="B295" s="253"/>
      <c r="C295" s="258" t="s">
        <v>187</v>
      </c>
      <c r="D295" s="285" t="s">
        <v>188</v>
      </c>
      <c r="E295" s="336">
        <f>'Copia de Electricidad'!D255*$E$601*$E$604</f>
        <v>2.3586003188598284E-2</v>
      </c>
      <c r="F295" s="336">
        <f>'Copia de Electricidad'!E255*$E$601*$E$604</f>
        <v>1.9954694542129378E-2</v>
      </c>
      <c r="G295" s="336">
        <f>'Copia de Electricidad'!F255*$E$601*$E$604</f>
        <v>1.965593807001146E-2</v>
      </c>
      <c r="H295" s="336">
        <f>'Copia de Electricidad'!G255*$E$601*$E$604</f>
        <v>7.0155963466996523E-3</v>
      </c>
      <c r="I295" s="336">
        <v>2.5288379845712812E-2</v>
      </c>
      <c r="J295" s="335">
        <v>2.5918073054243842E-2</v>
      </c>
      <c r="K295" s="335">
        <v>2.6547766262774861E-2</v>
      </c>
      <c r="L295" s="335">
        <v>2.7177459471305898E-2</v>
      </c>
      <c r="M295" s="335">
        <v>2.7807152679836931E-2</v>
      </c>
      <c r="N295" s="335">
        <v>2.8436845888367961E-2</v>
      </c>
      <c r="O295" s="335">
        <v>2.9066539096898988E-2</v>
      </c>
      <c r="P295" s="335">
        <v>2.9696232305430014E-2</v>
      </c>
      <c r="Q295" s="335">
        <v>3.0325925513961037E-2</v>
      </c>
      <c r="R295" s="335">
        <v>3.0565500946826914E-2</v>
      </c>
      <c r="S295" s="335">
        <v>3.0805076379692788E-2</v>
      </c>
      <c r="T295" s="335">
        <v>3.1044651812558673E-2</v>
      </c>
      <c r="U295" s="335">
        <v>3.1284227245424547E-2</v>
      </c>
      <c r="V295" s="335">
        <v>3.152380267829042E-2</v>
      </c>
      <c r="W295" s="335">
        <v>3.1763378111156294E-2</v>
      </c>
      <c r="X295" s="335">
        <v>3.2002953544022168E-2</v>
      </c>
      <c r="Y295" s="335">
        <v>3.2242528976888056E-2</v>
      </c>
      <c r="Z295" s="335">
        <v>3.248210440975393E-2</v>
      </c>
      <c r="AA295" s="335">
        <v>3.2721679842619797E-2</v>
      </c>
      <c r="AB295" s="335">
        <v>3.2754401936666136E-2</v>
      </c>
      <c r="AC295" s="335">
        <v>3.2787124030712482E-2</v>
      </c>
      <c r="AD295" s="335">
        <v>3.2819846124758828E-2</v>
      </c>
      <c r="AE295" s="335">
        <v>3.2852568218805174E-2</v>
      </c>
      <c r="AF295" s="335">
        <v>3.288529031285152E-2</v>
      </c>
      <c r="AG295" s="335">
        <v>3.2918012406897852E-2</v>
      </c>
      <c r="AH295" s="335">
        <v>3.2950734500944198E-2</v>
      </c>
      <c r="AI295" s="335">
        <v>3.2983456594990544E-2</v>
      </c>
      <c r="AJ295" s="335">
        <v>3.301617868903689E-2</v>
      </c>
      <c r="AK295" s="335">
        <v>3.3048900783083208E-2</v>
      </c>
      <c r="AL295" s="619"/>
      <c r="AM295" s="8"/>
      <c r="AN295" s="8"/>
      <c r="AO295" s="8"/>
      <c r="AP295" s="8"/>
      <c r="AQ295" s="8"/>
      <c r="AR295" s="8"/>
      <c r="AS295" s="8"/>
      <c r="AT295" s="8"/>
      <c r="AU295" s="8"/>
      <c r="AV295" s="8"/>
      <c r="AW295" s="8"/>
      <c r="AX295" s="8"/>
      <c r="AY295" s="8"/>
      <c r="AZ295" s="8"/>
      <c r="BA295" s="8"/>
      <c r="BB295" s="8"/>
      <c r="BC295" s="8"/>
      <c r="BD295" s="8"/>
      <c r="BE295" s="8"/>
    </row>
    <row r="296" spans="1:57" ht="14.25" customHeight="1">
      <c r="A296" s="619"/>
      <c r="B296" s="253"/>
      <c r="C296" s="258"/>
      <c r="D296" s="262" t="s">
        <v>137</v>
      </c>
      <c r="E296" s="325">
        <f t="shared" ref="E296:H296" si="21">SUM(E297)</f>
        <v>5.9052648959703712E-2</v>
      </c>
      <c r="F296" s="325">
        <f t="shared" si="21"/>
        <v>7.7137812996397701E-2</v>
      </c>
      <c r="G296" s="325">
        <f t="shared" si="21"/>
        <v>7.3415805281261973E-2</v>
      </c>
      <c r="H296" s="325">
        <f t="shared" si="21"/>
        <v>6.8646520136716072E-2</v>
      </c>
      <c r="I296" s="325"/>
      <c r="J296" s="335"/>
      <c r="K296" s="335"/>
      <c r="L296" s="335"/>
      <c r="M296" s="335"/>
      <c r="N296" s="335"/>
      <c r="O296" s="335"/>
      <c r="P296" s="335"/>
      <c r="Q296" s="335"/>
      <c r="R296" s="335"/>
      <c r="S296" s="335"/>
      <c r="T296" s="335"/>
      <c r="U296" s="335"/>
      <c r="V296" s="335"/>
      <c r="W296" s="335"/>
      <c r="X296" s="335"/>
      <c r="Y296" s="335"/>
      <c r="Z296" s="335"/>
      <c r="AA296" s="335"/>
      <c r="AB296" s="335"/>
      <c r="AC296" s="335"/>
      <c r="AD296" s="335"/>
      <c r="AE296" s="335"/>
      <c r="AF296" s="335"/>
      <c r="AG296" s="335"/>
      <c r="AH296" s="335"/>
      <c r="AI296" s="335"/>
      <c r="AJ296" s="335"/>
      <c r="AK296" s="335"/>
      <c r="AL296" s="619"/>
      <c r="AM296" s="8"/>
      <c r="AN296" s="8"/>
      <c r="AO296" s="8"/>
      <c r="AP296" s="8"/>
      <c r="AQ296" s="8"/>
      <c r="AR296" s="8"/>
      <c r="AS296" s="8"/>
      <c r="AT296" s="8"/>
      <c r="AU296" s="8"/>
      <c r="AV296" s="8"/>
      <c r="AW296" s="8"/>
      <c r="AX296" s="8"/>
      <c r="AY296" s="8"/>
      <c r="AZ296" s="8"/>
      <c r="BA296" s="8"/>
      <c r="BB296" s="8"/>
      <c r="BC296" s="8"/>
      <c r="BD296" s="8"/>
      <c r="BE296" s="8"/>
    </row>
    <row r="297" spans="1:57" ht="14.25" customHeight="1">
      <c r="A297" s="619"/>
      <c r="B297" s="253"/>
      <c r="C297" s="258"/>
      <c r="D297" s="266" t="s">
        <v>189</v>
      </c>
      <c r="E297" s="267">
        <f t="shared" ref="E297:H297" si="22">SUM(E299:E300,E302:E303)</f>
        <v>5.9052648959703712E-2</v>
      </c>
      <c r="F297" s="267">
        <f t="shared" si="22"/>
        <v>7.7137812996397701E-2</v>
      </c>
      <c r="G297" s="267">
        <f t="shared" si="22"/>
        <v>7.3415805281261973E-2</v>
      </c>
      <c r="H297" s="267">
        <f t="shared" si="22"/>
        <v>6.8646520136716072E-2</v>
      </c>
      <c r="I297" s="267"/>
      <c r="J297" s="335"/>
      <c r="K297" s="335"/>
      <c r="L297" s="335"/>
      <c r="M297" s="335"/>
      <c r="N297" s="335"/>
      <c r="O297" s="335"/>
      <c r="P297" s="335"/>
      <c r="Q297" s="335"/>
      <c r="R297" s="335"/>
      <c r="S297" s="335"/>
      <c r="T297" s="335"/>
      <c r="U297" s="335"/>
      <c r="V297" s="335"/>
      <c r="W297" s="335"/>
      <c r="X297" s="335"/>
      <c r="Y297" s="335"/>
      <c r="Z297" s="335"/>
      <c r="AA297" s="335"/>
      <c r="AB297" s="335"/>
      <c r="AC297" s="335"/>
      <c r="AD297" s="335"/>
      <c r="AE297" s="335"/>
      <c r="AF297" s="335"/>
      <c r="AG297" s="335"/>
      <c r="AH297" s="335"/>
      <c r="AI297" s="335"/>
      <c r="AJ297" s="335"/>
      <c r="AK297" s="335"/>
      <c r="AL297" s="619"/>
      <c r="AM297" s="8"/>
      <c r="AN297" s="8"/>
      <c r="AO297" s="8"/>
      <c r="AP297" s="8"/>
      <c r="AQ297" s="8"/>
      <c r="AR297" s="8"/>
      <c r="AS297" s="8"/>
      <c r="AT297" s="8"/>
      <c r="AU297" s="8"/>
      <c r="AV297" s="8"/>
      <c r="AW297" s="8"/>
      <c r="AX297" s="8"/>
      <c r="AY297" s="8"/>
      <c r="AZ297" s="8"/>
      <c r="BA297" s="8"/>
      <c r="BB297" s="8"/>
      <c r="BC297" s="8"/>
      <c r="BD297" s="8"/>
      <c r="BE297" s="8"/>
    </row>
    <row r="298" spans="1:57" ht="14.25" customHeight="1">
      <c r="A298" s="619"/>
      <c r="B298" s="253"/>
      <c r="C298" s="258"/>
      <c r="D298" s="285" t="s">
        <v>190</v>
      </c>
      <c r="E298" s="336"/>
      <c r="F298" s="336"/>
      <c r="G298" s="336"/>
      <c r="H298" s="336"/>
      <c r="I298" s="336"/>
      <c r="J298" s="335"/>
      <c r="K298" s="335"/>
      <c r="L298" s="335"/>
      <c r="M298" s="335"/>
      <c r="N298" s="335"/>
      <c r="O298" s="335"/>
      <c r="P298" s="335"/>
      <c r="Q298" s="335"/>
      <c r="R298" s="335"/>
      <c r="S298" s="335"/>
      <c r="T298" s="335"/>
      <c r="U298" s="335"/>
      <c r="V298" s="335"/>
      <c r="W298" s="335"/>
      <c r="X298" s="335"/>
      <c r="Y298" s="335"/>
      <c r="Z298" s="335"/>
      <c r="AA298" s="335"/>
      <c r="AB298" s="335"/>
      <c r="AC298" s="335"/>
      <c r="AD298" s="335"/>
      <c r="AE298" s="335"/>
      <c r="AF298" s="335"/>
      <c r="AG298" s="335"/>
      <c r="AH298" s="335"/>
      <c r="AI298" s="335"/>
      <c r="AJ298" s="335"/>
      <c r="AK298" s="335"/>
      <c r="AL298" s="619"/>
      <c r="AM298" s="8"/>
      <c r="AN298" s="8"/>
      <c r="AO298" s="8"/>
      <c r="AP298" s="8"/>
      <c r="AQ298" s="8"/>
      <c r="AR298" s="8"/>
      <c r="AS298" s="8"/>
      <c r="AT298" s="8"/>
      <c r="AU298" s="8"/>
      <c r="AV298" s="8"/>
      <c r="AW298" s="8"/>
      <c r="AX298" s="8"/>
      <c r="AY298" s="8"/>
      <c r="AZ298" s="8"/>
      <c r="BA298" s="8"/>
      <c r="BB298" s="8"/>
      <c r="BC298" s="8"/>
      <c r="BD298" s="8"/>
      <c r="BE298" s="8"/>
    </row>
    <row r="299" spans="1:57" ht="14.25" customHeight="1">
      <c r="A299" s="619"/>
      <c r="B299" s="253"/>
      <c r="C299" s="258"/>
      <c r="D299" s="259" t="s">
        <v>192</v>
      </c>
      <c r="E299" s="270">
        <f>'Copia de Electricidad'!D259*$E$601*$E$604</f>
        <v>1.7196162058607078E-2</v>
      </c>
      <c r="F299" s="270">
        <f>'Copia de Electricidad'!E259*$E$601*$E$604</f>
        <v>2.025647311728895E-2</v>
      </c>
      <c r="G299" s="270">
        <f>'Copia de Electricidad'!F259*$E$601*$E$604</f>
        <v>1.7551007324081429E-2</v>
      </c>
      <c r="H299" s="270">
        <f>'Copia de Electricidad'!G259*$E$601*$E$604</f>
        <v>1.2915892761359873E-2</v>
      </c>
      <c r="I299" s="270">
        <v>2.0081156737732191E-2</v>
      </c>
      <c r="J299" s="335">
        <v>2.0415358440804828E-2</v>
      </c>
      <c r="K299" s="335">
        <v>2.0755241047268339E-2</v>
      </c>
      <c r="L299" s="335">
        <v>2.1096373590783462E-2</v>
      </c>
      <c r="M299" s="335">
        <v>2.1442448831436294E-2</v>
      </c>
      <c r="N299" s="335">
        <v>2.1790972081584408E-2</v>
      </c>
      <c r="O299" s="335">
        <v>2.2143971247398666E-2</v>
      </c>
      <c r="P299" s="335">
        <v>2.249961723703868E-2</v>
      </c>
      <c r="Q299" s="335">
        <v>2.2860492907980392E-2</v>
      </c>
      <c r="R299" s="335">
        <v>2.3222443905126962E-2</v>
      </c>
      <c r="S299" s="335">
        <v>2.3587038268458746E-2</v>
      </c>
      <c r="T299" s="335">
        <v>2.3955206103278337E-2</v>
      </c>
      <c r="U299" s="335">
        <v>2.4325718218377309E-2</v>
      </c>
      <c r="V299" s="335">
        <v>2.4697770712332413E-2</v>
      </c>
      <c r="W299" s="335">
        <v>2.5071880502402902E-2</v>
      </c>
      <c r="X299" s="335">
        <v>2.5446654159455157E-2</v>
      </c>
      <c r="Y299" s="335">
        <v>2.5823198128458805E-2</v>
      </c>
      <c r="Z299" s="335">
        <v>2.6201882376950553E-2</v>
      </c>
      <c r="AA299" s="335">
        <v>2.6579821503908068E-2</v>
      </c>
      <c r="AB299" s="335">
        <v>2.6959748774170369E-2</v>
      </c>
      <c r="AC299" s="335">
        <v>2.7337101831058041E-2</v>
      </c>
      <c r="AD299" s="335">
        <v>2.7714475633788902E-2</v>
      </c>
      <c r="AE299" s="335">
        <v>2.8087382164954933E-2</v>
      </c>
      <c r="AF299" s="335">
        <v>2.845617410389021E-2</v>
      </c>
      <c r="AG299" s="335">
        <v>2.8820337990975997E-2</v>
      </c>
      <c r="AH299" s="335">
        <v>2.9178641177363355E-2</v>
      </c>
      <c r="AI299" s="335">
        <v>2.9530907323385255E-2</v>
      </c>
      <c r="AJ299" s="335">
        <v>2.9878460705364679E-2</v>
      </c>
      <c r="AK299" s="335">
        <v>3.0219638198206701E-2</v>
      </c>
      <c r="AL299" s="619"/>
      <c r="AM299" s="8"/>
      <c r="AN299" s="8"/>
      <c r="AO299" s="8"/>
      <c r="AP299" s="8"/>
      <c r="AQ299" s="8"/>
      <c r="AR299" s="8"/>
      <c r="AS299" s="8"/>
      <c r="AT299" s="8"/>
      <c r="AU299" s="8"/>
      <c r="AV299" s="8"/>
      <c r="AW299" s="8"/>
      <c r="AX299" s="8"/>
      <c r="AY299" s="8"/>
      <c r="AZ299" s="8"/>
      <c r="BA299" s="8"/>
      <c r="BB299" s="8"/>
      <c r="BC299" s="8"/>
      <c r="BD299" s="8"/>
      <c r="BE299" s="8"/>
    </row>
    <row r="300" spans="1:57" ht="14.25" customHeight="1">
      <c r="A300" s="619"/>
      <c r="B300" s="253"/>
      <c r="C300" s="258"/>
      <c r="D300" s="259" t="s">
        <v>194</v>
      </c>
      <c r="E300" s="270">
        <f>'Copia de Electricidad'!D260*$E$601*$E$604</f>
        <v>3.6891603332663031E-2</v>
      </c>
      <c r="F300" s="270">
        <f>'Copia de Electricidad'!E260*$E$601*$E$604</f>
        <v>4.1414864105426177E-2</v>
      </c>
      <c r="G300" s="270">
        <f>'Copia de Electricidad'!F260*$E$601*$E$604</f>
        <v>5.5439760750822027E-2</v>
      </c>
      <c r="H300" s="270">
        <f>'Copia de Electricidad'!G260*$E$601*$E$604</f>
        <v>5.4865561172907536E-2</v>
      </c>
      <c r="I300" s="270">
        <v>5.0145463060173701E-2</v>
      </c>
      <c r="J300" s="335">
        <v>5.0980011556306236E-2</v>
      </c>
      <c r="K300" s="335">
        <v>5.1828746064472644E-2</v>
      </c>
      <c r="L300" s="335">
        <v>5.2680601840655018E-2</v>
      </c>
      <c r="M300" s="335">
        <v>5.3544800224386027E-2</v>
      </c>
      <c r="N300" s="335">
        <v>5.4415111630953299E-2</v>
      </c>
      <c r="O300" s="335">
        <v>5.5296600026308075E-2</v>
      </c>
      <c r="P300" s="335">
        <v>5.618469791174923E-2</v>
      </c>
      <c r="Q300" s="335">
        <v>5.708585504442179E-2</v>
      </c>
      <c r="R300" s="335">
        <v>5.7989697417351535E-2</v>
      </c>
      <c r="S300" s="335">
        <v>5.890014064615462E-2</v>
      </c>
      <c r="T300" s="335">
        <v>5.9819507334140314E-2</v>
      </c>
      <c r="U300" s="335">
        <v>6.0744728018570872E-2</v>
      </c>
      <c r="V300" s="335">
        <v>6.1673795244913239E-2</v>
      </c>
      <c r="W300" s="335">
        <v>6.2607999828017735E-2</v>
      </c>
      <c r="X300" s="335">
        <v>6.3543862180026958E-2</v>
      </c>
      <c r="Y300" s="335">
        <v>6.4484145249115554E-2</v>
      </c>
      <c r="Z300" s="335">
        <v>6.5429772896079305E-2</v>
      </c>
      <c r="AA300" s="335">
        <v>6.6373539870131767E-2</v>
      </c>
      <c r="AB300" s="335">
        <v>6.7322271516685434E-2</v>
      </c>
      <c r="AC300" s="335">
        <v>6.8264574991626664E-2</v>
      </c>
      <c r="AD300" s="335">
        <v>6.920693027184617E-2</v>
      </c>
      <c r="AE300" s="335">
        <v>7.0138130148810804E-2</v>
      </c>
      <c r="AF300" s="335">
        <v>7.1059055312251221E-2</v>
      </c>
      <c r="AG300" s="335">
        <v>7.1968423581530105E-2</v>
      </c>
      <c r="AH300" s="335">
        <v>7.2863156859696812E-2</v>
      </c>
      <c r="AI300" s="335">
        <v>7.3742814801885923E-2</v>
      </c>
      <c r="AJ300" s="335">
        <v>7.4610704311693893E-2</v>
      </c>
      <c r="AK300" s="335">
        <v>7.5462672332645878E-2</v>
      </c>
      <c r="AL300" s="619"/>
      <c r="AM300" s="8"/>
      <c r="AN300" s="8"/>
      <c r="AO300" s="8"/>
      <c r="AP300" s="8"/>
      <c r="AQ300" s="8"/>
      <c r="AR300" s="8"/>
      <c r="AS300" s="8"/>
      <c r="AT300" s="8"/>
      <c r="AU300" s="8"/>
      <c r="AV300" s="8"/>
      <c r="AW300" s="8"/>
      <c r="AX300" s="8"/>
      <c r="AY300" s="8"/>
      <c r="AZ300" s="8"/>
      <c r="BA300" s="8"/>
      <c r="BB300" s="8"/>
      <c r="BC300" s="8"/>
      <c r="BD300" s="8"/>
      <c r="BE300" s="8"/>
    </row>
    <row r="301" spans="1:57" ht="14.25" customHeight="1">
      <c r="A301" s="619"/>
      <c r="B301" s="253"/>
      <c r="C301" s="258"/>
      <c r="D301" s="285" t="s">
        <v>195</v>
      </c>
      <c r="E301" s="336"/>
      <c r="F301" s="336"/>
      <c r="G301" s="336"/>
      <c r="H301" s="336"/>
      <c r="I301" s="336"/>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c r="AK301" s="335"/>
      <c r="AL301" s="619"/>
      <c r="AM301" s="8"/>
      <c r="AN301" s="8"/>
      <c r="AO301" s="8"/>
      <c r="AP301" s="8"/>
      <c r="AQ301" s="8"/>
      <c r="AR301" s="8"/>
      <c r="AS301" s="8"/>
      <c r="AT301" s="8"/>
      <c r="AU301" s="8"/>
      <c r="AV301" s="8"/>
      <c r="AW301" s="8"/>
      <c r="AX301" s="8"/>
      <c r="AY301" s="8"/>
      <c r="AZ301" s="8"/>
      <c r="BA301" s="8"/>
      <c r="BB301" s="8"/>
      <c r="BC301" s="8"/>
      <c r="BD301" s="8"/>
      <c r="BE301" s="8"/>
    </row>
    <row r="302" spans="1:57" ht="14.25" customHeight="1">
      <c r="A302" s="619"/>
      <c r="B302" s="253"/>
      <c r="C302" s="258"/>
      <c r="D302" s="259" t="s">
        <v>192</v>
      </c>
      <c r="E302" s="277">
        <f>'Copia de Electricidad'!D262*$E$601*$E$604</f>
        <v>4.9648835684336003E-3</v>
      </c>
      <c r="F302" s="277">
        <f>'Copia de Electricidad'!E262*$E$601*$E$604</f>
        <v>1.5466475773682566E-2</v>
      </c>
      <c r="G302" s="277">
        <f>'Copia de Electricidad'!F262*$E$601*$E$604</f>
        <v>4.2503720635851124E-4</v>
      </c>
      <c r="H302" s="277">
        <f>'Copia de Electricidad'!G262*$E$601*$E$604</f>
        <v>8.6506620244866227E-4</v>
      </c>
      <c r="I302" s="277"/>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c r="AK302" s="335"/>
      <c r="AL302" s="619"/>
      <c r="AM302" s="8"/>
      <c r="AN302" s="8"/>
      <c r="AO302" s="8"/>
      <c r="AP302" s="8"/>
      <c r="AQ302" s="8"/>
      <c r="AR302" s="8"/>
      <c r="AS302" s="8"/>
      <c r="AT302" s="8"/>
      <c r="AU302" s="8"/>
      <c r="AV302" s="8"/>
      <c r="AW302" s="8"/>
      <c r="AX302" s="8"/>
      <c r="AY302" s="8"/>
      <c r="AZ302" s="8"/>
      <c r="BA302" s="8"/>
      <c r="BB302" s="8"/>
      <c r="BC302" s="8"/>
      <c r="BD302" s="8"/>
      <c r="BE302" s="8"/>
    </row>
    <row r="303" spans="1:57" ht="14.25" customHeight="1">
      <c r="A303" s="619"/>
      <c r="B303" s="253"/>
      <c r="C303" s="258"/>
      <c r="D303" s="259" t="s">
        <v>194</v>
      </c>
      <c r="E303" s="277">
        <f>'Copia de Electricidad'!D263*$E$601*$E$604</f>
        <v>0</v>
      </c>
      <c r="F303" s="277">
        <f>'Copia de Electricidad'!E263*$E$601*$E$604</f>
        <v>0</v>
      </c>
      <c r="G303" s="277">
        <f>'Copia de Electricidad'!F263*$E$601*$E$604</f>
        <v>0</v>
      </c>
      <c r="H303" s="277">
        <f>'Copia de Electricidad'!G263*$E$601*$E$604</f>
        <v>0</v>
      </c>
      <c r="I303" s="277"/>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c r="AK303" s="335"/>
      <c r="AL303" s="619"/>
      <c r="AM303" s="8"/>
      <c r="AN303" s="8"/>
      <c r="AO303" s="8"/>
      <c r="AP303" s="8"/>
      <c r="AQ303" s="8"/>
      <c r="AR303" s="8"/>
      <c r="AS303" s="8"/>
      <c r="AT303" s="8"/>
      <c r="AU303" s="8"/>
      <c r="AV303" s="8"/>
      <c r="AW303" s="8"/>
      <c r="AX303" s="8"/>
      <c r="AY303" s="8"/>
      <c r="AZ303" s="8"/>
      <c r="BA303" s="8"/>
      <c r="BB303" s="8"/>
      <c r="BC303" s="8"/>
      <c r="BD303" s="8"/>
      <c r="BE303" s="8"/>
    </row>
    <row r="304" spans="1:57" ht="14.25" customHeight="1">
      <c r="A304" s="619"/>
      <c r="B304" s="253"/>
      <c r="C304" s="258"/>
      <c r="D304" s="262" t="s">
        <v>143</v>
      </c>
      <c r="E304" s="325">
        <f t="shared" ref="E304:H304" si="23">SUM(E305:E306)</f>
        <v>1.1911906958021409E-2</v>
      </c>
      <c r="F304" s="325">
        <f t="shared" si="23"/>
        <v>1.6161199699091643E-2</v>
      </c>
      <c r="G304" s="325">
        <f t="shared" si="23"/>
        <v>1.4207230195575722E-2</v>
      </c>
      <c r="H304" s="325">
        <f t="shared" si="23"/>
        <v>1.2320633946218941E-2</v>
      </c>
      <c r="I304" s="32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c r="AK304" s="335"/>
      <c r="AL304" s="619"/>
      <c r="AM304" s="8"/>
      <c r="AN304" s="8"/>
      <c r="AO304" s="8"/>
      <c r="AP304" s="8"/>
      <c r="AQ304" s="8"/>
      <c r="AR304" s="8"/>
      <c r="AS304" s="8"/>
      <c r="AT304" s="8"/>
      <c r="AU304" s="8"/>
      <c r="AV304" s="8"/>
      <c r="AW304" s="8"/>
      <c r="AX304" s="8"/>
      <c r="AY304" s="8"/>
      <c r="AZ304" s="8"/>
      <c r="BA304" s="8"/>
      <c r="BB304" s="8"/>
      <c r="BC304" s="8"/>
      <c r="BD304" s="8"/>
      <c r="BE304" s="8"/>
    </row>
    <row r="305" spans="1:39" ht="14.25" customHeight="1">
      <c r="A305" s="619"/>
      <c r="B305" s="253"/>
      <c r="C305" s="258" t="s">
        <v>198</v>
      </c>
      <c r="D305" s="285" t="s">
        <v>188</v>
      </c>
      <c r="E305" s="337">
        <f>'Copia de Electricidad'!D265*$E$601*$E$604</f>
        <v>2.7137765765720759E-3</v>
      </c>
      <c r="F305" s="337">
        <f>'Copia de Electricidad'!E265*$E$601*$E$604</f>
        <v>2.608542631371581E-3</v>
      </c>
      <c r="G305" s="337">
        <f>'Copia de Electricidad'!F265*$E$601*$E$604</f>
        <v>2.6616093216863604E-3</v>
      </c>
      <c r="H305" s="337">
        <f>'Copia de Electricidad'!G265*$E$601*$E$604</f>
        <v>2.6574755164543822E-3</v>
      </c>
      <c r="I305" s="337">
        <v>2.4908329802083629E-3</v>
      </c>
      <c r="J305" s="335">
        <v>2.552855957591321E-3</v>
      </c>
      <c r="K305" s="335">
        <v>2.6148789349742796E-3</v>
      </c>
      <c r="L305" s="335">
        <v>2.6769019123572381E-3</v>
      </c>
      <c r="M305" s="335">
        <v>2.7389248897401967E-3</v>
      </c>
      <c r="N305" s="335">
        <v>2.8009478671231552E-3</v>
      </c>
      <c r="O305" s="335">
        <v>2.8629708445061137E-3</v>
      </c>
      <c r="P305" s="335">
        <v>2.9249938218890727E-3</v>
      </c>
      <c r="Q305" s="335">
        <v>2.98701679927203E-3</v>
      </c>
      <c r="R305" s="335">
        <v>3.0106142931830993E-3</v>
      </c>
      <c r="S305" s="335">
        <v>3.0342117870941691E-3</v>
      </c>
      <c r="T305" s="335">
        <v>3.0578092810052385E-3</v>
      </c>
      <c r="U305" s="335">
        <v>3.0814067749163078E-3</v>
      </c>
      <c r="V305" s="335">
        <v>3.1050042688273776E-3</v>
      </c>
      <c r="W305" s="335">
        <v>3.128601762738447E-3</v>
      </c>
      <c r="X305" s="335">
        <v>3.1521992566495168E-3</v>
      </c>
      <c r="Y305" s="335">
        <v>3.1757967505605862E-3</v>
      </c>
      <c r="Z305" s="335">
        <v>3.1993942444716555E-3</v>
      </c>
      <c r="AA305" s="335">
        <v>3.222991738382724E-3</v>
      </c>
      <c r="AB305" s="335">
        <v>3.2262147709189869E-3</v>
      </c>
      <c r="AC305" s="335">
        <v>3.2294378034552502E-3</v>
      </c>
      <c r="AD305" s="335">
        <v>3.232660835991513E-3</v>
      </c>
      <c r="AE305" s="335">
        <v>3.2358838685277763E-3</v>
      </c>
      <c r="AF305" s="335">
        <v>3.2391069010640396E-3</v>
      </c>
      <c r="AG305" s="335">
        <v>3.2423299336003025E-3</v>
      </c>
      <c r="AH305" s="335">
        <v>3.2455529661365654E-3</v>
      </c>
      <c r="AI305" s="335">
        <v>3.2487759986728291E-3</v>
      </c>
      <c r="AJ305" s="335">
        <v>3.2519990312090919E-3</v>
      </c>
      <c r="AK305" s="335">
        <v>3.2552220637453535E-3</v>
      </c>
      <c r="AL305" s="619"/>
      <c r="AM305" s="8"/>
    </row>
    <row r="306" spans="1:39" ht="14.25" customHeight="1">
      <c r="A306" s="619"/>
      <c r="B306" s="253"/>
      <c r="C306" s="258" t="s">
        <v>199</v>
      </c>
      <c r="D306" s="285" t="s">
        <v>190</v>
      </c>
      <c r="E306" s="337">
        <f>'Copia de Electricidad'!D266*$E$601*$E$604</f>
        <v>9.1981303814493327E-3</v>
      </c>
      <c r="F306" s="337">
        <f>'Copia de Electricidad'!E266*$E$601*$E$604</f>
        <v>1.3552657067720063E-2</v>
      </c>
      <c r="G306" s="337">
        <f>'Copia de Electricidad'!F266*$E$601*$E$604</f>
        <v>1.1545620873889361E-2</v>
      </c>
      <c r="H306" s="337">
        <f>'Copia de Electricidad'!G266*$E$601*$E$604</f>
        <v>9.6631584297645588E-3</v>
      </c>
      <c r="I306" s="277">
        <v>1.1305940356146977E-2</v>
      </c>
      <c r="J306" s="335">
        <v>1.1494100060849758E-2</v>
      </c>
      <c r="K306" s="335">
        <v>1.1685458184634923E-2</v>
      </c>
      <c r="L306" s="335">
        <v>1.1877520038485991E-2</v>
      </c>
      <c r="M306" s="335">
        <v>1.2072364692141237E-2</v>
      </c>
      <c r="N306" s="335">
        <v>1.2268587605510618E-2</v>
      </c>
      <c r="O306" s="335">
        <v>1.2467330514925126E-2</v>
      </c>
      <c r="P306" s="335">
        <v>1.2667563618988187E-2</v>
      </c>
      <c r="Q306" s="335">
        <v>1.2870741098499871E-2</v>
      </c>
      <c r="R306" s="335">
        <v>1.3074524000004637E-2</v>
      </c>
      <c r="S306" s="335">
        <v>1.327979514946343E-2</v>
      </c>
      <c r="T306" s="335">
        <v>1.3487078207699857E-2</v>
      </c>
      <c r="U306" s="335">
        <v>1.3695681124815071E-2</v>
      </c>
      <c r="V306" s="335">
        <v>1.3905151294335156E-2</v>
      </c>
      <c r="W306" s="335">
        <v>1.4115779747089581E-2</v>
      </c>
      <c r="X306" s="335">
        <v>1.4326781965190213E-2</v>
      </c>
      <c r="Y306" s="335">
        <v>1.4538780890880726E-2</v>
      </c>
      <c r="Z306" s="335">
        <v>1.4751984820473855E-2</v>
      </c>
      <c r="AA306" s="335">
        <v>1.4964769237399755E-2</v>
      </c>
      <c r="AB306" s="335">
        <v>1.5178673003669763E-2</v>
      </c>
      <c r="AC306" s="335">
        <v>1.5391127455875965E-2</v>
      </c>
      <c r="AD306" s="335">
        <v>1.5603593588249238E-2</v>
      </c>
      <c r="AE306" s="335">
        <v>1.5813544591313664E-2</v>
      </c>
      <c r="AF306" s="335">
        <v>1.6021179027909418E-2</v>
      </c>
      <c r="AG306" s="335">
        <v>1.6226207813901529E-2</v>
      </c>
      <c r="AH306" s="335">
        <v>1.6427936952696672E-2</v>
      </c>
      <c r="AI306" s="335">
        <v>1.6626267162874742E-2</v>
      </c>
      <c r="AJ306" s="335">
        <v>1.682194402843365E-2</v>
      </c>
      <c r="AK306" s="335">
        <v>1.7014031189313369E-2</v>
      </c>
      <c r="AL306" s="619"/>
      <c r="AM306" s="8"/>
    </row>
    <row r="307" spans="1:39" ht="14.25" customHeight="1">
      <c r="A307" s="619"/>
      <c r="B307" s="253"/>
      <c r="C307" s="258"/>
      <c r="D307" s="262" t="s">
        <v>144</v>
      </c>
      <c r="E307" s="325">
        <f t="shared" ref="E307:H307" si="24">SUM(E308,E318,E323)</f>
        <v>13.819867425169914</v>
      </c>
      <c r="F307" s="325">
        <f t="shared" si="24"/>
        <v>14.708796505562336</v>
      </c>
      <c r="G307" s="325">
        <f t="shared" si="24"/>
        <v>14.094719642734757</v>
      </c>
      <c r="H307" s="325">
        <f t="shared" si="24"/>
        <v>14.423048127097751</v>
      </c>
      <c r="I307" s="32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c r="AK307" s="335"/>
      <c r="AL307" s="619"/>
      <c r="AM307" s="8"/>
    </row>
    <row r="308" spans="1:39" ht="14.25" customHeight="1">
      <c r="A308" s="619"/>
      <c r="B308" s="253"/>
      <c r="C308" s="258"/>
      <c r="D308" s="266" t="s">
        <v>145</v>
      </c>
      <c r="E308" s="267">
        <f t="shared" ref="E308:H308" si="25">SUM(E310:E317)</f>
        <v>12.56787201616967</v>
      </c>
      <c r="F308" s="267">
        <f t="shared" si="25"/>
        <v>13.5425032617628</v>
      </c>
      <c r="G308" s="267">
        <f t="shared" si="25"/>
        <v>13.092180962536633</v>
      </c>
      <c r="H308" s="267">
        <f t="shared" si="25"/>
        <v>13.180736524103695</v>
      </c>
      <c r="I308" s="267"/>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c r="AK308" s="335"/>
      <c r="AL308" s="619"/>
      <c r="AM308" s="8"/>
    </row>
    <row r="309" spans="1:39" ht="14.25" customHeight="1">
      <c r="A309" s="619"/>
      <c r="B309" s="253"/>
      <c r="C309" s="258"/>
      <c r="D309" s="285" t="s">
        <v>190</v>
      </c>
      <c r="E309" s="336"/>
      <c r="F309" s="336"/>
      <c r="G309" s="336"/>
      <c r="H309" s="336"/>
      <c r="I309" s="336"/>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c r="AK309" s="335"/>
      <c r="AL309" s="619"/>
      <c r="AM309" s="8"/>
    </row>
    <row r="310" spans="1:39" ht="14.25" customHeight="1">
      <c r="A310" s="619"/>
      <c r="B310" s="253"/>
      <c r="C310" s="258" t="s">
        <v>200</v>
      </c>
      <c r="D310" s="281" t="s">
        <v>201</v>
      </c>
      <c r="E310" s="270">
        <f>'Copia de Electricidad'!D270*$E$601*$E$604</f>
        <v>0.43270039621413703</v>
      </c>
      <c r="F310" s="270">
        <f>'Copia de Electricidad'!E270*$E$601*$E$604</f>
        <v>0.39093061488840219</v>
      </c>
      <c r="G310" s="270">
        <f>'Copia de Electricidad'!F270*$E$601*$E$604</f>
        <v>0.43032588668140792</v>
      </c>
      <c r="H310" s="270">
        <f>'Copia de Electricidad'!G270*$E$601*$E$604</f>
        <v>5.4123072534759967E-2</v>
      </c>
      <c r="I310" s="270">
        <v>0.41814211421753761</v>
      </c>
      <c r="J310" s="335">
        <v>0.42510106626014166</v>
      </c>
      <c r="K310" s="335">
        <v>0.43217830954391018</v>
      </c>
      <c r="L310" s="335">
        <v>0.4392815797806191</v>
      </c>
      <c r="M310" s="335">
        <v>0.44648776987688049</v>
      </c>
      <c r="N310" s="335">
        <v>0.45374493392246912</v>
      </c>
      <c r="O310" s="335">
        <v>0.46109529821862827</v>
      </c>
      <c r="P310" s="335">
        <v>0.46850077629756975</v>
      </c>
      <c r="Q310" s="335">
        <v>0.47601514999565997</v>
      </c>
      <c r="R310" s="335">
        <v>0.48355191479296022</v>
      </c>
      <c r="S310" s="335">
        <v>0.49114372137593937</v>
      </c>
      <c r="T310" s="335">
        <v>0.49880993696545739</v>
      </c>
      <c r="U310" s="335">
        <v>0.50652496659119539</v>
      </c>
      <c r="V310" s="335">
        <v>0.51427207092657379</v>
      </c>
      <c r="W310" s="335">
        <v>0.52206201353857562</v>
      </c>
      <c r="X310" s="335">
        <v>0.52986577959446324</v>
      </c>
      <c r="Y310" s="335">
        <v>0.53770640816737814</v>
      </c>
      <c r="Z310" s="335">
        <v>0.54559160294740272</v>
      </c>
      <c r="AA310" s="335">
        <v>0.55346128235160785</v>
      </c>
      <c r="AB310" s="335">
        <v>0.5613723600903654</v>
      </c>
      <c r="AC310" s="335">
        <v>0.56922983598551558</v>
      </c>
      <c r="AD310" s="335">
        <v>0.57708774386328732</v>
      </c>
      <c r="AE310" s="335">
        <v>0.58485263148324729</v>
      </c>
      <c r="AF310" s="335">
        <v>0.59253184254995972</v>
      </c>
      <c r="AG310" s="335">
        <v>0.60011468549354441</v>
      </c>
      <c r="AH310" s="335">
        <v>0.6075754933465789</v>
      </c>
      <c r="AI310" s="335">
        <v>0.61491059425678152</v>
      </c>
      <c r="AJ310" s="335">
        <v>0.62214756311481878</v>
      </c>
      <c r="AK310" s="335">
        <v>0.62925176931387417</v>
      </c>
      <c r="AL310" s="619"/>
      <c r="AM310" s="8"/>
    </row>
    <row r="311" spans="1:39" ht="14.25" customHeight="1">
      <c r="A311" s="619"/>
      <c r="B311" s="253"/>
      <c r="C311" s="258"/>
      <c r="D311" s="285" t="s">
        <v>188</v>
      </c>
      <c r="E311" s="336"/>
      <c r="F311" s="336"/>
      <c r="G311" s="336"/>
      <c r="H311" s="336"/>
      <c r="I311" s="336"/>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c r="AK311" s="335"/>
      <c r="AL311" s="619"/>
      <c r="AM311" s="8"/>
    </row>
    <row r="312" spans="1:39" ht="14.25" customHeight="1">
      <c r="A312" s="619"/>
      <c r="B312" s="253"/>
      <c r="C312" s="258" t="s">
        <v>202</v>
      </c>
      <c r="D312" s="281" t="s">
        <v>201</v>
      </c>
      <c r="E312" s="270">
        <f>'Copia de Electricidad'!D272*$E$601*$E$604</f>
        <v>0.16729498980591478</v>
      </c>
      <c r="F312" s="270">
        <f>'Copia de Electricidad'!E272*$E$601*$E$604</f>
        <v>0.17261134571738854</v>
      </c>
      <c r="G312" s="270">
        <f>'Copia de Electricidad'!F272*$E$601*$E$604</f>
        <v>0.15157285850587504</v>
      </c>
      <c r="H312" s="270">
        <f>'Copia de Electricidad'!G272*$E$601*$E$604</f>
        <v>0.1673302683041851</v>
      </c>
      <c r="I312" s="270">
        <v>0.17642600211707543</v>
      </c>
      <c r="J312" s="335">
        <v>0.18081909712827038</v>
      </c>
      <c r="K312" s="335">
        <v>0.18521219213946527</v>
      </c>
      <c r="L312" s="335">
        <v>0.18960528715066022</v>
      </c>
      <c r="M312" s="335">
        <v>0.19399838216185517</v>
      </c>
      <c r="N312" s="335">
        <v>0.19839147717305008</v>
      </c>
      <c r="O312" s="335">
        <v>0.202784572184245</v>
      </c>
      <c r="P312" s="335">
        <v>0.20717766719543995</v>
      </c>
      <c r="Q312" s="335">
        <v>0.21157076220663484</v>
      </c>
      <c r="R312" s="335">
        <v>0.21324217556264546</v>
      </c>
      <c r="S312" s="335">
        <v>0.21491358891865608</v>
      </c>
      <c r="T312" s="335">
        <v>0.21658500227466668</v>
      </c>
      <c r="U312" s="335">
        <v>0.21825641563067735</v>
      </c>
      <c r="V312" s="335">
        <v>0.21992782898668795</v>
      </c>
      <c r="W312" s="335">
        <v>0.22159924234269857</v>
      </c>
      <c r="X312" s="335">
        <v>0.22327065569870919</v>
      </c>
      <c r="Y312" s="335">
        <v>0.22494206905471989</v>
      </c>
      <c r="Z312" s="335">
        <v>0.22661348241073048</v>
      </c>
      <c r="AA312" s="335">
        <v>0.22828489576674105</v>
      </c>
      <c r="AB312" s="335">
        <v>0.22851318355222661</v>
      </c>
      <c r="AC312" s="335">
        <v>0.22874147133771217</v>
      </c>
      <c r="AD312" s="335">
        <v>0.22896975912319772</v>
      </c>
      <c r="AE312" s="335">
        <v>0.22919804690868328</v>
      </c>
      <c r="AF312" s="335">
        <v>0.22942633469416887</v>
      </c>
      <c r="AG312" s="335">
        <v>0.2296546224796544</v>
      </c>
      <c r="AH312" s="335">
        <v>0.22988291026513996</v>
      </c>
      <c r="AI312" s="335">
        <v>0.23011119805062552</v>
      </c>
      <c r="AJ312" s="335">
        <v>0.23033948583611111</v>
      </c>
      <c r="AK312" s="335">
        <v>0.23056777362159644</v>
      </c>
      <c r="AL312" s="619"/>
      <c r="AM312" s="8"/>
    </row>
    <row r="313" spans="1:39" ht="14.25" customHeight="1">
      <c r="A313" s="619"/>
      <c r="B313" s="253"/>
      <c r="C313" s="258"/>
      <c r="D313" s="285" t="s">
        <v>203</v>
      </c>
      <c r="E313" s="336"/>
      <c r="F313" s="336"/>
      <c r="G313" s="336"/>
      <c r="H313" s="336"/>
      <c r="I313" s="336"/>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c r="AK313" s="335"/>
      <c r="AL313" s="619"/>
      <c r="AM313" s="8"/>
    </row>
    <row r="314" spans="1:39" ht="14.25" customHeight="1">
      <c r="A314" s="619"/>
      <c r="B314" s="253"/>
      <c r="C314" s="258" t="s">
        <v>204</v>
      </c>
      <c r="D314" s="281" t="s">
        <v>205</v>
      </c>
      <c r="E314" s="338">
        <f>'Copia de Electricidad'!D274*$E$601*$E$604</f>
        <v>6.1733477417638296</v>
      </c>
      <c r="F314" s="338">
        <f>'Copia de Electricidad'!E274*$E$601*$E$604</f>
        <v>6.0833170956848344</v>
      </c>
      <c r="G314" s="339">
        <f>'Copia de Electricidad'!F274*$E$601*$E$604</f>
        <v>5.888688991034396</v>
      </c>
      <c r="H314" s="339">
        <f>'Copia de Electricidad'!G274*$E$601*$E$604</f>
        <v>6.2429099765640172</v>
      </c>
      <c r="I314" s="338"/>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c r="AK314" s="335"/>
      <c r="AL314" s="619"/>
      <c r="AM314" s="8"/>
    </row>
    <row r="315" spans="1:39" ht="14.25" customHeight="1">
      <c r="A315" s="619"/>
      <c r="B315" s="253"/>
      <c r="C315" s="258" t="s">
        <v>206</v>
      </c>
      <c r="D315" s="281" t="s">
        <v>201</v>
      </c>
      <c r="E315" s="338">
        <f>'Copia de Electricidad'!D275*$E$601*$E$604</f>
        <v>3.3806036127133026</v>
      </c>
      <c r="F315" s="338">
        <f>'Copia de Electricidad'!E275*$E$601*$E$604</f>
        <v>4.6115294101722144</v>
      </c>
      <c r="G315" s="340">
        <f>'Copia de Electricidad'!F275*$E$601*$E$604</f>
        <v>4.3923622974545813</v>
      </c>
      <c r="H315" s="338">
        <f>'Copia de Electricidad'!G275*$E$601*$E$604</f>
        <v>4.2525678199035006</v>
      </c>
      <c r="I315" s="338"/>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c r="AK315" s="335"/>
      <c r="AL315" s="619"/>
      <c r="AM315" s="8"/>
    </row>
    <row r="316" spans="1:39" ht="14.25" customHeight="1">
      <c r="A316" s="619"/>
      <c r="B316" s="253"/>
      <c r="C316" s="258" t="s">
        <v>207</v>
      </c>
      <c r="D316" s="281" t="s">
        <v>208</v>
      </c>
      <c r="E316" s="338">
        <f>'Copia de Electricidad'!D276*$E$601*$E$604</f>
        <v>0.2575263520496211</v>
      </c>
      <c r="F316" s="338">
        <f>'Copia de Electricidad'!E276*$E$601*$E$604</f>
        <v>0.23785670320179342</v>
      </c>
      <c r="G316" s="338">
        <f>'Copia de Electricidad'!F276*$E$601*$E$604</f>
        <v>0.24978138552478479</v>
      </c>
      <c r="H316" s="338">
        <f>'Copia de Electricidad'!G276*$E$601*$E$604</f>
        <v>0.25535890608017148</v>
      </c>
      <c r="I316" s="338"/>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c r="AK316" s="335"/>
      <c r="AL316" s="619"/>
      <c r="AM316" s="8"/>
    </row>
    <row r="317" spans="1:39" ht="14.25" customHeight="1">
      <c r="A317" s="619"/>
      <c r="B317" s="253"/>
      <c r="C317" s="258" t="s">
        <v>209</v>
      </c>
      <c r="D317" s="281" t="s">
        <v>210</v>
      </c>
      <c r="E317" s="338">
        <f>'Copia de Electricidad'!D277*$E$601*$E$604</f>
        <v>2.1563989236228625</v>
      </c>
      <c r="F317" s="338">
        <f>'Copia de Electricidad'!E277*$E$601*$E$604</f>
        <v>2.0462580920981668</v>
      </c>
      <c r="G317" s="339">
        <f>'Copia de Electricidad'!F277*$E$601*$E$604</f>
        <v>1.9794495433355883</v>
      </c>
      <c r="H317" s="339">
        <f>'Copia de Electricidad'!G277*$E$601*$E$604</f>
        <v>2.2084464807170594</v>
      </c>
      <c r="I317" s="338"/>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c r="AK317" s="335"/>
      <c r="AL317" s="619"/>
      <c r="AM317" s="8"/>
    </row>
    <row r="318" spans="1:39" ht="14.25" customHeight="1">
      <c r="A318" s="619"/>
      <c r="B318" s="253"/>
      <c r="C318" s="258"/>
      <c r="D318" s="266" t="s">
        <v>153</v>
      </c>
      <c r="E318" s="341">
        <f t="shared" ref="E318:H318" si="26">SUM(E320:E322)</f>
        <v>1.1462218025423112</v>
      </c>
      <c r="F318" s="341">
        <f t="shared" si="26"/>
        <v>1.0688304207061539</v>
      </c>
      <c r="G318" s="341">
        <f t="shared" si="26"/>
        <v>0.98431388780542295</v>
      </c>
      <c r="H318" s="341">
        <f t="shared" si="26"/>
        <v>1.1415192068003743</v>
      </c>
      <c r="I318" s="341"/>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c r="AK318" s="335"/>
      <c r="AL318" s="619"/>
      <c r="AM318" s="8"/>
    </row>
    <row r="319" spans="1:39" ht="14.25" customHeight="1">
      <c r="A319" s="619"/>
      <c r="B319" s="253"/>
      <c r="C319" s="258"/>
      <c r="D319" s="285" t="s">
        <v>203</v>
      </c>
      <c r="E319" s="342"/>
      <c r="F319" s="342"/>
      <c r="G319" s="342"/>
      <c r="H319" s="342"/>
      <c r="I319" s="342"/>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c r="AK319" s="335"/>
      <c r="AL319" s="619"/>
      <c r="AM319" s="8"/>
    </row>
    <row r="320" spans="1:39" ht="14.25" customHeight="1">
      <c r="A320" s="619"/>
      <c r="B320" s="253"/>
      <c r="C320" s="258" t="s">
        <v>211</v>
      </c>
      <c r="D320" s="281" t="s">
        <v>201</v>
      </c>
      <c r="E320" s="39">
        <f>'Copia de Electricidad'!D280*$E$601*$E$604</f>
        <v>0.56457202108179305</v>
      </c>
      <c r="F320" s="39">
        <f>'Copia de Electricidad'!E280*$E$601*$E$604</f>
        <v>0.55416591293809569</v>
      </c>
      <c r="G320" s="40">
        <f>'Copia de Electricidad'!F280*$E$601*$E$604</f>
        <v>0.49379485713910076</v>
      </c>
      <c r="H320" s="41">
        <f>'Copia de Electricidad'!G280*$E$601*$E$604</f>
        <v>0.50357343277808397</v>
      </c>
      <c r="I320" s="41"/>
      <c r="J320" s="335"/>
      <c r="K320" s="335"/>
      <c r="L320" s="335"/>
      <c r="M320" s="335"/>
      <c r="N320" s="335"/>
      <c r="O320" s="335"/>
      <c r="P320" s="335"/>
      <c r="Q320" s="335"/>
      <c r="R320" s="335"/>
      <c r="S320" s="335"/>
      <c r="T320" s="335"/>
      <c r="U320" s="335"/>
      <c r="V320" s="335"/>
      <c r="W320" s="335"/>
      <c r="X320" s="335"/>
      <c r="Y320" s="335"/>
      <c r="Z320" s="335"/>
      <c r="AA320" s="335"/>
      <c r="AB320" s="335"/>
      <c r="AC320" s="335"/>
      <c r="AD320" s="335"/>
      <c r="AE320" s="335"/>
      <c r="AF320" s="335"/>
      <c r="AG320" s="335"/>
      <c r="AH320" s="335"/>
      <c r="AI320" s="335"/>
      <c r="AJ320" s="335"/>
      <c r="AK320" s="335"/>
      <c r="AL320" s="619"/>
      <c r="AM320" s="8"/>
    </row>
    <row r="321" spans="1:39" ht="14.25" customHeight="1">
      <c r="A321" s="619"/>
      <c r="B321" s="253"/>
      <c r="C321" s="258" t="s">
        <v>212</v>
      </c>
      <c r="D321" s="281" t="s">
        <v>210</v>
      </c>
      <c r="E321" s="39">
        <f>'Copia de Electricidad'!D281*$E$601*$E$604</f>
        <v>0.53543750866355</v>
      </c>
      <c r="F321" s="39">
        <f>'Copia de Electricidad'!E281*$E$601*$E$604</f>
        <v>0.48766237686504016</v>
      </c>
      <c r="G321" s="40">
        <f>'Copia de Electricidad'!F281*$E$601*$E$604</f>
        <v>0.46653296939210137</v>
      </c>
      <c r="H321" s="42">
        <f>'Copia de Electricidad'!G281*$E$601*$E$604</f>
        <v>0.63096614789726968</v>
      </c>
      <c r="I321" s="41"/>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c r="AK321" s="335"/>
      <c r="AL321" s="619"/>
      <c r="AM321" s="8"/>
    </row>
    <row r="322" spans="1:39" ht="14.25" customHeight="1">
      <c r="A322" s="619"/>
      <c r="B322" s="253"/>
      <c r="C322" s="258" t="s">
        <v>213</v>
      </c>
      <c r="D322" s="281" t="s">
        <v>205</v>
      </c>
      <c r="E322" s="39">
        <f>'Copia de Electricidad'!D282*$E$601*$E$604</f>
        <v>4.6212272796968046E-2</v>
      </c>
      <c r="F322" s="39">
        <f>'Copia de Electricidad'!E282*$E$601*$E$604</f>
        <v>2.7002130903017896E-2</v>
      </c>
      <c r="G322" s="40">
        <f>'Copia de Electricidad'!F282*$E$601*$E$604</f>
        <v>2.3986061274220826E-2</v>
      </c>
      <c r="H322" s="42">
        <f>'Copia de Electricidad'!G282*$E$601*$E$604</f>
        <v>6.9796261250205226E-3</v>
      </c>
      <c r="I322" s="41"/>
      <c r="J322" s="335"/>
      <c r="K322" s="335"/>
      <c r="L322" s="335"/>
      <c r="M322" s="335"/>
      <c r="N322" s="335"/>
      <c r="O322" s="335"/>
      <c r="P322" s="335"/>
      <c r="Q322" s="335"/>
      <c r="R322" s="335"/>
      <c r="S322" s="335"/>
      <c r="T322" s="335"/>
      <c r="U322" s="335"/>
      <c r="V322" s="335"/>
      <c r="W322" s="335"/>
      <c r="X322" s="335"/>
      <c r="Y322" s="335"/>
      <c r="Z322" s="335"/>
      <c r="AA322" s="335"/>
      <c r="AB322" s="335"/>
      <c r="AC322" s="335"/>
      <c r="AD322" s="335"/>
      <c r="AE322" s="335"/>
      <c r="AF322" s="335"/>
      <c r="AG322" s="335"/>
      <c r="AH322" s="335"/>
      <c r="AI322" s="335"/>
      <c r="AJ322" s="335"/>
      <c r="AK322" s="335"/>
      <c r="AL322" s="619"/>
      <c r="AM322" s="8"/>
    </row>
    <row r="323" spans="1:39" ht="14.25" customHeight="1">
      <c r="A323" s="619"/>
      <c r="B323" s="253"/>
      <c r="C323" s="258"/>
      <c r="D323" s="266" t="s">
        <v>158</v>
      </c>
      <c r="E323" s="267">
        <f t="shared" ref="E323:H323" si="27">SUM(E325:E329)</f>
        <v>0.10577360645793345</v>
      </c>
      <c r="F323" s="267">
        <f t="shared" si="27"/>
        <v>9.7462823093381765E-2</v>
      </c>
      <c r="G323" s="267">
        <f t="shared" si="27"/>
        <v>1.8224792392701895E-2</v>
      </c>
      <c r="H323" s="267">
        <f t="shared" si="27"/>
        <v>0.10079239619368158</v>
      </c>
      <c r="I323" s="267"/>
      <c r="J323" s="335"/>
      <c r="K323" s="335"/>
      <c r="L323" s="335"/>
      <c r="M323" s="335"/>
      <c r="N323" s="335"/>
      <c r="O323" s="335"/>
      <c r="P323" s="335"/>
      <c r="Q323" s="335"/>
      <c r="R323" s="335"/>
      <c r="S323" s="335"/>
      <c r="T323" s="335"/>
      <c r="U323" s="335"/>
      <c r="V323" s="335"/>
      <c r="W323" s="335"/>
      <c r="X323" s="335"/>
      <c r="Y323" s="335"/>
      <c r="Z323" s="335"/>
      <c r="AA323" s="335"/>
      <c r="AB323" s="335"/>
      <c r="AC323" s="335"/>
      <c r="AD323" s="335"/>
      <c r="AE323" s="335"/>
      <c r="AF323" s="335"/>
      <c r="AG323" s="335"/>
      <c r="AH323" s="335"/>
      <c r="AI323" s="335"/>
      <c r="AJ323" s="335"/>
      <c r="AK323" s="335"/>
      <c r="AL323" s="619"/>
      <c r="AM323" s="8"/>
    </row>
    <row r="324" spans="1:39" ht="14.25" customHeight="1">
      <c r="A324" s="619"/>
      <c r="B324" s="253"/>
      <c r="C324" s="258"/>
      <c r="D324" s="285" t="s">
        <v>190</v>
      </c>
      <c r="E324" s="336"/>
      <c r="F324" s="336"/>
      <c r="G324" s="336"/>
      <c r="H324" s="336"/>
      <c r="I324" s="336"/>
      <c r="J324" s="335"/>
      <c r="K324" s="335"/>
      <c r="L324" s="335"/>
      <c r="M324" s="335"/>
      <c r="N324" s="335"/>
      <c r="O324" s="335"/>
      <c r="P324" s="335"/>
      <c r="Q324" s="335"/>
      <c r="R324" s="335"/>
      <c r="S324" s="335"/>
      <c r="T324" s="335"/>
      <c r="U324" s="335"/>
      <c r="V324" s="335"/>
      <c r="W324" s="335"/>
      <c r="X324" s="335"/>
      <c r="Y324" s="335"/>
      <c r="Z324" s="335"/>
      <c r="AA324" s="335"/>
      <c r="AB324" s="335"/>
      <c r="AC324" s="335"/>
      <c r="AD324" s="335"/>
      <c r="AE324" s="335"/>
      <c r="AF324" s="335"/>
      <c r="AG324" s="335"/>
      <c r="AH324" s="335"/>
      <c r="AI324" s="335"/>
      <c r="AJ324" s="335"/>
      <c r="AK324" s="335"/>
      <c r="AL324" s="619"/>
      <c r="AM324" s="8"/>
    </row>
    <row r="325" spans="1:39" ht="14.25" customHeight="1">
      <c r="A325" s="619"/>
      <c r="B325" s="253"/>
      <c r="C325" s="258" t="s">
        <v>214</v>
      </c>
      <c r="D325" s="281" t="s">
        <v>201</v>
      </c>
      <c r="E325" s="43">
        <f>'Copia de Electricidad'!D285*$E$601*$E$604</f>
        <v>6.0801835004730329E-6</v>
      </c>
      <c r="F325" s="43">
        <f>'Copia de Electricidad'!E285*$E$601*$E$604</f>
        <v>0</v>
      </c>
      <c r="G325" s="43">
        <f>'Copia de Electricidad'!F285*$E$601*$E$604</f>
        <v>0</v>
      </c>
      <c r="H325" s="44">
        <f>'Copia de Electricidad'!G285*$E$601*$E$604</f>
        <v>0</v>
      </c>
      <c r="I325" s="44"/>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c r="AK325" s="335"/>
      <c r="AL325" s="619"/>
      <c r="AM325" s="8"/>
    </row>
    <row r="326" spans="1:39" ht="14.25" customHeight="1">
      <c r="A326" s="619"/>
      <c r="B326" s="253"/>
      <c r="C326" s="258"/>
      <c r="D326" s="285" t="s">
        <v>195</v>
      </c>
      <c r="E326" s="336"/>
      <c r="F326" s="336"/>
      <c r="G326" s="336"/>
      <c r="H326" s="336"/>
      <c r="I326" s="336"/>
      <c r="J326" s="335"/>
      <c r="K326" s="335"/>
      <c r="L326" s="335"/>
      <c r="M326" s="335"/>
      <c r="N326" s="335"/>
      <c r="O326" s="335"/>
      <c r="P326" s="335"/>
      <c r="Q326" s="335"/>
      <c r="R326" s="335"/>
      <c r="S326" s="335"/>
      <c r="T326" s="335"/>
      <c r="U326" s="335"/>
      <c r="V326" s="335"/>
      <c r="W326" s="335"/>
      <c r="X326" s="335"/>
      <c r="Y326" s="335"/>
      <c r="Z326" s="335"/>
      <c r="AA326" s="335"/>
      <c r="AB326" s="335"/>
      <c r="AC326" s="335"/>
      <c r="AD326" s="335"/>
      <c r="AE326" s="335"/>
      <c r="AF326" s="335"/>
      <c r="AG326" s="335"/>
      <c r="AH326" s="335"/>
      <c r="AI326" s="335"/>
      <c r="AJ326" s="335"/>
      <c r="AK326" s="335"/>
      <c r="AL326" s="619"/>
      <c r="AM326" s="8"/>
    </row>
    <row r="327" spans="1:39" ht="14.25" customHeight="1">
      <c r="A327" s="619"/>
      <c r="B327" s="253"/>
      <c r="C327" s="258" t="s">
        <v>215</v>
      </c>
      <c r="D327" s="281" t="s">
        <v>201</v>
      </c>
      <c r="E327" s="256">
        <f>'Copia de Electricidad'!D287*$E$601*$E$604</f>
        <v>1.0793225148768695E-4</v>
      </c>
      <c r="F327" s="256">
        <f>'Copia de Electricidad'!E287*$E$601*$E$604</f>
        <v>4.3388765098050153E-5</v>
      </c>
      <c r="G327" s="256">
        <f>'Copia de Electricidad'!F287*$E$601*$E$604</f>
        <v>4.3172900595074785E-7</v>
      </c>
      <c r="H327" s="256">
        <f>'Copia de Electricidad'!G287*$E$601*$E$604</f>
        <v>0</v>
      </c>
      <c r="I327" s="256"/>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c r="AK327" s="335"/>
      <c r="AL327" s="619"/>
      <c r="AM327" s="8"/>
    </row>
    <row r="328" spans="1:39" ht="14.25" customHeight="1">
      <c r="A328" s="619"/>
      <c r="B328" s="253"/>
      <c r="C328" s="258"/>
      <c r="D328" s="285" t="s">
        <v>203</v>
      </c>
      <c r="E328" s="336"/>
      <c r="F328" s="336"/>
      <c r="G328" s="336"/>
      <c r="H328" s="336"/>
      <c r="I328" s="336"/>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c r="AK328" s="335"/>
      <c r="AL328" s="619"/>
      <c r="AM328" s="8"/>
    </row>
    <row r="329" spans="1:39" ht="14.25" customHeight="1">
      <c r="A329" s="619"/>
      <c r="B329" s="253"/>
      <c r="C329" s="258" t="s">
        <v>216</v>
      </c>
      <c r="D329" s="281" t="s">
        <v>210</v>
      </c>
      <c r="E329" s="270">
        <f>'Copia de Electricidad'!D289*$E$601*$E$604</f>
        <v>0.10565959402294529</v>
      </c>
      <c r="F329" s="270">
        <f>'Copia de Electricidad'!E289*$E$601*$E$604</f>
        <v>9.7419434328283719E-2</v>
      </c>
      <c r="G329" s="270">
        <f>'Copia de Electricidad'!F289*$E$601*$E$604</f>
        <v>1.8224360663695944E-2</v>
      </c>
      <c r="H329" s="270">
        <f>'Copia de Electricidad'!G289*$E$601*$E$604</f>
        <v>0.10079239619368158</v>
      </c>
      <c r="I329" s="270"/>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335"/>
      <c r="AL329" s="619"/>
      <c r="AM329" s="8"/>
    </row>
    <row r="330" spans="1:39" ht="14.25" customHeight="1">
      <c r="A330" s="619"/>
      <c r="B330" s="253"/>
      <c r="C330" s="258"/>
      <c r="D330" s="343" t="s">
        <v>310</v>
      </c>
      <c r="E330" s="325"/>
      <c r="F330" s="325"/>
      <c r="G330" s="325"/>
      <c r="H330" s="325"/>
      <c r="I330" s="32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335"/>
      <c r="AL330" s="619"/>
      <c r="AM330" s="8"/>
    </row>
    <row r="331" spans="1:39" ht="14.25" customHeight="1">
      <c r="A331" s="619"/>
      <c r="B331" s="253"/>
      <c r="C331" s="258"/>
      <c r="D331" s="259" t="s">
        <v>39</v>
      </c>
      <c r="E331" s="325">
        <f t="shared" ref="E331:H331" si="28">E293+E294+E296+E307+E330</f>
        <v>13.902506077318217</v>
      </c>
      <c r="F331" s="325">
        <f t="shared" si="28"/>
        <v>14.805889013100863</v>
      </c>
      <c r="G331" s="325">
        <f t="shared" si="28"/>
        <v>14.187791386086031</v>
      </c>
      <c r="H331" s="325">
        <f t="shared" si="28"/>
        <v>14.498710243581167</v>
      </c>
      <c r="I331" s="325"/>
      <c r="J331" s="619"/>
      <c r="K331" s="619"/>
      <c r="L331" s="619"/>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619"/>
      <c r="AM331" s="8"/>
    </row>
    <row r="332" spans="1:39" ht="14.25" customHeight="1">
      <c r="A332" s="619"/>
      <c r="B332" s="253"/>
      <c r="C332" s="258"/>
      <c r="D332" s="281"/>
      <c r="E332" s="270"/>
      <c r="F332" s="270"/>
      <c r="G332" s="270"/>
      <c r="H332" s="324"/>
      <c r="I332" s="619"/>
      <c r="J332" s="619"/>
      <c r="K332" s="619"/>
      <c r="L332" s="619"/>
      <c r="M332" s="619"/>
      <c r="N332" s="619"/>
      <c r="O332" s="619"/>
      <c r="P332" s="619"/>
      <c r="Q332" s="619"/>
      <c r="R332" s="619"/>
      <c r="S332" s="619"/>
      <c r="T332" s="619"/>
      <c r="U332" s="619"/>
      <c r="V332" s="619"/>
      <c r="W332" s="619"/>
      <c r="X332" s="619"/>
      <c r="Y332" s="619"/>
      <c r="Z332" s="619"/>
      <c r="AA332" s="619"/>
      <c r="AB332" s="619"/>
      <c r="AC332" s="619"/>
      <c r="AD332" s="619"/>
      <c r="AE332" s="619"/>
      <c r="AF332" s="619"/>
      <c r="AG332" s="619"/>
      <c r="AH332" s="619"/>
      <c r="AI332" s="619"/>
      <c r="AJ332" s="619"/>
      <c r="AK332" s="619"/>
      <c r="AL332" s="619"/>
      <c r="AM332" s="8"/>
    </row>
    <row r="333" spans="1:39" ht="14.25" customHeight="1">
      <c r="A333" s="619"/>
      <c r="B333" s="253"/>
      <c r="C333" s="258"/>
      <c r="D333" s="281" t="s">
        <v>315</v>
      </c>
      <c r="E333" s="260">
        <v>2018</v>
      </c>
      <c r="F333" s="260">
        <v>2019</v>
      </c>
      <c r="G333" s="260">
        <v>2020</v>
      </c>
      <c r="H333" s="261">
        <v>2021</v>
      </c>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619"/>
      <c r="AM333" s="8"/>
    </row>
    <row r="334" spans="1:39" ht="14.25" customHeight="1">
      <c r="A334" s="619"/>
      <c r="B334" s="253"/>
      <c r="C334" s="258"/>
      <c r="D334" s="262" t="s">
        <v>303</v>
      </c>
      <c r="E334" s="325">
        <f t="shared" ref="E334:H334" si="29">SUM(E250,E293)</f>
        <v>1.3759203419650334</v>
      </c>
      <c r="F334" s="325">
        <f t="shared" si="29"/>
        <v>1.4878806610556581</v>
      </c>
      <c r="G334" s="325">
        <f t="shared" si="29"/>
        <v>1.5347486942352482</v>
      </c>
      <c r="H334" s="326">
        <f t="shared" si="29"/>
        <v>1.3412302309670938</v>
      </c>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619"/>
      <c r="AM334" s="8"/>
    </row>
    <row r="335" spans="1:39" ht="14.25" customHeight="1">
      <c r="A335" s="619"/>
      <c r="B335" s="253"/>
      <c r="C335" s="258"/>
      <c r="D335" s="262" t="s">
        <v>304</v>
      </c>
      <c r="E335" s="325">
        <f t="shared" ref="E335:H335" si="30">SUM(E253,E294)</f>
        <v>0.28873956767668257</v>
      </c>
      <c r="F335" s="325">
        <f t="shared" si="30"/>
        <v>0.30770207700830282</v>
      </c>
      <c r="G335" s="325">
        <f t="shared" si="30"/>
        <v>0.27739930589995715</v>
      </c>
      <c r="H335" s="326">
        <f t="shared" si="30"/>
        <v>0.22309603577988338</v>
      </c>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619"/>
      <c r="AM335" s="8"/>
    </row>
    <row r="336" spans="1:39" ht="14.25" customHeight="1">
      <c r="A336" s="619"/>
      <c r="B336" s="253"/>
      <c r="C336" s="258"/>
      <c r="D336" s="262" t="s">
        <v>305</v>
      </c>
      <c r="E336" s="325">
        <f t="shared" ref="E336:H336" si="31">SUM(E337:E338)</f>
        <v>74.394200959388797</v>
      </c>
      <c r="F336" s="325">
        <f t="shared" si="31"/>
        <v>88.650418872815067</v>
      </c>
      <c r="G336" s="325">
        <f t="shared" si="31"/>
        <v>87.544773227991016</v>
      </c>
      <c r="H336" s="326">
        <f t="shared" si="31"/>
        <v>92.0108324031292</v>
      </c>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619"/>
      <c r="AM336" s="8"/>
    </row>
    <row r="337" spans="1:57" ht="14.25" customHeight="1">
      <c r="A337" s="619"/>
      <c r="B337" s="253"/>
      <c r="C337" s="258"/>
      <c r="D337" s="266" t="s">
        <v>138</v>
      </c>
      <c r="E337" s="267">
        <f t="shared" ref="E337:H337" si="32">SUM(E255)</f>
        <v>27.737653219489321</v>
      </c>
      <c r="F337" s="267">
        <f t="shared" si="32"/>
        <v>32.205948855043715</v>
      </c>
      <c r="G337" s="267">
        <f t="shared" si="32"/>
        <v>29.053183047679433</v>
      </c>
      <c r="H337" s="327">
        <f t="shared" si="32"/>
        <v>31.319432746924779</v>
      </c>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619"/>
      <c r="AM337" s="8"/>
      <c r="AN337" s="8"/>
      <c r="AO337" s="8"/>
      <c r="AP337" s="8"/>
      <c r="AQ337" s="8"/>
      <c r="AR337" s="8"/>
      <c r="AS337" s="8"/>
      <c r="AT337" s="8"/>
      <c r="AU337" s="8"/>
      <c r="AV337" s="8"/>
      <c r="AW337" s="8"/>
      <c r="AX337" s="8"/>
      <c r="AY337" s="8"/>
      <c r="AZ337" s="8"/>
      <c r="BA337" s="8"/>
      <c r="BB337" s="8"/>
      <c r="BC337" s="8"/>
      <c r="BD337" s="8"/>
      <c r="BE337" s="8"/>
    </row>
    <row r="338" spans="1:57" ht="14.25" customHeight="1">
      <c r="A338" s="619"/>
      <c r="B338" s="253"/>
      <c r="C338" s="258"/>
      <c r="D338" s="266" t="s">
        <v>141</v>
      </c>
      <c r="E338" s="267">
        <f t="shared" ref="E338:H338" si="33">SUM(E258,E297)</f>
        <v>46.65654773989948</v>
      </c>
      <c r="F338" s="267">
        <f t="shared" si="33"/>
        <v>56.444470017771359</v>
      </c>
      <c r="G338" s="267">
        <f t="shared" si="33"/>
        <v>58.49159018031159</v>
      </c>
      <c r="H338" s="327">
        <f t="shared" si="33"/>
        <v>60.691399656204425</v>
      </c>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619"/>
      <c r="AM338" s="8"/>
      <c r="AN338" s="8"/>
      <c r="AO338" s="8"/>
      <c r="AP338" s="8"/>
      <c r="AQ338" s="8"/>
      <c r="AR338" s="8"/>
      <c r="AS338" s="8"/>
      <c r="AT338" s="8"/>
      <c r="AU338" s="8"/>
      <c r="AV338" s="8"/>
      <c r="AW338" s="8"/>
      <c r="AX338" s="8"/>
      <c r="AY338" s="8"/>
      <c r="AZ338" s="8"/>
      <c r="BA338" s="8"/>
      <c r="BB338" s="8"/>
      <c r="BC338" s="8"/>
      <c r="BD338" s="8"/>
      <c r="BE338" s="8"/>
    </row>
    <row r="339" spans="1:57" ht="14.25" customHeight="1">
      <c r="A339" s="619"/>
      <c r="B339" s="253"/>
      <c r="C339" s="258"/>
      <c r="D339" s="262" t="s">
        <v>306</v>
      </c>
      <c r="E339" s="325">
        <f t="shared" ref="E339:H339" si="34">SUM(E261,E304)</f>
        <v>0.1370053864322506</v>
      </c>
      <c r="F339" s="325">
        <f t="shared" si="34"/>
        <v>0.13535438275866063</v>
      </c>
      <c r="G339" s="325">
        <f t="shared" si="34"/>
        <v>0.13586756721305043</v>
      </c>
      <c r="H339" s="326">
        <f t="shared" si="34"/>
        <v>0.13262911693782733</v>
      </c>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619"/>
      <c r="AM339" s="8"/>
      <c r="AN339" s="8"/>
      <c r="AO339" s="8"/>
      <c r="AP339" s="8"/>
      <c r="AQ339" s="8"/>
      <c r="AR339" s="8"/>
      <c r="AS339" s="8"/>
      <c r="AT339" s="8"/>
      <c r="AU339" s="8"/>
      <c r="AV339" s="8"/>
      <c r="AW339" s="8"/>
      <c r="AX339" s="8"/>
      <c r="AY339" s="8"/>
      <c r="AZ339" s="8"/>
      <c r="BA339" s="8"/>
      <c r="BB339" s="8"/>
      <c r="BC339" s="8"/>
      <c r="BD339" s="8"/>
      <c r="BE339" s="8"/>
    </row>
    <row r="340" spans="1:57" ht="14.25" customHeight="1">
      <c r="A340" s="619"/>
      <c r="B340" s="253"/>
      <c r="C340" s="258"/>
      <c r="D340" s="262" t="s">
        <v>307</v>
      </c>
      <c r="E340" s="325">
        <f t="shared" ref="E340:H340" si="35">SUM(E341,E342,E343)</f>
        <v>28.85092373738145</v>
      </c>
      <c r="F340" s="325">
        <f t="shared" si="35"/>
        <v>25.419906960761857</v>
      </c>
      <c r="G340" s="325">
        <f t="shared" si="35"/>
        <v>22.771146145184701</v>
      </c>
      <c r="H340" s="326">
        <f t="shared" si="35"/>
        <v>22.012632718010565</v>
      </c>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619"/>
      <c r="AM340" s="8"/>
      <c r="AN340" s="8"/>
      <c r="AO340" s="8"/>
      <c r="AP340" s="8"/>
      <c r="AQ340" s="8"/>
      <c r="AR340" s="8"/>
      <c r="AS340" s="8"/>
      <c r="AT340" s="8"/>
      <c r="AU340" s="8"/>
      <c r="AV340" s="8"/>
      <c r="AW340" s="8"/>
      <c r="AX340" s="8"/>
      <c r="AY340" s="8"/>
      <c r="AZ340" s="8"/>
      <c r="BA340" s="8"/>
      <c r="BB340" s="8"/>
      <c r="BC340" s="8"/>
      <c r="BD340" s="8"/>
      <c r="BE340" s="8"/>
    </row>
    <row r="341" spans="1:57" ht="14.25" customHeight="1">
      <c r="A341" s="619"/>
      <c r="B341" s="253"/>
      <c r="C341" s="258"/>
      <c r="D341" s="266" t="s">
        <v>145</v>
      </c>
      <c r="E341" s="267">
        <f t="shared" ref="E341:H341" si="36">SUM(E263,E308)</f>
        <v>17.783066305866768</v>
      </c>
      <c r="F341" s="344">
        <f t="shared" si="36"/>
        <v>16.615776498811602</v>
      </c>
      <c r="G341" s="344">
        <f t="shared" si="36"/>
        <v>15.909587840203059</v>
      </c>
      <c r="H341" s="327">
        <f t="shared" si="36"/>
        <v>15.598240113590029</v>
      </c>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619"/>
      <c r="AM341" s="8"/>
      <c r="AN341" s="8"/>
      <c r="AO341" s="8"/>
      <c r="AP341" s="8"/>
      <c r="AQ341" s="8"/>
      <c r="AR341" s="8"/>
      <c r="AS341" s="8"/>
      <c r="AT341" s="8"/>
      <c r="AU341" s="8"/>
      <c r="AV341" s="8"/>
      <c r="AW341" s="8"/>
      <c r="AX341" s="8"/>
      <c r="AY341" s="8"/>
      <c r="AZ341" s="8"/>
      <c r="BA341" s="8"/>
      <c r="BB341" s="8"/>
      <c r="BC341" s="8"/>
      <c r="BD341" s="8"/>
      <c r="BE341" s="8"/>
    </row>
    <row r="342" spans="1:57" ht="14.25" customHeight="1">
      <c r="A342" s="619"/>
      <c r="B342" s="253"/>
      <c r="C342" s="258"/>
      <c r="D342" s="266" t="s">
        <v>153</v>
      </c>
      <c r="E342" s="267">
        <f t="shared" ref="E342:H342" si="37">SUM(E268,E318)</f>
        <v>4.8152341705814878</v>
      </c>
      <c r="F342" s="344">
        <f t="shared" si="37"/>
        <v>4.2659653424419597</v>
      </c>
      <c r="G342" s="344">
        <f t="shared" si="37"/>
        <v>3.5320968502988155</v>
      </c>
      <c r="H342" s="327">
        <f t="shared" si="37"/>
        <v>3.2805018971230027</v>
      </c>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8"/>
      <c r="AM342" s="8"/>
      <c r="AN342" s="8"/>
      <c r="AO342" s="8"/>
      <c r="AP342" s="8"/>
      <c r="AQ342" s="8"/>
      <c r="AR342" s="8"/>
      <c r="AS342" s="8"/>
      <c r="AT342" s="8"/>
      <c r="AU342" s="8"/>
      <c r="AV342" s="8"/>
      <c r="AW342" s="8"/>
      <c r="AX342" s="8"/>
      <c r="AY342" s="8"/>
      <c r="AZ342" s="8"/>
      <c r="BA342" s="8"/>
      <c r="BB342" s="8"/>
      <c r="BC342" s="8"/>
      <c r="BD342" s="8"/>
      <c r="BE342" s="8"/>
    </row>
    <row r="343" spans="1:57" ht="14.25" customHeight="1">
      <c r="A343" s="619"/>
      <c r="B343" s="253"/>
      <c r="C343" s="258"/>
      <c r="D343" s="266" t="s">
        <v>158</v>
      </c>
      <c r="E343" s="267">
        <f t="shared" ref="E343:H343" si="38">SUM(E271,E323)</f>
        <v>6.2526232609331931</v>
      </c>
      <c r="F343" s="267">
        <f t="shared" si="38"/>
        <v>4.5381651195082959</v>
      </c>
      <c r="G343" s="267">
        <f t="shared" si="38"/>
        <v>3.3294614546828289</v>
      </c>
      <c r="H343" s="327">
        <f t="shared" si="38"/>
        <v>3.1338907072975308</v>
      </c>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8"/>
      <c r="AM343" s="8"/>
      <c r="AN343" s="8"/>
      <c r="AO343" s="8"/>
      <c r="AP343" s="8"/>
      <c r="AQ343" s="8"/>
      <c r="AR343" s="8"/>
      <c r="AS343" s="8"/>
      <c r="AT343" s="8"/>
      <c r="AU343" s="8"/>
      <c r="AV343" s="8"/>
      <c r="AW343" s="8"/>
      <c r="AX343" s="8"/>
      <c r="AY343" s="8"/>
      <c r="AZ343" s="8"/>
      <c r="BA343" s="8"/>
      <c r="BB343" s="8"/>
      <c r="BC343" s="8"/>
      <c r="BD343" s="8"/>
      <c r="BE343" s="8"/>
    </row>
    <row r="344" spans="1:57" ht="14.25" customHeight="1">
      <c r="A344" s="619"/>
      <c r="B344" s="253"/>
      <c r="C344" s="258"/>
      <c r="D344" s="262" t="s">
        <v>310</v>
      </c>
      <c r="E344" s="325">
        <f t="shared" ref="E344:H344" si="39">SUM(E273,E330)</f>
        <v>0.16380518034114624</v>
      </c>
      <c r="F344" s="325">
        <f t="shared" si="39"/>
        <v>0.1480830490411065</v>
      </c>
      <c r="G344" s="325">
        <f t="shared" si="39"/>
        <v>0.15826465809811166</v>
      </c>
      <c r="H344" s="326">
        <f t="shared" si="39"/>
        <v>0.15157285850587507</v>
      </c>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8"/>
      <c r="AM344" s="8"/>
      <c r="AN344" s="8"/>
      <c r="AO344" s="8"/>
      <c r="AP344" s="8"/>
      <c r="AQ344" s="8"/>
      <c r="AR344" s="8"/>
      <c r="AS344" s="8"/>
      <c r="AT344" s="8"/>
      <c r="AU344" s="8"/>
      <c r="AV344" s="8"/>
      <c r="AW344" s="8"/>
      <c r="AX344" s="8"/>
      <c r="AY344" s="8"/>
      <c r="AZ344" s="8"/>
      <c r="BA344" s="8"/>
      <c r="BB344" s="8"/>
      <c r="BC344" s="8"/>
      <c r="BD344" s="8"/>
      <c r="BE344" s="8"/>
    </row>
    <row r="345" spans="1:57" ht="14.25" customHeight="1">
      <c r="A345" s="619"/>
      <c r="B345" s="294"/>
      <c r="C345" s="295"/>
      <c r="D345" s="345" t="s">
        <v>39</v>
      </c>
      <c r="E345" s="346">
        <f t="shared" ref="E345:H345" si="40">E334+E336+E335+E339+E340+E344</f>
        <v>105.21059517318535</v>
      </c>
      <c r="F345" s="346">
        <f t="shared" si="40"/>
        <v>116.14934600344066</v>
      </c>
      <c r="G345" s="346">
        <f t="shared" si="40"/>
        <v>112.42219959862209</v>
      </c>
      <c r="H345" s="347">
        <f t="shared" si="40"/>
        <v>115.87199336333045</v>
      </c>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8"/>
      <c r="AM345" s="8"/>
      <c r="AN345" s="8"/>
      <c r="AO345" s="8"/>
      <c r="AP345" s="8"/>
      <c r="AQ345" s="8"/>
      <c r="AR345" s="8"/>
      <c r="AS345" s="8"/>
      <c r="AT345" s="8"/>
      <c r="AU345" s="8"/>
      <c r="AV345" s="8"/>
      <c r="AW345" s="8"/>
      <c r="AX345" s="8"/>
      <c r="AY345" s="8"/>
      <c r="AZ345" s="8"/>
      <c r="BA345" s="8"/>
      <c r="BB345" s="8"/>
      <c r="BC345" s="8"/>
      <c r="BD345" s="8"/>
      <c r="BE345" s="8"/>
    </row>
    <row r="346" spans="1:57" ht="14.25" customHeight="1">
      <c r="A346" s="619"/>
      <c r="B346" s="619"/>
      <c r="C346" s="619"/>
      <c r="D346" s="619"/>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4.25" customHeight="1">
      <c r="A347" s="619"/>
      <c r="B347" s="23"/>
      <c r="C347" s="249"/>
      <c r="D347" s="249"/>
      <c r="E347" s="304">
        <v>8760</v>
      </c>
      <c r="F347" s="304">
        <v>0.95</v>
      </c>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48"/>
      <c r="AL347" s="8"/>
      <c r="AM347" s="8"/>
      <c r="AN347" s="8"/>
      <c r="AO347" s="8"/>
      <c r="AP347" s="8"/>
      <c r="AQ347" s="8"/>
      <c r="AR347" s="8"/>
      <c r="AS347" s="8"/>
      <c r="AT347" s="8"/>
      <c r="AU347" s="8"/>
      <c r="AV347" s="8"/>
      <c r="AW347" s="8"/>
      <c r="AX347" s="8"/>
      <c r="AY347" s="8"/>
      <c r="AZ347" s="8"/>
      <c r="BA347" s="8"/>
      <c r="BB347" s="8"/>
      <c r="BC347" s="8"/>
      <c r="BD347" s="8"/>
      <c r="BE347" s="8"/>
    </row>
    <row r="348" spans="1:57" ht="14.25" customHeight="1">
      <c r="A348" s="619"/>
      <c r="B348" s="253"/>
      <c r="C348" s="258"/>
      <c r="D348" s="281" t="s">
        <v>316</v>
      </c>
      <c r="E348" s="172">
        <v>2018</v>
      </c>
      <c r="F348" s="172">
        <v>2019</v>
      </c>
      <c r="G348" s="172">
        <v>2020</v>
      </c>
      <c r="H348" s="172">
        <v>2021</v>
      </c>
      <c r="I348" s="189">
        <v>2022</v>
      </c>
      <c r="J348" s="189">
        <v>2023</v>
      </c>
      <c r="K348" s="189">
        <v>2024</v>
      </c>
      <c r="L348" s="189">
        <v>2025</v>
      </c>
      <c r="M348" s="189">
        <v>2026</v>
      </c>
      <c r="N348" s="189">
        <v>2027</v>
      </c>
      <c r="O348" s="189">
        <v>2028</v>
      </c>
      <c r="P348" s="189">
        <v>2029</v>
      </c>
      <c r="Q348" s="189">
        <v>2030</v>
      </c>
      <c r="R348" s="189">
        <v>2031</v>
      </c>
      <c r="S348" s="189">
        <v>2032</v>
      </c>
      <c r="T348" s="189">
        <v>2033</v>
      </c>
      <c r="U348" s="189">
        <v>2034</v>
      </c>
      <c r="V348" s="189">
        <v>2035</v>
      </c>
      <c r="W348" s="189">
        <v>2036</v>
      </c>
      <c r="X348" s="189">
        <v>2037</v>
      </c>
      <c r="Y348" s="189">
        <v>2038</v>
      </c>
      <c r="Z348" s="189">
        <v>2039</v>
      </c>
      <c r="AA348" s="189">
        <v>2040</v>
      </c>
      <c r="AB348" s="189">
        <v>2041</v>
      </c>
      <c r="AC348" s="189">
        <v>2042</v>
      </c>
      <c r="AD348" s="189">
        <v>2043</v>
      </c>
      <c r="AE348" s="189">
        <v>2044</v>
      </c>
      <c r="AF348" s="189">
        <v>2045</v>
      </c>
      <c r="AG348" s="189">
        <v>2046</v>
      </c>
      <c r="AH348" s="189">
        <v>2047</v>
      </c>
      <c r="AI348" s="189">
        <v>2048</v>
      </c>
      <c r="AJ348" s="189">
        <v>2049</v>
      </c>
      <c r="AK348" s="218">
        <v>2050</v>
      </c>
      <c r="AL348" s="189">
        <v>2051</v>
      </c>
      <c r="AM348" s="189">
        <v>2052</v>
      </c>
      <c r="AN348" s="189">
        <v>2053</v>
      </c>
      <c r="AO348" s="189">
        <v>2054</v>
      </c>
      <c r="AP348" s="189">
        <v>2055</v>
      </c>
      <c r="AQ348" s="189">
        <v>2056</v>
      </c>
      <c r="AR348" s="189">
        <v>2057</v>
      </c>
      <c r="AS348" s="189">
        <v>2058</v>
      </c>
      <c r="AT348" s="218">
        <v>2059</v>
      </c>
      <c r="AU348" s="189">
        <v>2060</v>
      </c>
      <c r="AV348" s="189">
        <v>2061</v>
      </c>
      <c r="AW348" s="189">
        <v>2062</v>
      </c>
      <c r="AX348" s="189">
        <v>2063</v>
      </c>
      <c r="AY348" s="189">
        <v>2064</v>
      </c>
      <c r="AZ348" s="189">
        <v>2065</v>
      </c>
      <c r="BA348" s="189">
        <v>2066</v>
      </c>
      <c r="BB348" s="189">
        <v>2067</v>
      </c>
      <c r="BC348" s="218">
        <v>2068</v>
      </c>
      <c r="BD348" s="189">
        <v>2069</v>
      </c>
      <c r="BE348" s="189">
        <v>2070</v>
      </c>
    </row>
    <row r="349" spans="1:57" ht="14.25" customHeight="1">
      <c r="A349" s="619"/>
      <c r="B349" s="253"/>
      <c r="C349" s="258"/>
      <c r="D349" s="262" t="s">
        <v>303</v>
      </c>
      <c r="E349" s="262">
        <f t="shared" ref="E349:H349" si="41">ROUND(IFERROR(E250/($E$347*0.0036*E6*$F$347),0),4)</f>
        <v>0.31830000000000003</v>
      </c>
      <c r="F349" s="262">
        <f t="shared" si="41"/>
        <v>0.34420000000000001</v>
      </c>
      <c r="G349" s="262">
        <f t="shared" si="41"/>
        <v>0.35499999999999998</v>
      </c>
      <c r="H349" s="262">
        <f t="shared" si="41"/>
        <v>0.31019999999999998</v>
      </c>
      <c r="I349" s="349">
        <v>0.32</v>
      </c>
      <c r="J349" s="349">
        <v>0.32</v>
      </c>
      <c r="K349" s="349">
        <v>0.32</v>
      </c>
      <c r="L349" s="349">
        <v>0.32</v>
      </c>
      <c r="M349" s="349">
        <v>0.32</v>
      </c>
      <c r="N349" s="349">
        <v>0.32</v>
      </c>
      <c r="O349" s="349">
        <v>0.32</v>
      </c>
      <c r="P349" s="349">
        <v>0.32</v>
      </c>
      <c r="Q349" s="349">
        <v>0.32</v>
      </c>
      <c r="R349" s="349">
        <v>0.32</v>
      </c>
      <c r="S349" s="349">
        <v>0.32</v>
      </c>
      <c r="T349" s="349">
        <v>0.32</v>
      </c>
      <c r="U349" s="349">
        <v>0.32</v>
      </c>
      <c r="V349" s="349">
        <v>0.32</v>
      </c>
      <c r="W349" s="349">
        <v>0.32</v>
      </c>
      <c r="X349" s="349">
        <v>0.32</v>
      </c>
      <c r="Y349" s="349">
        <v>0.32</v>
      </c>
      <c r="Z349" s="349">
        <v>0.32</v>
      </c>
      <c r="AA349" s="349">
        <v>0.32</v>
      </c>
      <c r="AB349" s="349">
        <v>0.32</v>
      </c>
      <c r="AC349" s="349">
        <v>0.32</v>
      </c>
      <c r="AD349" s="349">
        <v>0.32</v>
      </c>
      <c r="AE349" s="349">
        <v>0.32</v>
      </c>
      <c r="AF349" s="349">
        <v>0.32</v>
      </c>
      <c r="AG349" s="349">
        <v>0.32</v>
      </c>
      <c r="AH349" s="349">
        <v>0.32</v>
      </c>
      <c r="AI349" s="349">
        <v>0.32</v>
      </c>
      <c r="AJ349" s="349">
        <v>0.32</v>
      </c>
      <c r="AK349" s="349">
        <v>0.32</v>
      </c>
      <c r="AL349" s="8"/>
      <c r="AM349" s="8"/>
      <c r="AN349" s="8"/>
      <c r="AO349" s="8"/>
      <c r="AP349" s="8"/>
      <c r="AQ349" s="8"/>
      <c r="AR349" s="8"/>
      <c r="AS349" s="8"/>
      <c r="AT349" s="8"/>
      <c r="AU349" s="8"/>
      <c r="AV349" s="8"/>
      <c r="AW349" s="8"/>
      <c r="AX349" s="8"/>
      <c r="AY349" s="8"/>
      <c r="AZ349" s="8"/>
      <c r="BA349" s="8"/>
      <c r="BB349" s="8"/>
      <c r="BC349" s="8"/>
      <c r="BD349" s="8"/>
      <c r="BE349" s="8"/>
    </row>
    <row r="350" spans="1:57" ht="14.25" customHeight="1">
      <c r="A350" s="619"/>
      <c r="B350" s="253"/>
      <c r="C350" s="258"/>
      <c r="D350" s="266" t="s">
        <v>132</v>
      </c>
      <c r="E350" s="262">
        <f t="shared" ref="E350:H350" si="42">ROUND(IFERROR(E251/($E$347*0.0036*E7*$F$347),0),4)</f>
        <v>0</v>
      </c>
      <c r="F350" s="262">
        <f t="shared" si="42"/>
        <v>0</v>
      </c>
      <c r="G350" s="262">
        <f t="shared" si="42"/>
        <v>0</v>
      </c>
      <c r="H350" s="262">
        <f t="shared" si="42"/>
        <v>0</v>
      </c>
      <c r="I350" s="349">
        <v>0</v>
      </c>
      <c r="J350" s="349">
        <v>0</v>
      </c>
      <c r="K350" s="349">
        <v>0</v>
      </c>
      <c r="L350" s="349">
        <v>0</v>
      </c>
      <c r="M350" s="349">
        <v>0</v>
      </c>
      <c r="N350" s="349">
        <v>0</v>
      </c>
      <c r="O350" s="349">
        <v>0</v>
      </c>
      <c r="P350" s="349">
        <v>0</v>
      </c>
      <c r="Q350" s="349">
        <v>0</v>
      </c>
      <c r="R350" s="349">
        <v>0</v>
      </c>
      <c r="S350" s="349">
        <v>0</v>
      </c>
      <c r="T350" s="349">
        <v>0</v>
      </c>
      <c r="U350" s="349">
        <v>0</v>
      </c>
      <c r="V350" s="349">
        <v>0</v>
      </c>
      <c r="W350" s="349">
        <v>0</v>
      </c>
      <c r="X350" s="349">
        <v>0</v>
      </c>
      <c r="Y350" s="349">
        <v>0</v>
      </c>
      <c r="Z350" s="349">
        <v>0</v>
      </c>
      <c r="AA350" s="349">
        <v>0</v>
      </c>
      <c r="AB350" s="349">
        <v>0</v>
      </c>
      <c r="AC350" s="349">
        <v>0</v>
      </c>
      <c r="AD350" s="349">
        <v>0</v>
      </c>
      <c r="AE350" s="349">
        <v>0</v>
      </c>
      <c r="AF350" s="349">
        <v>0</v>
      </c>
      <c r="AG350" s="349">
        <v>0</v>
      </c>
      <c r="AH350" s="349">
        <v>0</v>
      </c>
      <c r="AI350" s="349">
        <v>0</v>
      </c>
      <c r="AJ350" s="349">
        <v>0</v>
      </c>
      <c r="AK350" s="349">
        <v>0</v>
      </c>
      <c r="AL350" s="8"/>
      <c r="AM350" s="8"/>
      <c r="AN350" s="8"/>
      <c r="AO350" s="8"/>
      <c r="AP350" s="8"/>
      <c r="AQ350" s="8"/>
      <c r="AR350" s="8"/>
      <c r="AS350" s="8"/>
      <c r="AT350" s="8"/>
      <c r="AU350" s="8"/>
      <c r="AV350" s="8"/>
      <c r="AW350" s="8"/>
      <c r="AX350" s="8"/>
      <c r="AY350" s="8"/>
      <c r="AZ350" s="8"/>
      <c r="BA350" s="8"/>
      <c r="BB350" s="8"/>
      <c r="BC350" s="8"/>
      <c r="BD350" s="8"/>
      <c r="BE350" s="8"/>
    </row>
    <row r="351" spans="1:57" ht="14.25" customHeight="1">
      <c r="A351" s="619"/>
      <c r="B351" s="253"/>
      <c r="C351" s="258" t="s">
        <v>133</v>
      </c>
      <c r="D351" s="259" t="s">
        <v>134</v>
      </c>
      <c r="E351" s="262">
        <f t="shared" ref="E351:H351" si="43">ROUND(IFERROR(E252/($E$347*0.0036*E8*$F$347),0),4)</f>
        <v>0.31830000000000003</v>
      </c>
      <c r="F351" s="262">
        <f t="shared" si="43"/>
        <v>0.34420000000000001</v>
      </c>
      <c r="G351" s="262">
        <f t="shared" si="43"/>
        <v>0.35499999999999998</v>
      </c>
      <c r="H351" s="262">
        <f t="shared" si="43"/>
        <v>0.31019999999999998</v>
      </c>
      <c r="I351" s="349">
        <v>0.32</v>
      </c>
      <c r="J351" s="349">
        <v>0.32</v>
      </c>
      <c r="K351" s="349">
        <v>0.32</v>
      </c>
      <c r="L351" s="349">
        <v>0.32</v>
      </c>
      <c r="M351" s="349">
        <v>0.32</v>
      </c>
      <c r="N351" s="349">
        <v>0.32</v>
      </c>
      <c r="O351" s="349">
        <v>0.32</v>
      </c>
      <c r="P351" s="349">
        <v>0.32</v>
      </c>
      <c r="Q351" s="349">
        <v>0.32</v>
      </c>
      <c r="R351" s="349">
        <v>0.32</v>
      </c>
      <c r="S351" s="349">
        <v>0.32</v>
      </c>
      <c r="T351" s="349">
        <v>0.32</v>
      </c>
      <c r="U351" s="349">
        <v>0.32</v>
      </c>
      <c r="V351" s="349">
        <v>0.32</v>
      </c>
      <c r="W351" s="349">
        <v>0.32</v>
      </c>
      <c r="X351" s="349">
        <v>0.32</v>
      </c>
      <c r="Y351" s="349">
        <v>0.32</v>
      </c>
      <c r="Z351" s="349">
        <v>0.32</v>
      </c>
      <c r="AA351" s="349">
        <v>0.32</v>
      </c>
      <c r="AB351" s="349">
        <v>0.32</v>
      </c>
      <c r="AC351" s="349">
        <v>0.32</v>
      </c>
      <c r="AD351" s="349">
        <v>0.32</v>
      </c>
      <c r="AE351" s="349">
        <v>0.32</v>
      </c>
      <c r="AF351" s="349">
        <v>0.32</v>
      </c>
      <c r="AG351" s="349">
        <v>0.32</v>
      </c>
      <c r="AH351" s="349">
        <v>0.32</v>
      </c>
      <c r="AI351" s="349">
        <v>0.32</v>
      </c>
      <c r="AJ351" s="349">
        <v>0.32</v>
      </c>
      <c r="AK351" s="349">
        <v>0.32</v>
      </c>
      <c r="AL351" s="8"/>
      <c r="AM351" s="8"/>
      <c r="AN351" s="8"/>
      <c r="AO351" s="8"/>
      <c r="AP351" s="8"/>
      <c r="AQ351" s="8"/>
      <c r="AR351" s="8"/>
      <c r="AS351" s="8"/>
      <c r="AT351" s="8"/>
      <c r="AU351" s="8"/>
      <c r="AV351" s="8"/>
      <c r="AW351" s="8"/>
      <c r="AX351" s="8"/>
      <c r="AY351" s="8"/>
      <c r="AZ351" s="8"/>
      <c r="BA351" s="8"/>
      <c r="BB351" s="8"/>
      <c r="BC351" s="8"/>
      <c r="BD351" s="8"/>
      <c r="BE351" s="8"/>
    </row>
    <row r="352" spans="1:57" ht="14.25" customHeight="1">
      <c r="A352" s="619"/>
      <c r="B352" s="253"/>
      <c r="C352" s="258" t="s">
        <v>135</v>
      </c>
      <c r="D352" s="262" t="s">
        <v>304</v>
      </c>
      <c r="E352" s="262">
        <f t="shared" ref="E352:H352" si="44">ROUND(IFERROR(E253/($E$347*0.0036*E9*$F$347),0),4)</f>
        <v>0.53639999999999999</v>
      </c>
      <c r="F352" s="262">
        <f t="shared" si="44"/>
        <v>0.58209999999999995</v>
      </c>
      <c r="G352" s="262">
        <f t="shared" si="44"/>
        <v>0.52139999999999997</v>
      </c>
      <c r="H352" s="262">
        <f t="shared" si="44"/>
        <v>0.43709999999999999</v>
      </c>
      <c r="I352" s="349">
        <v>0.54</v>
      </c>
      <c r="J352" s="349">
        <v>0.54</v>
      </c>
      <c r="K352" s="349">
        <v>0.54</v>
      </c>
      <c r="L352" s="349">
        <v>0.54</v>
      </c>
      <c r="M352" s="349">
        <v>0.54</v>
      </c>
      <c r="N352" s="349">
        <v>0.54</v>
      </c>
      <c r="O352" s="349">
        <v>0.54</v>
      </c>
      <c r="P352" s="349">
        <v>0.54</v>
      </c>
      <c r="Q352" s="349">
        <v>0.54</v>
      </c>
      <c r="R352" s="349">
        <v>0.54</v>
      </c>
      <c r="S352" s="349">
        <v>0.54</v>
      </c>
      <c r="T352" s="349">
        <v>0.54</v>
      </c>
      <c r="U352" s="349">
        <v>0.54</v>
      </c>
      <c r="V352" s="349">
        <v>0.54</v>
      </c>
      <c r="W352" s="349">
        <v>0.54</v>
      </c>
      <c r="X352" s="349">
        <v>0.54</v>
      </c>
      <c r="Y352" s="349">
        <v>0.54</v>
      </c>
      <c r="Z352" s="349">
        <v>0.54</v>
      </c>
      <c r="AA352" s="349">
        <v>0.54</v>
      </c>
      <c r="AB352" s="349">
        <v>0.54</v>
      </c>
      <c r="AC352" s="349">
        <v>0.54</v>
      </c>
      <c r="AD352" s="349">
        <v>0.54</v>
      </c>
      <c r="AE352" s="349">
        <v>0.54</v>
      </c>
      <c r="AF352" s="349">
        <v>0.54</v>
      </c>
      <c r="AG352" s="349">
        <v>0.54</v>
      </c>
      <c r="AH352" s="349">
        <v>0.54</v>
      </c>
      <c r="AI352" s="349">
        <v>0.54</v>
      </c>
      <c r="AJ352" s="349">
        <v>0.54</v>
      </c>
      <c r="AK352" s="349">
        <v>0.54</v>
      </c>
      <c r="AL352" s="8"/>
      <c r="AM352" s="8"/>
      <c r="AN352" s="8"/>
      <c r="AO352" s="8"/>
      <c r="AP352" s="8"/>
      <c r="AQ352" s="8"/>
      <c r="AR352" s="8"/>
      <c r="AS352" s="8"/>
      <c r="AT352" s="8"/>
      <c r="AU352" s="8"/>
      <c r="AV352" s="8"/>
      <c r="AW352" s="8"/>
      <c r="AX352" s="8"/>
      <c r="AY352" s="8"/>
      <c r="AZ352" s="8"/>
      <c r="BA352" s="8"/>
      <c r="BB352" s="8"/>
      <c r="BC352" s="8"/>
      <c r="BD352" s="8"/>
      <c r="BE352" s="8"/>
    </row>
    <row r="353" spans="1:39" ht="14.25" customHeight="1">
      <c r="A353" s="619"/>
      <c r="B353" s="253"/>
      <c r="C353" s="258"/>
      <c r="D353" s="262" t="s">
        <v>305</v>
      </c>
      <c r="E353" s="262">
        <f t="shared" ref="E353:H353" si="45">ROUND(IFERROR(E254/($E$347*0.0036*E10*$F$347),0),4)</f>
        <v>0.49030000000000001</v>
      </c>
      <c r="F353" s="262">
        <f t="shared" si="45"/>
        <v>0.58309999999999995</v>
      </c>
      <c r="G353" s="262">
        <f t="shared" si="45"/>
        <v>0.57330000000000003</v>
      </c>
      <c r="H353" s="262">
        <f t="shared" si="45"/>
        <v>0.60170000000000001</v>
      </c>
      <c r="I353" s="349">
        <v>0.49</v>
      </c>
      <c r="J353" s="349">
        <v>0.49</v>
      </c>
      <c r="K353" s="349">
        <v>0.49</v>
      </c>
      <c r="L353" s="349">
        <v>0.49</v>
      </c>
      <c r="M353" s="349">
        <v>0.49</v>
      </c>
      <c r="N353" s="349">
        <v>0.49</v>
      </c>
      <c r="O353" s="349">
        <v>0.49</v>
      </c>
      <c r="P353" s="349">
        <v>0.49</v>
      </c>
      <c r="Q353" s="349">
        <v>0.49</v>
      </c>
      <c r="R353" s="349">
        <v>0.49</v>
      </c>
      <c r="S353" s="349">
        <v>0.49</v>
      </c>
      <c r="T353" s="349">
        <v>0.49</v>
      </c>
      <c r="U353" s="349">
        <v>0.49</v>
      </c>
      <c r="V353" s="349">
        <v>0.49</v>
      </c>
      <c r="W353" s="349">
        <v>0.49</v>
      </c>
      <c r="X353" s="349">
        <v>0.49</v>
      </c>
      <c r="Y353" s="349">
        <v>0.49</v>
      </c>
      <c r="Z353" s="349">
        <v>0.49</v>
      </c>
      <c r="AA353" s="349">
        <v>0.49</v>
      </c>
      <c r="AB353" s="349">
        <v>0.49</v>
      </c>
      <c r="AC353" s="349">
        <v>0.49</v>
      </c>
      <c r="AD353" s="349">
        <v>0.49</v>
      </c>
      <c r="AE353" s="349">
        <v>0.49</v>
      </c>
      <c r="AF353" s="349">
        <v>0.49</v>
      </c>
      <c r="AG353" s="349">
        <v>0.49</v>
      </c>
      <c r="AH353" s="349">
        <v>0.49</v>
      </c>
      <c r="AI353" s="349">
        <v>0.49</v>
      </c>
      <c r="AJ353" s="349">
        <v>0.49</v>
      </c>
      <c r="AK353" s="349">
        <v>0.49</v>
      </c>
      <c r="AL353" s="619"/>
      <c r="AM353" s="8"/>
    </row>
    <row r="354" spans="1:39" ht="14.25" customHeight="1">
      <c r="A354" s="619"/>
      <c r="B354" s="253"/>
      <c r="C354" s="258"/>
      <c r="D354" s="266" t="s">
        <v>138</v>
      </c>
      <c r="E354" s="262">
        <f t="shared" ref="E354:H354" si="46">ROUND(IFERROR(E255/($E$347*0.0036*E11*$F$347),0),4)</f>
        <v>0.53420000000000001</v>
      </c>
      <c r="F354" s="262">
        <f t="shared" si="46"/>
        <v>0.62019999999999997</v>
      </c>
      <c r="G354" s="262">
        <f t="shared" si="46"/>
        <v>0.5595</v>
      </c>
      <c r="H354" s="262">
        <f t="shared" si="46"/>
        <v>0.60319999999999996</v>
      </c>
      <c r="I354" s="349">
        <v>0.53</v>
      </c>
      <c r="J354" s="349">
        <v>0.53</v>
      </c>
      <c r="K354" s="349">
        <v>0.53</v>
      </c>
      <c r="L354" s="349">
        <v>0.53</v>
      </c>
      <c r="M354" s="349">
        <v>0.53</v>
      </c>
      <c r="N354" s="349">
        <v>0.53</v>
      </c>
      <c r="O354" s="349">
        <v>0.53</v>
      </c>
      <c r="P354" s="349">
        <v>0.53</v>
      </c>
      <c r="Q354" s="349">
        <v>0.53</v>
      </c>
      <c r="R354" s="349">
        <v>0.53</v>
      </c>
      <c r="S354" s="349">
        <v>0.53</v>
      </c>
      <c r="T354" s="349">
        <v>0.53</v>
      </c>
      <c r="U354" s="349">
        <v>0.53</v>
      </c>
      <c r="V354" s="349">
        <v>0.53</v>
      </c>
      <c r="W354" s="349">
        <v>0.53</v>
      </c>
      <c r="X354" s="349">
        <v>0.53</v>
      </c>
      <c r="Y354" s="349">
        <v>0.53</v>
      </c>
      <c r="Z354" s="349">
        <v>0.53</v>
      </c>
      <c r="AA354" s="349">
        <v>0.53</v>
      </c>
      <c r="AB354" s="349">
        <v>0.53</v>
      </c>
      <c r="AC354" s="349">
        <v>0.53</v>
      </c>
      <c r="AD354" s="349">
        <v>0.53</v>
      </c>
      <c r="AE354" s="349">
        <v>0.53</v>
      </c>
      <c r="AF354" s="349">
        <v>0.53</v>
      </c>
      <c r="AG354" s="349">
        <v>0.53</v>
      </c>
      <c r="AH354" s="349">
        <v>0.53</v>
      </c>
      <c r="AI354" s="349">
        <v>0.53</v>
      </c>
      <c r="AJ354" s="349">
        <v>0.53</v>
      </c>
      <c r="AK354" s="349">
        <v>0.53</v>
      </c>
      <c r="AL354" s="619"/>
      <c r="AM354" s="8"/>
    </row>
    <row r="355" spans="1:39" ht="14.25" customHeight="1">
      <c r="A355" s="619"/>
      <c r="B355" s="253"/>
      <c r="C355" s="258"/>
      <c r="D355" s="259" t="s">
        <v>139</v>
      </c>
      <c r="E355" s="262">
        <f t="shared" ref="E355:H355" si="47">ROUND(IFERROR(E256/($E$347*0.0036*E12*$F$347),0),4)</f>
        <v>0.54579999999999995</v>
      </c>
      <c r="F355" s="262">
        <f t="shared" si="47"/>
        <v>0.61919999999999997</v>
      </c>
      <c r="G355" s="262">
        <f t="shared" si="47"/>
        <v>0.57310000000000005</v>
      </c>
      <c r="H355" s="262">
        <f t="shared" si="47"/>
        <v>0.60840000000000005</v>
      </c>
      <c r="I355" s="349">
        <v>0.55000000000000004</v>
      </c>
      <c r="J355" s="349">
        <v>0.55000000000000004</v>
      </c>
      <c r="K355" s="349">
        <v>0.55000000000000004</v>
      </c>
      <c r="L355" s="349">
        <v>0.55000000000000004</v>
      </c>
      <c r="M355" s="349">
        <v>0.55000000000000004</v>
      </c>
      <c r="N355" s="349">
        <v>0.55000000000000004</v>
      </c>
      <c r="O355" s="349">
        <v>0.55000000000000004</v>
      </c>
      <c r="P355" s="349">
        <v>0.55000000000000004</v>
      </c>
      <c r="Q355" s="349">
        <v>0.55000000000000004</v>
      </c>
      <c r="R355" s="349">
        <v>0.55000000000000004</v>
      </c>
      <c r="S355" s="349">
        <v>0.55000000000000004</v>
      </c>
      <c r="T355" s="349">
        <v>0.55000000000000004</v>
      </c>
      <c r="U355" s="349">
        <v>0.55000000000000004</v>
      </c>
      <c r="V355" s="349">
        <v>0.55000000000000004</v>
      </c>
      <c r="W355" s="349">
        <v>0.55000000000000004</v>
      </c>
      <c r="X355" s="349">
        <v>0.55000000000000004</v>
      </c>
      <c r="Y355" s="349">
        <v>0.55000000000000004</v>
      </c>
      <c r="Z355" s="349">
        <v>0.55000000000000004</v>
      </c>
      <c r="AA355" s="349">
        <v>0.55000000000000004</v>
      </c>
      <c r="AB355" s="349">
        <v>0.55000000000000004</v>
      </c>
      <c r="AC355" s="349">
        <v>0.55000000000000004</v>
      </c>
      <c r="AD355" s="349">
        <v>0.55000000000000004</v>
      </c>
      <c r="AE355" s="349">
        <v>0.55000000000000004</v>
      </c>
      <c r="AF355" s="349">
        <v>0.55000000000000004</v>
      </c>
      <c r="AG355" s="349">
        <v>0.55000000000000004</v>
      </c>
      <c r="AH355" s="349">
        <v>0.55000000000000004</v>
      </c>
      <c r="AI355" s="349">
        <v>0.55000000000000004</v>
      </c>
      <c r="AJ355" s="349">
        <v>0.55000000000000004</v>
      </c>
      <c r="AK355" s="349">
        <v>0.55000000000000004</v>
      </c>
      <c r="AL355" s="619"/>
      <c r="AM355" s="8"/>
    </row>
    <row r="356" spans="1:39" ht="14.25" customHeight="1">
      <c r="A356" s="619"/>
      <c r="B356" s="253"/>
      <c r="C356" s="258"/>
      <c r="D356" s="259" t="s">
        <v>140</v>
      </c>
      <c r="E356" s="262">
        <f t="shared" ref="E356:H356" si="48">ROUND(IFERROR(E257/($E$347*0.0036*E13*$F$347),0),4)</f>
        <v>0.46700000000000003</v>
      </c>
      <c r="F356" s="262">
        <f t="shared" si="48"/>
        <v>0.62619999999999998</v>
      </c>
      <c r="G356" s="262">
        <f t="shared" si="48"/>
        <v>0.48070000000000002</v>
      </c>
      <c r="H356" s="262">
        <f t="shared" si="48"/>
        <v>0.57269999999999999</v>
      </c>
      <c r="I356" s="349">
        <v>0.47</v>
      </c>
      <c r="J356" s="349">
        <v>0.47</v>
      </c>
      <c r="K356" s="349">
        <v>0.47</v>
      </c>
      <c r="L356" s="349">
        <v>0.47</v>
      </c>
      <c r="M356" s="349">
        <v>0.47</v>
      </c>
      <c r="N356" s="349">
        <v>0.47</v>
      </c>
      <c r="O356" s="349">
        <v>0.47</v>
      </c>
      <c r="P356" s="349">
        <v>0.47</v>
      </c>
      <c r="Q356" s="349">
        <v>0.47</v>
      </c>
      <c r="R356" s="349">
        <v>0.47</v>
      </c>
      <c r="S356" s="349">
        <v>0.47</v>
      </c>
      <c r="T356" s="349">
        <v>0.47</v>
      </c>
      <c r="U356" s="349">
        <v>0.47</v>
      </c>
      <c r="V356" s="349">
        <v>0.47</v>
      </c>
      <c r="W356" s="349">
        <v>0.47</v>
      </c>
      <c r="X356" s="349">
        <v>0.47</v>
      </c>
      <c r="Y356" s="349">
        <v>0.47</v>
      </c>
      <c r="Z356" s="349">
        <v>0.47</v>
      </c>
      <c r="AA356" s="349">
        <v>0.47</v>
      </c>
      <c r="AB356" s="349">
        <v>0.47</v>
      </c>
      <c r="AC356" s="349">
        <v>0.47</v>
      </c>
      <c r="AD356" s="349">
        <v>0.47</v>
      </c>
      <c r="AE356" s="349">
        <v>0.47</v>
      </c>
      <c r="AF356" s="349">
        <v>0.47</v>
      </c>
      <c r="AG356" s="349">
        <v>0.47</v>
      </c>
      <c r="AH356" s="349">
        <v>0.47</v>
      </c>
      <c r="AI356" s="349">
        <v>0.47</v>
      </c>
      <c r="AJ356" s="349">
        <v>0.47</v>
      </c>
      <c r="AK356" s="349">
        <v>0.47</v>
      </c>
      <c r="AL356" s="619"/>
      <c r="AM356" s="8"/>
    </row>
    <row r="357" spans="1:39" ht="14.25" customHeight="1">
      <c r="A357" s="619"/>
      <c r="B357" s="253"/>
      <c r="C357" s="258"/>
      <c r="D357" s="266" t="s">
        <v>141</v>
      </c>
      <c r="E357" s="262">
        <f t="shared" ref="E357:H357" si="49">ROUND(IFERROR(E258/($E$347*0.0036*E14*$F$347),0),4)</f>
        <v>0.46750000000000003</v>
      </c>
      <c r="F357" s="262">
        <f t="shared" si="49"/>
        <v>0.56379999999999997</v>
      </c>
      <c r="G357" s="262">
        <f t="shared" si="49"/>
        <v>0.58040000000000003</v>
      </c>
      <c r="H357" s="262">
        <f t="shared" si="49"/>
        <v>0.60089999999999999</v>
      </c>
      <c r="I357" s="349">
        <v>0.47</v>
      </c>
      <c r="J357" s="349">
        <v>0.47</v>
      </c>
      <c r="K357" s="349">
        <v>0.47</v>
      </c>
      <c r="L357" s="349">
        <v>0.47</v>
      </c>
      <c r="M357" s="349">
        <v>0.47</v>
      </c>
      <c r="N357" s="349">
        <v>0.47</v>
      </c>
      <c r="O357" s="349">
        <v>0.47</v>
      </c>
      <c r="P357" s="349">
        <v>0.47</v>
      </c>
      <c r="Q357" s="349">
        <v>0.47</v>
      </c>
      <c r="R357" s="349">
        <v>0.47</v>
      </c>
      <c r="S357" s="349">
        <v>0.47</v>
      </c>
      <c r="T357" s="349">
        <v>0.47</v>
      </c>
      <c r="U357" s="349">
        <v>0.47</v>
      </c>
      <c r="V357" s="349">
        <v>0.47</v>
      </c>
      <c r="W357" s="349">
        <v>0.47</v>
      </c>
      <c r="X357" s="349">
        <v>0.47</v>
      </c>
      <c r="Y357" s="349">
        <v>0.47</v>
      </c>
      <c r="Z357" s="349">
        <v>0.47</v>
      </c>
      <c r="AA357" s="349">
        <v>0.47</v>
      </c>
      <c r="AB357" s="349">
        <v>0.47</v>
      </c>
      <c r="AC357" s="349">
        <v>0.47</v>
      </c>
      <c r="AD357" s="349">
        <v>0.47</v>
      </c>
      <c r="AE357" s="349">
        <v>0.47</v>
      </c>
      <c r="AF357" s="349">
        <v>0.47</v>
      </c>
      <c r="AG357" s="349">
        <v>0.47</v>
      </c>
      <c r="AH357" s="349">
        <v>0.47</v>
      </c>
      <c r="AI357" s="349">
        <v>0.47</v>
      </c>
      <c r="AJ357" s="349">
        <v>0.47</v>
      </c>
      <c r="AK357" s="349">
        <v>0.47</v>
      </c>
      <c r="AL357" s="619"/>
      <c r="AM357" s="8"/>
    </row>
    <row r="358" spans="1:39" ht="14.25" customHeight="1">
      <c r="A358" s="619"/>
      <c r="B358" s="253"/>
      <c r="C358" s="258"/>
      <c r="D358" s="259" t="s">
        <v>139</v>
      </c>
      <c r="E358" s="262">
        <f t="shared" ref="E358:H358" si="50">ROUND(IFERROR(E259/($E$347*0.0036*E15*$F$347),0),4)</f>
        <v>0.50219999999999998</v>
      </c>
      <c r="F358" s="262">
        <f t="shared" si="50"/>
        <v>0.57210000000000005</v>
      </c>
      <c r="G358" s="262">
        <f t="shared" si="50"/>
        <v>0.59130000000000005</v>
      </c>
      <c r="H358" s="262">
        <f t="shared" si="50"/>
        <v>0.60399999999999998</v>
      </c>
      <c r="I358" s="349">
        <v>0.5</v>
      </c>
      <c r="J358" s="349">
        <v>0.5</v>
      </c>
      <c r="K358" s="349">
        <v>0.5</v>
      </c>
      <c r="L358" s="349">
        <v>0.5</v>
      </c>
      <c r="M358" s="349">
        <v>0.5</v>
      </c>
      <c r="N358" s="349">
        <v>0.5</v>
      </c>
      <c r="O358" s="349">
        <v>0.5</v>
      </c>
      <c r="P358" s="349">
        <v>0.5</v>
      </c>
      <c r="Q358" s="349">
        <v>0.5</v>
      </c>
      <c r="R358" s="349">
        <v>0.5</v>
      </c>
      <c r="S358" s="349">
        <v>0.5</v>
      </c>
      <c r="T358" s="349">
        <v>0.5</v>
      </c>
      <c r="U358" s="349">
        <v>0.5</v>
      </c>
      <c r="V358" s="349">
        <v>0.5</v>
      </c>
      <c r="W358" s="349">
        <v>0.5</v>
      </c>
      <c r="X358" s="349">
        <v>0.5</v>
      </c>
      <c r="Y358" s="349">
        <v>0.5</v>
      </c>
      <c r="Z358" s="349">
        <v>0.5</v>
      </c>
      <c r="AA358" s="349">
        <v>0.5</v>
      </c>
      <c r="AB358" s="349">
        <v>0.5</v>
      </c>
      <c r="AC358" s="349">
        <v>0.5</v>
      </c>
      <c r="AD358" s="349">
        <v>0.5</v>
      </c>
      <c r="AE358" s="349">
        <v>0.5</v>
      </c>
      <c r="AF358" s="349">
        <v>0.5</v>
      </c>
      <c r="AG358" s="349">
        <v>0.5</v>
      </c>
      <c r="AH358" s="349">
        <v>0.5</v>
      </c>
      <c r="AI358" s="349">
        <v>0.5</v>
      </c>
      <c r="AJ358" s="349">
        <v>0.5</v>
      </c>
      <c r="AK358" s="349">
        <v>0.5</v>
      </c>
      <c r="AL358" s="619"/>
      <c r="AM358" s="8"/>
    </row>
    <row r="359" spans="1:39" ht="14.25" customHeight="1">
      <c r="A359" s="619"/>
      <c r="B359" s="253"/>
      <c r="C359" s="258"/>
      <c r="D359" s="259" t="s">
        <v>140</v>
      </c>
      <c r="E359" s="262">
        <f t="shared" ref="E359:H359" si="51">ROUND(IFERROR(E260/($E$347*0.0036*E16*$F$347),0),4)</f>
        <v>0.20419999999999999</v>
      </c>
      <c r="F359" s="262">
        <f t="shared" si="51"/>
        <v>0.50049999999999994</v>
      </c>
      <c r="G359" s="262">
        <f t="shared" si="51"/>
        <v>0.49980000000000002</v>
      </c>
      <c r="H359" s="262">
        <f t="shared" si="51"/>
        <v>0.57779999999999998</v>
      </c>
      <c r="I359" s="349">
        <v>0.2</v>
      </c>
      <c r="J359" s="349">
        <v>0.2</v>
      </c>
      <c r="K359" s="349">
        <v>0.2</v>
      </c>
      <c r="L359" s="349">
        <v>0.2</v>
      </c>
      <c r="M359" s="349">
        <v>0.2</v>
      </c>
      <c r="N359" s="349">
        <v>0.2</v>
      </c>
      <c r="O359" s="349">
        <v>0.2</v>
      </c>
      <c r="P359" s="349">
        <v>0.2</v>
      </c>
      <c r="Q359" s="349">
        <v>0.2</v>
      </c>
      <c r="R359" s="349">
        <v>0.2</v>
      </c>
      <c r="S359" s="349">
        <v>0.2</v>
      </c>
      <c r="T359" s="349">
        <v>0.2</v>
      </c>
      <c r="U359" s="349">
        <v>0.2</v>
      </c>
      <c r="V359" s="349">
        <v>0.2</v>
      </c>
      <c r="W359" s="349">
        <v>0.2</v>
      </c>
      <c r="X359" s="349">
        <v>0.2</v>
      </c>
      <c r="Y359" s="349">
        <v>0.2</v>
      </c>
      <c r="Z359" s="349">
        <v>0.2</v>
      </c>
      <c r="AA359" s="349">
        <v>0.2</v>
      </c>
      <c r="AB359" s="349">
        <v>0.2</v>
      </c>
      <c r="AC359" s="349">
        <v>0.2</v>
      </c>
      <c r="AD359" s="349">
        <v>0.2</v>
      </c>
      <c r="AE359" s="349">
        <v>0.2</v>
      </c>
      <c r="AF359" s="349">
        <v>0.2</v>
      </c>
      <c r="AG359" s="349">
        <v>0.2</v>
      </c>
      <c r="AH359" s="349">
        <v>0.2</v>
      </c>
      <c r="AI359" s="349">
        <v>0.2</v>
      </c>
      <c r="AJ359" s="349">
        <v>0.2</v>
      </c>
      <c r="AK359" s="349">
        <v>0.2</v>
      </c>
      <c r="AL359" s="619"/>
      <c r="AM359" s="8"/>
    </row>
    <row r="360" spans="1:39" ht="14.25" customHeight="1">
      <c r="A360" s="619"/>
      <c r="B360" s="253"/>
      <c r="C360" s="258" t="s">
        <v>142</v>
      </c>
      <c r="D360" s="262" t="s">
        <v>306</v>
      </c>
      <c r="E360" s="262">
        <f t="shared" ref="E360:H360" si="52">ROUND(IFERROR(E261/($E$347*0.0036*E17*$F$347),0),4)</f>
        <v>0.17069999999999999</v>
      </c>
      <c r="F360" s="262">
        <f t="shared" si="52"/>
        <v>0.16259999999999999</v>
      </c>
      <c r="G360" s="262">
        <f t="shared" si="52"/>
        <v>0.16600000000000001</v>
      </c>
      <c r="H360" s="262">
        <f t="shared" si="52"/>
        <v>0.16420000000000001</v>
      </c>
      <c r="I360" s="349">
        <v>0.17</v>
      </c>
      <c r="J360" s="349">
        <v>0.17</v>
      </c>
      <c r="K360" s="349">
        <v>0.17</v>
      </c>
      <c r="L360" s="349">
        <v>0.17</v>
      </c>
      <c r="M360" s="349">
        <v>0.17</v>
      </c>
      <c r="N360" s="349">
        <v>0.17</v>
      </c>
      <c r="O360" s="349">
        <v>0.17</v>
      </c>
      <c r="P360" s="349">
        <v>0.17</v>
      </c>
      <c r="Q360" s="349">
        <v>0.17</v>
      </c>
      <c r="R360" s="349">
        <v>0.17</v>
      </c>
      <c r="S360" s="349">
        <v>0.17</v>
      </c>
      <c r="T360" s="349">
        <v>0.17</v>
      </c>
      <c r="U360" s="349">
        <v>0.17</v>
      </c>
      <c r="V360" s="349">
        <v>0.17</v>
      </c>
      <c r="W360" s="349">
        <v>0.17</v>
      </c>
      <c r="X360" s="349">
        <v>0.17</v>
      </c>
      <c r="Y360" s="349">
        <v>0.17</v>
      </c>
      <c r="Z360" s="349">
        <v>0.17</v>
      </c>
      <c r="AA360" s="349">
        <v>0.17</v>
      </c>
      <c r="AB360" s="349">
        <v>0.17</v>
      </c>
      <c r="AC360" s="349">
        <v>0.17</v>
      </c>
      <c r="AD360" s="349">
        <v>0.17</v>
      </c>
      <c r="AE360" s="349">
        <v>0.17</v>
      </c>
      <c r="AF360" s="349">
        <v>0.17</v>
      </c>
      <c r="AG360" s="349">
        <v>0.17</v>
      </c>
      <c r="AH360" s="349">
        <v>0.17</v>
      </c>
      <c r="AI360" s="349">
        <v>0.17</v>
      </c>
      <c r="AJ360" s="349">
        <v>0.17</v>
      </c>
      <c r="AK360" s="349">
        <v>0.17</v>
      </c>
      <c r="AL360" s="619"/>
      <c r="AM360" s="8"/>
    </row>
    <row r="361" spans="1:39" ht="14.25" customHeight="1">
      <c r="A361" s="619"/>
      <c r="B361" s="253"/>
      <c r="C361" s="258"/>
      <c r="D361" s="262" t="s">
        <v>307</v>
      </c>
      <c r="E361" s="262">
        <f t="shared" ref="E361:H361" si="53">ROUND(IFERROR(E262/($E$347*0.0036*E18*$F$347),0),4)</f>
        <v>0.23860000000000001</v>
      </c>
      <c r="F361" s="262">
        <f t="shared" si="53"/>
        <v>0.17399999999999999</v>
      </c>
      <c r="G361" s="262">
        <f t="shared" si="53"/>
        <v>0.1409</v>
      </c>
      <c r="H361" s="262">
        <f t="shared" si="53"/>
        <v>0.12280000000000001</v>
      </c>
      <c r="I361" s="349">
        <v>0.24</v>
      </c>
      <c r="J361" s="349">
        <v>0.24</v>
      </c>
      <c r="K361" s="349">
        <v>0.24</v>
      </c>
      <c r="L361" s="349">
        <v>0.24</v>
      </c>
      <c r="M361" s="349">
        <v>0.24</v>
      </c>
      <c r="N361" s="349">
        <v>0.24</v>
      </c>
      <c r="O361" s="349">
        <v>0.24</v>
      </c>
      <c r="P361" s="349">
        <v>0.24</v>
      </c>
      <c r="Q361" s="349">
        <v>0.24</v>
      </c>
      <c r="R361" s="349">
        <v>0.24</v>
      </c>
      <c r="S361" s="349">
        <v>0.24</v>
      </c>
      <c r="T361" s="349">
        <v>0.24</v>
      </c>
      <c r="U361" s="349">
        <v>0.24</v>
      </c>
      <c r="V361" s="349">
        <v>0.24</v>
      </c>
      <c r="W361" s="349">
        <v>0.24</v>
      </c>
      <c r="X361" s="349">
        <v>0.24</v>
      </c>
      <c r="Y361" s="349">
        <v>0.24</v>
      </c>
      <c r="Z361" s="349">
        <v>0.24</v>
      </c>
      <c r="AA361" s="349">
        <v>0.24</v>
      </c>
      <c r="AB361" s="349">
        <v>0.24</v>
      </c>
      <c r="AC361" s="349">
        <v>0.24</v>
      </c>
      <c r="AD361" s="349">
        <v>0.24</v>
      </c>
      <c r="AE361" s="349">
        <v>0.24</v>
      </c>
      <c r="AF361" s="349">
        <v>0.24</v>
      </c>
      <c r="AG361" s="349">
        <v>0.24</v>
      </c>
      <c r="AH361" s="349">
        <v>0.24</v>
      </c>
      <c r="AI361" s="349">
        <v>0.24</v>
      </c>
      <c r="AJ361" s="349">
        <v>0.24</v>
      </c>
      <c r="AK361" s="349">
        <v>0.24</v>
      </c>
      <c r="AL361" s="619"/>
      <c r="AM361" s="8"/>
    </row>
    <row r="362" spans="1:39" ht="14.25" customHeight="1">
      <c r="A362" s="619"/>
      <c r="B362" s="253"/>
      <c r="C362" s="258"/>
      <c r="D362" s="266" t="s">
        <v>145</v>
      </c>
      <c r="E362" s="262">
        <f t="shared" ref="E362:H362" si="54">ROUND(IFERROR(E263/($E$347*0.0036*E19*$F$347),0),4)</f>
        <v>0.2082</v>
      </c>
      <c r="F362" s="262">
        <f t="shared" si="54"/>
        <v>0.13009999999999999</v>
      </c>
      <c r="G362" s="262">
        <f t="shared" si="54"/>
        <v>0.1193</v>
      </c>
      <c r="H362" s="262">
        <f t="shared" si="54"/>
        <v>0.1012</v>
      </c>
      <c r="I362" s="349">
        <v>0.21</v>
      </c>
      <c r="J362" s="349">
        <v>0.21</v>
      </c>
      <c r="K362" s="349">
        <v>0.21</v>
      </c>
      <c r="L362" s="349">
        <v>0.21</v>
      </c>
      <c r="M362" s="349">
        <v>0.21</v>
      </c>
      <c r="N362" s="349">
        <v>0.21</v>
      </c>
      <c r="O362" s="349">
        <v>0.21</v>
      </c>
      <c r="P362" s="349">
        <v>0.21</v>
      </c>
      <c r="Q362" s="349">
        <v>0.21</v>
      </c>
      <c r="R362" s="349">
        <v>0.21</v>
      </c>
      <c r="S362" s="349">
        <v>0.21</v>
      </c>
      <c r="T362" s="349">
        <v>0.21</v>
      </c>
      <c r="U362" s="349">
        <v>0.21</v>
      </c>
      <c r="V362" s="349">
        <v>0.21</v>
      </c>
      <c r="W362" s="349">
        <v>0.21</v>
      </c>
      <c r="X362" s="349">
        <v>0.21</v>
      </c>
      <c r="Y362" s="349">
        <v>0.21</v>
      </c>
      <c r="Z362" s="349">
        <v>0.21</v>
      </c>
      <c r="AA362" s="349">
        <v>0.21</v>
      </c>
      <c r="AB362" s="349">
        <v>0.21</v>
      </c>
      <c r="AC362" s="349">
        <v>0.21</v>
      </c>
      <c r="AD362" s="349">
        <v>0.21</v>
      </c>
      <c r="AE362" s="349">
        <v>0.21</v>
      </c>
      <c r="AF362" s="349">
        <v>0.21</v>
      </c>
      <c r="AG362" s="349">
        <v>0.21</v>
      </c>
      <c r="AH362" s="349">
        <v>0.21</v>
      </c>
      <c r="AI362" s="349">
        <v>0.21</v>
      </c>
      <c r="AJ362" s="349">
        <v>0.21</v>
      </c>
      <c r="AK362" s="349">
        <v>0.21</v>
      </c>
      <c r="AL362" s="619"/>
      <c r="AM362" s="8"/>
    </row>
    <row r="363" spans="1:39" ht="14.25" customHeight="1">
      <c r="A363" s="619"/>
      <c r="B363" s="253"/>
      <c r="C363" s="258" t="s">
        <v>146</v>
      </c>
      <c r="D363" s="259" t="s">
        <v>155</v>
      </c>
      <c r="E363" s="262">
        <f t="shared" ref="E363:H363" si="55">ROUND(IFERROR(E264/($E$347*0.0036*E20*$F$347),0),4)</f>
        <v>8.5599999999999996E-2</v>
      </c>
      <c r="F363" s="262">
        <f t="shared" si="55"/>
        <v>1.0800000000000001E-2</v>
      </c>
      <c r="G363" s="262">
        <f t="shared" si="55"/>
        <v>3.6700000000000003E-2</v>
      </c>
      <c r="H363" s="262">
        <f t="shared" si="55"/>
        <v>1.7500000000000002E-2</v>
      </c>
      <c r="I363" s="349">
        <v>0.09</v>
      </c>
      <c r="J363" s="349">
        <v>0.09</v>
      </c>
      <c r="K363" s="349">
        <v>0.09</v>
      </c>
      <c r="L363" s="349">
        <v>0.09</v>
      </c>
      <c r="M363" s="349">
        <v>0.09</v>
      </c>
      <c r="N363" s="349">
        <v>0.09</v>
      </c>
      <c r="O363" s="349">
        <v>0.09</v>
      </c>
      <c r="P363" s="349">
        <v>0.09</v>
      </c>
      <c r="Q363" s="349">
        <v>0.09</v>
      </c>
      <c r="R363" s="349">
        <v>0.09</v>
      </c>
      <c r="S363" s="349">
        <v>0.09</v>
      </c>
      <c r="T363" s="349">
        <v>0.09</v>
      </c>
      <c r="U363" s="349">
        <v>0.09</v>
      </c>
      <c r="V363" s="349">
        <v>0.09</v>
      </c>
      <c r="W363" s="349">
        <v>0.09</v>
      </c>
      <c r="X363" s="349">
        <v>0.09</v>
      </c>
      <c r="Y363" s="349">
        <v>0.09</v>
      </c>
      <c r="Z363" s="349">
        <v>0.09</v>
      </c>
      <c r="AA363" s="349">
        <v>0.09</v>
      </c>
      <c r="AB363" s="349">
        <v>0.09</v>
      </c>
      <c r="AC363" s="349">
        <v>0.09</v>
      </c>
      <c r="AD363" s="349">
        <v>0.09</v>
      </c>
      <c r="AE363" s="349">
        <v>0.09</v>
      </c>
      <c r="AF363" s="349">
        <v>0.09</v>
      </c>
      <c r="AG363" s="349">
        <v>0.09</v>
      </c>
      <c r="AH363" s="349">
        <v>0.09</v>
      </c>
      <c r="AI363" s="349">
        <v>0.09</v>
      </c>
      <c r="AJ363" s="349">
        <v>0.09</v>
      </c>
      <c r="AK363" s="349">
        <v>0.09</v>
      </c>
      <c r="AL363" s="619"/>
      <c r="AM363" s="8"/>
    </row>
    <row r="364" spans="1:39" ht="14.25" customHeight="1">
      <c r="A364" s="619"/>
      <c r="B364" s="253"/>
      <c r="C364" s="258" t="s">
        <v>148</v>
      </c>
      <c r="D364" s="259" t="s">
        <v>160</v>
      </c>
      <c r="E364" s="262">
        <f t="shared" ref="E364:H364" si="56">ROUND(IFERROR(E265/($E$347*0.0036*E21*$F$347),0),4)</f>
        <v>0.27239999999999998</v>
      </c>
      <c r="F364" s="262">
        <f t="shared" si="56"/>
        <v>0.18429999999999999</v>
      </c>
      <c r="G364" s="262">
        <f t="shared" si="56"/>
        <v>0.15049999999999999</v>
      </c>
      <c r="H364" s="262">
        <f t="shared" si="56"/>
        <v>0.11890000000000001</v>
      </c>
      <c r="I364" s="349">
        <v>0.27</v>
      </c>
      <c r="J364" s="349">
        <v>0.27</v>
      </c>
      <c r="K364" s="349">
        <v>0.27</v>
      </c>
      <c r="L364" s="349">
        <v>0.27</v>
      </c>
      <c r="M364" s="349">
        <v>0.27</v>
      </c>
      <c r="N364" s="349">
        <v>0.27</v>
      </c>
      <c r="O364" s="349">
        <v>0.27</v>
      </c>
      <c r="P364" s="349">
        <v>0.27</v>
      </c>
      <c r="Q364" s="349">
        <v>0.27</v>
      </c>
      <c r="R364" s="349">
        <v>0.27</v>
      </c>
      <c r="S364" s="349">
        <v>0.27</v>
      </c>
      <c r="T364" s="349">
        <v>0.27</v>
      </c>
      <c r="U364" s="349">
        <v>0.27</v>
      </c>
      <c r="V364" s="349">
        <v>0.27</v>
      </c>
      <c r="W364" s="349">
        <v>0.27</v>
      </c>
      <c r="X364" s="349">
        <v>0.27</v>
      </c>
      <c r="Y364" s="349">
        <v>0.27</v>
      </c>
      <c r="Z364" s="349">
        <v>0.27</v>
      </c>
      <c r="AA364" s="349">
        <v>0.27</v>
      </c>
      <c r="AB364" s="349">
        <v>0.27</v>
      </c>
      <c r="AC364" s="349">
        <v>0.27</v>
      </c>
      <c r="AD364" s="349">
        <v>0.27</v>
      </c>
      <c r="AE364" s="349">
        <v>0.27</v>
      </c>
      <c r="AF364" s="349">
        <v>0.27</v>
      </c>
      <c r="AG364" s="349">
        <v>0.27</v>
      </c>
      <c r="AH364" s="349">
        <v>0.27</v>
      </c>
      <c r="AI364" s="349">
        <v>0.27</v>
      </c>
      <c r="AJ364" s="349">
        <v>0.27</v>
      </c>
      <c r="AK364" s="349">
        <v>0.27</v>
      </c>
      <c r="AL364" s="619"/>
      <c r="AM364" s="8"/>
    </row>
    <row r="365" spans="1:39" ht="14.25" customHeight="1">
      <c r="A365" s="619"/>
      <c r="B365" s="253"/>
      <c r="C365" s="258"/>
      <c r="D365" s="259" t="s">
        <v>308</v>
      </c>
      <c r="E365" s="262">
        <f t="shared" ref="E365:H365" si="57">ROUND(IFERROR(E266/($E$347*0.0036*E22*$F$347),0),4)</f>
        <v>2.35E-2</v>
      </c>
      <c r="F365" s="262">
        <f t="shared" si="57"/>
        <v>0</v>
      </c>
      <c r="G365" s="262">
        <f t="shared" si="57"/>
        <v>0</v>
      </c>
      <c r="H365" s="262">
        <f t="shared" si="57"/>
        <v>0</v>
      </c>
      <c r="I365" s="349">
        <v>0.02</v>
      </c>
      <c r="J365" s="349">
        <v>0.02</v>
      </c>
      <c r="K365" s="349">
        <v>0.02</v>
      </c>
      <c r="L365" s="349">
        <v>0.02</v>
      </c>
      <c r="M365" s="349">
        <v>0.02</v>
      </c>
      <c r="N365" s="349">
        <v>0.02</v>
      </c>
      <c r="O365" s="349">
        <v>0.02</v>
      </c>
      <c r="P365" s="349">
        <v>0.02</v>
      </c>
      <c r="Q365" s="349">
        <v>0.02</v>
      </c>
      <c r="R365" s="349">
        <v>0.02</v>
      </c>
      <c r="S365" s="349">
        <v>0.02</v>
      </c>
      <c r="T365" s="349">
        <v>0.02</v>
      </c>
      <c r="U365" s="349">
        <v>0.02</v>
      </c>
      <c r="V365" s="349">
        <v>0.02</v>
      </c>
      <c r="W365" s="349">
        <v>0.02</v>
      </c>
      <c r="X365" s="349">
        <v>0.02</v>
      </c>
      <c r="Y365" s="349">
        <v>0.02</v>
      </c>
      <c r="Z365" s="349">
        <v>0.02</v>
      </c>
      <c r="AA365" s="349">
        <v>0.02</v>
      </c>
      <c r="AB365" s="349">
        <v>0.02</v>
      </c>
      <c r="AC365" s="349">
        <v>0.02</v>
      </c>
      <c r="AD365" s="349">
        <v>0.02</v>
      </c>
      <c r="AE365" s="349">
        <v>0.02</v>
      </c>
      <c r="AF365" s="349">
        <v>0.02</v>
      </c>
      <c r="AG365" s="349">
        <v>0.02</v>
      </c>
      <c r="AH365" s="349">
        <v>0.02</v>
      </c>
      <c r="AI365" s="349">
        <v>0.02</v>
      </c>
      <c r="AJ365" s="349">
        <v>0.02</v>
      </c>
      <c r="AK365" s="349">
        <v>0.02</v>
      </c>
      <c r="AL365" s="619"/>
      <c r="AM365" s="8"/>
    </row>
    <row r="366" spans="1:39" ht="14.25" customHeight="1">
      <c r="A366" s="619"/>
      <c r="B366" s="253"/>
      <c r="C366" s="258" t="s">
        <v>151</v>
      </c>
      <c r="D366" s="259" t="s">
        <v>309</v>
      </c>
      <c r="E366" s="262">
        <f t="shared" ref="E366:H366" si="58">ROUND(IFERROR(E267/($E$347*0.0036*E23*$F$347),0),4)</f>
        <v>0.32779999999999998</v>
      </c>
      <c r="F366" s="262">
        <f t="shared" si="58"/>
        <v>0.22109999999999999</v>
      </c>
      <c r="G366" s="262">
        <f t="shared" si="58"/>
        <v>0.21510000000000001</v>
      </c>
      <c r="H366" s="262">
        <f t="shared" si="58"/>
        <v>0.26600000000000001</v>
      </c>
      <c r="I366" s="349">
        <v>0.33</v>
      </c>
      <c r="J366" s="349">
        <v>0.33</v>
      </c>
      <c r="K366" s="349">
        <v>0.33</v>
      </c>
      <c r="L366" s="349">
        <v>0.33</v>
      </c>
      <c r="M366" s="349">
        <v>0.33</v>
      </c>
      <c r="N366" s="349">
        <v>0.33</v>
      </c>
      <c r="O366" s="349">
        <v>0.33</v>
      </c>
      <c r="P366" s="349">
        <v>0.33</v>
      </c>
      <c r="Q366" s="349">
        <v>0.33</v>
      </c>
      <c r="R366" s="349">
        <v>0.33</v>
      </c>
      <c r="S366" s="349">
        <v>0.33</v>
      </c>
      <c r="T366" s="349">
        <v>0.33</v>
      </c>
      <c r="U366" s="349">
        <v>0.33</v>
      </c>
      <c r="V366" s="349">
        <v>0.33</v>
      </c>
      <c r="W366" s="349">
        <v>0.33</v>
      </c>
      <c r="X366" s="349">
        <v>0.33</v>
      </c>
      <c r="Y366" s="349">
        <v>0.33</v>
      </c>
      <c r="Z366" s="349">
        <v>0.33</v>
      </c>
      <c r="AA366" s="349">
        <v>0.33</v>
      </c>
      <c r="AB366" s="349">
        <v>0.33</v>
      </c>
      <c r="AC366" s="349">
        <v>0.33</v>
      </c>
      <c r="AD366" s="349">
        <v>0.33</v>
      </c>
      <c r="AE366" s="349">
        <v>0.33</v>
      </c>
      <c r="AF366" s="349">
        <v>0.33</v>
      </c>
      <c r="AG366" s="349">
        <v>0.33</v>
      </c>
      <c r="AH366" s="349">
        <v>0.33</v>
      </c>
      <c r="AI366" s="349">
        <v>0.33</v>
      </c>
      <c r="AJ366" s="349">
        <v>0.33</v>
      </c>
      <c r="AK366" s="349">
        <v>0.33</v>
      </c>
      <c r="AL366" s="619"/>
      <c r="AM366" s="8"/>
    </row>
    <row r="367" spans="1:39" ht="14.25" customHeight="1">
      <c r="A367" s="619"/>
      <c r="B367" s="253"/>
      <c r="C367" s="258"/>
      <c r="D367" s="266" t="s">
        <v>153</v>
      </c>
      <c r="E367" s="262">
        <f t="shared" ref="E367:H367" si="59">ROUND(IFERROR(E268/($E$347*0.0036*E24*$F$347),0),4)</f>
        <v>0.1492</v>
      </c>
      <c r="F367" s="262">
        <f t="shared" si="59"/>
        <v>0.13</v>
      </c>
      <c r="G367" s="262">
        <f t="shared" si="59"/>
        <v>0.1036</v>
      </c>
      <c r="H367" s="262">
        <f t="shared" si="59"/>
        <v>8.7099999999999997E-2</v>
      </c>
      <c r="I367" s="349">
        <v>0.15</v>
      </c>
      <c r="J367" s="349">
        <v>0.15</v>
      </c>
      <c r="K367" s="349">
        <v>0.15</v>
      </c>
      <c r="L367" s="349">
        <v>0.15</v>
      </c>
      <c r="M367" s="349">
        <v>0.15</v>
      </c>
      <c r="N367" s="349">
        <v>0.15</v>
      </c>
      <c r="O367" s="349">
        <v>0.15</v>
      </c>
      <c r="P367" s="349">
        <v>0.15</v>
      </c>
      <c r="Q367" s="349">
        <v>0.15</v>
      </c>
      <c r="R367" s="349">
        <v>0.15</v>
      </c>
      <c r="S367" s="349">
        <v>0.15</v>
      </c>
      <c r="T367" s="349">
        <v>0.15</v>
      </c>
      <c r="U367" s="349">
        <v>0.15</v>
      </c>
      <c r="V367" s="349">
        <v>0.15</v>
      </c>
      <c r="W367" s="349">
        <v>0.15</v>
      </c>
      <c r="X367" s="349">
        <v>0.15</v>
      </c>
      <c r="Y367" s="349">
        <v>0.15</v>
      </c>
      <c r="Z367" s="349">
        <v>0.15</v>
      </c>
      <c r="AA367" s="349">
        <v>0.15</v>
      </c>
      <c r="AB367" s="349">
        <v>0.15</v>
      </c>
      <c r="AC367" s="349">
        <v>0.15</v>
      </c>
      <c r="AD367" s="349">
        <v>0.15</v>
      </c>
      <c r="AE367" s="349">
        <v>0.15</v>
      </c>
      <c r="AF367" s="349">
        <v>0.15</v>
      </c>
      <c r="AG367" s="349">
        <v>0.15</v>
      </c>
      <c r="AH367" s="349">
        <v>0.15</v>
      </c>
      <c r="AI367" s="349">
        <v>0.15</v>
      </c>
      <c r="AJ367" s="349">
        <v>0.15</v>
      </c>
      <c r="AK367" s="349">
        <v>0.15</v>
      </c>
      <c r="AL367" s="619"/>
      <c r="AM367" s="8"/>
    </row>
    <row r="368" spans="1:39" ht="14.25" customHeight="1">
      <c r="A368" s="619"/>
      <c r="B368" s="253"/>
      <c r="C368" s="258" t="s">
        <v>154</v>
      </c>
      <c r="D368" s="259" t="s">
        <v>155</v>
      </c>
      <c r="E368" s="262">
        <f t="shared" ref="E368:H368" si="60">ROUND(IFERROR(E269/($E$347*0.0036*E25*$F$347),0),4)</f>
        <v>2.64E-2</v>
      </c>
      <c r="F368" s="262">
        <f t="shared" si="60"/>
        <v>1.5100000000000001E-2</v>
      </c>
      <c r="G368" s="262">
        <f t="shared" si="60"/>
        <v>5.1000000000000004E-3</v>
      </c>
      <c r="H368" s="262">
        <f t="shared" si="60"/>
        <v>3.3999999999999998E-3</v>
      </c>
      <c r="I368" s="349">
        <v>0.03</v>
      </c>
      <c r="J368" s="349">
        <v>0.03</v>
      </c>
      <c r="K368" s="349">
        <v>0.03</v>
      </c>
      <c r="L368" s="349">
        <v>0.03</v>
      </c>
      <c r="M368" s="349">
        <v>0.03</v>
      </c>
      <c r="N368" s="349">
        <v>0.03</v>
      </c>
      <c r="O368" s="349">
        <v>0.03</v>
      </c>
      <c r="P368" s="349">
        <v>0.03</v>
      </c>
      <c r="Q368" s="349">
        <v>0.03</v>
      </c>
      <c r="R368" s="349">
        <v>0.03</v>
      </c>
      <c r="S368" s="349">
        <v>0.03</v>
      </c>
      <c r="T368" s="349">
        <v>0.03</v>
      </c>
      <c r="U368" s="349">
        <v>0.03</v>
      </c>
      <c r="V368" s="349">
        <v>0.03</v>
      </c>
      <c r="W368" s="349">
        <v>0.03</v>
      </c>
      <c r="X368" s="349">
        <v>0.03</v>
      </c>
      <c r="Y368" s="349">
        <v>0.03</v>
      </c>
      <c r="Z368" s="349">
        <v>0.03</v>
      </c>
      <c r="AA368" s="349">
        <v>0.03</v>
      </c>
      <c r="AB368" s="349">
        <v>0.03</v>
      </c>
      <c r="AC368" s="349">
        <v>0.03</v>
      </c>
      <c r="AD368" s="349">
        <v>0.03</v>
      </c>
      <c r="AE368" s="349">
        <v>0.03</v>
      </c>
      <c r="AF368" s="349">
        <v>0.03</v>
      </c>
      <c r="AG368" s="349">
        <v>0.03</v>
      </c>
      <c r="AH368" s="349">
        <v>0.03</v>
      </c>
      <c r="AI368" s="349">
        <v>0.03</v>
      </c>
      <c r="AJ368" s="349">
        <v>0.03</v>
      </c>
      <c r="AK368" s="349">
        <v>0.03</v>
      </c>
      <c r="AL368" s="619"/>
      <c r="AM368" s="8"/>
    </row>
    <row r="369" spans="1:39" ht="14.25" customHeight="1">
      <c r="A369" s="619"/>
      <c r="B369" s="253"/>
      <c r="C369" s="258" t="s">
        <v>156</v>
      </c>
      <c r="D369" s="259" t="s">
        <v>157</v>
      </c>
      <c r="E369" s="262">
        <f t="shared" ref="E369:H369" si="61">ROUND(IFERROR(E270/($E$347*0.0036*E26*$F$347),0),4)</f>
        <v>0.39250000000000002</v>
      </c>
      <c r="F369" s="262">
        <f t="shared" si="61"/>
        <v>0.35770000000000002</v>
      </c>
      <c r="G369" s="262">
        <f t="shared" si="61"/>
        <v>0.29880000000000001</v>
      </c>
      <c r="H369" s="262">
        <f t="shared" si="61"/>
        <v>0.2525</v>
      </c>
      <c r="I369" s="349">
        <v>0.39</v>
      </c>
      <c r="J369" s="349">
        <v>0.39</v>
      </c>
      <c r="K369" s="349">
        <v>0.39</v>
      </c>
      <c r="L369" s="349">
        <v>0.39</v>
      </c>
      <c r="M369" s="349">
        <v>0.39</v>
      </c>
      <c r="N369" s="349">
        <v>0.39</v>
      </c>
      <c r="O369" s="349">
        <v>0.39</v>
      </c>
      <c r="P369" s="349">
        <v>0.39</v>
      </c>
      <c r="Q369" s="349">
        <v>0.39</v>
      </c>
      <c r="R369" s="349">
        <v>0.39</v>
      </c>
      <c r="S369" s="349">
        <v>0.39</v>
      </c>
      <c r="T369" s="349">
        <v>0.39</v>
      </c>
      <c r="U369" s="349">
        <v>0.39</v>
      </c>
      <c r="V369" s="349">
        <v>0.39</v>
      </c>
      <c r="W369" s="349">
        <v>0.39</v>
      </c>
      <c r="X369" s="349">
        <v>0.39</v>
      </c>
      <c r="Y369" s="349">
        <v>0.39</v>
      </c>
      <c r="Z369" s="349">
        <v>0.39</v>
      </c>
      <c r="AA369" s="349">
        <v>0.39</v>
      </c>
      <c r="AB369" s="349">
        <v>0.39</v>
      </c>
      <c r="AC369" s="349">
        <v>0.39</v>
      </c>
      <c r="AD369" s="349">
        <v>0.39</v>
      </c>
      <c r="AE369" s="349">
        <v>0.39</v>
      </c>
      <c r="AF369" s="349">
        <v>0.39</v>
      </c>
      <c r="AG369" s="349">
        <v>0.39</v>
      </c>
      <c r="AH369" s="349">
        <v>0.39</v>
      </c>
      <c r="AI369" s="349">
        <v>0.39</v>
      </c>
      <c r="AJ369" s="349">
        <v>0.39</v>
      </c>
      <c r="AK369" s="349">
        <v>0.39</v>
      </c>
      <c r="AL369" s="619"/>
      <c r="AM369" s="8"/>
    </row>
    <row r="370" spans="1:39" ht="14.25" customHeight="1">
      <c r="A370" s="619"/>
      <c r="B370" s="253"/>
      <c r="C370" s="258"/>
      <c r="D370" s="266" t="s">
        <v>158</v>
      </c>
      <c r="E370" s="262">
        <f t="shared" ref="E370:H370" si="62">ROUND(IFERROR(E271/($E$347*0.0036*E27*$F$347),0),4)</f>
        <v>0.46</v>
      </c>
      <c r="F370" s="262">
        <f t="shared" si="62"/>
        <v>0.33229999999999998</v>
      </c>
      <c r="G370" s="262">
        <f t="shared" si="62"/>
        <v>0.24779999999999999</v>
      </c>
      <c r="H370" s="262">
        <f t="shared" si="62"/>
        <v>0.22700000000000001</v>
      </c>
      <c r="I370" s="349">
        <v>0.46</v>
      </c>
      <c r="J370" s="349">
        <v>0.46</v>
      </c>
      <c r="K370" s="349">
        <v>0.46</v>
      </c>
      <c r="L370" s="349">
        <v>0.46</v>
      </c>
      <c r="M370" s="349">
        <v>0.46</v>
      </c>
      <c r="N370" s="349">
        <v>0.46</v>
      </c>
      <c r="O370" s="349">
        <v>0.46</v>
      </c>
      <c r="P370" s="349">
        <v>0.46</v>
      </c>
      <c r="Q370" s="349">
        <v>0.46</v>
      </c>
      <c r="R370" s="349">
        <v>0.46</v>
      </c>
      <c r="S370" s="349">
        <v>0.46</v>
      </c>
      <c r="T370" s="349">
        <v>0.46</v>
      </c>
      <c r="U370" s="349">
        <v>0.46</v>
      </c>
      <c r="V370" s="349">
        <v>0.46</v>
      </c>
      <c r="W370" s="349">
        <v>0.46</v>
      </c>
      <c r="X370" s="349">
        <v>0.46</v>
      </c>
      <c r="Y370" s="349">
        <v>0.46</v>
      </c>
      <c r="Z370" s="349">
        <v>0.46</v>
      </c>
      <c r="AA370" s="349">
        <v>0.46</v>
      </c>
      <c r="AB370" s="349">
        <v>0.46</v>
      </c>
      <c r="AC370" s="349">
        <v>0.46</v>
      </c>
      <c r="AD370" s="349">
        <v>0.46</v>
      </c>
      <c r="AE370" s="349">
        <v>0.46</v>
      </c>
      <c r="AF370" s="349">
        <v>0.46</v>
      </c>
      <c r="AG370" s="349">
        <v>0.46</v>
      </c>
      <c r="AH370" s="349">
        <v>0.46</v>
      </c>
      <c r="AI370" s="349">
        <v>0.46</v>
      </c>
      <c r="AJ370" s="349">
        <v>0.46</v>
      </c>
      <c r="AK370" s="349">
        <v>0.46</v>
      </c>
      <c r="AL370" s="619"/>
      <c r="AM370" s="8"/>
    </row>
    <row r="371" spans="1:39" ht="14.25" customHeight="1">
      <c r="A371" s="619"/>
      <c r="B371" s="253"/>
      <c r="C371" s="258" t="s">
        <v>159</v>
      </c>
      <c r="D371" s="259" t="s">
        <v>160</v>
      </c>
      <c r="E371" s="262">
        <f t="shared" ref="E371:H371" si="63">ROUND(IFERROR(E272/($E$347*0.0036*E28*$F$347),0),4)</f>
        <v>0.46</v>
      </c>
      <c r="F371" s="262">
        <f t="shared" si="63"/>
        <v>0.33229999999999998</v>
      </c>
      <c r="G371" s="262">
        <f t="shared" si="63"/>
        <v>0.24779999999999999</v>
      </c>
      <c r="H371" s="262">
        <f t="shared" si="63"/>
        <v>0.22700000000000001</v>
      </c>
      <c r="I371" s="349">
        <v>0.46</v>
      </c>
      <c r="J371" s="349">
        <v>0.46</v>
      </c>
      <c r="K371" s="349">
        <v>0.46</v>
      </c>
      <c r="L371" s="349">
        <v>0.46</v>
      </c>
      <c r="M371" s="349">
        <v>0.46</v>
      </c>
      <c r="N371" s="349">
        <v>0.46</v>
      </c>
      <c r="O371" s="349">
        <v>0.46</v>
      </c>
      <c r="P371" s="349">
        <v>0.46</v>
      </c>
      <c r="Q371" s="349">
        <v>0.46</v>
      </c>
      <c r="R371" s="349">
        <v>0.46</v>
      </c>
      <c r="S371" s="349">
        <v>0.46</v>
      </c>
      <c r="T371" s="349">
        <v>0.46</v>
      </c>
      <c r="U371" s="349">
        <v>0.46</v>
      </c>
      <c r="V371" s="349">
        <v>0.46</v>
      </c>
      <c r="W371" s="349">
        <v>0.46</v>
      </c>
      <c r="X371" s="349">
        <v>0.46</v>
      </c>
      <c r="Y371" s="349">
        <v>0.46</v>
      </c>
      <c r="Z371" s="349">
        <v>0.46</v>
      </c>
      <c r="AA371" s="349">
        <v>0.46</v>
      </c>
      <c r="AB371" s="349">
        <v>0.46</v>
      </c>
      <c r="AC371" s="349">
        <v>0.46</v>
      </c>
      <c r="AD371" s="349">
        <v>0.46</v>
      </c>
      <c r="AE371" s="349">
        <v>0.46</v>
      </c>
      <c r="AF371" s="349">
        <v>0.46</v>
      </c>
      <c r="AG371" s="349">
        <v>0.46</v>
      </c>
      <c r="AH371" s="349">
        <v>0.46</v>
      </c>
      <c r="AI371" s="349">
        <v>0.46</v>
      </c>
      <c r="AJ371" s="349">
        <v>0.46</v>
      </c>
      <c r="AK371" s="349">
        <v>0.46</v>
      </c>
      <c r="AL371" s="619"/>
      <c r="AM371" s="8"/>
    </row>
    <row r="372" spans="1:39" ht="14.25" customHeight="1">
      <c r="A372" s="619"/>
      <c r="B372" s="253"/>
      <c r="C372" s="258"/>
      <c r="D372" s="262" t="s">
        <v>310</v>
      </c>
      <c r="E372" s="262">
        <f t="shared" ref="E372:H372" si="64">ROUND(IFERROR(E273/($E$347*0.0036*E29*$F$347),0),4)</f>
        <v>0.75309999999999999</v>
      </c>
      <c r="F372" s="262">
        <f t="shared" si="64"/>
        <v>0.68079999999999996</v>
      </c>
      <c r="G372" s="262">
        <f t="shared" si="64"/>
        <v>0.72760000000000002</v>
      </c>
      <c r="H372" s="262">
        <f t="shared" si="64"/>
        <v>0.60809999999999997</v>
      </c>
      <c r="I372" s="349">
        <v>0.75</v>
      </c>
      <c r="J372" s="349">
        <v>0.75</v>
      </c>
      <c r="K372" s="349">
        <v>0.75</v>
      </c>
      <c r="L372" s="349">
        <v>0.75</v>
      </c>
      <c r="M372" s="349">
        <v>0.75</v>
      </c>
      <c r="N372" s="349">
        <v>0.75</v>
      </c>
      <c r="O372" s="349">
        <v>0.75</v>
      </c>
      <c r="P372" s="349">
        <v>0.75</v>
      </c>
      <c r="Q372" s="349">
        <v>0.75</v>
      </c>
      <c r="R372" s="349">
        <v>0.75</v>
      </c>
      <c r="S372" s="349">
        <v>0.75</v>
      </c>
      <c r="T372" s="349">
        <v>0.75</v>
      </c>
      <c r="U372" s="349">
        <v>0.75</v>
      </c>
      <c r="V372" s="349">
        <v>0.75</v>
      </c>
      <c r="W372" s="349">
        <v>0.75</v>
      </c>
      <c r="X372" s="349">
        <v>0.75</v>
      </c>
      <c r="Y372" s="349">
        <v>0.75</v>
      </c>
      <c r="Z372" s="349">
        <v>0.75</v>
      </c>
      <c r="AA372" s="349">
        <v>0.75</v>
      </c>
      <c r="AB372" s="349">
        <v>0.75</v>
      </c>
      <c r="AC372" s="349">
        <v>0.75</v>
      </c>
      <c r="AD372" s="349">
        <v>0.75</v>
      </c>
      <c r="AE372" s="349">
        <v>0.75</v>
      </c>
      <c r="AF372" s="349">
        <v>0.75</v>
      </c>
      <c r="AG372" s="349">
        <v>0.75</v>
      </c>
      <c r="AH372" s="349">
        <v>0.75</v>
      </c>
      <c r="AI372" s="349">
        <v>0.75</v>
      </c>
      <c r="AJ372" s="349">
        <v>0.75</v>
      </c>
      <c r="AK372" s="349">
        <v>0.75</v>
      </c>
      <c r="AL372" s="619"/>
      <c r="AM372" s="8"/>
    </row>
    <row r="373" spans="1:39" ht="14.25" customHeight="1">
      <c r="A373" s="619"/>
      <c r="B373" s="253"/>
      <c r="C373" s="258"/>
      <c r="D373" s="266" t="s">
        <v>162</v>
      </c>
      <c r="E373" s="262">
        <f t="shared" ref="E373:H373" si="65">ROUND(IFERROR(E274/($E$347*0.0036*E30*$F$347),0),4)</f>
        <v>0</v>
      </c>
      <c r="F373" s="262">
        <f t="shared" si="65"/>
        <v>0</v>
      </c>
      <c r="G373" s="262">
        <f t="shared" si="65"/>
        <v>0</v>
      </c>
      <c r="H373" s="262">
        <f t="shared" si="65"/>
        <v>0</v>
      </c>
      <c r="I373" s="349">
        <v>0</v>
      </c>
      <c r="J373" s="349">
        <v>0</v>
      </c>
      <c r="K373" s="349">
        <v>0</v>
      </c>
      <c r="L373" s="349">
        <v>0</v>
      </c>
      <c r="M373" s="349">
        <v>0</v>
      </c>
      <c r="N373" s="349">
        <v>0</v>
      </c>
      <c r="O373" s="349">
        <v>0</v>
      </c>
      <c r="P373" s="349">
        <v>0</v>
      </c>
      <c r="Q373" s="349">
        <v>0</v>
      </c>
      <c r="R373" s="349">
        <v>0</v>
      </c>
      <c r="S373" s="349">
        <v>0</v>
      </c>
      <c r="T373" s="349">
        <v>0</v>
      </c>
      <c r="U373" s="349">
        <v>0</v>
      </c>
      <c r="V373" s="349">
        <v>0</v>
      </c>
      <c r="W373" s="349">
        <v>0</v>
      </c>
      <c r="X373" s="349">
        <v>0</v>
      </c>
      <c r="Y373" s="349">
        <v>0</v>
      </c>
      <c r="Z373" s="349">
        <v>0</v>
      </c>
      <c r="AA373" s="349">
        <v>0</v>
      </c>
      <c r="AB373" s="349">
        <v>0</v>
      </c>
      <c r="AC373" s="349">
        <v>0</v>
      </c>
      <c r="AD373" s="349">
        <v>0</v>
      </c>
      <c r="AE373" s="349">
        <v>0</v>
      </c>
      <c r="AF373" s="349">
        <v>0</v>
      </c>
      <c r="AG373" s="349">
        <v>0</v>
      </c>
      <c r="AH373" s="349">
        <v>0</v>
      </c>
      <c r="AI373" s="349">
        <v>0</v>
      </c>
      <c r="AJ373" s="349">
        <v>0</v>
      </c>
      <c r="AK373" s="349">
        <v>0</v>
      </c>
      <c r="AL373" s="619"/>
      <c r="AM373" s="8"/>
    </row>
    <row r="374" spans="1:39" ht="14.25" customHeight="1">
      <c r="A374" s="619"/>
      <c r="B374" s="253"/>
      <c r="C374" s="258" t="s">
        <v>163</v>
      </c>
      <c r="D374" s="259" t="s">
        <v>161</v>
      </c>
      <c r="E374" s="262">
        <f t="shared" ref="E374:H374" si="66">ROUND(IFERROR(E275/($E$347*0.0036*E31*$F$347),0),4)</f>
        <v>0.75309999999999999</v>
      </c>
      <c r="F374" s="262">
        <f t="shared" si="66"/>
        <v>0.68079999999999996</v>
      </c>
      <c r="G374" s="262">
        <f t="shared" si="66"/>
        <v>0.72760000000000002</v>
      </c>
      <c r="H374" s="262">
        <f t="shared" si="66"/>
        <v>0.60809999999999997</v>
      </c>
      <c r="I374" s="349">
        <v>0.75</v>
      </c>
      <c r="J374" s="349">
        <v>0.75</v>
      </c>
      <c r="K374" s="349">
        <v>0.75</v>
      </c>
      <c r="L374" s="349">
        <v>0.75</v>
      </c>
      <c r="M374" s="349">
        <v>0.75</v>
      </c>
      <c r="N374" s="349">
        <v>0.75</v>
      </c>
      <c r="O374" s="349">
        <v>0.75</v>
      </c>
      <c r="P374" s="349">
        <v>0.75</v>
      </c>
      <c r="Q374" s="349">
        <v>0.75</v>
      </c>
      <c r="R374" s="349">
        <v>0.75</v>
      </c>
      <c r="S374" s="349">
        <v>0.75</v>
      </c>
      <c r="T374" s="349">
        <v>0.75</v>
      </c>
      <c r="U374" s="349">
        <v>0.75</v>
      </c>
      <c r="V374" s="349">
        <v>0.75</v>
      </c>
      <c r="W374" s="349">
        <v>0.75</v>
      </c>
      <c r="X374" s="349">
        <v>0.75</v>
      </c>
      <c r="Y374" s="349">
        <v>0.75</v>
      </c>
      <c r="Z374" s="349">
        <v>0.75</v>
      </c>
      <c r="AA374" s="349">
        <v>0.75</v>
      </c>
      <c r="AB374" s="349">
        <v>0.75</v>
      </c>
      <c r="AC374" s="349">
        <v>0.75</v>
      </c>
      <c r="AD374" s="349">
        <v>0.75</v>
      </c>
      <c r="AE374" s="349">
        <v>0.75</v>
      </c>
      <c r="AF374" s="349">
        <v>0.75</v>
      </c>
      <c r="AG374" s="349">
        <v>0.75</v>
      </c>
      <c r="AH374" s="349">
        <v>0.75</v>
      </c>
      <c r="AI374" s="349">
        <v>0.75</v>
      </c>
      <c r="AJ374" s="349">
        <v>0.75</v>
      </c>
      <c r="AK374" s="349">
        <v>0.75</v>
      </c>
      <c r="AL374" s="619"/>
      <c r="AM374" s="8"/>
    </row>
    <row r="375" spans="1:39" ht="14.25" customHeight="1">
      <c r="A375" s="619"/>
      <c r="B375" s="253"/>
      <c r="C375" s="258"/>
      <c r="D375" s="272" t="s">
        <v>164</v>
      </c>
      <c r="E375" s="262">
        <f t="shared" ref="E375:H375" si="67">ROUND(IFERROR(E276/($E$347*0.0036*E32*$F$347),0),4)</f>
        <v>0</v>
      </c>
      <c r="F375" s="262">
        <f t="shared" si="67"/>
        <v>0</v>
      </c>
      <c r="G375" s="262">
        <f t="shared" si="67"/>
        <v>0</v>
      </c>
      <c r="H375" s="262">
        <f t="shared" si="67"/>
        <v>0</v>
      </c>
      <c r="I375" s="349">
        <v>0</v>
      </c>
      <c r="J375" s="349">
        <v>0</v>
      </c>
      <c r="K375" s="349">
        <v>0</v>
      </c>
      <c r="L375" s="349">
        <v>0</v>
      </c>
      <c r="M375" s="349">
        <v>0</v>
      </c>
      <c r="N375" s="349">
        <v>0</v>
      </c>
      <c r="O375" s="349">
        <v>0</v>
      </c>
      <c r="P375" s="349">
        <v>0</v>
      </c>
      <c r="Q375" s="349">
        <v>0</v>
      </c>
      <c r="R375" s="349">
        <v>0</v>
      </c>
      <c r="S375" s="349">
        <v>0</v>
      </c>
      <c r="T375" s="349">
        <v>0</v>
      </c>
      <c r="U375" s="349">
        <v>0</v>
      </c>
      <c r="V375" s="349">
        <v>0</v>
      </c>
      <c r="W375" s="349">
        <v>0</v>
      </c>
      <c r="X375" s="349">
        <v>0</v>
      </c>
      <c r="Y375" s="349">
        <v>0</v>
      </c>
      <c r="Z375" s="349">
        <v>0</v>
      </c>
      <c r="AA375" s="349">
        <v>0</v>
      </c>
      <c r="AB375" s="349">
        <v>0</v>
      </c>
      <c r="AC375" s="349">
        <v>0</v>
      </c>
      <c r="AD375" s="349">
        <v>0</v>
      </c>
      <c r="AE375" s="349">
        <v>0</v>
      </c>
      <c r="AF375" s="349">
        <v>0</v>
      </c>
      <c r="AG375" s="349">
        <v>0</v>
      </c>
      <c r="AH375" s="349">
        <v>0</v>
      </c>
      <c r="AI375" s="349">
        <v>0</v>
      </c>
      <c r="AJ375" s="349">
        <v>0</v>
      </c>
      <c r="AK375" s="349">
        <v>0</v>
      </c>
      <c r="AL375" s="619"/>
      <c r="AM375" s="8"/>
    </row>
    <row r="376" spans="1:39" ht="14.25" customHeight="1">
      <c r="A376" s="619"/>
      <c r="B376" s="253"/>
      <c r="C376" s="258" t="s">
        <v>165</v>
      </c>
      <c r="D376" s="334" t="s">
        <v>166</v>
      </c>
      <c r="E376" s="262">
        <f t="shared" ref="E376:H376" si="68">ROUND(IFERROR(E277/($E$347*0.0036*E33*$F$347),0),4)</f>
        <v>0.2969</v>
      </c>
      <c r="F376" s="262">
        <f t="shared" si="68"/>
        <v>0.42830000000000001</v>
      </c>
      <c r="G376" s="262">
        <f t="shared" si="68"/>
        <v>0.40610000000000002</v>
      </c>
      <c r="H376" s="262">
        <f t="shared" si="68"/>
        <v>0.4279</v>
      </c>
      <c r="I376" s="349">
        <v>0.3</v>
      </c>
      <c r="J376" s="349">
        <v>0.3</v>
      </c>
      <c r="K376" s="349">
        <v>0.3</v>
      </c>
      <c r="L376" s="349">
        <v>0.3</v>
      </c>
      <c r="M376" s="349">
        <v>0.3</v>
      </c>
      <c r="N376" s="349">
        <v>0.3</v>
      </c>
      <c r="O376" s="349">
        <v>0.3</v>
      </c>
      <c r="P376" s="349">
        <v>0.3</v>
      </c>
      <c r="Q376" s="349">
        <v>0.3</v>
      </c>
      <c r="R376" s="349">
        <v>0.3</v>
      </c>
      <c r="S376" s="349">
        <v>0.3</v>
      </c>
      <c r="T376" s="349">
        <v>0.3</v>
      </c>
      <c r="U376" s="349">
        <v>0.3</v>
      </c>
      <c r="V376" s="349">
        <v>0.3</v>
      </c>
      <c r="W376" s="349">
        <v>0.3</v>
      </c>
      <c r="X376" s="349">
        <v>0.3</v>
      </c>
      <c r="Y376" s="349">
        <v>0.3</v>
      </c>
      <c r="Z376" s="349">
        <v>0.3</v>
      </c>
      <c r="AA376" s="349">
        <v>0.3</v>
      </c>
      <c r="AB376" s="349">
        <v>0.3</v>
      </c>
      <c r="AC376" s="349">
        <v>0.3</v>
      </c>
      <c r="AD376" s="349">
        <v>0.3</v>
      </c>
      <c r="AE376" s="349">
        <v>0.3</v>
      </c>
      <c r="AF376" s="349">
        <v>0.3</v>
      </c>
      <c r="AG376" s="349">
        <v>0.3</v>
      </c>
      <c r="AH376" s="349">
        <v>0.3</v>
      </c>
      <c r="AI376" s="349">
        <v>0.3</v>
      </c>
      <c r="AJ376" s="349">
        <v>0.3</v>
      </c>
      <c r="AK376" s="349">
        <v>0.3</v>
      </c>
      <c r="AL376" s="619"/>
      <c r="AM376" s="8"/>
    </row>
    <row r="377" spans="1:39" ht="14.25" customHeight="1">
      <c r="A377" s="619"/>
      <c r="B377" s="253"/>
      <c r="C377" s="258" t="s">
        <v>167</v>
      </c>
      <c r="D377" s="334" t="s">
        <v>168</v>
      </c>
      <c r="E377" s="262">
        <f t="shared" ref="E377:H377" si="69">ROUND(IFERROR(E278/($E$347*0.0036*E34*$F$347),0),4)</f>
        <v>0.50060000000000004</v>
      </c>
      <c r="F377" s="262">
        <f t="shared" si="69"/>
        <v>0.66539999999999999</v>
      </c>
      <c r="G377" s="262">
        <f t="shared" si="69"/>
        <v>0.4955</v>
      </c>
      <c r="H377" s="262">
        <f t="shared" si="69"/>
        <v>0.60140000000000005</v>
      </c>
      <c r="I377" s="349">
        <v>0.5</v>
      </c>
      <c r="J377" s="349">
        <v>0.5</v>
      </c>
      <c r="K377" s="349">
        <v>0.5</v>
      </c>
      <c r="L377" s="349">
        <v>0.5</v>
      </c>
      <c r="M377" s="349">
        <v>0.5</v>
      </c>
      <c r="N377" s="349">
        <v>0.5</v>
      </c>
      <c r="O377" s="349">
        <v>0.5</v>
      </c>
      <c r="P377" s="349">
        <v>0.5</v>
      </c>
      <c r="Q377" s="349">
        <v>0.5</v>
      </c>
      <c r="R377" s="349">
        <v>0.5</v>
      </c>
      <c r="S377" s="349">
        <v>0.5</v>
      </c>
      <c r="T377" s="349">
        <v>0.5</v>
      </c>
      <c r="U377" s="349">
        <v>0.5</v>
      </c>
      <c r="V377" s="349">
        <v>0.5</v>
      </c>
      <c r="W377" s="349">
        <v>0.5</v>
      </c>
      <c r="X377" s="349">
        <v>0.5</v>
      </c>
      <c r="Y377" s="349">
        <v>0.5</v>
      </c>
      <c r="Z377" s="349">
        <v>0.5</v>
      </c>
      <c r="AA377" s="349">
        <v>0.5</v>
      </c>
      <c r="AB377" s="349">
        <v>0.5</v>
      </c>
      <c r="AC377" s="349">
        <v>0.5</v>
      </c>
      <c r="AD377" s="349">
        <v>0.5</v>
      </c>
      <c r="AE377" s="349">
        <v>0.5</v>
      </c>
      <c r="AF377" s="349">
        <v>0.5</v>
      </c>
      <c r="AG377" s="349">
        <v>0.5</v>
      </c>
      <c r="AH377" s="349">
        <v>0.5</v>
      </c>
      <c r="AI377" s="349">
        <v>0.5</v>
      </c>
      <c r="AJ377" s="349">
        <v>0.5</v>
      </c>
      <c r="AK377" s="349">
        <v>0.5</v>
      </c>
      <c r="AL377" s="619"/>
      <c r="AM377" s="8"/>
    </row>
    <row r="378" spans="1:39" ht="14.25" customHeight="1">
      <c r="A378" s="619"/>
      <c r="B378" s="253"/>
      <c r="C378" s="258" t="s">
        <v>169</v>
      </c>
      <c r="D378" s="334" t="s">
        <v>170</v>
      </c>
      <c r="E378" s="262">
        <f t="shared" ref="E378:H378" si="70">ROUND(IFERROR(E279/($E$347*0.0036*E35*$F$347),0),4)</f>
        <v>0</v>
      </c>
      <c r="F378" s="262">
        <f t="shared" si="70"/>
        <v>0</v>
      </c>
      <c r="G378" s="262">
        <f t="shared" si="70"/>
        <v>0</v>
      </c>
      <c r="H378" s="262">
        <f t="shared" si="70"/>
        <v>0</v>
      </c>
      <c r="I378" s="349">
        <v>0</v>
      </c>
      <c r="J378" s="349">
        <v>0</v>
      </c>
      <c r="K378" s="349">
        <v>0</v>
      </c>
      <c r="L378" s="349">
        <v>0</v>
      </c>
      <c r="M378" s="349">
        <v>0</v>
      </c>
      <c r="N378" s="349">
        <v>0</v>
      </c>
      <c r="O378" s="349">
        <v>0</v>
      </c>
      <c r="P378" s="349">
        <v>0</v>
      </c>
      <c r="Q378" s="349">
        <v>0</v>
      </c>
      <c r="R378" s="349">
        <v>0</v>
      </c>
      <c r="S378" s="349">
        <v>0</v>
      </c>
      <c r="T378" s="349">
        <v>0</v>
      </c>
      <c r="U378" s="349">
        <v>0</v>
      </c>
      <c r="V378" s="349">
        <v>0</v>
      </c>
      <c r="W378" s="349">
        <v>0</v>
      </c>
      <c r="X378" s="349">
        <v>0</v>
      </c>
      <c r="Y378" s="349">
        <v>0</v>
      </c>
      <c r="Z378" s="349">
        <v>0</v>
      </c>
      <c r="AA378" s="349">
        <v>0</v>
      </c>
      <c r="AB378" s="349">
        <v>0</v>
      </c>
      <c r="AC378" s="349">
        <v>0</v>
      </c>
      <c r="AD378" s="349">
        <v>0</v>
      </c>
      <c r="AE378" s="349">
        <v>0</v>
      </c>
      <c r="AF378" s="349">
        <v>0</v>
      </c>
      <c r="AG378" s="349">
        <v>0</v>
      </c>
      <c r="AH378" s="349">
        <v>0</v>
      </c>
      <c r="AI378" s="349">
        <v>0</v>
      </c>
      <c r="AJ378" s="349">
        <v>0</v>
      </c>
      <c r="AK378" s="349">
        <v>0</v>
      </c>
      <c r="AL378" s="619"/>
      <c r="AM378" s="8"/>
    </row>
    <row r="379" spans="1:39" ht="14.25" customHeight="1">
      <c r="A379" s="619"/>
      <c r="B379" s="253"/>
      <c r="C379" s="258" t="s">
        <v>171</v>
      </c>
      <c r="D379" s="334" t="s">
        <v>172</v>
      </c>
      <c r="E379" s="262">
        <f t="shared" ref="E379:H379" si="71">ROUND(IFERROR(E280/($E$347*0.0036*E36*$F$347),0),4)</f>
        <v>0</v>
      </c>
      <c r="F379" s="262">
        <f t="shared" si="71"/>
        <v>0</v>
      </c>
      <c r="G379" s="262">
        <f t="shared" si="71"/>
        <v>0</v>
      </c>
      <c r="H379" s="262">
        <f t="shared" si="71"/>
        <v>0</v>
      </c>
      <c r="I379" s="349">
        <v>0</v>
      </c>
      <c r="J379" s="349">
        <v>0</v>
      </c>
      <c r="K379" s="349">
        <v>0</v>
      </c>
      <c r="L379" s="349">
        <v>0</v>
      </c>
      <c r="M379" s="349">
        <v>0</v>
      </c>
      <c r="N379" s="349">
        <v>0</v>
      </c>
      <c r="O379" s="349">
        <v>0</v>
      </c>
      <c r="P379" s="349">
        <v>0</v>
      </c>
      <c r="Q379" s="349">
        <v>0</v>
      </c>
      <c r="R379" s="349">
        <v>0</v>
      </c>
      <c r="S379" s="349">
        <v>0</v>
      </c>
      <c r="T379" s="349">
        <v>0</v>
      </c>
      <c r="U379" s="349">
        <v>0</v>
      </c>
      <c r="V379" s="349">
        <v>0</v>
      </c>
      <c r="W379" s="349">
        <v>0</v>
      </c>
      <c r="X379" s="349">
        <v>0</v>
      </c>
      <c r="Y379" s="349">
        <v>0</v>
      </c>
      <c r="Z379" s="349">
        <v>0</v>
      </c>
      <c r="AA379" s="349">
        <v>0</v>
      </c>
      <c r="AB379" s="349">
        <v>0</v>
      </c>
      <c r="AC379" s="349">
        <v>0</v>
      </c>
      <c r="AD379" s="349">
        <v>0</v>
      </c>
      <c r="AE379" s="349">
        <v>0</v>
      </c>
      <c r="AF379" s="349">
        <v>0</v>
      </c>
      <c r="AG379" s="349">
        <v>0</v>
      </c>
      <c r="AH379" s="349">
        <v>0</v>
      </c>
      <c r="AI379" s="349">
        <v>0</v>
      </c>
      <c r="AJ379" s="349">
        <v>0</v>
      </c>
      <c r="AK379" s="349">
        <v>0</v>
      </c>
      <c r="AL379" s="619"/>
      <c r="AM379" s="8"/>
    </row>
    <row r="380" spans="1:39" ht="14.25" customHeight="1">
      <c r="A380" s="619"/>
      <c r="B380" s="253"/>
      <c r="C380" s="258" t="s">
        <v>173</v>
      </c>
      <c r="D380" s="334" t="s">
        <v>174</v>
      </c>
      <c r="E380" s="262">
        <f t="shared" ref="E380:H380" si="72">ROUND(IFERROR(E281/($E$347*0.0036*E37*$F$347),0),4)</f>
        <v>0.54039999999999999</v>
      </c>
      <c r="F380" s="262">
        <f t="shared" si="72"/>
        <v>0.59960000000000002</v>
      </c>
      <c r="G380" s="262">
        <f t="shared" si="72"/>
        <v>0.55279999999999996</v>
      </c>
      <c r="H380" s="262">
        <f t="shared" si="72"/>
        <v>0.59619999999999995</v>
      </c>
      <c r="I380" s="349">
        <v>0.54</v>
      </c>
      <c r="J380" s="349">
        <v>0.54</v>
      </c>
      <c r="K380" s="349">
        <v>0.54</v>
      </c>
      <c r="L380" s="349">
        <v>0.54</v>
      </c>
      <c r="M380" s="349">
        <v>0.54</v>
      </c>
      <c r="N380" s="349">
        <v>0.54</v>
      </c>
      <c r="O380" s="349">
        <v>0.54</v>
      </c>
      <c r="P380" s="349">
        <v>0.54</v>
      </c>
      <c r="Q380" s="349">
        <v>0.54</v>
      </c>
      <c r="R380" s="349">
        <v>0.54</v>
      </c>
      <c r="S380" s="349">
        <v>0.54</v>
      </c>
      <c r="T380" s="349">
        <v>0.54</v>
      </c>
      <c r="U380" s="349">
        <v>0.54</v>
      </c>
      <c r="V380" s="349">
        <v>0.54</v>
      </c>
      <c r="W380" s="349">
        <v>0.54</v>
      </c>
      <c r="X380" s="349">
        <v>0.54</v>
      </c>
      <c r="Y380" s="349">
        <v>0.54</v>
      </c>
      <c r="Z380" s="349">
        <v>0.54</v>
      </c>
      <c r="AA380" s="349">
        <v>0.54</v>
      </c>
      <c r="AB380" s="349">
        <v>0.54</v>
      </c>
      <c r="AC380" s="349">
        <v>0.54</v>
      </c>
      <c r="AD380" s="349">
        <v>0.54</v>
      </c>
      <c r="AE380" s="349">
        <v>0.54</v>
      </c>
      <c r="AF380" s="349">
        <v>0.54</v>
      </c>
      <c r="AG380" s="349">
        <v>0.54</v>
      </c>
      <c r="AH380" s="349">
        <v>0.54</v>
      </c>
      <c r="AI380" s="349">
        <v>0.54</v>
      </c>
      <c r="AJ380" s="349">
        <v>0.54</v>
      </c>
      <c r="AK380" s="349">
        <v>0.54</v>
      </c>
      <c r="AL380" s="619"/>
      <c r="AM380" s="8"/>
    </row>
    <row r="381" spans="1:39" ht="14.25" customHeight="1">
      <c r="A381" s="619"/>
      <c r="B381" s="253"/>
      <c r="C381" s="258" t="s">
        <v>175</v>
      </c>
      <c r="D381" s="334" t="s">
        <v>176</v>
      </c>
      <c r="E381" s="262">
        <f t="shared" ref="E381:H381" si="73">ROUND(IFERROR(E282/($E$347*0.0036*E38*$F$347),0),4)</f>
        <v>0.54779999999999995</v>
      </c>
      <c r="F381" s="262">
        <f t="shared" si="73"/>
        <v>0.62660000000000005</v>
      </c>
      <c r="G381" s="262">
        <f t="shared" si="73"/>
        <v>0.58079999999999998</v>
      </c>
      <c r="H381" s="262">
        <f t="shared" si="73"/>
        <v>0.61299999999999999</v>
      </c>
      <c r="I381" s="349">
        <v>0.55000000000000004</v>
      </c>
      <c r="J381" s="349">
        <v>0.55000000000000004</v>
      </c>
      <c r="K381" s="349">
        <v>0.55000000000000004</v>
      </c>
      <c r="L381" s="349">
        <v>0.55000000000000004</v>
      </c>
      <c r="M381" s="349">
        <v>0.55000000000000004</v>
      </c>
      <c r="N381" s="349">
        <v>0.55000000000000004</v>
      </c>
      <c r="O381" s="349">
        <v>0.55000000000000004</v>
      </c>
      <c r="P381" s="349">
        <v>0.55000000000000004</v>
      </c>
      <c r="Q381" s="349">
        <v>0.55000000000000004</v>
      </c>
      <c r="R381" s="349">
        <v>0.55000000000000004</v>
      </c>
      <c r="S381" s="349">
        <v>0.55000000000000004</v>
      </c>
      <c r="T381" s="349">
        <v>0.55000000000000004</v>
      </c>
      <c r="U381" s="349">
        <v>0.55000000000000004</v>
      </c>
      <c r="V381" s="349">
        <v>0.55000000000000004</v>
      </c>
      <c r="W381" s="349">
        <v>0.55000000000000004</v>
      </c>
      <c r="X381" s="349">
        <v>0.55000000000000004</v>
      </c>
      <c r="Y381" s="349">
        <v>0.55000000000000004</v>
      </c>
      <c r="Z381" s="349">
        <v>0.55000000000000004</v>
      </c>
      <c r="AA381" s="349">
        <v>0.55000000000000004</v>
      </c>
      <c r="AB381" s="349">
        <v>0.55000000000000004</v>
      </c>
      <c r="AC381" s="349">
        <v>0.55000000000000004</v>
      </c>
      <c r="AD381" s="349">
        <v>0.55000000000000004</v>
      </c>
      <c r="AE381" s="349">
        <v>0.55000000000000004</v>
      </c>
      <c r="AF381" s="349">
        <v>0.55000000000000004</v>
      </c>
      <c r="AG381" s="349">
        <v>0.55000000000000004</v>
      </c>
      <c r="AH381" s="349">
        <v>0.55000000000000004</v>
      </c>
      <c r="AI381" s="349">
        <v>0.55000000000000004</v>
      </c>
      <c r="AJ381" s="349">
        <v>0.55000000000000004</v>
      </c>
      <c r="AK381" s="349">
        <v>0.55000000000000004</v>
      </c>
      <c r="AL381" s="619"/>
      <c r="AM381" s="8"/>
    </row>
    <row r="382" spans="1:39" ht="14.25" customHeight="1">
      <c r="A382" s="619"/>
      <c r="B382" s="253"/>
      <c r="C382" s="258"/>
      <c r="D382" s="272" t="s">
        <v>177</v>
      </c>
      <c r="E382" s="262">
        <f t="shared" ref="E382:H382" si="74">ROUND(IFERROR(E283/($E$347*0.0036*E39*$F$347),0),4)</f>
        <v>0</v>
      </c>
      <c r="F382" s="262">
        <f t="shared" si="74"/>
        <v>0</v>
      </c>
      <c r="G382" s="262">
        <f t="shared" si="74"/>
        <v>0</v>
      </c>
      <c r="H382" s="262">
        <f t="shared" si="74"/>
        <v>0</v>
      </c>
      <c r="I382" s="349">
        <v>0</v>
      </c>
      <c r="J382" s="349">
        <v>0</v>
      </c>
      <c r="K382" s="349">
        <v>0</v>
      </c>
      <c r="L382" s="349">
        <v>0</v>
      </c>
      <c r="M382" s="349">
        <v>0</v>
      </c>
      <c r="N382" s="349">
        <v>0</v>
      </c>
      <c r="O382" s="349">
        <v>0</v>
      </c>
      <c r="P382" s="349">
        <v>0</v>
      </c>
      <c r="Q382" s="349">
        <v>0</v>
      </c>
      <c r="R382" s="349">
        <v>0</v>
      </c>
      <c r="S382" s="349">
        <v>0</v>
      </c>
      <c r="T382" s="349">
        <v>0</v>
      </c>
      <c r="U382" s="349">
        <v>0</v>
      </c>
      <c r="V382" s="349">
        <v>0</v>
      </c>
      <c r="W382" s="349">
        <v>0</v>
      </c>
      <c r="X382" s="349">
        <v>0</v>
      </c>
      <c r="Y382" s="349">
        <v>0</v>
      </c>
      <c r="Z382" s="349">
        <v>0</v>
      </c>
      <c r="AA382" s="349">
        <v>0</v>
      </c>
      <c r="AB382" s="349">
        <v>0</v>
      </c>
      <c r="AC382" s="349">
        <v>0</v>
      </c>
      <c r="AD382" s="349">
        <v>0</v>
      </c>
      <c r="AE382" s="349">
        <v>0</v>
      </c>
      <c r="AF382" s="349">
        <v>0</v>
      </c>
      <c r="AG382" s="349">
        <v>0</v>
      </c>
      <c r="AH382" s="349">
        <v>0</v>
      </c>
      <c r="AI382" s="349">
        <v>0</v>
      </c>
      <c r="AJ382" s="349">
        <v>0</v>
      </c>
      <c r="AK382" s="349">
        <v>0</v>
      </c>
      <c r="AL382" s="619"/>
      <c r="AM382" s="8"/>
    </row>
    <row r="383" spans="1:39" ht="14.25" customHeight="1">
      <c r="A383" s="619"/>
      <c r="B383" s="253"/>
      <c r="C383" s="258" t="s">
        <v>178</v>
      </c>
      <c r="D383" s="334" t="s">
        <v>166</v>
      </c>
      <c r="E383" s="262">
        <f t="shared" ref="E383:H383" si="75">ROUND(IFERROR(E284/($E$347*0.0036*E40*$F$347),0),4)</f>
        <v>0.59599999999999997</v>
      </c>
      <c r="F383" s="262">
        <f t="shared" si="75"/>
        <v>0.59919999999999995</v>
      </c>
      <c r="G383" s="262">
        <f t="shared" si="75"/>
        <v>0.56320000000000003</v>
      </c>
      <c r="H383" s="262">
        <f t="shared" si="75"/>
        <v>0.69530000000000003</v>
      </c>
      <c r="I383" s="349">
        <v>0.6</v>
      </c>
      <c r="J383" s="349">
        <v>0.6</v>
      </c>
      <c r="K383" s="349">
        <v>0.6</v>
      </c>
      <c r="L383" s="349">
        <v>0.6</v>
      </c>
      <c r="M383" s="349">
        <v>0.6</v>
      </c>
      <c r="N383" s="349">
        <v>0.6</v>
      </c>
      <c r="O383" s="349">
        <v>0.6</v>
      </c>
      <c r="P383" s="349">
        <v>0.6</v>
      </c>
      <c r="Q383" s="349">
        <v>0.6</v>
      </c>
      <c r="R383" s="349">
        <v>0.6</v>
      </c>
      <c r="S383" s="349">
        <v>0.6</v>
      </c>
      <c r="T383" s="349">
        <v>0.6</v>
      </c>
      <c r="U383" s="349">
        <v>0.6</v>
      </c>
      <c r="V383" s="349">
        <v>0.6</v>
      </c>
      <c r="W383" s="349">
        <v>0.6</v>
      </c>
      <c r="X383" s="349">
        <v>0.6</v>
      </c>
      <c r="Y383" s="349">
        <v>0.6</v>
      </c>
      <c r="Z383" s="349">
        <v>0.6</v>
      </c>
      <c r="AA383" s="349">
        <v>0.6</v>
      </c>
      <c r="AB383" s="349">
        <v>0.6</v>
      </c>
      <c r="AC383" s="349">
        <v>0.6</v>
      </c>
      <c r="AD383" s="349">
        <v>0.6</v>
      </c>
      <c r="AE383" s="349">
        <v>0.6</v>
      </c>
      <c r="AF383" s="349">
        <v>0.6</v>
      </c>
      <c r="AG383" s="349">
        <v>0.6</v>
      </c>
      <c r="AH383" s="349">
        <v>0.6</v>
      </c>
      <c r="AI383" s="349">
        <v>0.6</v>
      </c>
      <c r="AJ383" s="349">
        <v>0.6</v>
      </c>
      <c r="AK383" s="349">
        <v>0.6</v>
      </c>
      <c r="AL383" s="619"/>
      <c r="AM383" s="8"/>
    </row>
    <row r="384" spans="1:39" ht="14.25" customHeight="1">
      <c r="A384" s="619"/>
      <c r="B384" s="253"/>
      <c r="C384" s="258" t="s">
        <v>179</v>
      </c>
      <c r="D384" s="334" t="s">
        <v>168</v>
      </c>
      <c r="E384" s="262">
        <f t="shared" ref="E384:H384" si="76">ROUND(IFERROR(E285/($E$347*0.0036*E41*$F$347),0),4)</f>
        <v>0.14019999999999999</v>
      </c>
      <c r="F384" s="262">
        <f t="shared" si="76"/>
        <v>0.48430000000000001</v>
      </c>
      <c r="G384" s="262">
        <f t="shared" si="76"/>
        <v>0.48749999999999999</v>
      </c>
      <c r="H384" s="262">
        <f t="shared" si="76"/>
        <v>0.55510000000000004</v>
      </c>
      <c r="I384" s="349">
        <f t="shared" ref="I384:AK384" si="77">H384</f>
        <v>0.55510000000000004</v>
      </c>
      <c r="J384" s="349">
        <f t="shared" si="77"/>
        <v>0.55510000000000004</v>
      </c>
      <c r="K384" s="349">
        <f t="shared" si="77"/>
        <v>0.55510000000000004</v>
      </c>
      <c r="L384" s="349">
        <f t="shared" si="77"/>
        <v>0.55510000000000004</v>
      </c>
      <c r="M384" s="349">
        <f t="shared" si="77"/>
        <v>0.55510000000000004</v>
      </c>
      <c r="N384" s="349">
        <f t="shared" si="77"/>
        <v>0.55510000000000004</v>
      </c>
      <c r="O384" s="349">
        <f t="shared" si="77"/>
        <v>0.55510000000000004</v>
      </c>
      <c r="P384" s="349">
        <f t="shared" si="77"/>
        <v>0.55510000000000004</v>
      </c>
      <c r="Q384" s="349">
        <f t="shared" si="77"/>
        <v>0.55510000000000004</v>
      </c>
      <c r="R384" s="349">
        <f t="shared" si="77"/>
        <v>0.55510000000000004</v>
      </c>
      <c r="S384" s="349">
        <f t="shared" si="77"/>
        <v>0.55510000000000004</v>
      </c>
      <c r="T384" s="349">
        <f t="shared" si="77"/>
        <v>0.55510000000000004</v>
      </c>
      <c r="U384" s="349">
        <f t="shared" si="77"/>
        <v>0.55510000000000004</v>
      </c>
      <c r="V384" s="349">
        <f t="shared" si="77"/>
        <v>0.55510000000000004</v>
      </c>
      <c r="W384" s="349">
        <f t="shared" si="77"/>
        <v>0.55510000000000004</v>
      </c>
      <c r="X384" s="349">
        <f t="shared" si="77"/>
        <v>0.55510000000000004</v>
      </c>
      <c r="Y384" s="349">
        <f t="shared" si="77"/>
        <v>0.55510000000000004</v>
      </c>
      <c r="Z384" s="349">
        <f t="shared" si="77"/>
        <v>0.55510000000000004</v>
      </c>
      <c r="AA384" s="349">
        <f t="shared" si="77"/>
        <v>0.55510000000000004</v>
      </c>
      <c r="AB384" s="349">
        <f t="shared" si="77"/>
        <v>0.55510000000000004</v>
      </c>
      <c r="AC384" s="349">
        <f t="shared" si="77"/>
        <v>0.55510000000000004</v>
      </c>
      <c r="AD384" s="349">
        <f t="shared" si="77"/>
        <v>0.55510000000000004</v>
      </c>
      <c r="AE384" s="349">
        <f t="shared" si="77"/>
        <v>0.55510000000000004</v>
      </c>
      <c r="AF384" s="349">
        <f t="shared" si="77"/>
        <v>0.55510000000000004</v>
      </c>
      <c r="AG384" s="349">
        <f t="shared" si="77"/>
        <v>0.55510000000000004</v>
      </c>
      <c r="AH384" s="349">
        <f t="shared" si="77"/>
        <v>0.55510000000000004</v>
      </c>
      <c r="AI384" s="349">
        <f t="shared" si="77"/>
        <v>0.55510000000000004</v>
      </c>
      <c r="AJ384" s="349">
        <f t="shared" si="77"/>
        <v>0.55510000000000004</v>
      </c>
      <c r="AK384" s="349">
        <f t="shared" si="77"/>
        <v>0.55510000000000004</v>
      </c>
      <c r="AL384" s="619"/>
      <c r="AM384" s="8"/>
    </row>
    <row r="385" spans="1:39" ht="14.25" customHeight="1">
      <c r="A385" s="619"/>
      <c r="B385" s="253"/>
      <c r="C385" s="258" t="s">
        <v>180</v>
      </c>
      <c r="D385" s="334" t="s">
        <v>170</v>
      </c>
      <c r="E385" s="262">
        <f t="shared" ref="E385:H385" si="78">ROUND(IFERROR(E286/($E$347*0.0036*E42*$F$347),0),4)</f>
        <v>0</v>
      </c>
      <c r="F385" s="262">
        <f t="shared" si="78"/>
        <v>0</v>
      </c>
      <c r="G385" s="262">
        <f t="shared" si="78"/>
        <v>0</v>
      </c>
      <c r="H385" s="262">
        <f t="shared" si="78"/>
        <v>0</v>
      </c>
      <c r="I385" s="349">
        <v>0</v>
      </c>
      <c r="J385" s="349">
        <v>0</v>
      </c>
      <c r="K385" s="349">
        <v>0</v>
      </c>
      <c r="L385" s="349">
        <v>0</v>
      </c>
      <c r="M385" s="349">
        <v>0</v>
      </c>
      <c r="N385" s="349">
        <v>0</v>
      </c>
      <c r="O385" s="349">
        <v>0</v>
      </c>
      <c r="P385" s="349">
        <v>0</v>
      </c>
      <c r="Q385" s="349">
        <v>0</v>
      </c>
      <c r="R385" s="349">
        <v>0</v>
      </c>
      <c r="S385" s="349">
        <v>0</v>
      </c>
      <c r="T385" s="349">
        <v>0</v>
      </c>
      <c r="U385" s="349">
        <v>0</v>
      </c>
      <c r="V385" s="349">
        <v>0</v>
      </c>
      <c r="W385" s="349">
        <v>0</v>
      </c>
      <c r="X385" s="349">
        <v>0</v>
      </c>
      <c r="Y385" s="349">
        <v>0</v>
      </c>
      <c r="Z385" s="349">
        <v>0</v>
      </c>
      <c r="AA385" s="349">
        <v>0</v>
      </c>
      <c r="AB385" s="349">
        <v>0</v>
      </c>
      <c r="AC385" s="349">
        <v>0</v>
      </c>
      <c r="AD385" s="349">
        <v>0</v>
      </c>
      <c r="AE385" s="349">
        <v>0</v>
      </c>
      <c r="AF385" s="349">
        <v>0</v>
      </c>
      <c r="AG385" s="349">
        <v>0</v>
      </c>
      <c r="AH385" s="349">
        <v>0</v>
      </c>
      <c r="AI385" s="349">
        <v>0</v>
      </c>
      <c r="AJ385" s="349">
        <v>0</v>
      </c>
      <c r="AK385" s="349">
        <v>0</v>
      </c>
      <c r="AL385" s="619"/>
      <c r="AM385" s="8"/>
    </row>
    <row r="386" spans="1:39" ht="14.25" customHeight="1">
      <c r="A386" s="619"/>
      <c r="B386" s="253"/>
      <c r="C386" s="258" t="s">
        <v>181</v>
      </c>
      <c r="D386" s="334" t="s">
        <v>172</v>
      </c>
      <c r="E386" s="262">
        <f t="shared" ref="E386:H386" si="79">ROUND(IFERROR(E287/($E$347*0.0036*E43*$F$347),0),4)</f>
        <v>0.60229999999999995</v>
      </c>
      <c r="F386" s="262">
        <f t="shared" si="79"/>
        <v>0.72389999999999999</v>
      </c>
      <c r="G386" s="262">
        <f t="shared" si="79"/>
        <v>0.68720000000000003</v>
      </c>
      <c r="H386" s="262">
        <f t="shared" si="79"/>
        <v>0.72909999999999997</v>
      </c>
      <c r="I386" s="349">
        <v>0.6</v>
      </c>
      <c r="J386" s="349">
        <v>0.6</v>
      </c>
      <c r="K386" s="349">
        <v>0.6</v>
      </c>
      <c r="L386" s="349">
        <v>0.6</v>
      </c>
      <c r="M386" s="349">
        <v>0.6</v>
      </c>
      <c r="N386" s="349">
        <v>0.6</v>
      </c>
      <c r="O386" s="349">
        <v>0.6</v>
      </c>
      <c r="P386" s="349">
        <v>0.6</v>
      </c>
      <c r="Q386" s="349">
        <v>0.6</v>
      </c>
      <c r="R386" s="349">
        <v>0.6</v>
      </c>
      <c r="S386" s="349">
        <v>0.6</v>
      </c>
      <c r="T386" s="349">
        <v>0.6</v>
      </c>
      <c r="U386" s="349">
        <v>0.6</v>
      </c>
      <c r="V386" s="349">
        <v>0.6</v>
      </c>
      <c r="W386" s="349">
        <v>0.6</v>
      </c>
      <c r="X386" s="349">
        <v>0.6</v>
      </c>
      <c r="Y386" s="349">
        <v>0.6</v>
      </c>
      <c r="Z386" s="349">
        <v>0.6</v>
      </c>
      <c r="AA386" s="349">
        <v>0.6</v>
      </c>
      <c r="AB386" s="349">
        <v>0.6</v>
      </c>
      <c r="AC386" s="349">
        <v>0.6</v>
      </c>
      <c r="AD386" s="349">
        <v>0.6</v>
      </c>
      <c r="AE386" s="349">
        <v>0.6</v>
      </c>
      <c r="AF386" s="349">
        <v>0.6</v>
      </c>
      <c r="AG386" s="349">
        <v>0.6</v>
      </c>
      <c r="AH386" s="349">
        <v>0.6</v>
      </c>
      <c r="AI386" s="349">
        <v>0.6</v>
      </c>
      <c r="AJ386" s="349">
        <v>0.6</v>
      </c>
      <c r="AK386" s="349">
        <v>0.6</v>
      </c>
      <c r="AL386" s="619"/>
      <c r="AM386" s="8"/>
    </row>
    <row r="387" spans="1:39" ht="14.25" customHeight="1">
      <c r="A387" s="619"/>
      <c r="B387" s="253"/>
      <c r="C387" s="258" t="s">
        <v>182</v>
      </c>
      <c r="D387" s="334" t="s">
        <v>174</v>
      </c>
      <c r="E387" s="262">
        <f t="shared" ref="E387:H387" si="80">ROUND(IFERROR(E288/($E$347*0.0036*E44*$F$347),0),4)</f>
        <v>0.36149999999999999</v>
      </c>
      <c r="F387" s="262">
        <f t="shared" si="80"/>
        <v>0.56310000000000004</v>
      </c>
      <c r="G387" s="262">
        <f t="shared" si="80"/>
        <v>0.625</v>
      </c>
      <c r="H387" s="262">
        <f t="shared" si="80"/>
        <v>0.66879999999999995</v>
      </c>
      <c r="I387" s="349">
        <v>0.36</v>
      </c>
      <c r="J387" s="349">
        <v>0.36</v>
      </c>
      <c r="K387" s="349">
        <v>0.36</v>
      </c>
      <c r="L387" s="349">
        <v>0.36</v>
      </c>
      <c r="M387" s="349">
        <v>0.36</v>
      </c>
      <c r="N387" s="349">
        <v>0.36</v>
      </c>
      <c r="O387" s="349">
        <v>0.36</v>
      </c>
      <c r="P387" s="349">
        <v>0.36</v>
      </c>
      <c r="Q387" s="349">
        <v>0.36</v>
      </c>
      <c r="R387" s="349">
        <v>0.36</v>
      </c>
      <c r="S387" s="349">
        <v>0.36</v>
      </c>
      <c r="T387" s="349">
        <v>0.36</v>
      </c>
      <c r="U387" s="349">
        <v>0.36</v>
      </c>
      <c r="V387" s="349">
        <v>0.36</v>
      </c>
      <c r="W387" s="349">
        <v>0.36</v>
      </c>
      <c r="X387" s="349">
        <v>0.36</v>
      </c>
      <c r="Y387" s="349">
        <v>0.36</v>
      </c>
      <c r="Z387" s="349">
        <v>0.36</v>
      </c>
      <c r="AA387" s="349">
        <v>0.36</v>
      </c>
      <c r="AB387" s="349">
        <v>0.36</v>
      </c>
      <c r="AC387" s="349">
        <v>0.36</v>
      </c>
      <c r="AD387" s="349">
        <v>0.36</v>
      </c>
      <c r="AE387" s="349">
        <v>0.36</v>
      </c>
      <c r="AF387" s="349">
        <v>0.36</v>
      </c>
      <c r="AG387" s="349">
        <v>0.36</v>
      </c>
      <c r="AH387" s="349">
        <v>0.36</v>
      </c>
      <c r="AI387" s="349">
        <v>0.36</v>
      </c>
      <c r="AJ387" s="349">
        <v>0.36</v>
      </c>
      <c r="AK387" s="349">
        <v>0.36</v>
      </c>
      <c r="AL387" s="619"/>
      <c r="AM387" s="8"/>
    </row>
    <row r="388" spans="1:39" ht="14.25" customHeight="1">
      <c r="A388" s="619"/>
      <c r="B388" s="253"/>
      <c r="C388" s="258" t="s">
        <v>183</v>
      </c>
      <c r="D388" s="334" t="s">
        <v>176</v>
      </c>
      <c r="E388" s="262">
        <f t="shared" ref="E388:H388" si="81">ROUND(IFERROR(E289/($E$347*0.0036*E45*$F$347),0),4)</f>
        <v>0.50390000000000001</v>
      </c>
      <c r="F388" s="262">
        <f t="shared" si="81"/>
        <v>0.53180000000000005</v>
      </c>
      <c r="G388" s="262">
        <f t="shared" si="81"/>
        <v>0.55910000000000004</v>
      </c>
      <c r="H388" s="262">
        <f t="shared" si="81"/>
        <v>0.55649999999999999</v>
      </c>
      <c r="I388" s="349">
        <v>0.5</v>
      </c>
      <c r="J388" s="349">
        <v>0.5</v>
      </c>
      <c r="K388" s="349">
        <v>0.5</v>
      </c>
      <c r="L388" s="349">
        <v>0.5</v>
      </c>
      <c r="M388" s="349">
        <v>0.5</v>
      </c>
      <c r="N388" s="349">
        <v>0.5</v>
      </c>
      <c r="O388" s="349">
        <v>0.5</v>
      </c>
      <c r="P388" s="349">
        <v>0.5</v>
      </c>
      <c r="Q388" s="349">
        <v>0.5</v>
      </c>
      <c r="R388" s="349">
        <v>0.5</v>
      </c>
      <c r="S388" s="349">
        <v>0.5</v>
      </c>
      <c r="T388" s="349">
        <v>0.5</v>
      </c>
      <c r="U388" s="349">
        <v>0.5</v>
      </c>
      <c r="V388" s="349">
        <v>0.5</v>
      </c>
      <c r="W388" s="349">
        <v>0.5</v>
      </c>
      <c r="X388" s="349">
        <v>0.5</v>
      </c>
      <c r="Y388" s="349">
        <v>0.5</v>
      </c>
      <c r="Z388" s="349">
        <v>0.5</v>
      </c>
      <c r="AA388" s="349">
        <v>0.5</v>
      </c>
      <c r="AB388" s="349">
        <v>0.5</v>
      </c>
      <c r="AC388" s="349">
        <v>0.5</v>
      </c>
      <c r="AD388" s="349">
        <v>0.5</v>
      </c>
      <c r="AE388" s="349">
        <v>0.5</v>
      </c>
      <c r="AF388" s="349">
        <v>0.5</v>
      </c>
      <c r="AG388" s="349">
        <v>0.5</v>
      </c>
      <c r="AH388" s="349">
        <v>0.5</v>
      </c>
      <c r="AI388" s="349">
        <v>0.5</v>
      </c>
      <c r="AJ388" s="349">
        <v>0.5</v>
      </c>
      <c r="AK388" s="349">
        <v>0.5</v>
      </c>
      <c r="AL388" s="619"/>
      <c r="AM388" s="8"/>
    </row>
    <row r="389" spans="1:39" ht="14.25" customHeight="1">
      <c r="A389" s="619"/>
      <c r="B389" s="253"/>
      <c r="C389" s="258"/>
      <c r="D389" s="259"/>
      <c r="E389" s="259"/>
      <c r="F389" s="259"/>
      <c r="G389" s="259"/>
      <c r="H389" s="349"/>
      <c r="I389" s="349"/>
      <c r="J389" s="349"/>
      <c r="K389" s="349"/>
      <c r="L389" s="349"/>
      <c r="M389" s="349"/>
      <c r="N389" s="349"/>
      <c r="O389" s="349"/>
      <c r="P389" s="349"/>
      <c r="Q389" s="349"/>
      <c r="R389" s="349"/>
      <c r="S389" s="349"/>
      <c r="T389" s="349"/>
      <c r="U389" s="349"/>
      <c r="V389" s="349"/>
      <c r="W389" s="349"/>
      <c r="X389" s="349"/>
      <c r="Y389" s="349"/>
      <c r="Z389" s="349"/>
      <c r="AA389" s="349"/>
      <c r="AB389" s="349"/>
      <c r="AC389" s="349"/>
      <c r="AD389" s="349"/>
      <c r="AE389" s="349"/>
      <c r="AF389" s="349"/>
      <c r="AG389" s="349"/>
      <c r="AH389" s="349"/>
      <c r="AI389" s="349"/>
      <c r="AJ389" s="349"/>
      <c r="AK389" s="350"/>
      <c r="AL389" s="619"/>
      <c r="AM389" s="8"/>
    </row>
    <row r="390" spans="1:39" ht="14.25" customHeight="1">
      <c r="A390" s="619"/>
      <c r="B390" s="253"/>
      <c r="C390" s="258"/>
      <c r="D390" s="281" t="s">
        <v>317</v>
      </c>
      <c r="E390" s="281"/>
      <c r="F390" s="281"/>
      <c r="G390" s="281"/>
      <c r="H390" s="349"/>
      <c r="I390" s="349"/>
      <c r="J390" s="349"/>
      <c r="K390" s="349"/>
      <c r="L390" s="349"/>
      <c r="M390" s="349"/>
      <c r="N390" s="349"/>
      <c r="O390" s="349"/>
      <c r="P390" s="349"/>
      <c r="Q390" s="349"/>
      <c r="R390" s="349"/>
      <c r="S390" s="349"/>
      <c r="T390" s="349"/>
      <c r="U390" s="349"/>
      <c r="V390" s="349"/>
      <c r="W390" s="349"/>
      <c r="X390" s="349"/>
      <c r="Y390" s="349"/>
      <c r="Z390" s="349"/>
      <c r="AA390" s="349"/>
      <c r="AB390" s="349"/>
      <c r="AC390" s="349"/>
      <c r="AD390" s="349"/>
      <c r="AE390" s="349"/>
      <c r="AF390" s="349"/>
      <c r="AG390" s="349"/>
      <c r="AH390" s="349"/>
      <c r="AI390" s="349"/>
      <c r="AJ390" s="349"/>
      <c r="AK390" s="350"/>
      <c r="AL390" s="619"/>
      <c r="AM390" s="8"/>
    </row>
    <row r="391" spans="1:39" ht="14.25" customHeight="1">
      <c r="A391" s="619"/>
      <c r="B391" s="253"/>
      <c r="C391" s="258"/>
      <c r="D391" s="262" t="s">
        <v>303</v>
      </c>
      <c r="E391" s="325">
        <f t="shared" ref="E391:H391" si="82">ROUND(IFERROR(E293/($E$347*0.0036*E49*$F$347),0),4)</f>
        <v>0</v>
      </c>
      <c r="F391" s="325">
        <f t="shared" si="82"/>
        <v>0</v>
      </c>
      <c r="G391" s="325">
        <f t="shared" si="82"/>
        <v>0</v>
      </c>
      <c r="H391" s="325">
        <f t="shared" si="82"/>
        <v>0</v>
      </c>
      <c r="I391" s="349">
        <v>0</v>
      </c>
      <c r="J391" s="349">
        <v>0</v>
      </c>
      <c r="K391" s="349">
        <v>0</v>
      </c>
      <c r="L391" s="349">
        <v>0</v>
      </c>
      <c r="M391" s="349">
        <v>0</v>
      </c>
      <c r="N391" s="349">
        <v>0</v>
      </c>
      <c r="O391" s="349">
        <v>0</v>
      </c>
      <c r="P391" s="349">
        <v>0</v>
      </c>
      <c r="Q391" s="349">
        <v>0</v>
      </c>
      <c r="R391" s="349">
        <v>0</v>
      </c>
      <c r="S391" s="349">
        <v>0</v>
      </c>
      <c r="T391" s="349">
        <v>0</v>
      </c>
      <c r="U391" s="349">
        <v>0</v>
      </c>
      <c r="V391" s="349">
        <v>0</v>
      </c>
      <c r="W391" s="349">
        <v>0</v>
      </c>
      <c r="X391" s="349">
        <v>0</v>
      </c>
      <c r="Y391" s="349">
        <v>0</v>
      </c>
      <c r="Z391" s="349">
        <v>0</v>
      </c>
      <c r="AA391" s="349">
        <v>0</v>
      </c>
      <c r="AB391" s="349">
        <v>0</v>
      </c>
      <c r="AC391" s="349">
        <v>0</v>
      </c>
      <c r="AD391" s="349">
        <v>0</v>
      </c>
      <c r="AE391" s="349">
        <v>0</v>
      </c>
      <c r="AF391" s="349">
        <v>0</v>
      </c>
      <c r="AG391" s="349">
        <v>0</v>
      </c>
      <c r="AH391" s="349">
        <v>0</v>
      </c>
      <c r="AI391" s="349">
        <v>0</v>
      </c>
      <c r="AJ391" s="349">
        <v>0</v>
      </c>
      <c r="AK391" s="349">
        <v>0</v>
      </c>
      <c r="AL391" s="619"/>
      <c r="AM391" s="8"/>
    </row>
    <row r="392" spans="1:39" ht="14.25" customHeight="1">
      <c r="A392" s="619"/>
      <c r="B392" s="253"/>
      <c r="C392" s="258"/>
      <c r="D392" s="262" t="s">
        <v>304</v>
      </c>
      <c r="E392" s="325">
        <f t="shared" ref="E392:H392" si="83">ROUND(IFERROR(E294/($E$347*0.0036*E50*$F$347),0),4)</f>
        <v>0.16930000000000001</v>
      </c>
      <c r="F392" s="325">
        <f t="shared" si="83"/>
        <v>0.14319999999999999</v>
      </c>
      <c r="G392" s="325">
        <f t="shared" si="83"/>
        <v>0.1411</v>
      </c>
      <c r="H392" s="325">
        <f t="shared" si="83"/>
        <v>5.04E-2</v>
      </c>
      <c r="I392" s="349">
        <v>0.17</v>
      </c>
      <c r="J392" s="349">
        <v>0.17</v>
      </c>
      <c r="K392" s="349">
        <v>0.17</v>
      </c>
      <c r="L392" s="349">
        <v>0.17</v>
      </c>
      <c r="M392" s="349">
        <v>0.17</v>
      </c>
      <c r="N392" s="349">
        <v>0.17</v>
      </c>
      <c r="O392" s="349">
        <v>0.17</v>
      </c>
      <c r="P392" s="349">
        <v>0.17</v>
      </c>
      <c r="Q392" s="349">
        <v>0.17</v>
      </c>
      <c r="R392" s="349">
        <v>0.17</v>
      </c>
      <c r="S392" s="349">
        <v>0.17</v>
      </c>
      <c r="T392" s="349">
        <v>0.17</v>
      </c>
      <c r="U392" s="349">
        <v>0.17</v>
      </c>
      <c r="V392" s="349">
        <v>0.17</v>
      </c>
      <c r="W392" s="349">
        <v>0.17</v>
      </c>
      <c r="X392" s="349">
        <v>0.17</v>
      </c>
      <c r="Y392" s="349">
        <v>0.17</v>
      </c>
      <c r="Z392" s="349">
        <v>0.17</v>
      </c>
      <c r="AA392" s="349">
        <v>0.17</v>
      </c>
      <c r="AB392" s="349">
        <v>0.17</v>
      </c>
      <c r="AC392" s="349">
        <v>0.17</v>
      </c>
      <c r="AD392" s="349">
        <v>0.17</v>
      </c>
      <c r="AE392" s="349">
        <v>0.17</v>
      </c>
      <c r="AF392" s="349">
        <v>0.17</v>
      </c>
      <c r="AG392" s="349">
        <v>0.17</v>
      </c>
      <c r="AH392" s="349">
        <v>0.17</v>
      </c>
      <c r="AI392" s="349">
        <v>0.17</v>
      </c>
      <c r="AJ392" s="349">
        <v>0.17</v>
      </c>
      <c r="AK392" s="349">
        <v>0.17</v>
      </c>
      <c r="AL392" s="619"/>
      <c r="AM392" s="8"/>
    </row>
    <row r="393" spans="1:39" ht="14.25" customHeight="1">
      <c r="A393" s="619"/>
      <c r="B393" s="253"/>
      <c r="C393" s="258" t="s">
        <v>187</v>
      </c>
      <c r="D393" s="285" t="s">
        <v>188</v>
      </c>
      <c r="E393" s="336">
        <f t="shared" ref="E393:H393" si="84">ROUND(IFERROR(E295/($E$347*0.0036*E51*$F$347),0),4)</f>
        <v>0.16930000000000001</v>
      </c>
      <c r="F393" s="336">
        <f t="shared" si="84"/>
        <v>0.14319999999999999</v>
      </c>
      <c r="G393" s="336">
        <f t="shared" si="84"/>
        <v>0.1411</v>
      </c>
      <c r="H393" s="336">
        <f t="shared" si="84"/>
        <v>5.04E-2</v>
      </c>
      <c r="I393" s="349">
        <v>0.17</v>
      </c>
      <c r="J393" s="349">
        <v>0.17</v>
      </c>
      <c r="K393" s="349">
        <v>0.17</v>
      </c>
      <c r="L393" s="349">
        <v>0.17</v>
      </c>
      <c r="M393" s="349">
        <v>0.17</v>
      </c>
      <c r="N393" s="349">
        <v>0.17</v>
      </c>
      <c r="O393" s="349">
        <v>0.17</v>
      </c>
      <c r="P393" s="349">
        <v>0.17</v>
      </c>
      <c r="Q393" s="349">
        <v>0.17</v>
      </c>
      <c r="R393" s="349">
        <v>0.17</v>
      </c>
      <c r="S393" s="349">
        <v>0.17</v>
      </c>
      <c r="T393" s="349">
        <v>0.17</v>
      </c>
      <c r="U393" s="349">
        <v>0.17</v>
      </c>
      <c r="V393" s="349">
        <v>0.17</v>
      </c>
      <c r="W393" s="349">
        <v>0.17</v>
      </c>
      <c r="X393" s="349">
        <v>0.17</v>
      </c>
      <c r="Y393" s="349">
        <v>0.17</v>
      </c>
      <c r="Z393" s="349">
        <v>0.17</v>
      </c>
      <c r="AA393" s="349">
        <v>0.17</v>
      </c>
      <c r="AB393" s="349">
        <v>0.17</v>
      </c>
      <c r="AC393" s="349">
        <v>0.17</v>
      </c>
      <c r="AD393" s="349">
        <v>0.17</v>
      </c>
      <c r="AE393" s="349">
        <v>0.17</v>
      </c>
      <c r="AF393" s="349">
        <v>0.17</v>
      </c>
      <c r="AG393" s="349">
        <v>0.17</v>
      </c>
      <c r="AH393" s="349">
        <v>0.17</v>
      </c>
      <c r="AI393" s="349">
        <v>0.17</v>
      </c>
      <c r="AJ393" s="349">
        <v>0.17</v>
      </c>
      <c r="AK393" s="349">
        <v>0.17</v>
      </c>
      <c r="AL393" s="619"/>
      <c r="AM393" s="8"/>
    </row>
    <row r="394" spans="1:39" ht="14.25" customHeight="1">
      <c r="A394" s="619"/>
      <c r="B394" s="253"/>
      <c r="C394" s="258"/>
      <c r="D394" s="262" t="s">
        <v>305</v>
      </c>
      <c r="E394" s="325">
        <f t="shared" ref="E394:H394" si="85">ROUND(IFERROR(E296/($E$347*0.0036*E52*$F$347),0),4)</f>
        <v>0.32529999999999998</v>
      </c>
      <c r="F394" s="325">
        <f t="shared" si="85"/>
        <v>0.4249</v>
      </c>
      <c r="G394" s="325">
        <f t="shared" si="85"/>
        <v>0.40439999999999998</v>
      </c>
      <c r="H394" s="325">
        <f t="shared" si="85"/>
        <v>0.37809999999999999</v>
      </c>
      <c r="I394" s="349">
        <v>0.33</v>
      </c>
      <c r="J394" s="349">
        <v>0.33</v>
      </c>
      <c r="K394" s="349">
        <v>0.33</v>
      </c>
      <c r="L394" s="349">
        <v>0.33</v>
      </c>
      <c r="M394" s="349">
        <v>0.33</v>
      </c>
      <c r="N394" s="349">
        <v>0.33</v>
      </c>
      <c r="O394" s="349">
        <v>0.33</v>
      </c>
      <c r="P394" s="349">
        <v>0.33</v>
      </c>
      <c r="Q394" s="349">
        <v>0.33</v>
      </c>
      <c r="R394" s="349">
        <v>0.33</v>
      </c>
      <c r="S394" s="349">
        <v>0.33</v>
      </c>
      <c r="T394" s="349">
        <v>0.33</v>
      </c>
      <c r="U394" s="349">
        <v>0.33</v>
      </c>
      <c r="V394" s="349">
        <v>0.33</v>
      </c>
      <c r="W394" s="349">
        <v>0.33</v>
      </c>
      <c r="X394" s="349">
        <v>0.33</v>
      </c>
      <c r="Y394" s="349">
        <v>0.33</v>
      </c>
      <c r="Z394" s="349">
        <v>0.33</v>
      </c>
      <c r="AA394" s="349">
        <v>0.33</v>
      </c>
      <c r="AB394" s="349">
        <v>0.33</v>
      </c>
      <c r="AC394" s="349">
        <v>0.33</v>
      </c>
      <c r="AD394" s="349">
        <v>0.33</v>
      </c>
      <c r="AE394" s="349">
        <v>0.33</v>
      </c>
      <c r="AF394" s="349">
        <v>0.33</v>
      </c>
      <c r="AG394" s="349">
        <v>0.33</v>
      </c>
      <c r="AH394" s="349">
        <v>0.33</v>
      </c>
      <c r="AI394" s="349">
        <v>0.33</v>
      </c>
      <c r="AJ394" s="349">
        <v>0.33</v>
      </c>
      <c r="AK394" s="349">
        <v>0.33</v>
      </c>
      <c r="AL394" s="619"/>
      <c r="AM394" s="8"/>
    </row>
    <row r="395" spans="1:39" ht="14.25" customHeight="1">
      <c r="A395" s="619"/>
      <c r="B395" s="253"/>
      <c r="C395" s="258"/>
      <c r="D395" s="266" t="s">
        <v>189</v>
      </c>
      <c r="E395" s="267">
        <f t="shared" ref="E395:H395" si="86">ROUND(IFERROR(E297/($E$347*0.0036*E53*$F$347),0),4)</f>
        <v>0.32529999999999998</v>
      </c>
      <c r="F395" s="267">
        <f t="shared" si="86"/>
        <v>0.4249</v>
      </c>
      <c r="G395" s="267">
        <f t="shared" si="86"/>
        <v>0.40439999999999998</v>
      </c>
      <c r="H395" s="267">
        <f t="shared" si="86"/>
        <v>0.37809999999999999</v>
      </c>
      <c r="I395" s="349">
        <v>0.33</v>
      </c>
      <c r="J395" s="349">
        <v>0.33</v>
      </c>
      <c r="K395" s="349">
        <v>0.33</v>
      </c>
      <c r="L395" s="349">
        <v>0.33</v>
      </c>
      <c r="M395" s="349">
        <v>0.33</v>
      </c>
      <c r="N395" s="349">
        <v>0.33</v>
      </c>
      <c r="O395" s="349">
        <v>0.33</v>
      </c>
      <c r="P395" s="349">
        <v>0.33</v>
      </c>
      <c r="Q395" s="349">
        <v>0.33</v>
      </c>
      <c r="R395" s="349">
        <v>0.33</v>
      </c>
      <c r="S395" s="349">
        <v>0.33</v>
      </c>
      <c r="T395" s="349">
        <v>0.33</v>
      </c>
      <c r="U395" s="349">
        <v>0.33</v>
      </c>
      <c r="V395" s="349">
        <v>0.33</v>
      </c>
      <c r="W395" s="349">
        <v>0.33</v>
      </c>
      <c r="X395" s="349">
        <v>0.33</v>
      </c>
      <c r="Y395" s="349">
        <v>0.33</v>
      </c>
      <c r="Z395" s="349">
        <v>0.33</v>
      </c>
      <c r="AA395" s="349">
        <v>0.33</v>
      </c>
      <c r="AB395" s="349">
        <v>0.33</v>
      </c>
      <c r="AC395" s="349">
        <v>0.33</v>
      </c>
      <c r="AD395" s="349">
        <v>0.33</v>
      </c>
      <c r="AE395" s="349">
        <v>0.33</v>
      </c>
      <c r="AF395" s="349">
        <v>0.33</v>
      </c>
      <c r="AG395" s="349">
        <v>0.33</v>
      </c>
      <c r="AH395" s="349">
        <v>0.33</v>
      </c>
      <c r="AI395" s="349">
        <v>0.33</v>
      </c>
      <c r="AJ395" s="349">
        <v>0.33</v>
      </c>
      <c r="AK395" s="349">
        <v>0.33</v>
      </c>
      <c r="AL395" s="619"/>
      <c r="AM395" s="8"/>
    </row>
    <row r="396" spans="1:39" ht="14.25" customHeight="1">
      <c r="A396" s="619"/>
      <c r="B396" s="253"/>
      <c r="C396" s="258"/>
      <c r="D396" s="285" t="s">
        <v>190</v>
      </c>
      <c r="E396" s="336">
        <f t="shared" ref="E396:H396" si="87">ROUND(IFERROR(E298/($E$347*0.0036*E54*$F$347),0),4)</f>
        <v>0</v>
      </c>
      <c r="F396" s="336">
        <f t="shared" si="87"/>
        <v>0</v>
      </c>
      <c r="G396" s="336">
        <f t="shared" si="87"/>
        <v>0</v>
      </c>
      <c r="H396" s="336">
        <f t="shared" si="87"/>
        <v>0</v>
      </c>
      <c r="I396" s="349">
        <v>0</v>
      </c>
      <c r="J396" s="349">
        <v>0</v>
      </c>
      <c r="K396" s="349">
        <v>0</v>
      </c>
      <c r="L396" s="349">
        <v>0</v>
      </c>
      <c r="M396" s="349">
        <v>0</v>
      </c>
      <c r="N396" s="349">
        <v>0</v>
      </c>
      <c r="O396" s="349">
        <v>0</v>
      </c>
      <c r="P396" s="349">
        <v>0</v>
      </c>
      <c r="Q396" s="349">
        <v>0</v>
      </c>
      <c r="R396" s="349">
        <v>0</v>
      </c>
      <c r="S396" s="349">
        <v>0</v>
      </c>
      <c r="T396" s="349">
        <v>0</v>
      </c>
      <c r="U396" s="349">
        <v>0</v>
      </c>
      <c r="V396" s="349">
        <v>0</v>
      </c>
      <c r="W396" s="349">
        <v>0</v>
      </c>
      <c r="X396" s="349">
        <v>0</v>
      </c>
      <c r="Y396" s="349">
        <v>0</v>
      </c>
      <c r="Z396" s="349">
        <v>0</v>
      </c>
      <c r="AA396" s="349">
        <v>0</v>
      </c>
      <c r="AB396" s="349">
        <v>0</v>
      </c>
      <c r="AC396" s="349">
        <v>0</v>
      </c>
      <c r="AD396" s="349">
        <v>0</v>
      </c>
      <c r="AE396" s="349">
        <v>0</v>
      </c>
      <c r="AF396" s="349">
        <v>0</v>
      </c>
      <c r="AG396" s="349">
        <v>0</v>
      </c>
      <c r="AH396" s="349">
        <v>0</v>
      </c>
      <c r="AI396" s="349">
        <v>0</v>
      </c>
      <c r="AJ396" s="349">
        <v>0</v>
      </c>
      <c r="AK396" s="349">
        <v>0</v>
      </c>
      <c r="AL396" s="619"/>
      <c r="AM396" s="8"/>
    </row>
    <row r="397" spans="1:39" ht="14.25" customHeight="1">
      <c r="A397" s="619"/>
      <c r="B397" s="253"/>
      <c r="C397" s="258" t="s">
        <v>191</v>
      </c>
      <c r="D397" s="259" t="s">
        <v>192</v>
      </c>
      <c r="E397" s="270">
        <f t="shared" ref="E397:H397" si="88">ROUND(IFERROR(E299/($E$347*0.0036*E55*$F$347),0),4)</f>
        <v>0.49480000000000002</v>
      </c>
      <c r="F397" s="270">
        <f t="shared" si="88"/>
        <v>0.58289999999999997</v>
      </c>
      <c r="G397" s="270">
        <f t="shared" si="88"/>
        <v>0.505</v>
      </c>
      <c r="H397" s="270">
        <f t="shared" si="88"/>
        <v>0.37169999999999997</v>
      </c>
      <c r="I397" s="349">
        <v>0.49</v>
      </c>
      <c r="J397" s="349">
        <v>0.49</v>
      </c>
      <c r="K397" s="349">
        <v>0.49</v>
      </c>
      <c r="L397" s="349">
        <v>0.49</v>
      </c>
      <c r="M397" s="349">
        <v>0.49</v>
      </c>
      <c r="N397" s="349">
        <v>0.49</v>
      </c>
      <c r="O397" s="349">
        <v>0.49</v>
      </c>
      <c r="P397" s="349">
        <v>0.49</v>
      </c>
      <c r="Q397" s="349">
        <v>0.49</v>
      </c>
      <c r="R397" s="349">
        <v>0.49</v>
      </c>
      <c r="S397" s="349">
        <v>0.49</v>
      </c>
      <c r="T397" s="349">
        <v>0.49</v>
      </c>
      <c r="U397" s="349">
        <v>0.49</v>
      </c>
      <c r="V397" s="349">
        <v>0.49</v>
      </c>
      <c r="W397" s="349">
        <v>0.49</v>
      </c>
      <c r="X397" s="349">
        <v>0.49</v>
      </c>
      <c r="Y397" s="349">
        <v>0.49</v>
      </c>
      <c r="Z397" s="349">
        <v>0.49</v>
      </c>
      <c r="AA397" s="349">
        <v>0.49</v>
      </c>
      <c r="AB397" s="349">
        <v>0.49</v>
      </c>
      <c r="AC397" s="349">
        <v>0.49</v>
      </c>
      <c r="AD397" s="349">
        <v>0.49</v>
      </c>
      <c r="AE397" s="349">
        <v>0.49</v>
      </c>
      <c r="AF397" s="349">
        <v>0.49</v>
      </c>
      <c r="AG397" s="349">
        <v>0.49</v>
      </c>
      <c r="AH397" s="349">
        <v>0.49</v>
      </c>
      <c r="AI397" s="349">
        <v>0.49</v>
      </c>
      <c r="AJ397" s="349">
        <v>0.49</v>
      </c>
      <c r="AK397" s="349">
        <v>0.49</v>
      </c>
      <c r="AL397" s="619"/>
      <c r="AM397" s="8"/>
    </row>
    <row r="398" spans="1:39" ht="14.25" customHeight="1">
      <c r="A398" s="619"/>
      <c r="B398" s="253"/>
      <c r="C398" s="258" t="s">
        <v>193</v>
      </c>
      <c r="D398" s="259" t="s">
        <v>194</v>
      </c>
      <c r="E398" s="270">
        <f t="shared" ref="E398:H398" si="89">ROUND(IFERROR(E300/($E$347*0.0036*E56*$F$347),0),4)</f>
        <v>0.42459999999999998</v>
      </c>
      <c r="F398" s="270">
        <f t="shared" si="89"/>
        <v>0.47670000000000001</v>
      </c>
      <c r="G398" s="270">
        <f t="shared" si="89"/>
        <v>0.6381</v>
      </c>
      <c r="H398" s="270">
        <f t="shared" si="89"/>
        <v>0.63149999999999995</v>
      </c>
      <c r="I398" s="349">
        <v>0.42</v>
      </c>
      <c r="J398" s="349">
        <v>0.42</v>
      </c>
      <c r="K398" s="349">
        <v>0.42</v>
      </c>
      <c r="L398" s="349">
        <v>0.42</v>
      </c>
      <c r="M398" s="349">
        <v>0.42</v>
      </c>
      <c r="N398" s="349">
        <v>0.42</v>
      </c>
      <c r="O398" s="349">
        <v>0.42</v>
      </c>
      <c r="P398" s="349">
        <v>0.42</v>
      </c>
      <c r="Q398" s="349">
        <v>0.42</v>
      </c>
      <c r="R398" s="349">
        <v>0.42</v>
      </c>
      <c r="S398" s="349">
        <v>0.42</v>
      </c>
      <c r="T398" s="349">
        <v>0.42</v>
      </c>
      <c r="U398" s="349">
        <v>0.42</v>
      </c>
      <c r="V398" s="349">
        <v>0.42</v>
      </c>
      <c r="W398" s="349">
        <v>0.42</v>
      </c>
      <c r="X398" s="349">
        <v>0.42</v>
      </c>
      <c r="Y398" s="349">
        <v>0.42</v>
      </c>
      <c r="Z398" s="349">
        <v>0.42</v>
      </c>
      <c r="AA398" s="349">
        <v>0.42</v>
      </c>
      <c r="AB398" s="349">
        <v>0.42</v>
      </c>
      <c r="AC398" s="349">
        <v>0.42</v>
      </c>
      <c r="AD398" s="349">
        <v>0.42</v>
      </c>
      <c r="AE398" s="349">
        <v>0.42</v>
      </c>
      <c r="AF398" s="349">
        <v>0.42</v>
      </c>
      <c r="AG398" s="349">
        <v>0.42</v>
      </c>
      <c r="AH398" s="349">
        <v>0.42</v>
      </c>
      <c r="AI398" s="349">
        <v>0.42</v>
      </c>
      <c r="AJ398" s="349">
        <v>0.42</v>
      </c>
      <c r="AK398" s="349">
        <v>0.42</v>
      </c>
      <c r="AL398" s="619"/>
      <c r="AM398" s="8"/>
    </row>
    <row r="399" spans="1:39" ht="14.25" customHeight="1">
      <c r="A399" s="619"/>
      <c r="B399" s="253"/>
      <c r="C399" s="258"/>
      <c r="D399" s="285" t="s">
        <v>195</v>
      </c>
      <c r="E399" s="336">
        <f t="shared" ref="E399:H399" si="90">ROUND(IFERROR(E301/($E$347*0.0036*E57*$F$347),0),4)</f>
        <v>0</v>
      </c>
      <c r="F399" s="336">
        <f t="shared" si="90"/>
        <v>0</v>
      </c>
      <c r="G399" s="336">
        <f t="shared" si="90"/>
        <v>0</v>
      </c>
      <c r="H399" s="336">
        <f t="shared" si="90"/>
        <v>0</v>
      </c>
      <c r="I399" s="349">
        <v>0</v>
      </c>
      <c r="J399" s="349">
        <v>0</v>
      </c>
      <c r="K399" s="349">
        <v>0</v>
      </c>
      <c r="L399" s="349">
        <v>0</v>
      </c>
      <c r="M399" s="349">
        <v>0</v>
      </c>
      <c r="N399" s="349">
        <v>0</v>
      </c>
      <c r="O399" s="349">
        <v>0</v>
      </c>
      <c r="P399" s="349">
        <v>0</v>
      </c>
      <c r="Q399" s="349">
        <v>0</v>
      </c>
      <c r="R399" s="349">
        <v>0</v>
      </c>
      <c r="S399" s="349">
        <v>0</v>
      </c>
      <c r="T399" s="349">
        <v>0</v>
      </c>
      <c r="U399" s="349">
        <v>0</v>
      </c>
      <c r="V399" s="349">
        <v>0</v>
      </c>
      <c r="W399" s="349">
        <v>0</v>
      </c>
      <c r="X399" s="349">
        <v>0</v>
      </c>
      <c r="Y399" s="349">
        <v>0</v>
      </c>
      <c r="Z399" s="349">
        <v>0</v>
      </c>
      <c r="AA399" s="349">
        <v>0</v>
      </c>
      <c r="AB399" s="349">
        <v>0</v>
      </c>
      <c r="AC399" s="349">
        <v>0</v>
      </c>
      <c r="AD399" s="349">
        <v>0</v>
      </c>
      <c r="AE399" s="349">
        <v>0</v>
      </c>
      <c r="AF399" s="349">
        <v>0</v>
      </c>
      <c r="AG399" s="349">
        <v>0</v>
      </c>
      <c r="AH399" s="349">
        <v>0</v>
      </c>
      <c r="AI399" s="349">
        <v>0</v>
      </c>
      <c r="AJ399" s="349">
        <v>0</v>
      </c>
      <c r="AK399" s="349">
        <v>0</v>
      </c>
      <c r="AL399" s="619"/>
      <c r="AM399" s="8"/>
    </row>
    <row r="400" spans="1:39" ht="14.25" customHeight="1">
      <c r="A400" s="619"/>
      <c r="B400" s="253"/>
      <c r="C400" s="258" t="s">
        <v>196</v>
      </c>
      <c r="D400" s="259" t="s">
        <v>192</v>
      </c>
      <c r="E400" s="277">
        <f t="shared" ref="E400:H400" si="91">ROUND(IFERROR(E302/($E$347*0.0036*E58*$F$347),0),4)</f>
        <v>8.2900000000000001E-2</v>
      </c>
      <c r="F400" s="277">
        <f t="shared" si="91"/>
        <v>0.2581</v>
      </c>
      <c r="G400" s="277">
        <f t="shared" si="91"/>
        <v>7.1000000000000004E-3</v>
      </c>
      <c r="H400" s="277">
        <f t="shared" si="91"/>
        <v>1.44E-2</v>
      </c>
      <c r="I400" s="349">
        <v>0.08</v>
      </c>
      <c r="J400" s="349">
        <v>0.08</v>
      </c>
      <c r="K400" s="349">
        <v>0.08</v>
      </c>
      <c r="L400" s="349">
        <v>0.08</v>
      </c>
      <c r="M400" s="349">
        <v>0.08</v>
      </c>
      <c r="N400" s="349">
        <v>0.08</v>
      </c>
      <c r="O400" s="349">
        <v>0.08</v>
      </c>
      <c r="P400" s="349">
        <v>0.08</v>
      </c>
      <c r="Q400" s="349">
        <v>0.08</v>
      </c>
      <c r="R400" s="349">
        <v>0.08</v>
      </c>
      <c r="S400" s="349">
        <v>0.08</v>
      </c>
      <c r="T400" s="349">
        <v>0.08</v>
      </c>
      <c r="U400" s="349">
        <v>0.08</v>
      </c>
      <c r="V400" s="349">
        <v>0.08</v>
      </c>
      <c r="W400" s="349">
        <v>0.08</v>
      </c>
      <c r="X400" s="349">
        <v>0.08</v>
      </c>
      <c r="Y400" s="349">
        <v>0.08</v>
      </c>
      <c r="Z400" s="349">
        <v>0.08</v>
      </c>
      <c r="AA400" s="349">
        <v>0.08</v>
      </c>
      <c r="AB400" s="349">
        <v>0.08</v>
      </c>
      <c r="AC400" s="349">
        <v>0.08</v>
      </c>
      <c r="AD400" s="349">
        <v>0.08</v>
      </c>
      <c r="AE400" s="349">
        <v>0.08</v>
      </c>
      <c r="AF400" s="349">
        <v>0.08</v>
      </c>
      <c r="AG400" s="349">
        <v>0.08</v>
      </c>
      <c r="AH400" s="349">
        <v>0.08</v>
      </c>
      <c r="AI400" s="349">
        <v>0.08</v>
      </c>
      <c r="AJ400" s="349">
        <v>0.08</v>
      </c>
      <c r="AK400" s="349">
        <v>0.08</v>
      </c>
      <c r="AL400" s="619"/>
      <c r="AM400" s="8"/>
    </row>
    <row r="401" spans="1:39" ht="14.25" customHeight="1">
      <c r="A401" s="619"/>
      <c r="B401" s="253"/>
      <c r="C401" s="258" t="s">
        <v>197</v>
      </c>
      <c r="D401" s="259" t="s">
        <v>194</v>
      </c>
      <c r="E401" s="277">
        <f t="shared" ref="E401:H401" si="92">ROUND(IFERROR(E303/($E$347*0.0036*E59*$F$347),0),4)</f>
        <v>0</v>
      </c>
      <c r="F401" s="277">
        <f t="shared" si="92"/>
        <v>0</v>
      </c>
      <c r="G401" s="277">
        <f t="shared" si="92"/>
        <v>0</v>
      </c>
      <c r="H401" s="277">
        <f t="shared" si="92"/>
        <v>0</v>
      </c>
      <c r="I401" s="349">
        <v>0</v>
      </c>
      <c r="J401" s="349">
        <v>0</v>
      </c>
      <c r="K401" s="349">
        <v>0</v>
      </c>
      <c r="L401" s="349">
        <v>0</v>
      </c>
      <c r="M401" s="349">
        <v>0</v>
      </c>
      <c r="N401" s="349">
        <v>0</v>
      </c>
      <c r="O401" s="349">
        <v>0</v>
      </c>
      <c r="P401" s="349">
        <v>0</v>
      </c>
      <c r="Q401" s="349">
        <v>0</v>
      </c>
      <c r="R401" s="349">
        <v>0</v>
      </c>
      <c r="S401" s="349">
        <v>0</v>
      </c>
      <c r="T401" s="349">
        <v>0</v>
      </c>
      <c r="U401" s="349">
        <v>0</v>
      </c>
      <c r="V401" s="349">
        <v>0</v>
      </c>
      <c r="W401" s="349">
        <v>0</v>
      </c>
      <c r="X401" s="349">
        <v>0</v>
      </c>
      <c r="Y401" s="349">
        <v>0</v>
      </c>
      <c r="Z401" s="349">
        <v>0</v>
      </c>
      <c r="AA401" s="349">
        <v>0</v>
      </c>
      <c r="AB401" s="349">
        <v>0</v>
      </c>
      <c r="AC401" s="349">
        <v>0</v>
      </c>
      <c r="AD401" s="349">
        <v>0</v>
      </c>
      <c r="AE401" s="349">
        <v>0</v>
      </c>
      <c r="AF401" s="349">
        <v>0</v>
      </c>
      <c r="AG401" s="349">
        <v>0</v>
      </c>
      <c r="AH401" s="349">
        <v>0</v>
      </c>
      <c r="AI401" s="349">
        <v>0</v>
      </c>
      <c r="AJ401" s="349">
        <v>0</v>
      </c>
      <c r="AK401" s="349">
        <v>0</v>
      </c>
      <c r="AL401" s="619"/>
      <c r="AM401" s="8"/>
    </row>
    <row r="402" spans="1:39" ht="14.25" customHeight="1">
      <c r="A402" s="619"/>
      <c r="B402" s="253"/>
      <c r="C402" s="258"/>
      <c r="D402" s="262" t="s">
        <v>306</v>
      </c>
      <c r="E402" s="325">
        <f t="shared" ref="E402:H402" si="93">ROUND(IFERROR(E304/($E$347*0.0036*E60*$F$347),0),4)</f>
        <v>0.1255</v>
      </c>
      <c r="F402" s="325">
        <f t="shared" si="93"/>
        <v>0.17019999999999999</v>
      </c>
      <c r="G402" s="325">
        <f t="shared" si="93"/>
        <v>0.14960000000000001</v>
      </c>
      <c r="H402" s="325">
        <f t="shared" si="93"/>
        <v>0.1288</v>
      </c>
      <c r="I402" s="349">
        <v>0.13</v>
      </c>
      <c r="J402" s="349">
        <v>0.13</v>
      </c>
      <c r="K402" s="349">
        <v>0.13</v>
      </c>
      <c r="L402" s="349">
        <v>0.13</v>
      </c>
      <c r="M402" s="349">
        <v>0.13</v>
      </c>
      <c r="N402" s="349">
        <v>0.13</v>
      </c>
      <c r="O402" s="349">
        <v>0.13</v>
      </c>
      <c r="P402" s="349">
        <v>0.13</v>
      </c>
      <c r="Q402" s="349">
        <v>0.13</v>
      </c>
      <c r="R402" s="349">
        <v>0.13</v>
      </c>
      <c r="S402" s="349">
        <v>0.13</v>
      </c>
      <c r="T402" s="349">
        <v>0.13</v>
      </c>
      <c r="U402" s="349">
        <v>0.13</v>
      </c>
      <c r="V402" s="349">
        <v>0.13</v>
      </c>
      <c r="W402" s="349">
        <v>0.13</v>
      </c>
      <c r="X402" s="349">
        <v>0.13</v>
      </c>
      <c r="Y402" s="349">
        <v>0.13</v>
      </c>
      <c r="Z402" s="349">
        <v>0.13</v>
      </c>
      <c r="AA402" s="349">
        <v>0.13</v>
      </c>
      <c r="AB402" s="349">
        <v>0.13</v>
      </c>
      <c r="AC402" s="349">
        <v>0.13</v>
      </c>
      <c r="AD402" s="349">
        <v>0.13</v>
      </c>
      <c r="AE402" s="349">
        <v>0.13</v>
      </c>
      <c r="AF402" s="349">
        <v>0.13</v>
      </c>
      <c r="AG402" s="349">
        <v>0.13</v>
      </c>
      <c r="AH402" s="349">
        <v>0.13</v>
      </c>
      <c r="AI402" s="349">
        <v>0.13</v>
      </c>
      <c r="AJ402" s="349">
        <v>0.13</v>
      </c>
      <c r="AK402" s="349">
        <v>0.13</v>
      </c>
      <c r="AL402" s="619"/>
      <c r="AM402" s="8"/>
    </row>
    <row r="403" spans="1:39" ht="14.25" customHeight="1">
      <c r="A403" s="619"/>
      <c r="B403" s="253"/>
      <c r="C403" s="258" t="s">
        <v>198</v>
      </c>
      <c r="D403" s="285" t="s">
        <v>188</v>
      </c>
      <c r="E403" s="337">
        <f t="shared" ref="E403:H403" si="94">ROUND(IFERROR(E305/($E$347*0.0036*E61*$F$347),0),4)</f>
        <v>3.49E-2</v>
      </c>
      <c r="F403" s="337">
        <f t="shared" si="94"/>
        <v>3.3500000000000002E-2</v>
      </c>
      <c r="G403" s="337">
        <f t="shared" si="94"/>
        <v>3.4200000000000001E-2</v>
      </c>
      <c r="H403" s="337">
        <f t="shared" si="94"/>
        <v>3.39E-2</v>
      </c>
      <c r="I403" s="349">
        <v>0.03</v>
      </c>
      <c r="J403" s="349">
        <v>0.03</v>
      </c>
      <c r="K403" s="349">
        <v>0.03</v>
      </c>
      <c r="L403" s="349">
        <v>0.03</v>
      </c>
      <c r="M403" s="349">
        <v>0.03</v>
      </c>
      <c r="N403" s="349">
        <v>0.03</v>
      </c>
      <c r="O403" s="349">
        <v>0.03</v>
      </c>
      <c r="P403" s="349">
        <v>0.03</v>
      </c>
      <c r="Q403" s="349">
        <v>0.03</v>
      </c>
      <c r="R403" s="349">
        <v>0.03</v>
      </c>
      <c r="S403" s="349">
        <v>0.03</v>
      </c>
      <c r="T403" s="349">
        <v>0.03</v>
      </c>
      <c r="U403" s="349">
        <v>0.03</v>
      </c>
      <c r="V403" s="349">
        <v>0.03</v>
      </c>
      <c r="W403" s="349">
        <v>0.03</v>
      </c>
      <c r="X403" s="349">
        <v>0.03</v>
      </c>
      <c r="Y403" s="349">
        <v>0.03</v>
      </c>
      <c r="Z403" s="349">
        <v>0.03</v>
      </c>
      <c r="AA403" s="349">
        <v>0.03</v>
      </c>
      <c r="AB403" s="349">
        <v>0.03</v>
      </c>
      <c r="AC403" s="349">
        <v>0.03</v>
      </c>
      <c r="AD403" s="349">
        <v>0.03</v>
      </c>
      <c r="AE403" s="349">
        <v>0.03</v>
      </c>
      <c r="AF403" s="349">
        <v>0.03</v>
      </c>
      <c r="AG403" s="349">
        <v>0.03</v>
      </c>
      <c r="AH403" s="349">
        <v>0.03</v>
      </c>
      <c r="AI403" s="349">
        <v>0.03</v>
      </c>
      <c r="AJ403" s="349">
        <v>0.03</v>
      </c>
      <c r="AK403" s="349">
        <v>0.03</v>
      </c>
      <c r="AL403" s="619"/>
      <c r="AM403" s="8"/>
    </row>
    <row r="404" spans="1:39" ht="14.25" customHeight="1">
      <c r="A404" s="619"/>
      <c r="B404" s="253"/>
      <c r="C404" s="258" t="s">
        <v>199</v>
      </c>
      <c r="D404" s="285" t="s">
        <v>190</v>
      </c>
      <c r="E404" s="337">
        <f t="shared" ref="E404:H404" si="95">ROUND(IFERROR(E306/($E$347*0.0036*E62*$F$347),0),4)</f>
        <v>0.53620000000000001</v>
      </c>
      <c r="F404" s="337">
        <f t="shared" si="95"/>
        <v>0.79</v>
      </c>
      <c r="G404" s="337">
        <f t="shared" si="95"/>
        <v>0.67300000000000004</v>
      </c>
      <c r="H404" s="337">
        <f t="shared" si="95"/>
        <v>0.56330000000000002</v>
      </c>
      <c r="I404" s="349">
        <v>0.54</v>
      </c>
      <c r="J404" s="349">
        <v>0.54</v>
      </c>
      <c r="K404" s="349">
        <v>0.54</v>
      </c>
      <c r="L404" s="349">
        <v>0.54</v>
      </c>
      <c r="M404" s="349">
        <v>0.54</v>
      </c>
      <c r="N404" s="349">
        <v>0.54</v>
      </c>
      <c r="O404" s="349">
        <v>0.54</v>
      </c>
      <c r="P404" s="349">
        <v>0.54</v>
      </c>
      <c r="Q404" s="349">
        <v>0.54</v>
      </c>
      <c r="R404" s="349">
        <v>0.54</v>
      </c>
      <c r="S404" s="349">
        <v>0.54</v>
      </c>
      <c r="T404" s="349">
        <v>0.54</v>
      </c>
      <c r="U404" s="349">
        <v>0.54</v>
      </c>
      <c r="V404" s="349">
        <v>0.54</v>
      </c>
      <c r="W404" s="349">
        <v>0.54</v>
      </c>
      <c r="X404" s="349">
        <v>0.54</v>
      </c>
      <c r="Y404" s="349">
        <v>0.54</v>
      </c>
      <c r="Z404" s="349">
        <v>0.54</v>
      </c>
      <c r="AA404" s="349">
        <v>0.54</v>
      </c>
      <c r="AB404" s="349">
        <v>0.54</v>
      </c>
      <c r="AC404" s="349">
        <v>0.54</v>
      </c>
      <c r="AD404" s="349">
        <v>0.54</v>
      </c>
      <c r="AE404" s="349">
        <v>0.54</v>
      </c>
      <c r="AF404" s="349">
        <v>0.54</v>
      </c>
      <c r="AG404" s="349">
        <v>0.54</v>
      </c>
      <c r="AH404" s="349">
        <v>0.54</v>
      </c>
      <c r="AI404" s="349">
        <v>0.54</v>
      </c>
      <c r="AJ404" s="349">
        <v>0.54</v>
      </c>
      <c r="AK404" s="349">
        <v>0.54</v>
      </c>
      <c r="AL404" s="619"/>
      <c r="AM404" s="8"/>
    </row>
    <row r="405" spans="1:39" ht="14.25" customHeight="1">
      <c r="A405" s="619"/>
      <c r="B405" s="253"/>
      <c r="C405" s="258"/>
      <c r="D405" s="262" t="s">
        <v>307</v>
      </c>
      <c r="E405" s="325">
        <f t="shared" ref="E405:H405" si="96">ROUND(IFERROR(E307/($E$347*0.0036*E63*$F$347),0),4)</f>
        <v>0.3569</v>
      </c>
      <c r="F405" s="325">
        <f t="shared" si="96"/>
        <v>0.36280000000000001</v>
      </c>
      <c r="G405" s="325">
        <f t="shared" si="96"/>
        <v>0.34639999999999999</v>
      </c>
      <c r="H405" s="325">
        <f t="shared" si="96"/>
        <v>0.3533</v>
      </c>
      <c r="I405" s="349">
        <v>0.36</v>
      </c>
      <c r="J405" s="349">
        <v>0.36</v>
      </c>
      <c r="K405" s="349">
        <v>0.36</v>
      </c>
      <c r="L405" s="349">
        <v>0.36</v>
      </c>
      <c r="M405" s="349">
        <v>0.36</v>
      </c>
      <c r="N405" s="349">
        <v>0.36</v>
      </c>
      <c r="O405" s="349">
        <v>0.36</v>
      </c>
      <c r="P405" s="349">
        <v>0.36</v>
      </c>
      <c r="Q405" s="349">
        <v>0.36</v>
      </c>
      <c r="R405" s="349">
        <v>0.36</v>
      </c>
      <c r="S405" s="349">
        <v>0.36</v>
      </c>
      <c r="T405" s="349">
        <v>0.36</v>
      </c>
      <c r="U405" s="349">
        <v>0.36</v>
      </c>
      <c r="V405" s="349">
        <v>0.36</v>
      </c>
      <c r="W405" s="349">
        <v>0.36</v>
      </c>
      <c r="X405" s="349">
        <v>0.36</v>
      </c>
      <c r="Y405" s="349">
        <v>0.36</v>
      </c>
      <c r="Z405" s="349">
        <v>0.36</v>
      </c>
      <c r="AA405" s="349">
        <v>0.36</v>
      </c>
      <c r="AB405" s="349">
        <v>0.36</v>
      </c>
      <c r="AC405" s="349">
        <v>0.36</v>
      </c>
      <c r="AD405" s="349">
        <v>0.36</v>
      </c>
      <c r="AE405" s="349">
        <v>0.36</v>
      </c>
      <c r="AF405" s="349">
        <v>0.36</v>
      </c>
      <c r="AG405" s="349">
        <v>0.36</v>
      </c>
      <c r="AH405" s="349">
        <v>0.36</v>
      </c>
      <c r="AI405" s="349">
        <v>0.36</v>
      </c>
      <c r="AJ405" s="349">
        <v>0.36</v>
      </c>
      <c r="AK405" s="349">
        <v>0.36</v>
      </c>
      <c r="AL405" s="619"/>
      <c r="AM405" s="8"/>
    </row>
    <row r="406" spans="1:39" ht="14.25" customHeight="1">
      <c r="A406" s="619"/>
      <c r="B406" s="253"/>
      <c r="C406" s="258"/>
      <c r="D406" s="266" t="s">
        <v>145</v>
      </c>
      <c r="E406" s="267">
        <f t="shared" ref="E406:H406" si="97">ROUND(IFERROR(E308/($E$347*0.0036*E64*$F$347),0),4)</f>
        <v>0.3569</v>
      </c>
      <c r="F406" s="267">
        <f t="shared" si="97"/>
        <v>0.36559999999999998</v>
      </c>
      <c r="G406" s="267">
        <f t="shared" si="97"/>
        <v>0.35210000000000002</v>
      </c>
      <c r="H406" s="267">
        <f t="shared" si="97"/>
        <v>0.35970000000000002</v>
      </c>
      <c r="I406" s="349">
        <v>0.36</v>
      </c>
      <c r="J406" s="349">
        <v>0.36</v>
      </c>
      <c r="K406" s="349">
        <v>0.36</v>
      </c>
      <c r="L406" s="349">
        <v>0.36</v>
      </c>
      <c r="M406" s="349">
        <v>0.36</v>
      </c>
      <c r="N406" s="349">
        <v>0.36</v>
      </c>
      <c r="O406" s="349">
        <v>0.36</v>
      </c>
      <c r="P406" s="349">
        <v>0.36</v>
      </c>
      <c r="Q406" s="349">
        <v>0.36</v>
      </c>
      <c r="R406" s="349">
        <v>0.36</v>
      </c>
      <c r="S406" s="349">
        <v>0.36</v>
      </c>
      <c r="T406" s="349">
        <v>0.36</v>
      </c>
      <c r="U406" s="349">
        <v>0.36</v>
      </c>
      <c r="V406" s="349">
        <v>0.36</v>
      </c>
      <c r="W406" s="349">
        <v>0.36</v>
      </c>
      <c r="X406" s="349">
        <v>0.36</v>
      </c>
      <c r="Y406" s="349">
        <v>0.36</v>
      </c>
      <c r="Z406" s="349">
        <v>0.36</v>
      </c>
      <c r="AA406" s="349">
        <v>0.36</v>
      </c>
      <c r="AB406" s="349">
        <v>0.36</v>
      </c>
      <c r="AC406" s="349">
        <v>0.36</v>
      </c>
      <c r="AD406" s="349">
        <v>0.36</v>
      </c>
      <c r="AE406" s="349">
        <v>0.36</v>
      </c>
      <c r="AF406" s="349">
        <v>0.36</v>
      </c>
      <c r="AG406" s="349">
        <v>0.36</v>
      </c>
      <c r="AH406" s="349">
        <v>0.36</v>
      </c>
      <c r="AI406" s="349">
        <v>0.36</v>
      </c>
      <c r="AJ406" s="349">
        <v>0.36</v>
      </c>
      <c r="AK406" s="349">
        <v>0.36</v>
      </c>
      <c r="AL406" s="619"/>
      <c r="AM406" s="8"/>
    </row>
    <row r="407" spans="1:39" ht="14.25" customHeight="1">
      <c r="A407" s="619"/>
      <c r="B407" s="253"/>
      <c r="C407" s="258"/>
      <c r="D407" s="285" t="s">
        <v>190</v>
      </c>
      <c r="E407" s="336">
        <f t="shared" ref="E407:H407" si="98">ROUND(IFERROR(E309/($E$347*0.0036*E65*$F$347),0),4)</f>
        <v>0</v>
      </c>
      <c r="F407" s="336">
        <f t="shared" si="98"/>
        <v>0</v>
      </c>
      <c r="G407" s="336">
        <f t="shared" si="98"/>
        <v>0</v>
      </c>
      <c r="H407" s="336">
        <f t="shared" si="98"/>
        <v>0</v>
      </c>
      <c r="I407" s="349">
        <v>0</v>
      </c>
      <c r="J407" s="349">
        <v>0</v>
      </c>
      <c r="K407" s="349">
        <v>0</v>
      </c>
      <c r="L407" s="349">
        <v>0</v>
      </c>
      <c r="M407" s="349">
        <v>0</v>
      </c>
      <c r="N407" s="349">
        <v>0</v>
      </c>
      <c r="O407" s="349">
        <v>0</v>
      </c>
      <c r="P407" s="349">
        <v>0</v>
      </c>
      <c r="Q407" s="349">
        <v>0</v>
      </c>
      <c r="R407" s="349">
        <v>0</v>
      </c>
      <c r="S407" s="349">
        <v>0</v>
      </c>
      <c r="T407" s="349">
        <v>0</v>
      </c>
      <c r="U407" s="349">
        <v>0</v>
      </c>
      <c r="V407" s="349">
        <v>0</v>
      </c>
      <c r="W407" s="349">
        <v>0</v>
      </c>
      <c r="X407" s="349">
        <v>0</v>
      </c>
      <c r="Y407" s="349">
        <v>0</v>
      </c>
      <c r="Z407" s="349">
        <v>0</v>
      </c>
      <c r="AA407" s="349">
        <v>0</v>
      </c>
      <c r="AB407" s="349">
        <v>0</v>
      </c>
      <c r="AC407" s="349">
        <v>0</v>
      </c>
      <c r="AD407" s="349">
        <v>0</v>
      </c>
      <c r="AE407" s="349">
        <v>0</v>
      </c>
      <c r="AF407" s="349">
        <v>0</v>
      </c>
      <c r="AG407" s="349">
        <v>0</v>
      </c>
      <c r="AH407" s="349">
        <v>0</v>
      </c>
      <c r="AI407" s="349">
        <v>0</v>
      </c>
      <c r="AJ407" s="349">
        <v>0</v>
      </c>
      <c r="AK407" s="349">
        <v>0</v>
      </c>
      <c r="AL407" s="619"/>
      <c r="AM407" s="8"/>
    </row>
    <row r="408" spans="1:39" ht="14.25" customHeight="1">
      <c r="A408" s="619"/>
      <c r="B408" s="253"/>
      <c r="C408" s="258" t="s">
        <v>200</v>
      </c>
      <c r="D408" s="259" t="s">
        <v>201</v>
      </c>
      <c r="E408" s="270">
        <f t="shared" ref="E408:H408" si="99">ROUND(IFERROR(E310/($E$347*0.0036*E66*$F$347),0),4)</f>
        <v>0.44030000000000002</v>
      </c>
      <c r="F408" s="270">
        <f t="shared" si="99"/>
        <v>0.40460000000000002</v>
      </c>
      <c r="G408" s="270">
        <f t="shared" si="99"/>
        <v>0.4269</v>
      </c>
      <c r="H408" s="270">
        <f t="shared" si="99"/>
        <v>0.1363</v>
      </c>
      <c r="I408" s="349">
        <v>0.44</v>
      </c>
      <c r="J408" s="349">
        <v>0.44</v>
      </c>
      <c r="K408" s="349">
        <v>0.44</v>
      </c>
      <c r="L408" s="349">
        <v>0.44</v>
      </c>
      <c r="M408" s="349">
        <v>0.44</v>
      </c>
      <c r="N408" s="349">
        <v>0.44</v>
      </c>
      <c r="O408" s="349">
        <v>0.44</v>
      </c>
      <c r="P408" s="349">
        <v>0.44</v>
      </c>
      <c r="Q408" s="349">
        <v>0.44</v>
      </c>
      <c r="R408" s="349">
        <v>0.44</v>
      </c>
      <c r="S408" s="349">
        <v>0.44</v>
      </c>
      <c r="T408" s="349">
        <v>0.44</v>
      </c>
      <c r="U408" s="349">
        <v>0.44</v>
      </c>
      <c r="V408" s="349">
        <v>0.44</v>
      </c>
      <c r="W408" s="349">
        <v>0.44</v>
      </c>
      <c r="X408" s="349">
        <v>0.44</v>
      </c>
      <c r="Y408" s="349">
        <v>0.44</v>
      </c>
      <c r="Z408" s="349">
        <v>0.44</v>
      </c>
      <c r="AA408" s="349">
        <v>0.44</v>
      </c>
      <c r="AB408" s="349">
        <v>0.44</v>
      </c>
      <c r="AC408" s="349">
        <v>0.44</v>
      </c>
      <c r="AD408" s="349">
        <v>0.44</v>
      </c>
      <c r="AE408" s="349">
        <v>0.44</v>
      </c>
      <c r="AF408" s="349">
        <v>0.44</v>
      </c>
      <c r="AG408" s="349">
        <v>0.44</v>
      </c>
      <c r="AH408" s="349">
        <v>0.44</v>
      </c>
      <c r="AI408" s="349">
        <v>0.44</v>
      </c>
      <c r="AJ408" s="349">
        <v>0.44</v>
      </c>
      <c r="AK408" s="349">
        <v>0.44</v>
      </c>
      <c r="AL408" s="619"/>
      <c r="AM408" s="8"/>
    </row>
    <row r="409" spans="1:39" ht="14.25" customHeight="1">
      <c r="A409" s="619"/>
      <c r="B409" s="253"/>
      <c r="C409" s="258"/>
      <c r="D409" s="285" t="s">
        <v>188</v>
      </c>
      <c r="E409" s="336">
        <f t="shared" ref="E409:H409" si="100">ROUND(IFERROR(E311/($E$347*0.0036*E67*$F$347),0),4)</f>
        <v>0</v>
      </c>
      <c r="F409" s="336">
        <f t="shared" si="100"/>
        <v>0</v>
      </c>
      <c r="G409" s="336">
        <f t="shared" si="100"/>
        <v>0</v>
      </c>
      <c r="H409" s="336">
        <f t="shared" si="100"/>
        <v>0</v>
      </c>
      <c r="I409" s="349">
        <v>0</v>
      </c>
      <c r="J409" s="349">
        <v>0</v>
      </c>
      <c r="K409" s="349">
        <v>0</v>
      </c>
      <c r="L409" s="349">
        <v>0</v>
      </c>
      <c r="M409" s="349">
        <v>0</v>
      </c>
      <c r="N409" s="349">
        <v>0</v>
      </c>
      <c r="O409" s="349">
        <v>0</v>
      </c>
      <c r="P409" s="349">
        <v>0</v>
      </c>
      <c r="Q409" s="349">
        <v>0</v>
      </c>
      <c r="R409" s="349">
        <v>0</v>
      </c>
      <c r="S409" s="349">
        <v>0</v>
      </c>
      <c r="T409" s="349">
        <v>0</v>
      </c>
      <c r="U409" s="349">
        <v>0</v>
      </c>
      <c r="V409" s="349">
        <v>0</v>
      </c>
      <c r="W409" s="349">
        <v>0</v>
      </c>
      <c r="X409" s="349">
        <v>0</v>
      </c>
      <c r="Y409" s="349">
        <v>0</v>
      </c>
      <c r="Z409" s="349">
        <v>0</v>
      </c>
      <c r="AA409" s="349">
        <v>0</v>
      </c>
      <c r="AB409" s="349">
        <v>0</v>
      </c>
      <c r="AC409" s="349">
        <v>0</v>
      </c>
      <c r="AD409" s="349">
        <v>0</v>
      </c>
      <c r="AE409" s="349">
        <v>0</v>
      </c>
      <c r="AF409" s="349">
        <v>0</v>
      </c>
      <c r="AG409" s="349">
        <v>0</v>
      </c>
      <c r="AH409" s="349">
        <v>0</v>
      </c>
      <c r="AI409" s="349">
        <v>0</v>
      </c>
      <c r="AJ409" s="349">
        <v>0</v>
      </c>
      <c r="AK409" s="349">
        <v>0</v>
      </c>
      <c r="AL409" s="619"/>
      <c r="AM409" s="8"/>
    </row>
    <row r="410" spans="1:39" ht="14.25" customHeight="1">
      <c r="A410" s="619"/>
      <c r="B410" s="253"/>
      <c r="C410" s="258" t="s">
        <v>202</v>
      </c>
      <c r="D410" s="259" t="s">
        <v>201</v>
      </c>
      <c r="E410" s="270">
        <f t="shared" ref="E410:H410" si="101">ROUND(IFERROR(E312/($E$347*0.0036*E68*$F$347),0),4)</f>
        <v>0.20250000000000001</v>
      </c>
      <c r="F410" s="270">
        <f t="shared" si="101"/>
        <v>0.23860000000000001</v>
      </c>
      <c r="G410" s="270">
        <f t="shared" si="101"/>
        <v>0.20830000000000001</v>
      </c>
      <c r="H410" s="270">
        <f t="shared" si="101"/>
        <v>0.23</v>
      </c>
      <c r="I410" s="349">
        <v>0.2</v>
      </c>
      <c r="J410" s="349">
        <v>0.2</v>
      </c>
      <c r="K410" s="349">
        <v>0.2</v>
      </c>
      <c r="L410" s="349">
        <v>0.2</v>
      </c>
      <c r="M410" s="349">
        <v>0.2</v>
      </c>
      <c r="N410" s="349">
        <v>0.2</v>
      </c>
      <c r="O410" s="349">
        <v>0.2</v>
      </c>
      <c r="P410" s="349">
        <v>0.2</v>
      </c>
      <c r="Q410" s="349">
        <v>0.2</v>
      </c>
      <c r="R410" s="349">
        <v>0.2</v>
      </c>
      <c r="S410" s="349">
        <v>0.2</v>
      </c>
      <c r="T410" s="349">
        <v>0.2</v>
      </c>
      <c r="U410" s="349">
        <v>0.2</v>
      </c>
      <c r="V410" s="349">
        <v>0.2</v>
      </c>
      <c r="W410" s="349">
        <v>0.2</v>
      </c>
      <c r="X410" s="349">
        <v>0.2</v>
      </c>
      <c r="Y410" s="349">
        <v>0.2</v>
      </c>
      <c r="Z410" s="349">
        <v>0.2</v>
      </c>
      <c r="AA410" s="349">
        <v>0.2</v>
      </c>
      <c r="AB410" s="349">
        <v>0.2</v>
      </c>
      <c r="AC410" s="349">
        <v>0.2</v>
      </c>
      <c r="AD410" s="349">
        <v>0.2</v>
      </c>
      <c r="AE410" s="349">
        <v>0.2</v>
      </c>
      <c r="AF410" s="349">
        <v>0.2</v>
      </c>
      <c r="AG410" s="349">
        <v>0.2</v>
      </c>
      <c r="AH410" s="349">
        <v>0.2</v>
      </c>
      <c r="AI410" s="349">
        <v>0.2</v>
      </c>
      <c r="AJ410" s="349">
        <v>0.2</v>
      </c>
      <c r="AK410" s="349">
        <v>0.2</v>
      </c>
      <c r="AL410" s="619"/>
      <c r="AM410" s="8"/>
    </row>
    <row r="411" spans="1:39" ht="14.25" customHeight="1">
      <c r="A411" s="619"/>
      <c r="B411" s="253"/>
      <c r="C411" s="258"/>
      <c r="D411" s="285" t="s">
        <v>203</v>
      </c>
      <c r="E411" s="336">
        <f t="shared" ref="E411:H411" si="102">ROUND(IFERROR(E313/($E$347*0.0036*E69*$F$347),0),4)</f>
        <v>0</v>
      </c>
      <c r="F411" s="336">
        <f t="shared" si="102"/>
        <v>0</v>
      </c>
      <c r="G411" s="336">
        <f t="shared" si="102"/>
        <v>0</v>
      </c>
      <c r="H411" s="336">
        <f t="shared" si="102"/>
        <v>0</v>
      </c>
      <c r="I411" s="349">
        <v>0</v>
      </c>
      <c r="J411" s="349">
        <v>0</v>
      </c>
      <c r="K411" s="349">
        <v>0</v>
      </c>
      <c r="L411" s="349">
        <v>0</v>
      </c>
      <c r="M411" s="349">
        <v>0</v>
      </c>
      <c r="N411" s="349">
        <v>0</v>
      </c>
      <c r="O411" s="349">
        <v>0</v>
      </c>
      <c r="P411" s="349">
        <v>0</v>
      </c>
      <c r="Q411" s="349">
        <v>0</v>
      </c>
      <c r="R411" s="349">
        <v>0</v>
      </c>
      <c r="S411" s="349">
        <v>0</v>
      </c>
      <c r="T411" s="349">
        <v>0</v>
      </c>
      <c r="U411" s="349">
        <v>0</v>
      </c>
      <c r="V411" s="349">
        <v>0</v>
      </c>
      <c r="W411" s="349">
        <v>0</v>
      </c>
      <c r="X411" s="349">
        <v>0</v>
      </c>
      <c r="Y411" s="349">
        <v>0</v>
      </c>
      <c r="Z411" s="349">
        <v>0</v>
      </c>
      <c r="AA411" s="349">
        <v>0</v>
      </c>
      <c r="AB411" s="349">
        <v>0</v>
      </c>
      <c r="AC411" s="349">
        <v>0</v>
      </c>
      <c r="AD411" s="349">
        <v>0</v>
      </c>
      <c r="AE411" s="349">
        <v>0</v>
      </c>
      <c r="AF411" s="349">
        <v>0</v>
      </c>
      <c r="AG411" s="349">
        <v>0</v>
      </c>
      <c r="AH411" s="349">
        <v>0</v>
      </c>
      <c r="AI411" s="349">
        <v>0</v>
      </c>
      <c r="AJ411" s="349">
        <v>0</v>
      </c>
      <c r="AK411" s="349">
        <v>0</v>
      </c>
      <c r="AL411" s="619"/>
      <c r="AM411" s="8"/>
    </row>
    <row r="412" spans="1:39" ht="14.25" customHeight="1">
      <c r="A412" s="619"/>
      <c r="B412" s="253"/>
      <c r="C412" s="258" t="s">
        <v>204</v>
      </c>
      <c r="D412" s="259" t="s">
        <v>205</v>
      </c>
      <c r="E412" s="338">
        <f t="shared" ref="E412:H412" si="103">ROUND(IFERROR(E314/($E$347*0.0036*E70*$F$347),0),4)</f>
        <v>0.54430000000000001</v>
      </c>
      <c r="F412" s="338">
        <f t="shared" si="103"/>
        <v>0.5363</v>
      </c>
      <c r="G412" s="339">
        <f t="shared" si="103"/>
        <v>0.51929999999999998</v>
      </c>
      <c r="H412" s="339">
        <f t="shared" si="103"/>
        <v>0.48199999999999998</v>
      </c>
      <c r="I412" s="349">
        <v>0.54</v>
      </c>
      <c r="J412" s="349">
        <v>0.54</v>
      </c>
      <c r="K412" s="349">
        <v>0.54</v>
      </c>
      <c r="L412" s="349">
        <v>0.54</v>
      </c>
      <c r="M412" s="349">
        <v>0.54</v>
      </c>
      <c r="N412" s="349">
        <v>0.54</v>
      </c>
      <c r="O412" s="349">
        <v>0.54</v>
      </c>
      <c r="P412" s="349">
        <v>0.54</v>
      </c>
      <c r="Q412" s="349">
        <v>0.54</v>
      </c>
      <c r="R412" s="349">
        <v>0.54</v>
      </c>
      <c r="S412" s="349">
        <v>0.54</v>
      </c>
      <c r="T412" s="349">
        <v>0.54</v>
      </c>
      <c r="U412" s="349">
        <v>0.54</v>
      </c>
      <c r="V412" s="349">
        <v>0.54</v>
      </c>
      <c r="W412" s="349">
        <v>0.54</v>
      </c>
      <c r="X412" s="349">
        <v>0.54</v>
      </c>
      <c r="Y412" s="349">
        <v>0.54</v>
      </c>
      <c r="Z412" s="349">
        <v>0.54</v>
      </c>
      <c r="AA412" s="349">
        <v>0.54</v>
      </c>
      <c r="AB412" s="349">
        <v>0.54</v>
      </c>
      <c r="AC412" s="349">
        <v>0.54</v>
      </c>
      <c r="AD412" s="349">
        <v>0.54</v>
      </c>
      <c r="AE412" s="349">
        <v>0.54</v>
      </c>
      <c r="AF412" s="349">
        <v>0.54</v>
      </c>
      <c r="AG412" s="349">
        <v>0.54</v>
      </c>
      <c r="AH412" s="349">
        <v>0.54</v>
      </c>
      <c r="AI412" s="349">
        <v>0.54</v>
      </c>
      <c r="AJ412" s="349">
        <v>0.54</v>
      </c>
      <c r="AK412" s="349">
        <v>0.54</v>
      </c>
      <c r="AL412" s="619"/>
      <c r="AM412" s="8"/>
    </row>
    <row r="413" spans="1:39" ht="14.25" customHeight="1">
      <c r="A413" s="619"/>
      <c r="B413" s="253"/>
      <c r="C413" s="258" t="s">
        <v>206</v>
      </c>
      <c r="D413" s="259" t="s">
        <v>201</v>
      </c>
      <c r="E413" s="338">
        <f t="shared" ref="E413:H413" si="104">ROUND(IFERROR(E315/($E$347*0.0036*E71*$F$347),0),4)</f>
        <v>0.21249999999999999</v>
      </c>
      <c r="F413" s="338">
        <f t="shared" si="104"/>
        <v>0.2606</v>
      </c>
      <c r="G413" s="340">
        <f t="shared" si="104"/>
        <v>0.24740000000000001</v>
      </c>
      <c r="H413" s="338">
        <f t="shared" si="104"/>
        <v>0.2621</v>
      </c>
      <c r="I413" s="351">
        <f t="shared" ref="I413:AK413" si="105">AVERAGE(E413:H413)</f>
        <v>0.24564999999999998</v>
      </c>
      <c r="J413" s="351">
        <f t="shared" si="105"/>
        <v>0.25393749999999998</v>
      </c>
      <c r="K413" s="352">
        <f t="shared" si="105"/>
        <v>0.25227187499999998</v>
      </c>
      <c r="L413" s="351">
        <f t="shared" si="105"/>
        <v>0.25348984374999994</v>
      </c>
      <c r="M413" s="351">
        <f t="shared" si="105"/>
        <v>0.25133730468749998</v>
      </c>
      <c r="N413" s="351">
        <f t="shared" si="105"/>
        <v>0.25275913085937496</v>
      </c>
      <c r="O413" s="352">
        <f t="shared" si="105"/>
        <v>0.25246453857421869</v>
      </c>
      <c r="P413" s="351">
        <f t="shared" si="105"/>
        <v>0.25251270446777341</v>
      </c>
      <c r="Q413" s="351">
        <f t="shared" si="105"/>
        <v>0.25226841964721675</v>
      </c>
      <c r="R413" s="351">
        <f t="shared" si="105"/>
        <v>0.25250119838714596</v>
      </c>
      <c r="S413" s="352">
        <f t="shared" si="105"/>
        <v>0.25243671526908867</v>
      </c>
      <c r="T413" s="351">
        <f t="shared" si="105"/>
        <v>0.25242975944280621</v>
      </c>
      <c r="U413" s="351">
        <f t="shared" si="105"/>
        <v>0.25240902318656439</v>
      </c>
      <c r="V413" s="351">
        <f t="shared" si="105"/>
        <v>0.25244417407140129</v>
      </c>
      <c r="W413" s="352">
        <f t="shared" si="105"/>
        <v>0.25242991799246517</v>
      </c>
      <c r="X413" s="351">
        <f t="shared" si="105"/>
        <v>0.25242821867330922</v>
      </c>
      <c r="Y413" s="351">
        <f t="shared" si="105"/>
        <v>0.252427833480935</v>
      </c>
      <c r="Z413" s="351">
        <f t="shared" si="105"/>
        <v>0.25243253605452765</v>
      </c>
      <c r="AA413" s="352">
        <f t="shared" si="105"/>
        <v>0.25242962655030926</v>
      </c>
      <c r="AB413" s="351">
        <f t="shared" si="105"/>
        <v>0.25242955368977027</v>
      </c>
      <c r="AC413" s="351">
        <f t="shared" si="105"/>
        <v>0.25242988744388556</v>
      </c>
      <c r="AD413" s="351">
        <f t="shared" si="105"/>
        <v>0.25243040093462316</v>
      </c>
      <c r="AE413" s="352">
        <f t="shared" si="105"/>
        <v>0.25242986715464705</v>
      </c>
      <c r="AF413" s="351">
        <f t="shared" si="105"/>
        <v>0.25242992730573149</v>
      </c>
      <c r="AG413" s="351">
        <f t="shared" si="105"/>
        <v>0.25243002070972181</v>
      </c>
      <c r="AH413" s="351">
        <f t="shared" si="105"/>
        <v>0.25243005402618091</v>
      </c>
      <c r="AI413" s="352">
        <f t="shared" si="105"/>
        <v>0.2524299672990703</v>
      </c>
      <c r="AJ413" s="351">
        <f t="shared" si="105"/>
        <v>0.25242999233517616</v>
      </c>
      <c r="AK413" s="351">
        <f t="shared" si="105"/>
        <v>0.25243000859253728</v>
      </c>
      <c r="AL413" s="619"/>
      <c r="AM413" s="8"/>
    </row>
    <row r="414" spans="1:39" ht="14.25" customHeight="1">
      <c r="A414" s="619"/>
      <c r="B414" s="253"/>
      <c r="C414" s="258" t="s">
        <v>207</v>
      </c>
      <c r="D414" s="259" t="s">
        <v>208</v>
      </c>
      <c r="E414" s="338">
        <f t="shared" ref="E414:H414" si="106">ROUND(IFERROR(E316/($E$347*0.0036*E72*$F$347),0),4)</f>
        <v>0.59689999999999999</v>
      </c>
      <c r="F414" s="338">
        <f t="shared" si="106"/>
        <v>0.55130000000000001</v>
      </c>
      <c r="G414" s="338">
        <f t="shared" si="106"/>
        <v>0.57899999999999996</v>
      </c>
      <c r="H414" s="338">
        <f t="shared" si="106"/>
        <v>0.59189999999999998</v>
      </c>
      <c r="I414" s="349">
        <v>0.6</v>
      </c>
      <c r="J414" s="349">
        <v>0.6</v>
      </c>
      <c r="K414" s="349">
        <v>0.6</v>
      </c>
      <c r="L414" s="349">
        <v>0.6</v>
      </c>
      <c r="M414" s="349">
        <v>0.6</v>
      </c>
      <c r="N414" s="349">
        <v>0.6</v>
      </c>
      <c r="O414" s="349">
        <v>0.6</v>
      </c>
      <c r="P414" s="349">
        <v>0.6</v>
      </c>
      <c r="Q414" s="349">
        <v>0.6</v>
      </c>
      <c r="R414" s="349">
        <v>0.6</v>
      </c>
      <c r="S414" s="349">
        <v>0.6</v>
      </c>
      <c r="T414" s="349">
        <v>0.6</v>
      </c>
      <c r="U414" s="349">
        <v>0.6</v>
      </c>
      <c r="V414" s="349">
        <v>0.6</v>
      </c>
      <c r="W414" s="349">
        <v>0.6</v>
      </c>
      <c r="X414" s="349">
        <v>0.6</v>
      </c>
      <c r="Y414" s="349">
        <v>0.6</v>
      </c>
      <c r="Z414" s="349">
        <v>0.6</v>
      </c>
      <c r="AA414" s="349">
        <v>0.6</v>
      </c>
      <c r="AB414" s="349">
        <v>0.6</v>
      </c>
      <c r="AC414" s="349">
        <v>0.6</v>
      </c>
      <c r="AD414" s="349">
        <v>0.6</v>
      </c>
      <c r="AE414" s="349">
        <v>0.6</v>
      </c>
      <c r="AF414" s="349">
        <v>0.6</v>
      </c>
      <c r="AG414" s="349">
        <v>0.6</v>
      </c>
      <c r="AH414" s="349">
        <v>0.6</v>
      </c>
      <c r="AI414" s="349">
        <v>0.6</v>
      </c>
      <c r="AJ414" s="349">
        <v>0.6</v>
      </c>
      <c r="AK414" s="349">
        <v>0.6</v>
      </c>
      <c r="AL414" s="619"/>
      <c r="AM414" s="8"/>
    </row>
    <row r="415" spans="1:39" ht="14.25" customHeight="1">
      <c r="A415" s="619"/>
      <c r="B415" s="253"/>
      <c r="C415" s="258" t="s">
        <v>209</v>
      </c>
      <c r="D415" s="259" t="s">
        <v>210</v>
      </c>
      <c r="E415" s="338">
        <f t="shared" ref="E415:H415" si="107">ROUND(IFERROR(E317/($E$347*0.0036*E73*$F$347),0),4)</f>
        <v>0.37669999999999998</v>
      </c>
      <c r="F415" s="338">
        <f t="shared" si="107"/>
        <v>0.34789999999999999</v>
      </c>
      <c r="G415" s="339">
        <f t="shared" si="107"/>
        <v>0.33389999999999997</v>
      </c>
      <c r="H415" s="339">
        <f t="shared" si="107"/>
        <v>0.37369999999999998</v>
      </c>
      <c r="I415" s="349">
        <v>0.38</v>
      </c>
      <c r="J415" s="349">
        <v>0.38</v>
      </c>
      <c r="K415" s="349">
        <v>0.38</v>
      </c>
      <c r="L415" s="349">
        <v>0.38</v>
      </c>
      <c r="M415" s="349">
        <v>0.38</v>
      </c>
      <c r="N415" s="349">
        <v>0.38</v>
      </c>
      <c r="O415" s="349">
        <v>0.38</v>
      </c>
      <c r="P415" s="349">
        <v>0.38</v>
      </c>
      <c r="Q415" s="349">
        <v>0.38</v>
      </c>
      <c r="R415" s="349">
        <v>0.38</v>
      </c>
      <c r="S415" s="349">
        <v>0.38</v>
      </c>
      <c r="T415" s="349">
        <v>0.38</v>
      </c>
      <c r="U415" s="349">
        <v>0.38</v>
      </c>
      <c r="V415" s="349">
        <v>0.38</v>
      </c>
      <c r="W415" s="349">
        <v>0.38</v>
      </c>
      <c r="X415" s="349">
        <v>0.38</v>
      </c>
      <c r="Y415" s="349">
        <v>0.38</v>
      </c>
      <c r="Z415" s="349">
        <v>0.38</v>
      </c>
      <c r="AA415" s="349">
        <v>0.38</v>
      </c>
      <c r="AB415" s="349">
        <v>0.38</v>
      </c>
      <c r="AC415" s="349">
        <v>0.38</v>
      </c>
      <c r="AD415" s="349">
        <v>0.38</v>
      </c>
      <c r="AE415" s="349">
        <v>0.38</v>
      </c>
      <c r="AF415" s="349">
        <v>0.38</v>
      </c>
      <c r="AG415" s="349">
        <v>0.38</v>
      </c>
      <c r="AH415" s="349">
        <v>0.38</v>
      </c>
      <c r="AI415" s="349">
        <v>0.38</v>
      </c>
      <c r="AJ415" s="349">
        <v>0.38</v>
      </c>
      <c r="AK415" s="349">
        <v>0.38</v>
      </c>
      <c r="AL415" s="619"/>
      <c r="AM415" s="8"/>
    </row>
    <row r="416" spans="1:39" ht="14.25" customHeight="1">
      <c r="A416" s="619"/>
      <c r="B416" s="253"/>
      <c r="C416" s="258"/>
      <c r="D416" s="266" t="s">
        <v>153</v>
      </c>
      <c r="E416" s="341">
        <f t="shared" ref="E416:H416" si="108">ROUND(IFERROR(E318/($E$347*0.0036*E74*$F$347),0),4)</f>
        <v>0.37790000000000001</v>
      </c>
      <c r="F416" s="341">
        <f t="shared" si="108"/>
        <v>0.3523</v>
      </c>
      <c r="G416" s="341">
        <f t="shared" si="108"/>
        <v>0.32450000000000001</v>
      </c>
      <c r="H416" s="341">
        <f t="shared" si="108"/>
        <v>0.30709999999999998</v>
      </c>
      <c r="I416" s="349">
        <v>0.38</v>
      </c>
      <c r="J416" s="349">
        <v>0.38</v>
      </c>
      <c r="K416" s="349">
        <v>0.38</v>
      </c>
      <c r="L416" s="349">
        <v>0.38</v>
      </c>
      <c r="M416" s="349">
        <v>0.38</v>
      </c>
      <c r="N416" s="349">
        <v>0.38</v>
      </c>
      <c r="O416" s="349">
        <v>0.38</v>
      </c>
      <c r="P416" s="349">
        <v>0.38</v>
      </c>
      <c r="Q416" s="349">
        <v>0.38</v>
      </c>
      <c r="R416" s="349">
        <v>0.38</v>
      </c>
      <c r="S416" s="349">
        <v>0.38</v>
      </c>
      <c r="T416" s="349">
        <v>0.38</v>
      </c>
      <c r="U416" s="349">
        <v>0.38</v>
      </c>
      <c r="V416" s="349">
        <v>0.38</v>
      </c>
      <c r="W416" s="349">
        <v>0.38</v>
      </c>
      <c r="X416" s="349">
        <v>0.38</v>
      </c>
      <c r="Y416" s="349">
        <v>0.38</v>
      </c>
      <c r="Z416" s="349">
        <v>0.38</v>
      </c>
      <c r="AA416" s="349">
        <v>0.38</v>
      </c>
      <c r="AB416" s="349">
        <v>0.38</v>
      </c>
      <c r="AC416" s="349">
        <v>0.38</v>
      </c>
      <c r="AD416" s="349">
        <v>0.38</v>
      </c>
      <c r="AE416" s="349">
        <v>0.38</v>
      </c>
      <c r="AF416" s="349">
        <v>0.38</v>
      </c>
      <c r="AG416" s="349">
        <v>0.38</v>
      </c>
      <c r="AH416" s="349">
        <v>0.38</v>
      </c>
      <c r="AI416" s="349">
        <v>0.38</v>
      </c>
      <c r="AJ416" s="349">
        <v>0.38</v>
      </c>
      <c r="AK416" s="349">
        <v>0.38</v>
      </c>
      <c r="AL416" s="619"/>
      <c r="AM416" s="8"/>
    </row>
    <row r="417" spans="1:39" ht="14.25" customHeight="1">
      <c r="A417" s="619"/>
      <c r="B417" s="253"/>
      <c r="C417" s="258"/>
      <c r="D417" s="285" t="s">
        <v>203</v>
      </c>
      <c r="E417" s="342">
        <f t="shared" ref="E417:H417" si="109">ROUND(IFERROR(E319/($E$347*0.0036*E75*$F$347),0),4)</f>
        <v>0</v>
      </c>
      <c r="F417" s="342">
        <f t="shared" si="109"/>
        <v>0</v>
      </c>
      <c r="G417" s="342">
        <f t="shared" si="109"/>
        <v>0</v>
      </c>
      <c r="H417" s="342">
        <f t="shared" si="109"/>
        <v>0</v>
      </c>
      <c r="I417" s="349">
        <v>0</v>
      </c>
      <c r="J417" s="349">
        <v>0</v>
      </c>
      <c r="K417" s="349">
        <v>0</v>
      </c>
      <c r="L417" s="349">
        <v>0</v>
      </c>
      <c r="M417" s="349">
        <v>0</v>
      </c>
      <c r="N417" s="349">
        <v>0</v>
      </c>
      <c r="O417" s="349">
        <v>0</v>
      </c>
      <c r="P417" s="349">
        <v>0</v>
      </c>
      <c r="Q417" s="349">
        <v>0</v>
      </c>
      <c r="R417" s="349">
        <v>0</v>
      </c>
      <c r="S417" s="349">
        <v>0</v>
      </c>
      <c r="T417" s="349">
        <v>0</v>
      </c>
      <c r="U417" s="349">
        <v>0</v>
      </c>
      <c r="V417" s="349">
        <v>0</v>
      </c>
      <c r="W417" s="349">
        <v>0</v>
      </c>
      <c r="X417" s="349">
        <v>0</v>
      </c>
      <c r="Y417" s="349">
        <v>0</v>
      </c>
      <c r="Z417" s="349">
        <v>0</v>
      </c>
      <c r="AA417" s="349">
        <v>0</v>
      </c>
      <c r="AB417" s="349">
        <v>0</v>
      </c>
      <c r="AC417" s="349">
        <v>0</v>
      </c>
      <c r="AD417" s="349">
        <v>0</v>
      </c>
      <c r="AE417" s="349">
        <v>0</v>
      </c>
      <c r="AF417" s="349">
        <v>0</v>
      </c>
      <c r="AG417" s="349">
        <v>0</v>
      </c>
      <c r="AH417" s="349">
        <v>0</v>
      </c>
      <c r="AI417" s="349">
        <v>0</v>
      </c>
      <c r="AJ417" s="349">
        <v>0</v>
      </c>
      <c r="AK417" s="349">
        <v>0</v>
      </c>
      <c r="AL417" s="619"/>
      <c r="AM417" s="8"/>
    </row>
    <row r="418" spans="1:39" ht="14.25" customHeight="1">
      <c r="A418" s="619"/>
      <c r="B418" s="253"/>
      <c r="C418" s="258" t="s">
        <v>211</v>
      </c>
      <c r="D418" s="259" t="s">
        <v>201</v>
      </c>
      <c r="E418" s="39">
        <f t="shared" ref="E418:H418" si="110">ROUND(IFERROR(E320/($E$347*0.0036*E76*$F$347),0),4)</f>
        <v>0.37390000000000001</v>
      </c>
      <c r="F418" s="39">
        <f t="shared" si="110"/>
        <v>0.36699999999999999</v>
      </c>
      <c r="G418" s="40">
        <f t="shared" si="110"/>
        <v>0.32700000000000001</v>
      </c>
      <c r="H418" s="41">
        <f t="shared" si="110"/>
        <v>0.33350000000000002</v>
      </c>
      <c r="I418" s="349">
        <v>0.37</v>
      </c>
      <c r="J418" s="349">
        <v>0.37</v>
      </c>
      <c r="K418" s="349">
        <v>0.37</v>
      </c>
      <c r="L418" s="349">
        <v>0.37</v>
      </c>
      <c r="M418" s="349">
        <v>0.37</v>
      </c>
      <c r="N418" s="349">
        <v>0.37</v>
      </c>
      <c r="O418" s="349">
        <v>0.37</v>
      </c>
      <c r="P418" s="349">
        <v>0.37</v>
      </c>
      <c r="Q418" s="349">
        <v>0.37</v>
      </c>
      <c r="R418" s="349">
        <v>0.37</v>
      </c>
      <c r="S418" s="349">
        <v>0.37</v>
      </c>
      <c r="T418" s="349">
        <v>0.37</v>
      </c>
      <c r="U418" s="349">
        <v>0.37</v>
      </c>
      <c r="V418" s="349">
        <v>0.37</v>
      </c>
      <c r="W418" s="349">
        <v>0.37</v>
      </c>
      <c r="X418" s="349">
        <v>0.37</v>
      </c>
      <c r="Y418" s="349">
        <v>0.37</v>
      </c>
      <c r="Z418" s="349">
        <v>0.37</v>
      </c>
      <c r="AA418" s="349">
        <v>0.37</v>
      </c>
      <c r="AB418" s="349">
        <v>0.37</v>
      </c>
      <c r="AC418" s="349">
        <v>0.37</v>
      </c>
      <c r="AD418" s="349">
        <v>0.37</v>
      </c>
      <c r="AE418" s="349">
        <v>0.37</v>
      </c>
      <c r="AF418" s="349">
        <v>0.37</v>
      </c>
      <c r="AG418" s="349">
        <v>0.37</v>
      </c>
      <c r="AH418" s="349">
        <v>0.37</v>
      </c>
      <c r="AI418" s="349">
        <v>0.37</v>
      </c>
      <c r="AJ418" s="349">
        <v>0.37</v>
      </c>
      <c r="AK418" s="349">
        <v>0.37</v>
      </c>
      <c r="AL418" s="619"/>
      <c r="AM418" s="8"/>
    </row>
    <row r="419" spans="1:39" ht="14.25" customHeight="1">
      <c r="A419" s="619"/>
      <c r="B419" s="253"/>
      <c r="C419" s="258" t="s">
        <v>212</v>
      </c>
      <c r="D419" s="259" t="s">
        <v>210</v>
      </c>
      <c r="E419" s="39">
        <f t="shared" ref="E419:H419" si="111">ROUND(IFERROR(E321/($E$347*0.0036*E77*$F$347),0),4)</f>
        <v>0.38979999999999998</v>
      </c>
      <c r="F419" s="39">
        <f t="shared" si="111"/>
        <v>0.35499999999999998</v>
      </c>
      <c r="G419" s="40">
        <f t="shared" si="111"/>
        <v>0.33960000000000001</v>
      </c>
      <c r="H419" s="42">
        <f t="shared" si="111"/>
        <v>0.30680000000000002</v>
      </c>
      <c r="I419" s="349">
        <v>0.39</v>
      </c>
      <c r="J419" s="349">
        <v>0.39</v>
      </c>
      <c r="K419" s="349">
        <v>0.39</v>
      </c>
      <c r="L419" s="349">
        <v>0.39</v>
      </c>
      <c r="M419" s="349">
        <v>0.39</v>
      </c>
      <c r="N419" s="349">
        <v>0.39</v>
      </c>
      <c r="O419" s="349">
        <v>0.39</v>
      </c>
      <c r="P419" s="349">
        <v>0.39</v>
      </c>
      <c r="Q419" s="349">
        <v>0.39</v>
      </c>
      <c r="R419" s="349">
        <v>0.39</v>
      </c>
      <c r="S419" s="349">
        <v>0.39</v>
      </c>
      <c r="T419" s="349">
        <v>0.39</v>
      </c>
      <c r="U419" s="349">
        <v>0.39</v>
      </c>
      <c r="V419" s="349">
        <v>0.39</v>
      </c>
      <c r="W419" s="349">
        <v>0.39</v>
      </c>
      <c r="X419" s="349">
        <v>0.39</v>
      </c>
      <c r="Y419" s="349">
        <v>0.39</v>
      </c>
      <c r="Z419" s="349">
        <v>0.39</v>
      </c>
      <c r="AA419" s="349">
        <v>0.39</v>
      </c>
      <c r="AB419" s="349">
        <v>0.39</v>
      </c>
      <c r="AC419" s="349">
        <v>0.39</v>
      </c>
      <c r="AD419" s="349">
        <v>0.39</v>
      </c>
      <c r="AE419" s="349">
        <v>0.39</v>
      </c>
      <c r="AF419" s="349">
        <v>0.39</v>
      </c>
      <c r="AG419" s="349">
        <v>0.39</v>
      </c>
      <c r="AH419" s="349">
        <v>0.39</v>
      </c>
      <c r="AI419" s="349">
        <v>0.39</v>
      </c>
      <c r="AJ419" s="349">
        <v>0.39</v>
      </c>
      <c r="AK419" s="349">
        <v>0.39</v>
      </c>
      <c r="AL419" s="619"/>
      <c r="AM419" s="8"/>
    </row>
    <row r="420" spans="1:39" ht="14.25" customHeight="1">
      <c r="A420" s="619"/>
      <c r="B420" s="253"/>
      <c r="C420" s="258" t="s">
        <v>213</v>
      </c>
      <c r="D420" s="259" t="s">
        <v>205</v>
      </c>
      <c r="E420" s="39">
        <f t="shared" ref="E420:H420" si="112">ROUND(IFERROR(E322/($E$347*0.0036*E78*$F$347),0),4)</f>
        <v>0.30830000000000002</v>
      </c>
      <c r="F420" s="39">
        <f t="shared" si="112"/>
        <v>0.18010000000000001</v>
      </c>
      <c r="G420" s="40">
        <f t="shared" si="112"/>
        <v>0.16</v>
      </c>
      <c r="H420" s="42">
        <f t="shared" si="112"/>
        <v>4.6600000000000003E-2</v>
      </c>
      <c r="I420" s="349">
        <v>0.31</v>
      </c>
      <c r="J420" s="349">
        <v>0.31</v>
      </c>
      <c r="K420" s="349">
        <v>0.31</v>
      </c>
      <c r="L420" s="349">
        <v>0.31</v>
      </c>
      <c r="M420" s="349">
        <v>0.31</v>
      </c>
      <c r="N420" s="349">
        <v>0.31</v>
      </c>
      <c r="O420" s="349">
        <v>0.31</v>
      </c>
      <c r="P420" s="349">
        <v>0.31</v>
      </c>
      <c r="Q420" s="349">
        <v>0.31</v>
      </c>
      <c r="R420" s="349">
        <v>0.31</v>
      </c>
      <c r="S420" s="349">
        <v>0.31</v>
      </c>
      <c r="T420" s="349">
        <v>0.31</v>
      </c>
      <c r="U420" s="349">
        <v>0.31</v>
      </c>
      <c r="V420" s="349">
        <v>0.31</v>
      </c>
      <c r="W420" s="349">
        <v>0.31</v>
      </c>
      <c r="X420" s="349">
        <v>0.31</v>
      </c>
      <c r="Y420" s="349">
        <v>0.31</v>
      </c>
      <c r="Z420" s="349">
        <v>0.31</v>
      </c>
      <c r="AA420" s="349">
        <v>0.31</v>
      </c>
      <c r="AB420" s="349">
        <v>0.31</v>
      </c>
      <c r="AC420" s="349">
        <v>0.31</v>
      </c>
      <c r="AD420" s="349">
        <v>0.31</v>
      </c>
      <c r="AE420" s="349">
        <v>0.31</v>
      </c>
      <c r="AF420" s="349">
        <v>0.31</v>
      </c>
      <c r="AG420" s="349">
        <v>0.31</v>
      </c>
      <c r="AH420" s="349">
        <v>0.31</v>
      </c>
      <c r="AI420" s="349">
        <v>0.31</v>
      </c>
      <c r="AJ420" s="349">
        <v>0.31</v>
      </c>
      <c r="AK420" s="349">
        <v>0.31</v>
      </c>
      <c r="AL420" s="619"/>
      <c r="AM420" s="8"/>
    </row>
    <row r="421" spans="1:39" ht="14.25" customHeight="1">
      <c r="A421" s="619"/>
      <c r="B421" s="253"/>
      <c r="C421" s="258"/>
      <c r="D421" s="266" t="s">
        <v>158</v>
      </c>
      <c r="E421" s="267">
        <f t="shared" ref="E421:H421" si="113">ROUND(IFERROR(E323/($E$347*0.0036*E79*$F$347),0),4)</f>
        <v>0.2225</v>
      </c>
      <c r="F421" s="267">
        <f t="shared" si="113"/>
        <v>0.2082</v>
      </c>
      <c r="G421" s="267">
        <f t="shared" si="113"/>
        <v>3.8899999999999997E-2</v>
      </c>
      <c r="H421" s="267">
        <f t="shared" si="113"/>
        <v>0.21529999999999999</v>
      </c>
      <c r="I421" s="349">
        <v>0.22</v>
      </c>
      <c r="J421" s="349">
        <v>0.22</v>
      </c>
      <c r="K421" s="349">
        <v>0.22</v>
      </c>
      <c r="L421" s="349">
        <v>0.22</v>
      </c>
      <c r="M421" s="349">
        <v>0.22</v>
      </c>
      <c r="N421" s="349">
        <v>0.22</v>
      </c>
      <c r="O421" s="349">
        <v>0.22</v>
      </c>
      <c r="P421" s="349">
        <v>0.22</v>
      </c>
      <c r="Q421" s="349">
        <v>0.22</v>
      </c>
      <c r="R421" s="349">
        <v>0.22</v>
      </c>
      <c r="S421" s="349">
        <v>0.22</v>
      </c>
      <c r="T421" s="349">
        <v>0.22</v>
      </c>
      <c r="U421" s="349">
        <v>0.22</v>
      </c>
      <c r="V421" s="349">
        <v>0.22</v>
      </c>
      <c r="W421" s="349">
        <v>0.22</v>
      </c>
      <c r="X421" s="349">
        <v>0.22</v>
      </c>
      <c r="Y421" s="349">
        <v>0.22</v>
      </c>
      <c r="Z421" s="349">
        <v>0.22</v>
      </c>
      <c r="AA421" s="349">
        <v>0.22</v>
      </c>
      <c r="AB421" s="349">
        <v>0.22</v>
      </c>
      <c r="AC421" s="349">
        <v>0.22</v>
      </c>
      <c r="AD421" s="349">
        <v>0.22</v>
      </c>
      <c r="AE421" s="349">
        <v>0.22</v>
      </c>
      <c r="AF421" s="349">
        <v>0.22</v>
      </c>
      <c r="AG421" s="349">
        <v>0.22</v>
      </c>
      <c r="AH421" s="349">
        <v>0.22</v>
      </c>
      <c r="AI421" s="349">
        <v>0.22</v>
      </c>
      <c r="AJ421" s="349">
        <v>0.22</v>
      </c>
      <c r="AK421" s="349">
        <v>0.22</v>
      </c>
      <c r="AL421" s="619"/>
      <c r="AM421" s="8"/>
    </row>
    <row r="422" spans="1:39" ht="14.25" customHeight="1">
      <c r="A422" s="619"/>
      <c r="B422" s="253"/>
      <c r="C422" s="258"/>
      <c r="D422" s="285" t="s">
        <v>190</v>
      </c>
      <c r="E422" s="336">
        <f t="shared" ref="E422:H422" si="114">ROUND(IFERROR(E324/($E$347*0.0036*E80*$F$347),0),4)</f>
        <v>0</v>
      </c>
      <c r="F422" s="336">
        <f t="shared" si="114"/>
        <v>0</v>
      </c>
      <c r="G422" s="336">
        <f t="shared" si="114"/>
        <v>0</v>
      </c>
      <c r="H422" s="336">
        <f t="shared" si="114"/>
        <v>0</v>
      </c>
      <c r="I422" s="349">
        <v>0</v>
      </c>
      <c r="J422" s="349">
        <v>0</v>
      </c>
      <c r="K422" s="349">
        <v>0</v>
      </c>
      <c r="L422" s="349">
        <v>0</v>
      </c>
      <c r="M422" s="349">
        <v>0</v>
      </c>
      <c r="N422" s="349">
        <v>0</v>
      </c>
      <c r="O422" s="349">
        <v>0</v>
      </c>
      <c r="P422" s="349">
        <v>0</v>
      </c>
      <c r="Q422" s="349">
        <v>0</v>
      </c>
      <c r="R422" s="349">
        <v>0</v>
      </c>
      <c r="S422" s="349">
        <v>0</v>
      </c>
      <c r="T422" s="349">
        <v>0</v>
      </c>
      <c r="U422" s="349">
        <v>0</v>
      </c>
      <c r="V422" s="349">
        <v>0</v>
      </c>
      <c r="W422" s="349">
        <v>0</v>
      </c>
      <c r="X422" s="349">
        <v>0</v>
      </c>
      <c r="Y422" s="349">
        <v>0</v>
      </c>
      <c r="Z422" s="349">
        <v>0</v>
      </c>
      <c r="AA422" s="349">
        <v>0</v>
      </c>
      <c r="AB422" s="349">
        <v>0</v>
      </c>
      <c r="AC422" s="349">
        <v>0</v>
      </c>
      <c r="AD422" s="349">
        <v>0</v>
      </c>
      <c r="AE422" s="349">
        <v>0</v>
      </c>
      <c r="AF422" s="349">
        <v>0</v>
      </c>
      <c r="AG422" s="349">
        <v>0</v>
      </c>
      <c r="AH422" s="349">
        <v>0</v>
      </c>
      <c r="AI422" s="349">
        <v>0</v>
      </c>
      <c r="AJ422" s="349">
        <v>0</v>
      </c>
      <c r="AK422" s="349">
        <v>0</v>
      </c>
      <c r="AL422" s="619"/>
      <c r="AM422" s="8"/>
    </row>
    <row r="423" spans="1:39" ht="14.25" customHeight="1">
      <c r="A423" s="619"/>
      <c r="B423" s="253"/>
      <c r="C423" s="258" t="s">
        <v>214</v>
      </c>
      <c r="D423" s="259" t="s">
        <v>201</v>
      </c>
      <c r="E423" s="43">
        <f t="shared" ref="E423:H423" si="115">ROUND(IFERROR(E325/($E$347*0.0036*E81*$F$347),0),4)</f>
        <v>8.0000000000000004E-4</v>
      </c>
      <c r="F423" s="43">
        <f t="shared" si="115"/>
        <v>0</v>
      </c>
      <c r="G423" s="43">
        <f t="shared" si="115"/>
        <v>0</v>
      </c>
      <c r="H423" s="44">
        <f t="shared" si="115"/>
        <v>0</v>
      </c>
      <c r="I423" s="349">
        <v>0</v>
      </c>
      <c r="J423" s="349">
        <v>0</v>
      </c>
      <c r="K423" s="349">
        <v>0</v>
      </c>
      <c r="L423" s="349">
        <v>0</v>
      </c>
      <c r="M423" s="349">
        <v>0</v>
      </c>
      <c r="N423" s="349">
        <v>0</v>
      </c>
      <c r="O423" s="349">
        <v>0</v>
      </c>
      <c r="P423" s="349">
        <v>0</v>
      </c>
      <c r="Q423" s="349">
        <v>0</v>
      </c>
      <c r="R423" s="349">
        <v>0</v>
      </c>
      <c r="S423" s="349">
        <v>0</v>
      </c>
      <c r="T423" s="349">
        <v>0</v>
      </c>
      <c r="U423" s="349">
        <v>0</v>
      </c>
      <c r="V423" s="349">
        <v>0</v>
      </c>
      <c r="W423" s="349">
        <v>0</v>
      </c>
      <c r="X423" s="349">
        <v>0</v>
      </c>
      <c r="Y423" s="349">
        <v>0</v>
      </c>
      <c r="Z423" s="349">
        <v>0</v>
      </c>
      <c r="AA423" s="349">
        <v>0</v>
      </c>
      <c r="AB423" s="349">
        <v>0</v>
      </c>
      <c r="AC423" s="349">
        <v>0</v>
      </c>
      <c r="AD423" s="349">
        <v>0</v>
      </c>
      <c r="AE423" s="349">
        <v>0</v>
      </c>
      <c r="AF423" s="349">
        <v>0</v>
      </c>
      <c r="AG423" s="349">
        <v>0</v>
      </c>
      <c r="AH423" s="349">
        <v>0</v>
      </c>
      <c r="AI423" s="349">
        <v>0</v>
      </c>
      <c r="AJ423" s="349">
        <v>0</v>
      </c>
      <c r="AK423" s="349">
        <v>0</v>
      </c>
      <c r="AL423" s="619"/>
      <c r="AM423" s="8"/>
    </row>
    <row r="424" spans="1:39" ht="14.25" customHeight="1">
      <c r="A424" s="619"/>
      <c r="B424" s="253"/>
      <c r="C424" s="258"/>
      <c r="D424" s="285" t="s">
        <v>195</v>
      </c>
      <c r="E424" s="336">
        <f t="shared" ref="E424:H424" si="116">ROUND(IFERROR(E326/($E$347*0.0036*E82*$F$347),0),4)</f>
        <v>0</v>
      </c>
      <c r="F424" s="336">
        <f t="shared" si="116"/>
        <v>0</v>
      </c>
      <c r="G424" s="336">
        <f t="shared" si="116"/>
        <v>0</v>
      </c>
      <c r="H424" s="336">
        <f t="shared" si="116"/>
        <v>0</v>
      </c>
      <c r="I424" s="349">
        <v>0</v>
      </c>
      <c r="J424" s="349">
        <v>0</v>
      </c>
      <c r="K424" s="349">
        <v>0</v>
      </c>
      <c r="L424" s="349">
        <v>0</v>
      </c>
      <c r="M424" s="349">
        <v>0</v>
      </c>
      <c r="N424" s="349">
        <v>0</v>
      </c>
      <c r="O424" s="349">
        <v>0</v>
      </c>
      <c r="P424" s="349">
        <v>0</v>
      </c>
      <c r="Q424" s="349">
        <v>0</v>
      </c>
      <c r="R424" s="349">
        <v>0</v>
      </c>
      <c r="S424" s="349">
        <v>0</v>
      </c>
      <c r="T424" s="349">
        <v>0</v>
      </c>
      <c r="U424" s="349">
        <v>0</v>
      </c>
      <c r="V424" s="349">
        <v>0</v>
      </c>
      <c r="W424" s="349">
        <v>0</v>
      </c>
      <c r="X424" s="349">
        <v>0</v>
      </c>
      <c r="Y424" s="349">
        <v>0</v>
      </c>
      <c r="Z424" s="349">
        <v>0</v>
      </c>
      <c r="AA424" s="349">
        <v>0</v>
      </c>
      <c r="AB424" s="349">
        <v>0</v>
      </c>
      <c r="AC424" s="349">
        <v>0</v>
      </c>
      <c r="AD424" s="349">
        <v>0</v>
      </c>
      <c r="AE424" s="349">
        <v>0</v>
      </c>
      <c r="AF424" s="349">
        <v>0</v>
      </c>
      <c r="AG424" s="349">
        <v>0</v>
      </c>
      <c r="AH424" s="349">
        <v>0</v>
      </c>
      <c r="AI424" s="349">
        <v>0</v>
      </c>
      <c r="AJ424" s="349">
        <v>0</v>
      </c>
      <c r="AK424" s="349">
        <v>0</v>
      </c>
      <c r="AL424" s="619"/>
      <c r="AM424" s="8"/>
    </row>
    <row r="425" spans="1:39" ht="14.25" customHeight="1">
      <c r="A425" s="619"/>
      <c r="B425" s="253"/>
      <c r="C425" s="258" t="s">
        <v>215</v>
      </c>
      <c r="D425" s="259" t="s">
        <v>201</v>
      </c>
      <c r="E425" s="256">
        <f t="shared" ref="E425:H425" si="117">ROUND(IFERROR(E327/($E$347*0.0036*E83*$F$347),0),4)</f>
        <v>1E-3</v>
      </c>
      <c r="F425" s="256">
        <f t="shared" si="117"/>
        <v>4.0000000000000002E-4</v>
      </c>
      <c r="G425" s="256">
        <f t="shared" si="117"/>
        <v>0</v>
      </c>
      <c r="H425" s="256">
        <f t="shared" si="117"/>
        <v>0</v>
      </c>
      <c r="I425" s="349">
        <v>0</v>
      </c>
      <c r="J425" s="349">
        <v>0</v>
      </c>
      <c r="K425" s="349">
        <v>0</v>
      </c>
      <c r="L425" s="349">
        <v>0</v>
      </c>
      <c r="M425" s="349">
        <v>0</v>
      </c>
      <c r="N425" s="349">
        <v>0</v>
      </c>
      <c r="O425" s="349">
        <v>0</v>
      </c>
      <c r="P425" s="349">
        <v>0</v>
      </c>
      <c r="Q425" s="349">
        <v>0</v>
      </c>
      <c r="R425" s="349">
        <v>0</v>
      </c>
      <c r="S425" s="349">
        <v>0</v>
      </c>
      <c r="T425" s="349">
        <v>0</v>
      </c>
      <c r="U425" s="349">
        <v>0</v>
      </c>
      <c r="V425" s="349">
        <v>0</v>
      </c>
      <c r="W425" s="349">
        <v>0</v>
      </c>
      <c r="X425" s="349">
        <v>0</v>
      </c>
      <c r="Y425" s="349">
        <v>0</v>
      </c>
      <c r="Z425" s="349">
        <v>0</v>
      </c>
      <c r="AA425" s="349">
        <v>0</v>
      </c>
      <c r="AB425" s="349">
        <v>0</v>
      </c>
      <c r="AC425" s="349">
        <v>0</v>
      </c>
      <c r="AD425" s="349">
        <v>0</v>
      </c>
      <c r="AE425" s="349">
        <v>0</v>
      </c>
      <c r="AF425" s="349">
        <v>0</v>
      </c>
      <c r="AG425" s="349">
        <v>0</v>
      </c>
      <c r="AH425" s="349">
        <v>0</v>
      </c>
      <c r="AI425" s="349">
        <v>0</v>
      </c>
      <c r="AJ425" s="349">
        <v>0</v>
      </c>
      <c r="AK425" s="349">
        <v>0</v>
      </c>
      <c r="AL425" s="619"/>
      <c r="AM425" s="8"/>
    </row>
    <row r="426" spans="1:39" ht="14.25" customHeight="1">
      <c r="A426" s="619"/>
      <c r="B426" s="253"/>
      <c r="C426" s="258"/>
      <c r="D426" s="285" t="s">
        <v>203</v>
      </c>
      <c r="E426" s="336">
        <f t="shared" ref="E426:H426" si="118">ROUND(IFERROR(E328/($E$347*0.0036*E84*$F$347),0),4)</f>
        <v>0</v>
      </c>
      <c r="F426" s="336">
        <f t="shared" si="118"/>
        <v>0</v>
      </c>
      <c r="G426" s="336">
        <f t="shared" si="118"/>
        <v>0</v>
      </c>
      <c r="H426" s="336">
        <f t="shared" si="118"/>
        <v>0</v>
      </c>
      <c r="I426" s="349">
        <v>0</v>
      </c>
      <c r="J426" s="349">
        <v>0</v>
      </c>
      <c r="K426" s="349">
        <v>0</v>
      </c>
      <c r="L426" s="349">
        <v>0</v>
      </c>
      <c r="M426" s="349">
        <v>0</v>
      </c>
      <c r="N426" s="349">
        <v>0</v>
      </c>
      <c r="O426" s="349">
        <v>0</v>
      </c>
      <c r="P426" s="349">
        <v>0</v>
      </c>
      <c r="Q426" s="349">
        <v>0</v>
      </c>
      <c r="R426" s="349">
        <v>0</v>
      </c>
      <c r="S426" s="349">
        <v>0</v>
      </c>
      <c r="T426" s="349">
        <v>0</v>
      </c>
      <c r="U426" s="349">
        <v>0</v>
      </c>
      <c r="V426" s="349">
        <v>0</v>
      </c>
      <c r="W426" s="349">
        <v>0</v>
      </c>
      <c r="X426" s="349">
        <v>0</v>
      </c>
      <c r="Y426" s="349">
        <v>0</v>
      </c>
      <c r="Z426" s="349">
        <v>0</v>
      </c>
      <c r="AA426" s="349">
        <v>0</v>
      </c>
      <c r="AB426" s="349">
        <v>0</v>
      </c>
      <c r="AC426" s="349">
        <v>0</v>
      </c>
      <c r="AD426" s="349">
        <v>0</v>
      </c>
      <c r="AE426" s="349">
        <v>0</v>
      </c>
      <c r="AF426" s="349">
        <v>0</v>
      </c>
      <c r="AG426" s="349">
        <v>0</v>
      </c>
      <c r="AH426" s="349">
        <v>0</v>
      </c>
      <c r="AI426" s="349">
        <v>0</v>
      </c>
      <c r="AJ426" s="349">
        <v>0</v>
      </c>
      <c r="AK426" s="349">
        <v>0</v>
      </c>
      <c r="AL426" s="619"/>
      <c r="AM426" s="8"/>
    </row>
    <row r="427" spans="1:39" ht="14.25" customHeight="1">
      <c r="A427" s="619"/>
      <c r="B427" s="253"/>
      <c r="C427" s="258" t="s">
        <v>216</v>
      </c>
      <c r="D427" s="259" t="s">
        <v>210</v>
      </c>
      <c r="E427" s="270">
        <f t="shared" ref="E427:H427" si="119">ROUND(IFERROR(E329/($E$347*0.0036*E85*$F$347),0),4)</f>
        <v>0.29389999999999999</v>
      </c>
      <c r="F427" s="270">
        <f t="shared" si="119"/>
        <v>0.27100000000000002</v>
      </c>
      <c r="G427" s="270">
        <f t="shared" si="119"/>
        <v>5.0700000000000002E-2</v>
      </c>
      <c r="H427" s="270">
        <f t="shared" si="119"/>
        <v>0.28039999999999998</v>
      </c>
      <c r="I427" s="349">
        <v>0.28999999999999998</v>
      </c>
      <c r="J427" s="349">
        <v>0.28999999999999998</v>
      </c>
      <c r="K427" s="349">
        <v>0.28999999999999998</v>
      </c>
      <c r="L427" s="349">
        <v>0.28999999999999998</v>
      </c>
      <c r="M427" s="349">
        <v>0.28999999999999998</v>
      </c>
      <c r="N427" s="349">
        <v>0.28999999999999998</v>
      </c>
      <c r="O427" s="349">
        <v>0.28999999999999998</v>
      </c>
      <c r="P427" s="349">
        <v>0.28999999999999998</v>
      </c>
      <c r="Q427" s="349">
        <v>0.28999999999999998</v>
      </c>
      <c r="R427" s="349">
        <v>0.28999999999999998</v>
      </c>
      <c r="S427" s="349">
        <v>0.28999999999999998</v>
      </c>
      <c r="T427" s="349">
        <v>0.28999999999999998</v>
      </c>
      <c r="U427" s="349">
        <v>0.28999999999999998</v>
      </c>
      <c r="V427" s="349">
        <v>0.28999999999999998</v>
      </c>
      <c r="W427" s="349">
        <v>0.28999999999999998</v>
      </c>
      <c r="X427" s="349">
        <v>0.28999999999999998</v>
      </c>
      <c r="Y427" s="349">
        <v>0.28999999999999998</v>
      </c>
      <c r="Z427" s="349">
        <v>0.28999999999999998</v>
      </c>
      <c r="AA427" s="349">
        <v>0.28999999999999998</v>
      </c>
      <c r="AB427" s="349">
        <v>0.28999999999999998</v>
      </c>
      <c r="AC427" s="349">
        <v>0.28999999999999998</v>
      </c>
      <c r="AD427" s="349">
        <v>0.28999999999999998</v>
      </c>
      <c r="AE427" s="349">
        <v>0.28999999999999998</v>
      </c>
      <c r="AF427" s="349">
        <v>0.28999999999999998</v>
      </c>
      <c r="AG427" s="349">
        <v>0.28999999999999998</v>
      </c>
      <c r="AH427" s="349">
        <v>0.28999999999999998</v>
      </c>
      <c r="AI427" s="349">
        <v>0.28999999999999998</v>
      </c>
      <c r="AJ427" s="349">
        <v>0.28999999999999998</v>
      </c>
      <c r="AK427" s="349">
        <v>0.28999999999999998</v>
      </c>
      <c r="AL427" s="619"/>
      <c r="AM427" s="8"/>
    </row>
    <row r="428" spans="1:39" ht="14.25" customHeight="1">
      <c r="A428" s="619"/>
      <c r="B428" s="294"/>
      <c r="C428" s="295"/>
      <c r="D428" s="345" t="s">
        <v>310</v>
      </c>
      <c r="E428" s="325">
        <f t="shared" ref="E428:H428" si="120">ROUND(IFERROR(E330/($E$347*0.0036*E86*$F$347),0),4)</f>
        <v>0</v>
      </c>
      <c r="F428" s="325">
        <f t="shared" si="120"/>
        <v>0</v>
      </c>
      <c r="G428" s="325">
        <f t="shared" si="120"/>
        <v>0</v>
      </c>
      <c r="H428" s="325">
        <f t="shared" si="120"/>
        <v>0</v>
      </c>
      <c r="I428" s="353">
        <v>0</v>
      </c>
      <c r="J428" s="353">
        <v>0</v>
      </c>
      <c r="K428" s="353">
        <v>0</v>
      </c>
      <c r="L428" s="353">
        <v>0</v>
      </c>
      <c r="M428" s="353">
        <v>0</v>
      </c>
      <c r="N428" s="353">
        <v>0</v>
      </c>
      <c r="O428" s="353">
        <v>0</v>
      </c>
      <c r="P428" s="353">
        <v>0</v>
      </c>
      <c r="Q428" s="353">
        <v>0</v>
      </c>
      <c r="R428" s="353">
        <v>0</v>
      </c>
      <c r="S428" s="353">
        <v>0</v>
      </c>
      <c r="T428" s="353">
        <v>0</v>
      </c>
      <c r="U428" s="353">
        <v>0</v>
      </c>
      <c r="V428" s="353">
        <v>0</v>
      </c>
      <c r="W428" s="353">
        <v>0</v>
      </c>
      <c r="X428" s="353">
        <v>0</v>
      </c>
      <c r="Y428" s="353">
        <v>0</v>
      </c>
      <c r="Z428" s="353">
        <v>0</v>
      </c>
      <c r="AA428" s="353">
        <v>0</v>
      </c>
      <c r="AB428" s="353">
        <v>0</v>
      </c>
      <c r="AC428" s="353">
        <v>0</v>
      </c>
      <c r="AD428" s="353">
        <v>0</v>
      </c>
      <c r="AE428" s="353">
        <v>0</v>
      </c>
      <c r="AF428" s="353">
        <v>0</v>
      </c>
      <c r="AG428" s="353">
        <v>0</v>
      </c>
      <c r="AH428" s="353">
        <v>0</v>
      </c>
      <c r="AI428" s="353">
        <v>0</v>
      </c>
      <c r="AJ428" s="353">
        <v>0</v>
      </c>
      <c r="AK428" s="353">
        <v>0</v>
      </c>
      <c r="AL428" s="619"/>
      <c r="AM428" s="8"/>
    </row>
    <row r="429" spans="1:39" ht="14.25" customHeight="1">
      <c r="A429" s="619"/>
      <c r="B429" s="619"/>
      <c r="C429" s="619"/>
      <c r="D429" s="619"/>
      <c r="E429" s="619"/>
      <c r="F429" s="619"/>
      <c r="G429" s="619"/>
      <c r="H429" s="619"/>
      <c r="I429" s="619"/>
      <c r="J429" s="619"/>
      <c r="K429" s="619"/>
      <c r="L429" s="619"/>
      <c r="M429" s="619"/>
      <c r="N429" s="619"/>
      <c r="O429" s="619"/>
      <c r="P429" s="619"/>
      <c r="Q429" s="619"/>
      <c r="R429" s="619"/>
      <c r="S429" s="619"/>
      <c r="T429" s="619"/>
      <c r="U429" s="619"/>
      <c r="V429" s="619"/>
      <c r="W429" s="619"/>
      <c r="X429" s="619"/>
      <c r="Y429" s="619"/>
      <c r="Z429" s="619"/>
      <c r="AA429" s="619"/>
      <c r="AB429" s="619"/>
      <c r="AC429" s="619"/>
      <c r="AD429" s="619"/>
      <c r="AE429" s="619"/>
      <c r="AF429" s="619"/>
      <c r="AG429" s="619"/>
      <c r="AH429" s="619"/>
      <c r="AI429" s="619"/>
      <c r="AJ429" s="619"/>
      <c r="AK429" s="619"/>
      <c r="AL429" s="619"/>
      <c r="AM429" s="8"/>
    </row>
    <row r="430" spans="1:39" ht="14.25" customHeight="1">
      <c r="A430" s="619"/>
      <c r="B430" s="23"/>
      <c r="C430" s="249"/>
      <c r="D430" s="304" t="s">
        <v>318</v>
      </c>
      <c r="E430" s="311"/>
      <c r="F430" s="619"/>
      <c r="G430" s="619"/>
      <c r="H430" s="619"/>
      <c r="I430" s="619"/>
      <c r="J430" s="619"/>
      <c r="K430" s="619"/>
      <c r="L430" s="619"/>
      <c r="M430" s="619"/>
      <c r="N430" s="619"/>
      <c r="O430" s="619"/>
      <c r="P430" s="619"/>
      <c r="Q430" s="619"/>
      <c r="R430" s="619"/>
      <c r="S430" s="619"/>
      <c r="T430" s="619"/>
      <c r="U430" s="619"/>
      <c r="V430" s="619"/>
      <c r="W430" s="619"/>
      <c r="X430" s="619"/>
      <c r="Y430" s="619"/>
      <c r="Z430" s="619"/>
      <c r="AA430" s="619"/>
      <c r="AB430" s="619"/>
      <c r="AC430" s="619"/>
      <c r="AD430" s="619"/>
      <c r="AE430" s="619"/>
      <c r="AF430" s="619"/>
      <c r="AG430" s="619"/>
      <c r="AH430" s="619"/>
      <c r="AI430" s="619"/>
      <c r="AJ430" s="619"/>
      <c r="AK430" s="619"/>
      <c r="AL430" s="619"/>
      <c r="AM430" s="8"/>
    </row>
    <row r="431" spans="1:39" ht="15" customHeight="1">
      <c r="A431" s="619"/>
      <c r="B431" s="631" t="s">
        <v>319</v>
      </c>
      <c r="C431" s="258"/>
      <c r="D431" s="259" t="s">
        <v>131</v>
      </c>
      <c r="E431" s="271">
        <v>0.3</v>
      </c>
      <c r="F431" s="619"/>
      <c r="G431" s="619"/>
      <c r="H431" s="619"/>
      <c r="I431" s="619"/>
      <c r="J431" s="619"/>
      <c r="K431" s="619"/>
      <c r="L431" s="619"/>
      <c r="M431" s="619"/>
      <c r="N431" s="619"/>
      <c r="O431" s="619"/>
      <c r="P431" s="619"/>
      <c r="Q431" s="619"/>
      <c r="R431" s="619"/>
      <c r="S431" s="619"/>
      <c r="T431" s="619"/>
      <c r="U431" s="619"/>
      <c r="V431" s="619"/>
      <c r="W431" s="619"/>
      <c r="X431" s="619"/>
      <c r="Y431" s="619"/>
      <c r="Z431" s="619"/>
      <c r="AA431" s="619"/>
      <c r="AB431" s="619"/>
      <c r="AC431" s="619"/>
      <c r="AD431" s="619"/>
      <c r="AE431" s="619"/>
      <c r="AF431" s="619"/>
      <c r="AG431" s="619"/>
      <c r="AH431" s="619"/>
      <c r="AI431" s="619"/>
      <c r="AJ431" s="619"/>
      <c r="AK431" s="619"/>
      <c r="AL431" s="619"/>
      <c r="AM431" s="8"/>
    </row>
    <row r="432" spans="1:39" ht="14.25" customHeight="1">
      <c r="A432" s="619"/>
      <c r="B432" s="657"/>
      <c r="C432" s="258"/>
      <c r="D432" s="259" t="s">
        <v>320</v>
      </c>
      <c r="E432" s="271">
        <v>0.9</v>
      </c>
      <c r="F432" s="619"/>
      <c r="G432" s="619"/>
      <c r="H432" s="619"/>
      <c r="I432" s="619"/>
      <c r="J432" s="619"/>
      <c r="K432" s="619"/>
      <c r="L432" s="619"/>
      <c r="M432" s="619"/>
      <c r="N432" s="619"/>
      <c r="O432" s="619"/>
      <c r="P432" s="619"/>
      <c r="Q432" s="619"/>
      <c r="R432" s="619"/>
      <c r="S432" s="619"/>
      <c r="T432" s="619"/>
      <c r="U432" s="619"/>
      <c r="V432" s="619"/>
      <c r="W432" s="619"/>
      <c r="X432" s="619"/>
      <c r="Y432" s="619"/>
      <c r="Z432" s="619"/>
      <c r="AA432" s="619"/>
      <c r="AB432" s="619"/>
      <c r="AC432" s="619"/>
      <c r="AD432" s="619"/>
      <c r="AE432" s="619"/>
      <c r="AF432" s="619"/>
      <c r="AG432" s="619"/>
      <c r="AH432" s="619"/>
      <c r="AI432" s="619"/>
      <c r="AJ432" s="619"/>
      <c r="AK432" s="619"/>
      <c r="AL432" s="619"/>
      <c r="AM432" s="8"/>
    </row>
    <row r="433" spans="1:39" ht="14.25" customHeight="1">
      <c r="A433" s="619"/>
      <c r="B433" s="657"/>
      <c r="C433" s="258"/>
      <c r="D433" s="259" t="s">
        <v>246</v>
      </c>
      <c r="E433" s="271">
        <v>0.95</v>
      </c>
      <c r="F433" s="619"/>
      <c r="G433" s="619"/>
      <c r="H433" s="619"/>
      <c r="I433" s="619"/>
      <c r="J433" s="619"/>
      <c r="K433" s="619"/>
      <c r="L433" s="619"/>
      <c r="M433" s="619"/>
      <c r="N433" s="619"/>
      <c r="O433" s="619"/>
      <c r="P433" s="619"/>
      <c r="Q433" s="619"/>
      <c r="R433" s="619"/>
      <c r="S433" s="619"/>
      <c r="T433" s="619"/>
      <c r="U433" s="619"/>
      <c r="V433" s="619"/>
      <c r="W433" s="619"/>
      <c r="X433" s="619"/>
      <c r="Y433" s="619"/>
      <c r="Z433" s="619"/>
      <c r="AA433" s="619"/>
      <c r="AB433" s="619"/>
      <c r="AC433" s="619"/>
      <c r="AD433" s="619"/>
      <c r="AE433" s="619"/>
      <c r="AF433" s="619"/>
      <c r="AG433" s="619"/>
      <c r="AH433" s="619"/>
      <c r="AI433" s="619"/>
      <c r="AJ433" s="619"/>
      <c r="AK433" s="619"/>
      <c r="AL433" s="619"/>
      <c r="AM433" s="8"/>
    </row>
    <row r="434" spans="1:39" ht="14.25" customHeight="1">
      <c r="A434" s="619"/>
      <c r="B434" s="657"/>
      <c r="C434" s="258"/>
      <c r="D434" s="281" t="s">
        <v>247</v>
      </c>
      <c r="E434" s="271"/>
      <c r="F434" s="619"/>
      <c r="G434" s="619"/>
      <c r="H434" s="619"/>
      <c r="I434" s="619"/>
      <c r="J434" s="619"/>
      <c r="K434" s="619"/>
      <c r="L434" s="619"/>
      <c r="M434" s="619"/>
      <c r="N434" s="619"/>
      <c r="O434" s="619"/>
      <c r="P434" s="619"/>
      <c r="Q434" s="619"/>
      <c r="R434" s="619"/>
      <c r="S434" s="619"/>
      <c r="T434" s="619"/>
      <c r="U434" s="619"/>
      <c r="V434" s="619"/>
      <c r="W434" s="619"/>
      <c r="X434" s="619"/>
      <c r="Y434" s="619"/>
      <c r="Z434" s="619"/>
      <c r="AA434" s="619"/>
      <c r="AB434" s="619"/>
      <c r="AC434" s="619"/>
      <c r="AD434" s="619"/>
      <c r="AE434" s="619"/>
      <c r="AF434" s="619"/>
      <c r="AG434" s="619"/>
      <c r="AH434" s="619"/>
      <c r="AI434" s="619"/>
      <c r="AJ434" s="619"/>
      <c r="AK434" s="619"/>
      <c r="AL434" s="619"/>
      <c r="AM434" s="8"/>
    </row>
    <row r="435" spans="1:39" ht="14.25" customHeight="1">
      <c r="A435" s="619"/>
      <c r="B435" s="657"/>
      <c r="C435" s="258"/>
      <c r="D435" s="259" t="s">
        <v>166</v>
      </c>
      <c r="E435" s="271">
        <v>0.43759999999999999</v>
      </c>
      <c r="F435" s="619"/>
      <c r="G435" s="619"/>
      <c r="H435" s="619"/>
      <c r="I435" s="619"/>
      <c r="J435" s="619"/>
      <c r="K435" s="619"/>
      <c r="L435" s="619"/>
      <c r="M435" s="619"/>
      <c r="N435" s="619"/>
      <c r="O435" s="619"/>
      <c r="P435" s="619"/>
      <c r="Q435" s="619"/>
      <c r="R435" s="619"/>
      <c r="S435" s="619"/>
      <c r="T435" s="619"/>
      <c r="U435" s="619"/>
      <c r="V435" s="619"/>
      <c r="W435" s="619"/>
      <c r="X435" s="619"/>
      <c r="Y435" s="619"/>
      <c r="Z435" s="619"/>
      <c r="AA435" s="619"/>
      <c r="AB435" s="619"/>
      <c r="AC435" s="619"/>
      <c r="AD435" s="619"/>
      <c r="AE435" s="619"/>
      <c r="AF435" s="619"/>
      <c r="AG435" s="619"/>
      <c r="AH435" s="619"/>
      <c r="AI435" s="619"/>
      <c r="AJ435" s="619"/>
      <c r="AK435" s="619"/>
      <c r="AL435" s="619"/>
      <c r="AM435" s="8"/>
    </row>
    <row r="436" spans="1:39" ht="14.25" customHeight="1">
      <c r="A436" s="619"/>
      <c r="B436" s="657"/>
      <c r="C436" s="258"/>
      <c r="D436" s="259" t="s">
        <v>168</v>
      </c>
      <c r="E436" s="271">
        <v>0.61450000000000005</v>
      </c>
      <c r="F436" s="619"/>
      <c r="G436" s="619"/>
      <c r="H436" s="619"/>
      <c r="I436" s="619"/>
      <c r="J436" s="619"/>
      <c r="K436" s="619"/>
      <c r="L436" s="619"/>
      <c r="M436" s="619"/>
      <c r="N436" s="619"/>
      <c r="O436" s="619"/>
      <c r="P436" s="619"/>
      <c r="Q436" s="619"/>
      <c r="R436" s="619"/>
      <c r="S436" s="619"/>
      <c r="T436" s="619"/>
      <c r="U436" s="619"/>
      <c r="V436" s="619"/>
      <c r="W436" s="619"/>
      <c r="X436" s="619"/>
      <c r="Y436" s="619"/>
      <c r="Z436" s="619"/>
      <c r="AA436" s="619"/>
      <c r="AB436" s="619"/>
      <c r="AC436" s="619"/>
      <c r="AD436" s="619"/>
      <c r="AE436" s="619"/>
      <c r="AF436" s="619"/>
      <c r="AG436" s="619"/>
      <c r="AH436" s="619"/>
      <c r="AI436" s="619"/>
      <c r="AJ436" s="619"/>
      <c r="AK436" s="619"/>
      <c r="AL436" s="619"/>
      <c r="AM436" s="8"/>
    </row>
    <row r="437" spans="1:39" ht="14.25" customHeight="1">
      <c r="A437" s="619"/>
      <c r="B437" s="657"/>
      <c r="C437" s="258"/>
      <c r="D437" s="259" t="s">
        <v>170</v>
      </c>
      <c r="E437" s="271"/>
      <c r="F437" s="619"/>
      <c r="G437" s="619"/>
      <c r="H437" s="619"/>
      <c r="I437" s="619"/>
      <c r="J437" s="619"/>
      <c r="K437" s="619"/>
      <c r="L437" s="619"/>
      <c r="M437" s="619"/>
      <c r="N437" s="619"/>
      <c r="O437" s="619"/>
      <c r="P437" s="619"/>
      <c r="Q437" s="619"/>
      <c r="R437" s="619"/>
      <c r="S437" s="619"/>
      <c r="T437" s="619"/>
      <c r="U437" s="619"/>
      <c r="V437" s="619"/>
      <c r="W437" s="619"/>
      <c r="X437" s="619"/>
      <c r="Y437" s="619"/>
      <c r="Z437" s="619"/>
      <c r="AA437" s="619"/>
      <c r="AB437" s="619"/>
      <c r="AC437" s="619"/>
      <c r="AD437" s="619"/>
      <c r="AE437" s="619"/>
      <c r="AF437" s="619"/>
      <c r="AG437" s="619"/>
      <c r="AH437" s="619"/>
      <c r="AI437" s="619"/>
      <c r="AJ437" s="619"/>
      <c r="AK437" s="619"/>
      <c r="AL437" s="619"/>
      <c r="AM437" s="8"/>
    </row>
    <row r="438" spans="1:39" ht="14.25" customHeight="1">
      <c r="A438" s="619"/>
      <c r="B438" s="657"/>
      <c r="C438" s="258"/>
      <c r="D438" s="259" t="s">
        <v>172</v>
      </c>
      <c r="E438" s="271">
        <v>0.77300000000000002</v>
      </c>
      <c r="F438" s="619"/>
      <c r="G438" s="619"/>
      <c r="H438" s="619"/>
      <c r="I438" s="619"/>
      <c r="J438" s="619"/>
      <c r="K438" s="619"/>
      <c r="L438" s="619"/>
      <c r="M438" s="619"/>
      <c r="N438" s="619"/>
      <c r="O438" s="619"/>
      <c r="P438" s="619"/>
      <c r="Q438" s="619"/>
      <c r="R438" s="619"/>
      <c r="S438" s="619"/>
      <c r="T438" s="619"/>
      <c r="U438" s="619"/>
      <c r="V438" s="619"/>
      <c r="W438" s="619"/>
      <c r="X438" s="619"/>
      <c r="Y438" s="619"/>
      <c r="Z438" s="619"/>
      <c r="AA438" s="619"/>
      <c r="AB438" s="619"/>
      <c r="AC438" s="619"/>
      <c r="AD438" s="619"/>
      <c r="AE438" s="619"/>
      <c r="AF438" s="619"/>
      <c r="AG438" s="619"/>
      <c r="AH438" s="619"/>
      <c r="AI438" s="619"/>
      <c r="AJ438" s="619"/>
      <c r="AK438" s="619"/>
      <c r="AL438" s="619"/>
      <c r="AM438" s="8"/>
    </row>
    <row r="439" spans="1:39" ht="14.25" customHeight="1">
      <c r="A439" s="619"/>
      <c r="B439" s="657"/>
      <c r="C439" s="258"/>
      <c r="D439" s="259" t="s">
        <v>174</v>
      </c>
      <c r="E439" s="271">
        <v>0.64990000000000003</v>
      </c>
      <c r="F439" s="619"/>
      <c r="G439" s="619"/>
      <c r="H439" s="619"/>
      <c r="I439" s="619"/>
      <c r="J439" s="619"/>
      <c r="K439" s="619"/>
      <c r="L439" s="619"/>
      <c r="M439" s="619"/>
      <c r="N439" s="619"/>
      <c r="O439" s="619"/>
      <c r="P439" s="619"/>
      <c r="Q439" s="619"/>
      <c r="R439" s="619"/>
      <c r="S439" s="619"/>
      <c r="T439" s="619"/>
      <c r="U439" s="619"/>
      <c r="V439" s="619"/>
      <c r="W439" s="619"/>
      <c r="X439" s="619"/>
      <c r="Y439" s="619"/>
      <c r="Z439" s="619"/>
      <c r="AA439" s="619"/>
      <c r="AB439" s="619"/>
      <c r="AC439" s="619"/>
      <c r="AD439" s="619"/>
      <c r="AE439" s="619"/>
      <c r="AF439" s="619"/>
      <c r="AG439" s="619"/>
      <c r="AH439" s="619"/>
      <c r="AI439" s="619"/>
      <c r="AJ439" s="619"/>
      <c r="AK439" s="619"/>
      <c r="AL439" s="619"/>
      <c r="AM439" s="8"/>
    </row>
    <row r="440" spans="1:39" ht="14.25" customHeight="1">
      <c r="A440" s="619"/>
      <c r="B440" s="657"/>
      <c r="C440" s="258"/>
      <c r="D440" s="259" t="s">
        <v>176</v>
      </c>
      <c r="E440" s="271">
        <v>0.6321</v>
      </c>
      <c r="F440" s="619"/>
      <c r="G440" s="619"/>
      <c r="H440" s="619"/>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c r="AL440" s="619"/>
      <c r="AM440" s="8"/>
    </row>
    <row r="441" spans="1:39" ht="14.25" customHeight="1">
      <c r="A441" s="619"/>
      <c r="B441" s="657"/>
      <c r="C441" s="258"/>
      <c r="D441" s="281" t="s">
        <v>249</v>
      </c>
      <c r="E441" s="271"/>
      <c r="F441" s="619"/>
      <c r="G441" s="619"/>
      <c r="H441" s="619"/>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c r="AL441" s="619"/>
      <c r="AM441" s="8"/>
    </row>
    <row r="442" spans="1:39" ht="14.25" customHeight="1">
      <c r="A442" s="619"/>
      <c r="B442" s="657"/>
      <c r="C442" s="258"/>
      <c r="D442" s="259" t="s">
        <v>166</v>
      </c>
      <c r="E442" s="271">
        <v>0.39800000000000002</v>
      </c>
      <c r="F442" s="619"/>
      <c r="G442" s="619"/>
      <c r="H442" s="619"/>
      <c r="I442" s="619"/>
      <c r="J442" s="619"/>
      <c r="K442" s="619"/>
      <c r="L442" s="619"/>
      <c r="M442" s="619"/>
      <c r="N442" s="619"/>
      <c r="O442" s="619"/>
      <c r="P442" s="619"/>
      <c r="Q442" s="619"/>
      <c r="R442" s="619"/>
      <c r="S442" s="619"/>
      <c r="T442" s="619"/>
      <c r="U442" s="619"/>
      <c r="V442" s="619"/>
      <c r="W442" s="619"/>
      <c r="X442" s="619"/>
      <c r="Y442" s="619"/>
      <c r="Z442" s="619"/>
      <c r="AA442" s="619"/>
      <c r="AB442" s="619"/>
      <c r="AC442" s="619"/>
      <c r="AD442" s="619"/>
      <c r="AE442" s="619"/>
      <c r="AF442" s="619"/>
      <c r="AG442" s="619"/>
      <c r="AH442" s="619"/>
      <c r="AI442" s="619"/>
      <c r="AJ442" s="619"/>
      <c r="AK442" s="619"/>
      <c r="AL442" s="619"/>
      <c r="AM442" s="8"/>
    </row>
    <row r="443" spans="1:39" ht="14.25" customHeight="1">
      <c r="A443" s="619"/>
      <c r="B443" s="657"/>
      <c r="C443" s="258"/>
      <c r="D443" s="259" t="s">
        <v>168</v>
      </c>
      <c r="E443" s="271">
        <v>0.50119999999999998</v>
      </c>
      <c r="F443" s="619"/>
      <c r="G443" s="619"/>
      <c r="H443" s="619"/>
      <c r="I443" s="619"/>
      <c r="J443" s="619"/>
      <c r="K443" s="619"/>
      <c r="L443" s="619"/>
      <c r="M443" s="619"/>
      <c r="N443" s="619"/>
      <c r="O443" s="619"/>
      <c r="P443" s="619"/>
      <c r="Q443" s="619"/>
      <c r="R443" s="619"/>
      <c r="S443" s="619"/>
      <c r="T443" s="619"/>
      <c r="U443" s="619"/>
      <c r="V443" s="619"/>
      <c r="W443" s="619"/>
      <c r="X443" s="619"/>
      <c r="Y443" s="619"/>
      <c r="Z443" s="619"/>
      <c r="AA443" s="619"/>
      <c r="AB443" s="619"/>
      <c r="AC443" s="619"/>
      <c r="AD443" s="619"/>
      <c r="AE443" s="619"/>
      <c r="AF443" s="619"/>
      <c r="AG443" s="619"/>
      <c r="AH443" s="619"/>
      <c r="AI443" s="619"/>
      <c r="AJ443" s="619"/>
      <c r="AK443" s="619"/>
      <c r="AL443" s="619"/>
      <c r="AM443" s="8"/>
    </row>
    <row r="444" spans="1:39" ht="14.25" customHeight="1">
      <c r="A444" s="619"/>
      <c r="B444" s="657"/>
      <c r="C444" s="258"/>
      <c r="D444" s="259" t="s">
        <v>170</v>
      </c>
      <c r="E444" s="271"/>
      <c r="F444" s="619"/>
      <c r="G444" s="619"/>
      <c r="H444" s="619"/>
      <c r="I444" s="619"/>
      <c r="J444" s="619"/>
      <c r="K444" s="619"/>
      <c r="L444" s="619"/>
      <c r="M444" s="619"/>
      <c r="N444" s="619"/>
      <c r="O444" s="619"/>
      <c r="P444" s="619"/>
      <c r="Q444" s="619"/>
      <c r="R444" s="619"/>
      <c r="S444" s="619"/>
      <c r="T444" s="619"/>
      <c r="U444" s="619"/>
      <c r="V444" s="619"/>
      <c r="W444" s="619"/>
      <c r="X444" s="619"/>
      <c r="Y444" s="619"/>
      <c r="Z444" s="619"/>
      <c r="AA444" s="619"/>
      <c r="AB444" s="619"/>
      <c r="AC444" s="619"/>
      <c r="AD444" s="619"/>
      <c r="AE444" s="619"/>
      <c r="AF444" s="619"/>
      <c r="AG444" s="619"/>
      <c r="AH444" s="619"/>
      <c r="AI444" s="619"/>
      <c r="AJ444" s="619"/>
      <c r="AK444" s="619"/>
      <c r="AL444" s="619"/>
      <c r="AM444" s="8"/>
    </row>
    <row r="445" spans="1:39" ht="14.25" customHeight="1">
      <c r="A445" s="619"/>
      <c r="B445" s="657"/>
      <c r="C445" s="258"/>
      <c r="D445" s="259" t="s">
        <v>172</v>
      </c>
      <c r="E445" s="271">
        <v>0.71130000000000004</v>
      </c>
      <c r="F445" s="619"/>
      <c r="G445" s="619"/>
      <c r="H445" s="619"/>
      <c r="I445" s="619"/>
      <c r="J445" s="619"/>
      <c r="K445" s="619"/>
      <c r="L445" s="619"/>
      <c r="M445" s="619"/>
      <c r="N445" s="619"/>
      <c r="O445" s="619"/>
      <c r="P445" s="619"/>
      <c r="Q445" s="619"/>
      <c r="R445" s="619"/>
      <c r="S445" s="619"/>
      <c r="T445" s="619"/>
      <c r="U445" s="619"/>
      <c r="V445" s="619"/>
      <c r="W445" s="619"/>
      <c r="X445" s="619"/>
      <c r="Y445" s="619"/>
      <c r="Z445" s="619"/>
      <c r="AA445" s="619"/>
      <c r="AB445" s="619"/>
      <c r="AC445" s="619"/>
      <c r="AD445" s="619"/>
      <c r="AE445" s="619"/>
      <c r="AF445" s="619"/>
      <c r="AG445" s="619"/>
      <c r="AH445" s="619"/>
      <c r="AI445" s="619"/>
      <c r="AJ445" s="619"/>
      <c r="AK445" s="619"/>
      <c r="AL445" s="619"/>
      <c r="AM445" s="8"/>
    </row>
    <row r="446" spans="1:39" ht="14.25" customHeight="1">
      <c r="A446" s="619"/>
      <c r="B446" s="657"/>
      <c r="C446" s="258"/>
      <c r="D446" s="259" t="s">
        <v>174</v>
      </c>
      <c r="E446" s="271">
        <v>0.78979999999999995</v>
      </c>
      <c r="F446" s="619"/>
      <c r="G446" s="619"/>
      <c r="H446" s="619"/>
      <c r="I446" s="619"/>
      <c r="J446" s="619"/>
      <c r="K446" s="619"/>
      <c r="L446" s="619"/>
      <c r="M446" s="619"/>
      <c r="N446" s="619"/>
      <c r="O446" s="619"/>
      <c r="P446" s="619"/>
      <c r="Q446" s="619"/>
      <c r="R446" s="619"/>
      <c r="S446" s="619"/>
      <c r="T446" s="619"/>
      <c r="U446" s="619"/>
      <c r="V446" s="619"/>
      <c r="W446" s="619"/>
      <c r="X446" s="619"/>
      <c r="Y446" s="619"/>
      <c r="Z446" s="619"/>
      <c r="AA446" s="619"/>
      <c r="AB446" s="619"/>
      <c r="AC446" s="619"/>
      <c r="AD446" s="619"/>
      <c r="AE446" s="619"/>
      <c r="AF446" s="619"/>
      <c r="AG446" s="619"/>
      <c r="AH446" s="619"/>
      <c r="AI446" s="619"/>
      <c r="AJ446" s="619"/>
      <c r="AK446" s="619"/>
      <c r="AL446" s="619"/>
      <c r="AM446" s="8"/>
    </row>
    <row r="447" spans="1:39" ht="14.25" customHeight="1">
      <c r="A447" s="619"/>
      <c r="B447" s="657"/>
      <c r="C447" s="258"/>
      <c r="D447" s="259" t="s">
        <v>176</v>
      </c>
      <c r="E447" s="271">
        <v>0.66469999999999996</v>
      </c>
      <c r="F447" s="619"/>
      <c r="G447" s="619"/>
      <c r="H447" s="619"/>
      <c r="I447" s="619"/>
      <c r="J447" s="619"/>
      <c r="K447" s="619"/>
      <c r="L447" s="619"/>
      <c r="M447" s="619"/>
      <c r="N447" s="619"/>
      <c r="O447" s="619"/>
      <c r="P447" s="619"/>
      <c r="Q447" s="619"/>
      <c r="R447" s="619"/>
      <c r="S447" s="619"/>
      <c r="T447" s="619"/>
      <c r="U447" s="619"/>
      <c r="V447" s="619"/>
      <c r="W447" s="619"/>
      <c r="X447" s="619"/>
      <c r="Y447" s="619"/>
      <c r="Z447" s="619"/>
      <c r="AA447" s="619"/>
      <c r="AB447" s="619"/>
      <c r="AC447" s="619"/>
      <c r="AD447" s="619"/>
      <c r="AE447" s="619"/>
      <c r="AF447" s="619"/>
      <c r="AG447" s="619"/>
      <c r="AH447" s="619"/>
      <c r="AI447" s="619"/>
      <c r="AJ447" s="619"/>
      <c r="AK447" s="619"/>
      <c r="AL447" s="619"/>
      <c r="AM447" s="8"/>
    </row>
    <row r="448" spans="1:39" ht="14.25" customHeight="1">
      <c r="A448" s="619"/>
      <c r="B448" s="657"/>
      <c r="C448" s="258"/>
      <c r="D448" s="259" t="s">
        <v>250</v>
      </c>
      <c r="E448" s="271">
        <v>0.9</v>
      </c>
      <c r="F448" s="619"/>
      <c r="G448" s="619"/>
      <c r="H448" s="619"/>
      <c r="I448" s="619"/>
      <c r="J448" s="619"/>
      <c r="K448" s="619"/>
      <c r="L448" s="619"/>
      <c r="M448" s="619"/>
      <c r="N448" s="619"/>
      <c r="O448" s="619"/>
      <c r="P448" s="619"/>
      <c r="Q448" s="619"/>
      <c r="R448" s="619"/>
      <c r="S448" s="619"/>
      <c r="T448" s="619"/>
      <c r="U448" s="619"/>
      <c r="V448" s="619"/>
      <c r="W448" s="619"/>
      <c r="X448" s="619"/>
      <c r="Y448" s="619"/>
      <c r="Z448" s="619"/>
      <c r="AA448" s="619"/>
      <c r="AB448" s="619"/>
      <c r="AC448" s="619"/>
      <c r="AD448" s="619"/>
      <c r="AE448" s="619"/>
      <c r="AF448" s="619"/>
      <c r="AG448" s="619"/>
      <c r="AH448" s="619"/>
      <c r="AI448" s="619"/>
      <c r="AJ448" s="619"/>
      <c r="AK448" s="619"/>
      <c r="AL448" s="619"/>
      <c r="AM448" s="8"/>
    </row>
    <row r="449" spans="1:39" ht="14.25" customHeight="1">
      <c r="A449" s="619"/>
      <c r="B449" s="657"/>
      <c r="C449" s="258"/>
      <c r="D449" s="317" t="s">
        <v>321</v>
      </c>
      <c r="E449" s="354">
        <v>0.66</v>
      </c>
      <c r="F449" s="619"/>
      <c r="G449" s="619"/>
      <c r="H449" s="619"/>
      <c r="I449" s="619"/>
      <c r="J449" s="619"/>
      <c r="K449" s="619"/>
      <c r="L449" s="619"/>
      <c r="M449" s="619"/>
      <c r="N449" s="619"/>
      <c r="O449" s="619"/>
      <c r="P449" s="619"/>
      <c r="Q449" s="619"/>
      <c r="R449" s="619"/>
      <c r="S449" s="619"/>
      <c r="T449" s="619"/>
      <c r="U449" s="619"/>
      <c r="V449" s="619"/>
      <c r="W449" s="619"/>
      <c r="X449" s="619"/>
      <c r="Y449" s="619"/>
      <c r="Z449" s="619"/>
      <c r="AA449" s="619"/>
      <c r="AB449" s="619"/>
      <c r="AC449" s="619"/>
      <c r="AD449" s="619"/>
      <c r="AE449" s="619"/>
      <c r="AF449" s="619"/>
      <c r="AG449" s="619"/>
      <c r="AH449" s="619"/>
      <c r="AI449" s="619"/>
      <c r="AJ449" s="619"/>
      <c r="AK449" s="619"/>
      <c r="AL449" s="619"/>
      <c r="AM449" s="8"/>
    </row>
    <row r="450" spans="1:39" ht="15" customHeight="1">
      <c r="A450" s="619"/>
      <c r="B450" s="657"/>
      <c r="C450" s="258"/>
      <c r="D450" s="259" t="s">
        <v>322</v>
      </c>
      <c r="E450" s="271">
        <v>0.495</v>
      </c>
      <c r="F450" s="619"/>
      <c r="G450" s="619"/>
      <c r="H450" s="619"/>
      <c r="I450" s="619"/>
      <c r="J450" s="619"/>
      <c r="K450" s="619"/>
      <c r="L450" s="619"/>
      <c r="M450" s="619"/>
      <c r="N450" s="619"/>
      <c r="O450" s="619"/>
      <c r="P450" s="619"/>
      <c r="Q450" s="619"/>
      <c r="R450" s="619"/>
      <c r="S450" s="619"/>
      <c r="T450" s="619"/>
      <c r="U450" s="619"/>
      <c r="V450" s="619"/>
      <c r="W450" s="619"/>
      <c r="X450" s="619"/>
      <c r="Y450" s="619"/>
      <c r="Z450" s="619"/>
      <c r="AA450" s="619"/>
      <c r="AB450" s="619"/>
      <c r="AC450" s="619"/>
      <c r="AD450" s="619"/>
      <c r="AE450" s="619"/>
      <c r="AF450" s="619"/>
      <c r="AG450" s="619"/>
      <c r="AH450" s="619"/>
      <c r="AI450" s="619"/>
      <c r="AJ450" s="619"/>
      <c r="AK450" s="619"/>
      <c r="AL450" s="619"/>
      <c r="AM450" s="8"/>
    </row>
    <row r="451" spans="1:39" ht="14.25" customHeight="1">
      <c r="A451" s="619"/>
      <c r="B451" s="657"/>
      <c r="C451" s="258"/>
      <c r="D451" s="259" t="s">
        <v>253</v>
      </c>
      <c r="E451" s="271" t="s">
        <v>186</v>
      </c>
      <c r="F451" s="619"/>
      <c r="G451" s="619"/>
      <c r="H451" s="619"/>
      <c r="I451" s="619"/>
      <c r="J451" s="619"/>
      <c r="K451" s="619"/>
      <c r="L451" s="619"/>
      <c r="M451" s="619"/>
      <c r="N451" s="619"/>
      <c r="O451" s="619"/>
      <c r="P451" s="619"/>
      <c r="Q451" s="619"/>
      <c r="R451" s="619"/>
      <c r="S451" s="619"/>
      <c r="T451" s="619"/>
      <c r="U451" s="619"/>
      <c r="V451" s="619"/>
      <c r="W451" s="619"/>
      <c r="X451" s="619"/>
      <c r="Y451" s="619"/>
      <c r="Z451" s="619"/>
      <c r="AA451" s="619"/>
      <c r="AB451" s="619"/>
      <c r="AC451" s="619"/>
      <c r="AD451" s="619"/>
      <c r="AE451" s="619"/>
      <c r="AF451" s="619"/>
      <c r="AG451" s="619"/>
      <c r="AH451" s="619"/>
      <c r="AI451" s="619"/>
      <c r="AJ451" s="619"/>
      <c r="AK451" s="619"/>
      <c r="AL451" s="619"/>
      <c r="AM451" s="8"/>
    </row>
    <row r="452" spans="1:39" ht="14.25" customHeight="1">
      <c r="A452" s="619"/>
      <c r="B452" s="657"/>
      <c r="C452" s="258"/>
      <c r="D452" s="259" t="s">
        <v>254</v>
      </c>
      <c r="E452" s="271">
        <v>0.57999999999999996</v>
      </c>
      <c r="F452" s="619"/>
      <c r="G452" s="619"/>
      <c r="H452" s="619"/>
      <c r="I452" s="619"/>
      <c r="J452" s="619"/>
      <c r="K452" s="619"/>
      <c r="L452" s="619"/>
      <c r="M452" s="619"/>
      <c r="N452" s="619"/>
      <c r="O452" s="619"/>
      <c r="P452" s="619"/>
      <c r="Q452" s="619"/>
      <c r="R452" s="619"/>
      <c r="S452" s="619"/>
      <c r="T452" s="619"/>
      <c r="U452" s="619"/>
      <c r="V452" s="619"/>
      <c r="W452" s="619"/>
      <c r="X452" s="619"/>
      <c r="Y452" s="619"/>
      <c r="Z452" s="619"/>
      <c r="AA452" s="619"/>
      <c r="AB452" s="619"/>
      <c r="AC452" s="619"/>
      <c r="AD452" s="619"/>
      <c r="AE452" s="619"/>
      <c r="AF452" s="619"/>
      <c r="AG452" s="619"/>
      <c r="AH452" s="619"/>
      <c r="AI452" s="619"/>
      <c r="AJ452" s="619"/>
      <c r="AK452" s="619"/>
      <c r="AL452" s="619"/>
      <c r="AM452" s="8"/>
    </row>
    <row r="453" spans="1:39" ht="14.25" customHeight="1">
      <c r="A453" s="619"/>
      <c r="B453" s="657"/>
      <c r="C453" s="258"/>
      <c r="D453" s="259" t="s">
        <v>255</v>
      </c>
      <c r="E453" s="271" t="s">
        <v>186</v>
      </c>
      <c r="F453" s="619"/>
      <c r="G453" s="619"/>
      <c r="H453" s="619"/>
      <c r="I453" s="619"/>
      <c r="J453" s="619"/>
      <c r="K453" s="619"/>
      <c r="L453" s="619"/>
      <c r="M453" s="619"/>
      <c r="N453" s="619"/>
      <c r="O453" s="619"/>
      <c r="P453" s="619"/>
      <c r="Q453" s="619"/>
      <c r="R453" s="619"/>
      <c r="S453" s="619"/>
      <c r="T453" s="619"/>
      <c r="U453" s="619"/>
      <c r="V453" s="619"/>
      <c r="W453" s="619"/>
      <c r="X453" s="619"/>
      <c r="Y453" s="619"/>
      <c r="Z453" s="619"/>
      <c r="AA453" s="619"/>
      <c r="AB453" s="619"/>
      <c r="AC453" s="619"/>
      <c r="AD453" s="619"/>
      <c r="AE453" s="619"/>
      <c r="AF453" s="619"/>
      <c r="AG453" s="619"/>
      <c r="AH453" s="619"/>
      <c r="AI453" s="619"/>
      <c r="AJ453" s="619"/>
      <c r="AK453" s="619"/>
      <c r="AL453" s="619"/>
      <c r="AM453" s="8"/>
    </row>
    <row r="454" spans="1:39" ht="14.25" customHeight="1">
      <c r="A454" s="619"/>
      <c r="B454" s="657"/>
      <c r="C454" s="258"/>
      <c r="D454" s="259" t="s">
        <v>256</v>
      </c>
      <c r="E454" s="271">
        <v>0.9</v>
      </c>
      <c r="F454" s="619"/>
      <c r="G454" s="619"/>
      <c r="H454" s="619"/>
      <c r="I454" s="619"/>
      <c r="J454" s="619"/>
      <c r="K454" s="619"/>
      <c r="L454" s="619"/>
      <c r="M454" s="619"/>
      <c r="N454" s="619"/>
      <c r="O454" s="619"/>
      <c r="P454" s="619"/>
      <c r="Q454" s="619"/>
      <c r="R454" s="619"/>
      <c r="S454" s="619"/>
      <c r="T454" s="619"/>
      <c r="U454" s="619"/>
      <c r="V454" s="619"/>
      <c r="W454" s="619"/>
      <c r="X454" s="619"/>
      <c r="Y454" s="619"/>
      <c r="Z454" s="619"/>
      <c r="AA454" s="619"/>
      <c r="AB454" s="619"/>
      <c r="AC454" s="619"/>
      <c r="AD454" s="619"/>
      <c r="AE454" s="619"/>
      <c r="AF454" s="619"/>
      <c r="AG454" s="619"/>
      <c r="AH454" s="619"/>
      <c r="AI454" s="619"/>
      <c r="AJ454" s="619"/>
      <c r="AK454" s="619"/>
      <c r="AL454" s="619"/>
      <c r="AM454" s="8"/>
    </row>
    <row r="455" spans="1:39" ht="14.25" customHeight="1">
      <c r="A455" s="619"/>
      <c r="B455" s="657"/>
      <c r="C455" s="258"/>
      <c r="D455" s="259" t="s">
        <v>257</v>
      </c>
      <c r="E455" s="271">
        <v>0.9</v>
      </c>
      <c r="F455" s="619"/>
      <c r="G455" s="619"/>
      <c r="H455" s="619"/>
      <c r="I455" s="619"/>
      <c r="J455" s="619"/>
      <c r="K455" s="619"/>
      <c r="L455" s="619"/>
      <c r="M455" s="619"/>
      <c r="N455" s="619"/>
      <c r="O455" s="619"/>
      <c r="P455" s="619"/>
      <c r="Q455" s="619"/>
      <c r="R455" s="619"/>
      <c r="S455" s="619"/>
      <c r="T455" s="619"/>
      <c r="U455" s="619"/>
      <c r="V455" s="619"/>
      <c r="W455" s="619"/>
      <c r="X455" s="619"/>
      <c r="Y455" s="619"/>
      <c r="Z455" s="619"/>
      <c r="AA455" s="619"/>
      <c r="AB455" s="619"/>
      <c r="AC455" s="619"/>
      <c r="AD455" s="619"/>
      <c r="AE455" s="619"/>
      <c r="AF455" s="619"/>
      <c r="AG455" s="619"/>
      <c r="AH455" s="619"/>
      <c r="AI455" s="619"/>
      <c r="AJ455" s="619"/>
      <c r="AK455" s="619"/>
      <c r="AL455" s="619"/>
      <c r="AM455" s="8"/>
    </row>
    <row r="456" spans="1:39" ht="14.25" customHeight="1">
      <c r="A456" s="619"/>
      <c r="B456" s="657"/>
      <c r="C456" s="258"/>
      <c r="D456" s="259" t="s">
        <v>258</v>
      </c>
      <c r="E456" s="271">
        <v>0.9</v>
      </c>
      <c r="F456" s="619"/>
      <c r="G456" s="619"/>
      <c r="H456" s="619"/>
      <c r="I456" s="619"/>
      <c r="J456" s="619"/>
      <c r="K456" s="619"/>
      <c r="L456" s="619"/>
      <c r="M456" s="619"/>
      <c r="N456" s="619"/>
      <c r="O456" s="619"/>
      <c r="P456" s="619"/>
      <c r="Q456" s="619"/>
      <c r="R456" s="619"/>
      <c r="S456" s="619"/>
      <c r="T456" s="619"/>
      <c r="U456" s="619"/>
      <c r="V456" s="619"/>
      <c r="W456" s="619"/>
      <c r="X456" s="619"/>
      <c r="Y456" s="619"/>
      <c r="Z456" s="619"/>
      <c r="AA456" s="619"/>
      <c r="AB456" s="619"/>
      <c r="AC456" s="619"/>
      <c r="AD456" s="619"/>
      <c r="AE456" s="619"/>
      <c r="AF456" s="619"/>
      <c r="AG456" s="619"/>
      <c r="AH456" s="619"/>
      <c r="AI456" s="619"/>
      <c r="AJ456" s="619"/>
      <c r="AK456" s="619"/>
      <c r="AL456" s="619"/>
      <c r="AM456" s="8"/>
    </row>
    <row r="457" spans="1:39" ht="14.25" customHeight="1">
      <c r="A457" s="619"/>
      <c r="B457" s="657"/>
      <c r="C457" s="258"/>
      <c r="D457" s="259" t="s">
        <v>259</v>
      </c>
      <c r="E457" s="271">
        <v>0.57999999999999996</v>
      </c>
      <c r="F457" s="619"/>
      <c r="G457" s="619"/>
      <c r="H457" s="619"/>
      <c r="I457" s="619"/>
      <c r="J457" s="619"/>
      <c r="K457" s="619"/>
      <c r="L457" s="619"/>
      <c r="M457" s="619"/>
      <c r="N457" s="619"/>
      <c r="O457" s="619"/>
      <c r="P457" s="619"/>
      <c r="Q457" s="619"/>
      <c r="R457" s="619"/>
      <c r="S457" s="619"/>
      <c r="T457" s="619"/>
      <c r="U457" s="619"/>
      <c r="V457" s="619"/>
      <c r="W457" s="619"/>
      <c r="X457" s="619"/>
      <c r="Y457" s="619"/>
      <c r="Z457" s="619"/>
      <c r="AA457" s="619"/>
      <c r="AB457" s="619"/>
      <c r="AC457" s="619"/>
      <c r="AD457" s="619"/>
      <c r="AE457" s="619"/>
      <c r="AF457" s="619"/>
      <c r="AG457" s="619"/>
      <c r="AH457" s="619"/>
      <c r="AI457" s="619"/>
      <c r="AJ457" s="619"/>
      <c r="AK457" s="619"/>
      <c r="AL457" s="619"/>
      <c r="AM457" s="8"/>
    </row>
    <row r="458" spans="1:39" ht="14.25" customHeight="1">
      <c r="A458" s="619"/>
      <c r="B458" s="658"/>
      <c r="C458" s="295"/>
      <c r="D458" s="301" t="s">
        <v>260</v>
      </c>
      <c r="E458" s="320">
        <v>0.5</v>
      </c>
      <c r="F458" s="619"/>
      <c r="G458" s="619"/>
      <c r="H458" s="619"/>
      <c r="I458" s="619"/>
      <c r="J458" s="619"/>
      <c r="K458" s="619"/>
      <c r="L458" s="619"/>
      <c r="M458" s="619"/>
      <c r="N458" s="619"/>
      <c r="O458" s="619"/>
      <c r="P458" s="619"/>
      <c r="Q458" s="619"/>
      <c r="R458" s="619"/>
      <c r="S458" s="619"/>
      <c r="T458" s="619"/>
      <c r="U458" s="619"/>
      <c r="V458" s="619"/>
      <c r="W458" s="619"/>
      <c r="X458" s="619"/>
      <c r="Y458" s="619"/>
      <c r="Z458" s="619"/>
      <c r="AA458" s="619"/>
      <c r="AB458" s="619"/>
      <c r="AC458" s="619"/>
      <c r="AD458" s="619"/>
      <c r="AE458" s="619"/>
      <c r="AF458" s="619"/>
      <c r="AG458" s="619"/>
      <c r="AH458" s="619"/>
      <c r="AI458" s="619"/>
      <c r="AJ458" s="619"/>
      <c r="AK458" s="619"/>
      <c r="AL458" s="619"/>
      <c r="AM458" s="8"/>
    </row>
    <row r="459" spans="1:39" ht="14.25" customHeight="1">
      <c r="A459" s="619"/>
      <c r="B459" s="619"/>
      <c r="C459" s="619"/>
      <c r="D459" s="619"/>
      <c r="E459" s="619"/>
      <c r="F459" s="619"/>
      <c r="G459" s="619"/>
      <c r="H459" s="619"/>
      <c r="I459" s="619"/>
      <c r="J459" s="619"/>
      <c r="K459" s="619"/>
      <c r="L459" s="619"/>
      <c r="M459" s="619"/>
      <c r="N459" s="619"/>
      <c r="O459" s="619"/>
      <c r="P459" s="619"/>
      <c r="Q459" s="619"/>
      <c r="R459" s="619"/>
      <c r="S459" s="619"/>
      <c r="T459" s="619"/>
      <c r="U459" s="619"/>
      <c r="V459" s="619"/>
      <c r="W459" s="619"/>
      <c r="X459" s="619"/>
      <c r="Y459" s="619"/>
      <c r="Z459" s="619"/>
      <c r="AA459" s="619"/>
      <c r="AB459" s="619"/>
      <c r="AC459" s="619"/>
      <c r="AD459" s="619"/>
      <c r="AE459" s="619"/>
      <c r="AF459" s="619"/>
      <c r="AG459" s="619"/>
      <c r="AH459" s="619"/>
      <c r="AI459" s="619"/>
      <c r="AJ459" s="619"/>
      <c r="AK459" s="619"/>
      <c r="AL459" s="619"/>
      <c r="AM459" s="8"/>
    </row>
    <row r="460" spans="1:39" ht="14.25" customHeight="1">
      <c r="A460" s="619"/>
      <c r="B460" s="253"/>
      <c r="C460" s="258"/>
      <c r="D460" s="281" t="s">
        <v>323</v>
      </c>
      <c r="E460" s="256"/>
      <c r="F460" s="256"/>
      <c r="G460" s="256"/>
      <c r="H460" s="300"/>
      <c r="I460" s="619"/>
      <c r="J460" s="619"/>
      <c r="K460" s="619"/>
      <c r="L460" s="619"/>
      <c r="M460" s="619"/>
      <c r="N460" s="619"/>
      <c r="O460" s="619"/>
      <c r="P460" s="619"/>
      <c r="Q460" s="619"/>
      <c r="R460" s="619"/>
      <c r="S460" s="619"/>
      <c r="T460" s="619"/>
      <c r="U460" s="619"/>
      <c r="V460" s="619"/>
      <c r="W460" s="619"/>
      <c r="X460" s="619"/>
      <c r="Y460" s="619"/>
      <c r="Z460" s="619"/>
      <c r="AA460" s="619"/>
      <c r="AB460" s="619"/>
      <c r="AC460" s="619"/>
      <c r="AD460" s="619"/>
      <c r="AE460" s="619"/>
      <c r="AF460" s="619"/>
      <c r="AG460" s="619"/>
      <c r="AH460" s="619"/>
      <c r="AI460" s="619"/>
      <c r="AJ460" s="619"/>
      <c r="AK460" s="619"/>
      <c r="AL460" s="619"/>
      <c r="AM460" s="8"/>
    </row>
    <row r="461" spans="1:39" ht="14.25" customHeight="1">
      <c r="A461" s="619">
        <v>1</v>
      </c>
      <c r="B461" s="253"/>
      <c r="C461" s="258"/>
      <c r="D461" s="259" t="s">
        <v>324</v>
      </c>
      <c r="E461" s="270">
        <f>'Copia de Electricidad'!D339*$E$601*$E$604</f>
        <v>90.22744070523558</v>
      </c>
      <c r="F461" s="270">
        <f>'Copia de Electricidad'!E339*$E$601*$E$604</f>
        <v>100.73953831629601</v>
      </c>
      <c r="G461" s="270">
        <f>'Copia de Electricidad'!F339*$E$601*$E$604</f>
        <v>98.28051783065203</v>
      </c>
      <c r="H461" s="270">
        <f>'Copia de Electricidad'!G339*$E$601*$E$604</f>
        <v>101.33629573477143</v>
      </c>
      <c r="I461" s="619"/>
      <c r="J461" s="619"/>
      <c r="K461" s="619"/>
      <c r="L461" s="619"/>
      <c r="M461" s="619"/>
      <c r="N461" s="619"/>
      <c r="O461" s="619"/>
      <c r="P461" s="619"/>
      <c r="Q461" s="619"/>
      <c r="R461" s="619"/>
      <c r="S461" s="619"/>
      <c r="T461" s="619"/>
      <c r="U461" s="619"/>
      <c r="V461" s="619"/>
      <c r="W461" s="619"/>
      <c r="X461" s="619"/>
      <c r="Y461" s="619"/>
      <c r="Z461" s="619"/>
      <c r="AA461" s="619"/>
      <c r="AB461" s="619"/>
      <c r="AC461" s="619"/>
      <c r="AD461" s="619"/>
      <c r="AE461" s="619"/>
      <c r="AF461" s="619"/>
      <c r="AG461" s="619"/>
      <c r="AH461" s="619"/>
      <c r="AI461" s="619"/>
      <c r="AJ461" s="619"/>
      <c r="AK461" s="619"/>
      <c r="AL461" s="619"/>
      <c r="AM461" s="8"/>
    </row>
    <row r="462" spans="1:39" ht="14.25" customHeight="1">
      <c r="A462" s="619">
        <v>1</v>
      </c>
      <c r="B462" s="253"/>
      <c r="C462" s="258"/>
      <c r="D462" s="355" t="s">
        <v>325</v>
      </c>
      <c r="E462" s="270">
        <f>'Copia de Electricidad'!D340*$E$601*$E$604</f>
        <v>3.8766026766832526</v>
      </c>
      <c r="F462" s="270">
        <f>'Copia de Electricidad'!E340*$E$601*$E$604</f>
        <v>4.6523477455424214</v>
      </c>
      <c r="G462" s="270">
        <f>'Copia de Electricidad'!F340*$E$601*$E$604</f>
        <v>4.5341619301634042</v>
      </c>
      <c r="H462" s="270">
        <f>'Copia de Electricidad'!G340*$E$601*$E$604</f>
        <v>4.287572712931202</v>
      </c>
      <c r="I462" s="619"/>
      <c r="J462" s="619"/>
      <c r="K462" s="619"/>
      <c r="L462" s="619"/>
      <c r="M462" s="619"/>
      <c r="N462" s="619"/>
      <c r="O462" s="619"/>
      <c r="P462" s="619"/>
      <c r="Q462" s="619"/>
      <c r="R462" s="619"/>
      <c r="S462" s="619"/>
      <c r="T462" s="619"/>
      <c r="U462" s="619"/>
      <c r="V462" s="619"/>
      <c r="W462" s="619"/>
      <c r="X462" s="619"/>
      <c r="Y462" s="619"/>
      <c r="Z462" s="619"/>
      <c r="AA462" s="619"/>
      <c r="AB462" s="619"/>
      <c r="AC462" s="619"/>
      <c r="AD462" s="619"/>
      <c r="AE462" s="619"/>
      <c r="AF462" s="619"/>
      <c r="AG462" s="619"/>
      <c r="AH462" s="619"/>
      <c r="AI462" s="619"/>
      <c r="AJ462" s="619"/>
      <c r="AK462" s="619"/>
      <c r="AL462" s="619"/>
      <c r="AM462" s="8"/>
    </row>
    <row r="463" spans="1:39" ht="14.25" customHeight="1">
      <c r="A463" s="619"/>
      <c r="B463" s="253"/>
      <c r="C463" s="258"/>
      <c r="D463" s="259" t="s">
        <v>326</v>
      </c>
      <c r="E463" s="270">
        <f t="shared" ref="E463:H463" si="121">E461/E465</f>
        <v>1.0448936312048462</v>
      </c>
      <c r="F463" s="270">
        <f t="shared" si="121"/>
        <v>1.0484179807725429</v>
      </c>
      <c r="G463" s="270">
        <f t="shared" si="121"/>
        <v>1.0483662739379054</v>
      </c>
      <c r="H463" s="356">
        <f t="shared" si="121"/>
        <v>1.0441795891736392</v>
      </c>
      <c r="I463" s="619"/>
      <c r="J463" s="619"/>
      <c r="K463" s="619"/>
      <c r="L463" s="619"/>
      <c r="M463" s="619"/>
      <c r="N463" s="619"/>
      <c r="O463" s="619"/>
      <c r="P463" s="619"/>
      <c r="Q463" s="619"/>
      <c r="R463" s="619"/>
      <c r="S463" s="619"/>
      <c r="T463" s="619"/>
      <c r="U463" s="619"/>
      <c r="V463" s="619"/>
      <c r="W463" s="619"/>
      <c r="X463" s="619"/>
      <c r="Y463" s="619"/>
      <c r="Z463" s="619"/>
      <c r="AA463" s="619"/>
      <c r="AB463" s="619"/>
      <c r="AC463" s="619"/>
      <c r="AD463" s="619"/>
      <c r="AE463" s="619"/>
      <c r="AF463" s="619"/>
      <c r="AG463" s="619"/>
      <c r="AH463" s="619"/>
      <c r="AI463" s="619"/>
      <c r="AJ463" s="619"/>
      <c r="AK463" s="619"/>
      <c r="AL463" s="619"/>
      <c r="AM463" s="8"/>
    </row>
    <row r="464" spans="1:39" ht="14.25" customHeight="1">
      <c r="A464" s="619"/>
      <c r="B464" s="253"/>
      <c r="C464" s="258"/>
      <c r="D464" s="259"/>
      <c r="E464" s="270"/>
      <c r="F464" s="270"/>
      <c r="G464" s="270"/>
      <c r="H464" s="356"/>
      <c r="I464" s="619"/>
      <c r="J464" s="619"/>
      <c r="K464" s="619"/>
      <c r="L464" s="619"/>
      <c r="M464" s="619"/>
      <c r="N464" s="619"/>
      <c r="O464" s="619"/>
      <c r="P464" s="619"/>
      <c r="Q464" s="619"/>
      <c r="R464" s="619"/>
      <c r="S464" s="619"/>
      <c r="T464" s="619"/>
      <c r="U464" s="619"/>
      <c r="V464" s="619"/>
      <c r="W464" s="619"/>
      <c r="X464" s="619"/>
      <c r="Y464" s="619"/>
      <c r="Z464" s="619"/>
      <c r="AA464" s="619"/>
      <c r="AB464" s="619"/>
      <c r="AC464" s="619"/>
      <c r="AD464" s="619"/>
      <c r="AE464" s="619"/>
      <c r="AF464" s="619"/>
      <c r="AG464" s="619"/>
      <c r="AH464" s="619"/>
      <c r="AI464" s="619"/>
      <c r="AJ464" s="619"/>
      <c r="AK464" s="619"/>
      <c r="AL464" s="619"/>
      <c r="AM464" s="8"/>
    </row>
    <row r="465" spans="1:57" ht="14.25" customHeight="1">
      <c r="A465" s="619"/>
      <c r="B465" s="253"/>
      <c r="C465" s="258"/>
      <c r="D465" s="259" t="s">
        <v>327</v>
      </c>
      <c r="E465" s="270">
        <f t="shared" ref="E465:H465" si="122">E461-E462</f>
        <v>86.350838028552332</v>
      </c>
      <c r="F465" s="270">
        <f t="shared" si="122"/>
        <v>96.087190570753592</v>
      </c>
      <c r="G465" s="270">
        <f t="shared" si="122"/>
        <v>93.746355900488624</v>
      </c>
      <c r="H465" s="356">
        <f t="shared" si="122"/>
        <v>97.048723021840217</v>
      </c>
      <c r="I465" s="619"/>
      <c r="J465" s="619"/>
      <c r="K465" s="619"/>
      <c r="L465" s="619"/>
      <c r="M465" s="619"/>
      <c r="N465" s="619"/>
      <c r="O465" s="619"/>
      <c r="P465" s="619"/>
      <c r="Q465" s="619"/>
      <c r="R465" s="619"/>
      <c r="S465" s="619"/>
      <c r="T465" s="619"/>
      <c r="U465" s="619"/>
      <c r="V465" s="619"/>
      <c r="W465" s="619"/>
      <c r="X465" s="619"/>
      <c r="Y465" s="619"/>
      <c r="Z465" s="619"/>
      <c r="AA465" s="619"/>
      <c r="AB465" s="619"/>
      <c r="AC465" s="619"/>
      <c r="AD465" s="619"/>
      <c r="AE465" s="619"/>
      <c r="AF465" s="619"/>
      <c r="AG465" s="619"/>
      <c r="AH465" s="619"/>
      <c r="AI465" s="619"/>
      <c r="AJ465" s="619"/>
      <c r="AK465" s="619"/>
      <c r="AL465" s="619"/>
      <c r="AM465" s="8"/>
      <c r="AN465" s="8"/>
      <c r="AO465" s="8"/>
      <c r="AP465" s="8"/>
      <c r="AQ465" s="8"/>
      <c r="AR465" s="8"/>
      <c r="AS465" s="8"/>
      <c r="AT465" s="8"/>
      <c r="AU465" s="8"/>
      <c r="AV465" s="8"/>
      <c r="AW465" s="8"/>
      <c r="AX465" s="8"/>
      <c r="AY465" s="8"/>
      <c r="AZ465" s="8"/>
      <c r="BA465" s="8"/>
      <c r="BB465" s="8"/>
      <c r="BC465" s="8"/>
      <c r="BD465" s="8"/>
      <c r="BE465" s="8"/>
    </row>
    <row r="466" spans="1:57" ht="14.25" customHeight="1">
      <c r="A466" s="619">
        <v>1</v>
      </c>
      <c r="B466" s="253"/>
      <c r="C466" s="258"/>
      <c r="D466" s="355" t="s">
        <v>328</v>
      </c>
      <c r="E466" s="270">
        <f>'Copia de Electricidad'!D344*$E$601*$E$604</f>
        <v>0.91979864717806825</v>
      </c>
      <c r="F466" s="270">
        <f>'Copia de Electricidad'!E344*$E$601*$E$604</f>
        <v>6.5717789285822841</v>
      </c>
      <c r="G466" s="270">
        <f>'Copia de Electricidad'!F344*$E$601*$E$604</f>
        <v>4.8232404770645925</v>
      </c>
      <c r="H466" s="270">
        <f>'Copia de Electricidad'!G344*$E$601*$E$604</f>
        <v>1.8856843657413787</v>
      </c>
      <c r="I466" s="619"/>
      <c r="J466" s="619"/>
      <c r="K466" s="619"/>
      <c r="L466" s="619"/>
      <c r="M466" s="619"/>
      <c r="N466" s="619"/>
      <c r="O466" s="619"/>
      <c r="P466" s="619"/>
      <c r="Q466" s="619"/>
      <c r="R466" s="619"/>
      <c r="S466" s="619"/>
      <c r="T466" s="619"/>
      <c r="U466" s="619"/>
      <c r="V466" s="619"/>
      <c r="W466" s="619"/>
      <c r="X466" s="619"/>
      <c r="Y466" s="619"/>
      <c r="Z466" s="619"/>
      <c r="AA466" s="619"/>
      <c r="AB466" s="619"/>
      <c r="AC466" s="619"/>
      <c r="AD466" s="619"/>
      <c r="AE466" s="619"/>
      <c r="AF466" s="619"/>
      <c r="AG466" s="619"/>
      <c r="AH466" s="619"/>
      <c r="AI466" s="619"/>
      <c r="AJ466" s="619"/>
      <c r="AK466" s="619"/>
      <c r="AL466" s="619"/>
      <c r="AM466" s="8"/>
      <c r="AN466" s="8"/>
      <c r="AO466" s="8"/>
      <c r="AP466" s="8"/>
      <c r="AQ466" s="8"/>
      <c r="AR466" s="8"/>
      <c r="AS466" s="8"/>
      <c r="AT466" s="8"/>
      <c r="AU466" s="8"/>
      <c r="AV466" s="8"/>
      <c r="AW466" s="8"/>
      <c r="AX466" s="8"/>
      <c r="AY466" s="8"/>
      <c r="AZ466" s="8"/>
      <c r="BA466" s="8"/>
      <c r="BB466" s="8"/>
      <c r="BC466" s="8"/>
      <c r="BD466" s="8"/>
      <c r="BE466" s="8"/>
    </row>
    <row r="467" spans="1:57" ht="14.25" customHeight="1">
      <c r="A467" s="619"/>
      <c r="B467" s="253"/>
      <c r="C467" s="258"/>
      <c r="D467" s="259"/>
      <c r="E467" s="270"/>
      <c r="F467" s="270"/>
      <c r="G467" s="270"/>
      <c r="H467" s="356"/>
      <c r="I467" s="619"/>
      <c r="J467" s="619"/>
      <c r="K467" s="619"/>
      <c r="L467" s="619"/>
      <c r="M467" s="619"/>
      <c r="N467" s="619"/>
      <c r="O467" s="619"/>
      <c r="P467" s="619"/>
      <c r="Q467" s="619"/>
      <c r="R467" s="619"/>
      <c r="S467" s="619"/>
      <c r="T467" s="619"/>
      <c r="U467" s="619"/>
      <c r="V467" s="619"/>
      <c r="W467" s="619"/>
      <c r="X467" s="619"/>
      <c r="Y467" s="619"/>
      <c r="Z467" s="619"/>
      <c r="AA467" s="619"/>
      <c r="AB467" s="619"/>
      <c r="AC467" s="619"/>
      <c r="AD467" s="619"/>
      <c r="AE467" s="619"/>
      <c r="AF467" s="619"/>
      <c r="AG467" s="619"/>
      <c r="AH467" s="619"/>
      <c r="AI467" s="619"/>
      <c r="AJ467" s="619"/>
      <c r="AK467" s="619"/>
      <c r="AL467" s="619"/>
      <c r="AM467" s="8"/>
      <c r="AN467" s="8"/>
      <c r="AO467" s="8"/>
      <c r="AP467" s="8"/>
      <c r="AQ467" s="8"/>
      <c r="AR467" s="8"/>
      <c r="AS467" s="8"/>
      <c r="AT467" s="8"/>
      <c r="AU467" s="8"/>
      <c r="AV467" s="8"/>
      <c r="AW467" s="8"/>
      <c r="AX467" s="8"/>
      <c r="AY467" s="8"/>
      <c r="AZ467" s="8"/>
      <c r="BA467" s="8"/>
      <c r="BB467" s="8"/>
      <c r="BC467" s="8"/>
      <c r="BD467" s="8"/>
      <c r="BE467" s="8"/>
    </row>
    <row r="468" spans="1:57" ht="14.25" customHeight="1">
      <c r="A468" s="619"/>
      <c r="B468" s="253"/>
      <c r="C468" s="258"/>
      <c r="D468" s="259" t="s">
        <v>329</v>
      </c>
      <c r="E468" s="270">
        <f t="shared" ref="E468:H468" si="123">E465-E466</f>
        <v>85.431039381374262</v>
      </c>
      <c r="F468" s="270">
        <f t="shared" si="123"/>
        <v>89.515411642171301</v>
      </c>
      <c r="G468" s="270">
        <f t="shared" si="123"/>
        <v>88.923115423424036</v>
      </c>
      <c r="H468" s="356">
        <f t="shared" si="123"/>
        <v>95.163038656098834</v>
      </c>
      <c r="I468" s="619"/>
      <c r="J468" s="619"/>
      <c r="K468" s="619"/>
      <c r="L468" s="619"/>
      <c r="M468" s="619"/>
      <c r="N468" s="619"/>
      <c r="O468" s="619"/>
      <c r="P468" s="619"/>
      <c r="Q468" s="619"/>
      <c r="R468" s="619"/>
      <c r="S468" s="619"/>
      <c r="T468" s="619"/>
      <c r="U468" s="619"/>
      <c r="V468" s="619"/>
      <c r="W468" s="619"/>
      <c r="X468" s="619"/>
      <c r="Y468" s="619"/>
      <c r="Z468" s="619"/>
      <c r="AA468" s="619"/>
      <c r="AB468" s="619"/>
      <c r="AC468" s="619"/>
      <c r="AD468" s="619"/>
      <c r="AE468" s="619"/>
      <c r="AF468" s="619"/>
      <c r="AG468" s="619"/>
      <c r="AH468" s="619"/>
      <c r="AI468" s="619"/>
      <c r="AJ468" s="619"/>
      <c r="AK468" s="619"/>
      <c r="AL468" s="619"/>
      <c r="AM468" s="8"/>
      <c r="AN468" s="8"/>
      <c r="AO468" s="8"/>
      <c r="AP468" s="8"/>
      <c r="AQ468" s="8"/>
      <c r="AR468" s="8"/>
      <c r="AS468" s="8"/>
      <c r="AT468" s="8"/>
      <c r="AU468" s="8"/>
      <c r="AV468" s="8"/>
      <c r="AW468" s="8"/>
      <c r="AX468" s="8"/>
      <c r="AY468" s="8"/>
      <c r="AZ468" s="8"/>
      <c r="BA468" s="8"/>
      <c r="BB468" s="8"/>
      <c r="BC468" s="8"/>
      <c r="BD468" s="8"/>
      <c r="BE468" s="8"/>
    </row>
    <row r="469" spans="1:57" ht="14.25" customHeight="1">
      <c r="A469" s="619">
        <v>1</v>
      </c>
      <c r="B469" s="253"/>
      <c r="C469" s="258"/>
      <c r="D469" s="259" t="s">
        <v>330</v>
      </c>
      <c r="E469" s="270">
        <f>'Copia de Electricidad'!D347*$E$601*$E$604</f>
        <v>9.7329346875708218</v>
      </c>
      <c r="F469" s="270">
        <f>'Copia de Electricidad'!E347*$E$601*$E$604</f>
        <v>10.740374322956892</v>
      </c>
      <c r="G469" s="270">
        <f>'Copia de Electricidad'!F347*$E$601*$E$604</f>
        <v>11.369979123301732</v>
      </c>
      <c r="H469" s="270">
        <f>'Copia de Electricidad'!G347*$E$601*$E$604</f>
        <v>12.428830487813103</v>
      </c>
      <c r="I469" s="619"/>
      <c r="J469" s="619"/>
      <c r="K469" s="619"/>
      <c r="L469" s="619"/>
      <c r="M469" s="619"/>
      <c r="N469" s="619"/>
      <c r="O469" s="619"/>
      <c r="P469" s="619"/>
      <c r="Q469" s="619"/>
      <c r="R469" s="619"/>
      <c r="S469" s="619"/>
      <c r="T469" s="619"/>
      <c r="U469" s="619"/>
      <c r="V469" s="619"/>
      <c r="W469" s="619"/>
      <c r="X469" s="619"/>
      <c r="Y469" s="619"/>
      <c r="Z469" s="619"/>
      <c r="AA469" s="619"/>
      <c r="AB469" s="619"/>
      <c r="AC469" s="619"/>
      <c r="AD469" s="619"/>
      <c r="AE469" s="619"/>
      <c r="AF469" s="619"/>
      <c r="AG469" s="619"/>
      <c r="AH469" s="619"/>
      <c r="AI469" s="619"/>
      <c r="AJ469" s="619"/>
      <c r="AK469" s="619"/>
      <c r="AL469" s="619"/>
      <c r="AM469" s="8"/>
      <c r="AN469" s="8"/>
      <c r="AO469" s="8"/>
      <c r="AP469" s="8"/>
      <c r="AQ469" s="8"/>
      <c r="AR469" s="8"/>
      <c r="AS469" s="8"/>
      <c r="AT469" s="8"/>
      <c r="AU469" s="8"/>
      <c r="AV469" s="8"/>
      <c r="AW469" s="8"/>
      <c r="AX469" s="8"/>
      <c r="AY469" s="8"/>
      <c r="AZ469" s="8"/>
      <c r="BA469" s="8"/>
      <c r="BB469" s="8"/>
      <c r="BC469" s="8"/>
      <c r="BD469" s="8"/>
      <c r="BE469" s="8"/>
    </row>
    <row r="470" spans="1:57" ht="14.25" customHeight="1">
      <c r="A470" s="619"/>
      <c r="B470" s="253"/>
      <c r="C470" s="258"/>
      <c r="D470" s="259" t="s">
        <v>326</v>
      </c>
      <c r="E470" s="270">
        <f t="shared" ref="E470:H470" si="124">E468/E472</f>
        <v>1.1285756720982678</v>
      </c>
      <c r="F470" s="270">
        <f t="shared" si="124"/>
        <v>1.1363423577882223</v>
      </c>
      <c r="G470" s="270">
        <f t="shared" si="124"/>
        <v>1.1466088886373484</v>
      </c>
      <c r="H470" s="356">
        <f t="shared" si="124"/>
        <v>1.1502260160939983</v>
      </c>
      <c r="I470" s="619"/>
      <c r="J470" s="619"/>
      <c r="K470" s="619"/>
      <c r="L470" s="619"/>
      <c r="M470" s="619"/>
      <c r="N470" s="619"/>
      <c r="O470" s="619"/>
      <c r="P470" s="619"/>
      <c r="Q470" s="619"/>
      <c r="R470" s="619"/>
      <c r="S470" s="619"/>
      <c r="T470" s="619"/>
      <c r="U470" s="619"/>
      <c r="V470" s="619"/>
      <c r="W470" s="619"/>
      <c r="X470" s="619"/>
      <c r="Y470" s="619"/>
      <c r="Z470" s="619"/>
      <c r="AA470" s="619"/>
      <c r="AB470" s="619"/>
      <c r="AC470" s="619"/>
      <c r="AD470" s="619"/>
      <c r="AE470" s="619"/>
      <c r="AF470" s="619"/>
      <c r="AG470" s="619"/>
      <c r="AH470" s="619"/>
      <c r="AI470" s="619"/>
      <c r="AJ470" s="619"/>
      <c r="AK470" s="619"/>
      <c r="AL470" s="619"/>
      <c r="AM470" s="8"/>
      <c r="AN470" s="8"/>
      <c r="AO470" s="8"/>
      <c r="AP470" s="8"/>
      <c r="AQ470" s="8"/>
      <c r="AR470" s="8"/>
      <c r="AS470" s="8"/>
      <c r="AT470" s="8"/>
      <c r="AU470" s="8"/>
      <c r="AV470" s="8"/>
      <c r="AW470" s="8"/>
      <c r="AX470" s="8"/>
      <c r="AY470" s="8"/>
      <c r="AZ470" s="8"/>
      <c r="BA470" s="8"/>
      <c r="BB470" s="8"/>
      <c r="BC470" s="8"/>
      <c r="BD470" s="8"/>
      <c r="BE470" s="8"/>
    </row>
    <row r="471" spans="1:57" ht="14.25" customHeight="1">
      <c r="A471" s="619"/>
      <c r="B471" s="253"/>
      <c r="C471" s="258"/>
      <c r="D471" s="259"/>
      <c r="E471" s="256"/>
      <c r="F471" s="256"/>
      <c r="G471" s="256"/>
      <c r="H471" s="335"/>
      <c r="I471" s="619"/>
      <c r="J471" s="619"/>
      <c r="K471" s="619"/>
      <c r="L471" s="619"/>
      <c r="M471" s="619"/>
      <c r="N471" s="619"/>
      <c r="O471" s="619"/>
      <c r="P471" s="619"/>
      <c r="Q471" s="619"/>
      <c r="R471" s="619"/>
      <c r="S471" s="619"/>
      <c r="T471" s="619"/>
      <c r="U471" s="619"/>
      <c r="V471" s="619"/>
      <c r="W471" s="619"/>
      <c r="X471" s="619"/>
      <c r="Y471" s="619"/>
      <c r="Z471" s="619"/>
      <c r="AA471" s="619"/>
      <c r="AB471" s="619"/>
      <c r="AC471" s="619"/>
      <c r="AD471" s="619"/>
      <c r="AE471" s="619"/>
      <c r="AF471" s="619"/>
      <c r="AG471" s="619"/>
      <c r="AH471" s="619"/>
      <c r="AI471" s="619"/>
      <c r="AJ471" s="619"/>
      <c r="AK471" s="619"/>
      <c r="AL471" s="619"/>
      <c r="AM471" s="8"/>
      <c r="AN471" s="8"/>
      <c r="AO471" s="8"/>
      <c r="AP471" s="8"/>
      <c r="AQ471" s="8"/>
      <c r="AR471" s="8"/>
      <c r="AS471" s="8"/>
      <c r="AT471" s="8"/>
      <c r="AU471" s="8"/>
      <c r="AV471" s="8"/>
      <c r="AW471" s="8"/>
      <c r="AX471" s="8"/>
      <c r="AY471" s="8"/>
      <c r="AZ471" s="8"/>
      <c r="BA471" s="8"/>
      <c r="BB471" s="8"/>
      <c r="BC471" s="8"/>
      <c r="BD471" s="8"/>
      <c r="BE471" s="8"/>
    </row>
    <row r="472" spans="1:57" ht="14.25" customHeight="1">
      <c r="A472" s="619"/>
      <c r="B472" s="253"/>
      <c r="C472" s="258"/>
      <c r="D472" s="259" t="s">
        <v>331</v>
      </c>
      <c r="E472" s="256">
        <f t="shared" ref="E472:H472" si="125">E468-E469</f>
        <v>75.698104693803444</v>
      </c>
      <c r="F472" s="256">
        <f t="shared" si="125"/>
        <v>78.775037319214405</v>
      </c>
      <c r="G472" s="256">
        <f t="shared" si="125"/>
        <v>77.553136300122304</v>
      </c>
      <c r="H472" s="357">
        <f t="shared" si="125"/>
        <v>82.734208168285733</v>
      </c>
      <c r="I472" s="619"/>
      <c r="J472" s="619"/>
      <c r="K472" s="619"/>
      <c r="L472" s="619"/>
      <c r="M472" s="619"/>
      <c r="N472" s="619"/>
      <c r="O472" s="619"/>
      <c r="P472" s="619"/>
      <c r="Q472" s="619"/>
      <c r="R472" s="619"/>
      <c r="S472" s="619"/>
      <c r="T472" s="619"/>
      <c r="U472" s="619"/>
      <c r="V472" s="619"/>
      <c r="W472" s="619"/>
      <c r="X472" s="619"/>
      <c r="Y472" s="619"/>
      <c r="Z472" s="619"/>
      <c r="AA472" s="619"/>
      <c r="AB472" s="619"/>
      <c r="AC472" s="619"/>
      <c r="AD472" s="619"/>
      <c r="AE472" s="619"/>
      <c r="AF472" s="619"/>
      <c r="AG472" s="619"/>
      <c r="AH472" s="619"/>
      <c r="AI472" s="619"/>
      <c r="AJ472" s="619"/>
      <c r="AK472" s="619"/>
      <c r="AL472" s="619"/>
      <c r="AM472" s="619"/>
      <c r="AN472" s="8"/>
      <c r="AO472" s="8"/>
      <c r="AP472" s="8"/>
      <c r="AQ472" s="8"/>
      <c r="AR472" s="8"/>
      <c r="AS472" s="8"/>
      <c r="AT472" s="8"/>
      <c r="AU472" s="8"/>
      <c r="AV472" s="8"/>
      <c r="AW472" s="8"/>
      <c r="AX472" s="8"/>
      <c r="AY472" s="8"/>
      <c r="AZ472" s="8"/>
      <c r="BA472" s="8"/>
      <c r="BB472" s="8"/>
      <c r="BC472" s="8"/>
      <c r="BD472" s="8"/>
      <c r="BE472" s="8"/>
    </row>
    <row r="473" spans="1:57" ht="14.25" customHeight="1">
      <c r="A473" s="619"/>
      <c r="B473" s="253"/>
      <c r="C473" s="258"/>
      <c r="D473" s="281" t="s">
        <v>332</v>
      </c>
      <c r="E473" s="256">
        <f t="shared" ref="E473:H473" si="126">E472+E331</f>
        <v>89.600610771121666</v>
      </c>
      <c r="F473" s="256">
        <f t="shared" si="126"/>
        <v>93.580926332315272</v>
      </c>
      <c r="G473" s="256">
        <f t="shared" si="126"/>
        <v>91.740927686208337</v>
      </c>
      <c r="H473" s="357">
        <f t="shared" si="126"/>
        <v>97.232918411866905</v>
      </c>
      <c r="I473" s="619"/>
      <c r="J473" s="619"/>
      <c r="K473" s="619"/>
      <c r="L473" s="619"/>
      <c r="M473" s="619"/>
      <c r="N473" s="619"/>
      <c r="O473" s="619"/>
      <c r="P473" s="619"/>
      <c r="Q473" s="619"/>
      <c r="R473" s="619"/>
      <c r="S473" s="619"/>
      <c r="T473" s="619"/>
      <c r="U473" s="619"/>
      <c r="V473" s="619"/>
      <c r="W473" s="619"/>
      <c r="X473" s="619"/>
      <c r="Y473" s="619"/>
      <c r="Z473" s="619"/>
      <c r="AA473" s="619"/>
      <c r="AB473" s="619"/>
      <c r="AC473" s="619"/>
      <c r="AD473" s="619"/>
      <c r="AE473" s="619"/>
      <c r="AF473" s="619"/>
      <c r="AG473" s="619"/>
      <c r="AH473" s="619"/>
      <c r="AI473" s="619"/>
      <c r="AJ473" s="619"/>
      <c r="AK473" s="619"/>
      <c r="AL473" s="619"/>
      <c r="AM473" s="619"/>
      <c r="AN473" s="8"/>
      <c r="AO473" s="8"/>
      <c r="AP473" s="8"/>
      <c r="AQ473" s="8"/>
      <c r="AR473" s="8"/>
      <c r="AS473" s="8"/>
      <c r="AT473" s="8"/>
      <c r="AU473" s="8"/>
      <c r="AV473" s="8"/>
      <c r="AW473" s="8"/>
      <c r="AX473" s="8"/>
      <c r="AY473" s="8"/>
      <c r="AZ473" s="8"/>
      <c r="BA473" s="8"/>
      <c r="BB473" s="8"/>
      <c r="BC473" s="8"/>
      <c r="BD473" s="8"/>
      <c r="BE473" s="8"/>
    </row>
    <row r="474" spans="1:57" ht="14.25" customHeight="1">
      <c r="A474" s="619"/>
      <c r="B474" s="253"/>
      <c r="C474" s="258"/>
      <c r="D474" s="281"/>
      <c r="E474" s="256"/>
      <c r="F474" s="256"/>
      <c r="G474" s="256"/>
      <c r="H474" s="357"/>
      <c r="I474" s="619"/>
      <c r="J474" s="619"/>
      <c r="K474" s="619"/>
      <c r="L474" s="619"/>
      <c r="M474" s="619"/>
      <c r="N474" s="619"/>
      <c r="O474" s="619"/>
      <c r="P474" s="619"/>
      <c r="Q474" s="619"/>
      <c r="R474" s="619"/>
      <c r="S474" s="619"/>
      <c r="T474" s="619"/>
      <c r="U474" s="619"/>
      <c r="V474" s="619"/>
      <c r="W474" s="619"/>
      <c r="X474" s="619"/>
      <c r="Y474" s="619"/>
      <c r="Z474" s="619"/>
      <c r="AA474" s="619"/>
      <c r="AB474" s="619"/>
      <c r="AC474" s="619"/>
      <c r="AD474" s="619"/>
      <c r="AE474" s="619"/>
      <c r="AF474" s="619"/>
      <c r="AG474" s="619"/>
      <c r="AH474" s="619"/>
      <c r="AI474" s="619"/>
      <c r="AJ474" s="619"/>
      <c r="AK474" s="619"/>
      <c r="AL474" s="619"/>
      <c r="AM474" s="619"/>
      <c r="AN474" s="8"/>
      <c r="AO474" s="8"/>
      <c r="AP474" s="8"/>
      <c r="AQ474" s="8"/>
      <c r="AR474" s="8"/>
      <c r="AS474" s="8"/>
      <c r="AT474" s="8"/>
      <c r="AU474" s="8"/>
      <c r="AV474" s="8"/>
      <c r="AW474" s="8"/>
      <c r="AX474" s="8"/>
      <c r="AY474" s="8"/>
      <c r="AZ474" s="8"/>
      <c r="BA474" s="8"/>
      <c r="BB474" s="8"/>
      <c r="BC474" s="8"/>
      <c r="BD474" s="8"/>
      <c r="BE474" s="8"/>
    </row>
    <row r="475" spans="1:57" ht="14.25" customHeight="1">
      <c r="A475" s="619"/>
      <c r="B475" s="253"/>
      <c r="C475" s="258"/>
      <c r="D475" s="281" t="s">
        <v>333</v>
      </c>
      <c r="E475" s="256"/>
      <c r="F475" s="256"/>
      <c r="G475" s="256"/>
      <c r="H475" s="357"/>
      <c r="I475" s="45"/>
      <c r="J475" s="619"/>
      <c r="K475" s="619"/>
      <c r="L475" s="619"/>
      <c r="M475" s="619"/>
      <c r="N475" s="619"/>
      <c r="O475" s="619"/>
      <c r="P475" s="619"/>
      <c r="Q475" s="619"/>
      <c r="R475" s="619"/>
      <c r="S475" s="619"/>
      <c r="T475" s="619"/>
      <c r="U475" s="619"/>
      <c r="V475" s="619"/>
      <c r="W475" s="619"/>
      <c r="X475" s="619"/>
      <c r="Y475" s="619"/>
      <c r="Z475" s="619"/>
      <c r="AA475" s="619"/>
      <c r="AB475" s="619"/>
      <c r="AC475" s="619"/>
      <c r="AD475" s="619"/>
      <c r="AE475" s="619"/>
      <c r="AF475" s="619"/>
      <c r="AG475" s="619"/>
      <c r="AH475" s="619"/>
      <c r="AI475" s="619"/>
      <c r="AJ475" s="619"/>
      <c r="AK475" s="619"/>
      <c r="AL475" s="619"/>
      <c r="AM475" s="8"/>
      <c r="AN475" s="8"/>
      <c r="AO475" s="8"/>
      <c r="AP475" s="8"/>
      <c r="AQ475" s="8"/>
      <c r="AR475" s="8"/>
      <c r="AS475" s="8"/>
      <c r="AT475" s="8"/>
      <c r="AU475" s="8"/>
      <c r="AV475" s="8"/>
      <c r="AW475" s="8"/>
      <c r="AX475" s="8"/>
      <c r="AY475" s="8"/>
      <c r="AZ475" s="8"/>
      <c r="BA475" s="8"/>
      <c r="BB475" s="8"/>
      <c r="BC475" s="8"/>
      <c r="BD475" s="8"/>
      <c r="BE475" s="8"/>
    </row>
    <row r="476" spans="1:57" ht="14.25" customHeight="1">
      <c r="A476" s="619"/>
      <c r="B476" s="253"/>
      <c r="C476" s="258"/>
      <c r="D476" s="281" t="s">
        <v>334</v>
      </c>
      <c r="E476" s="256">
        <f t="shared" ref="E476:H476" si="127">E345+(E486-E487)</f>
        <v>104.67240898985058</v>
      </c>
      <c r="F476" s="256">
        <f t="shared" si="127"/>
        <v>109.59854190906414</v>
      </c>
      <c r="G476" s="256">
        <f t="shared" si="127"/>
        <v>108.50123676657739</v>
      </c>
      <c r="H476" s="256">
        <f t="shared" si="127"/>
        <v>115.29516743396309</v>
      </c>
      <c r="I476" s="45"/>
      <c r="J476" s="619"/>
      <c r="K476" s="619"/>
      <c r="L476" s="619"/>
      <c r="M476" s="619"/>
      <c r="N476" s="619"/>
      <c r="O476" s="619"/>
      <c r="P476" s="619"/>
      <c r="Q476" s="619"/>
      <c r="R476" s="619"/>
      <c r="S476" s="619"/>
      <c r="T476" s="619"/>
      <c r="U476" s="619"/>
      <c r="V476" s="619"/>
      <c r="W476" s="619"/>
      <c r="X476" s="619"/>
      <c r="Y476" s="619"/>
      <c r="Z476" s="619"/>
      <c r="AA476" s="619"/>
      <c r="AB476" s="619"/>
      <c r="AC476" s="619"/>
      <c r="AD476" s="619"/>
      <c r="AE476" s="619"/>
      <c r="AF476" s="619"/>
      <c r="AG476" s="619"/>
      <c r="AH476" s="619"/>
      <c r="AI476" s="619"/>
      <c r="AJ476" s="619"/>
      <c r="AK476" s="619"/>
      <c r="AL476" s="619"/>
      <c r="AM476" s="8"/>
      <c r="AN476" s="8"/>
      <c r="AO476" s="8"/>
      <c r="AP476" s="8"/>
      <c r="AQ476" s="8"/>
      <c r="AR476" s="8"/>
      <c r="AS476" s="8"/>
      <c r="AT476" s="8"/>
      <c r="AU476" s="8"/>
      <c r="AV476" s="8"/>
      <c r="AW476" s="8"/>
      <c r="AX476" s="8"/>
      <c r="AY476" s="8"/>
      <c r="AZ476" s="8"/>
      <c r="BA476" s="8"/>
      <c r="BB476" s="8"/>
      <c r="BC476" s="8"/>
      <c r="BD476" s="8"/>
      <c r="BE476" s="8"/>
    </row>
    <row r="477" spans="1:57" ht="14.25" customHeight="1">
      <c r="A477" s="619"/>
      <c r="B477" s="253"/>
      <c r="C477" s="258"/>
      <c r="D477" s="281" t="s">
        <v>335</v>
      </c>
      <c r="E477" s="256">
        <f t="shared" ref="E477:H477" si="128">E476-E501</f>
        <v>15.061581706978501</v>
      </c>
      <c r="F477" s="256">
        <f t="shared" si="128"/>
        <v>16.720946566854153</v>
      </c>
      <c r="G477" s="256">
        <f t="shared" si="128"/>
        <v>17.054957326654616</v>
      </c>
      <c r="H477" s="256">
        <f t="shared" si="128"/>
        <v>18.266465647350927</v>
      </c>
      <c r="I477" s="626" t="s">
        <v>336</v>
      </c>
      <c r="J477" s="652"/>
      <c r="K477" s="652"/>
      <c r="L477" s="652"/>
      <c r="M477" s="652"/>
      <c r="N477" s="619"/>
      <c r="O477" s="619"/>
      <c r="P477" s="619"/>
      <c r="Q477" s="619"/>
      <c r="R477" s="619"/>
      <c r="S477" s="619"/>
      <c r="T477" s="619"/>
      <c r="U477" s="619"/>
      <c r="V477" s="619"/>
      <c r="W477" s="619"/>
      <c r="X477" s="619"/>
      <c r="Y477" s="619"/>
      <c r="Z477" s="619"/>
      <c r="AA477" s="619"/>
      <c r="AB477" s="619"/>
      <c r="AC477" s="619"/>
      <c r="AD477" s="619"/>
      <c r="AE477" s="619"/>
      <c r="AF477" s="619"/>
      <c r="AG477" s="619"/>
      <c r="AH477" s="619"/>
      <c r="AI477" s="619"/>
      <c r="AJ477" s="619"/>
      <c r="AK477" s="619"/>
      <c r="AL477" s="619"/>
      <c r="AM477" s="8"/>
      <c r="AN477" s="8"/>
      <c r="AO477" s="8"/>
      <c r="AP477" s="8"/>
      <c r="AQ477" s="8"/>
      <c r="AR477" s="8"/>
      <c r="AS477" s="8"/>
      <c r="AT477" s="8"/>
      <c r="AU477" s="8"/>
      <c r="AV477" s="8"/>
      <c r="AW477" s="8"/>
      <c r="AX477" s="8"/>
      <c r="AY477" s="8"/>
      <c r="AZ477" s="8"/>
      <c r="BA477" s="8"/>
      <c r="BB477" s="8"/>
      <c r="BC477" s="8"/>
      <c r="BD477" s="8"/>
      <c r="BE477" s="8"/>
    </row>
    <row r="478" spans="1:57" ht="14.25" customHeight="1">
      <c r="A478" s="619"/>
      <c r="B478" s="253"/>
      <c r="C478" s="258"/>
      <c r="D478" s="281"/>
      <c r="E478" s="172">
        <v>2018</v>
      </c>
      <c r="F478" s="172">
        <v>2019</v>
      </c>
      <c r="G478" s="172">
        <v>2020</v>
      </c>
      <c r="H478" s="172">
        <v>2021</v>
      </c>
      <c r="I478" s="189">
        <v>2022</v>
      </c>
      <c r="J478" s="189">
        <v>2023</v>
      </c>
      <c r="K478" s="189">
        <v>2024</v>
      </c>
      <c r="L478" s="189">
        <v>2025</v>
      </c>
      <c r="M478" s="189">
        <v>2026</v>
      </c>
      <c r="N478" s="189">
        <v>2027</v>
      </c>
      <c r="O478" s="189">
        <v>2028</v>
      </c>
      <c r="P478" s="189">
        <v>2029</v>
      </c>
      <c r="Q478" s="189">
        <v>2030</v>
      </c>
      <c r="R478" s="189">
        <v>2031</v>
      </c>
      <c r="S478" s="189">
        <v>2032</v>
      </c>
      <c r="T478" s="189">
        <v>2033</v>
      </c>
      <c r="U478" s="189">
        <v>2034</v>
      </c>
      <c r="V478" s="189">
        <v>2035</v>
      </c>
      <c r="W478" s="189">
        <v>2036</v>
      </c>
      <c r="X478" s="189">
        <v>2037</v>
      </c>
      <c r="Y478" s="189">
        <v>2038</v>
      </c>
      <c r="Z478" s="189">
        <v>2039</v>
      </c>
      <c r="AA478" s="189">
        <v>2040</v>
      </c>
      <c r="AB478" s="189">
        <v>2041</v>
      </c>
      <c r="AC478" s="189">
        <v>2042</v>
      </c>
      <c r="AD478" s="189">
        <v>2043</v>
      </c>
      <c r="AE478" s="189">
        <v>2044</v>
      </c>
      <c r="AF478" s="189">
        <v>2045</v>
      </c>
      <c r="AG478" s="189">
        <v>2046</v>
      </c>
      <c r="AH478" s="189">
        <v>2047</v>
      </c>
      <c r="AI478" s="189">
        <v>2048</v>
      </c>
      <c r="AJ478" s="189">
        <v>2049</v>
      </c>
      <c r="AK478" s="218">
        <v>2050</v>
      </c>
      <c r="AL478" s="189">
        <v>2051</v>
      </c>
      <c r="AM478" s="189">
        <v>2052</v>
      </c>
      <c r="AN478" s="189">
        <v>2053</v>
      </c>
      <c r="AO478" s="189">
        <v>2054</v>
      </c>
      <c r="AP478" s="189">
        <v>2055</v>
      </c>
      <c r="AQ478" s="189">
        <v>2056</v>
      </c>
      <c r="AR478" s="189">
        <v>2057</v>
      </c>
      <c r="AS478" s="189">
        <v>2058</v>
      </c>
      <c r="AT478" s="218">
        <v>2059</v>
      </c>
      <c r="AU478" s="189">
        <v>2060</v>
      </c>
      <c r="AV478" s="189">
        <v>2061</v>
      </c>
      <c r="AW478" s="189">
        <v>2062</v>
      </c>
      <c r="AX478" s="189">
        <v>2063</v>
      </c>
      <c r="AY478" s="189">
        <v>2064</v>
      </c>
      <c r="AZ478" s="189">
        <v>2065</v>
      </c>
      <c r="BA478" s="189">
        <v>2066</v>
      </c>
      <c r="BB478" s="189">
        <v>2067</v>
      </c>
      <c r="BC478" s="218">
        <v>2068</v>
      </c>
      <c r="BD478" s="189">
        <v>2069</v>
      </c>
      <c r="BE478" s="189">
        <v>2070</v>
      </c>
    </row>
    <row r="479" spans="1:57" ht="14.25" customHeight="1">
      <c r="A479" s="619"/>
      <c r="B479" s="179"/>
      <c r="C479" s="258"/>
      <c r="D479" s="281" t="s">
        <v>337</v>
      </c>
      <c r="E479" s="256">
        <v>1.04489363120485</v>
      </c>
      <c r="F479" s="256">
        <v>1.0484179807725431</v>
      </c>
      <c r="G479" s="256">
        <v>1.0483662739379054</v>
      </c>
      <c r="H479" s="357">
        <v>1.0441795891736392</v>
      </c>
      <c r="I479" s="256">
        <f>1/(1-I480%)</f>
        <v>1.0398253093480296</v>
      </c>
      <c r="J479" s="256">
        <f t="shared" ref="J479:AK479" si="129">I479</f>
        <v>1.0398253093480296</v>
      </c>
      <c r="K479" s="256">
        <f t="shared" si="129"/>
        <v>1.0398253093480296</v>
      </c>
      <c r="L479" s="256">
        <f t="shared" si="129"/>
        <v>1.0398253093480296</v>
      </c>
      <c r="M479" s="256">
        <f t="shared" si="129"/>
        <v>1.0398253093480296</v>
      </c>
      <c r="N479" s="256">
        <f t="shared" si="129"/>
        <v>1.0398253093480296</v>
      </c>
      <c r="O479" s="256">
        <f t="shared" si="129"/>
        <v>1.0398253093480296</v>
      </c>
      <c r="P479" s="256">
        <f t="shared" si="129"/>
        <v>1.0398253093480296</v>
      </c>
      <c r="Q479" s="256">
        <f t="shared" si="129"/>
        <v>1.0398253093480296</v>
      </c>
      <c r="R479" s="256">
        <f t="shared" si="129"/>
        <v>1.0398253093480296</v>
      </c>
      <c r="S479" s="256">
        <f t="shared" si="129"/>
        <v>1.0398253093480296</v>
      </c>
      <c r="T479" s="256">
        <f t="shared" si="129"/>
        <v>1.0398253093480296</v>
      </c>
      <c r="U479" s="256">
        <f t="shared" si="129"/>
        <v>1.0398253093480296</v>
      </c>
      <c r="V479" s="256">
        <f t="shared" si="129"/>
        <v>1.0398253093480296</v>
      </c>
      <c r="W479" s="256">
        <f t="shared" si="129"/>
        <v>1.0398253093480296</v>
      </c>
      <c r="X479" s="256">
        <f t="shared" si="129"/>
        <v>1.0398253093480296</v>
      </c>
      <c r="Y479" s="256">
        <f t="shared" si="129"/>
        <v>1.0398253093480296</v>
      </c>
      <c r="Z479" s="256">
        <f t="shared" si="129"/>
        <v>1.0398253093480296</v>
      </c>
      <c r="AA479" s="256">
        <f t="shared" si="129"/>
        <v>1.0398253093480296</v>
      </c>
      <c r="AB479" s="256">
        <f t="shared" si="129"/>
        <v>1.0398253093480296</v>
      </c>
      <c r="AC479" s="256">
        <f t="shared" si="129"/>
        <v>1.0398253093480296</v>
      </c>
      <c r="AD479" s="256">
        <f t="shared" si="129"/>
        <v>1.0398253093480296</v>
      </c>
      <c r="AE479" s="256">
        <f t="shared" si="129"/>
        <v>1.0398253093480296</v>
      </c>
      <c r="AF479" s="256">
        <f t="shared" si="129"/>
        <v>1.0398253093480296</v>
      </c>
      <c r="AG479" s="256">
        <f t="shared" si="129"/>
        <v>1.0398253093480296</v>
      </c>
      <c r="AH479" s="256">
        <f t="shared" si="129"/>
        <v>1.0398253093480296</v>
      </c>
      <c r="AI479" s="256">
        <f t="shared" si="129"/>
        <v>1.0398253093480296</v>
      </c>
      <c r="AJ479" s="256">
        <f t="shared" si="129"/>
        <v>1.0398253093480296</v>
      </c>
      <c r="AK479" s="256">
        <f t="shared" si="129"/>
        <v>1.0398253093480296</v>
      </c>
      <c r="AL479" s="619"/>
      <c r="AM479" s="8"/>
      <c r="AN479" s="8"/>
      <c r="AO479" s="8"/>
      <c r="AP479" s="8"/>
      <c r="AQ479" s="8"/>
      <c r="AR479" s="8"/>
      <c r="AS479" s="8"/>
      <c r="AT479" s="8"/>
      <c r="AU479" s="8"/>
      <c r="AV479" s="8"/>
      <c r="AW479" s="8"/>
      <c r="AX479" s="8"/>
      <c r="AY479" s="8"/>
      <c r="AZ479" s="8"/>
      <c r="BA479" s="8"/>
      <c r="BB479" s="8"/>
      <c r="BC479" s="8"/>
      <c r="BD479" s="8"/>
      <c r="BE479" s="8"/>
    </row>
    <row r="480" spans="1:57" ht="14.25" customHeight="1">
      <c r="A480" s="619"/>
      <c r="B480" s="179"/>
      <c r="C480" s="258"/>
      <c r="D480" s="281" t="s">
        <v>338</v>
      </c>
      <c r="E480" s="256">
        <f t="shared" ref="E480:H480" si="130">E476-(E476/E479)</f>
        <v>4.4972276470812602</v>
      </c>
      <c r="F480" s="256">
        <f t="shared" si="130"/>
        <v>5.061473755859879</v>
      </c>
      <c r="G480" s="256">
        <f t="shared" si="130"/>
        <v>5.005693783282311</v>
      </c>
      <c r="H480" s="256">
        <f t="shared" si="130"/>
        <v>4.8781772635199303</v>
      </c>
      <c r="I480" s="256">
        <v>3.83</v>
      </c>
      <c r="J480" s="256">
        <f t="shared" ref="J480:AK480" si="131">I480</f>
        <v>3.83</v>
      </c>
      <c r="K480" s="256">
        <f t="shared" si="131"/>
        <v>3.83</v>
      </c>
      <c r="L480" s="256">
        <f t="shared" si="131"/>
        <v>3.83</v>
      </c>
      <c r="M480" s="256">
        <f t="shared" si="131"/>
        <v>3.83</v>
      </c>
      <c r="N480" s="256">
        <f t="shared" si="131"/>
        <v>3.83</v>
      </c>
      <c r="O480" s="256">
        <f t="shared" si="131"/>
        <v>3.83</v>
      </c>
      <c r="P480" s="256">
        <f t="shared" si="131"/>
        <v>3.83</v>
      </c>
      <c r="Q480" s="256">
        <f t="shared" si="131"/>
        <v>3.83</v>
      </c>
      <c r="R480" s="256">
        <f t="shared" si="131"/>
        <v>3.83</v>
      </c>
      <c r="S480" s="256">
        <f t="shared" si="131"/>
        <v>3.83</v>
      </c>
      <c r="T480" s="256">
        <f t="shared" si="131"/>
        <v>3.83</v>
      </c>
      <c r="U480" s="256">
        <f t="shared" si="131"/>
        <v>3.83</v>
      </c>
      <c r="V480" s="256">
        <f t="shared" si="131"/>
        <v>3.83</v>
      </c>
      <c r="W480" s="256">
        <f t="shared" si="131"/>
        <v>3.83</v>
      </c>
      <c r="X480" s="256">
        <f t="shared" si="131"/>
        <v>3.83</v>
      </c>
      <c r="Y480" s="256">
        <f t="shared" si="131"/>
        <v>3.83</v>
      </c>
      <c r="Z480" s="256">
        <f t="shared" si="131"/>
        <v>3.83</v>
      </c>
      <c r="AA480" s="256">
        <f t="shared" si="131"/>
        <v>3.83</v>
      </c>
      <c r="AB480" s="256">
        <f t="shared" si="131"/>
        <v>3.83</v>
      </c>
      <c r="AC480" s="256">
        <f t="shared" si="131"/>
        <v>3.83</v>
      </c>
      <c r="AD480" s="256">
        <f t="shared" si="131"/>
        <v>3.83</v>
      </c>
      <c r="AE480" s="256">
        <f t="shared" si="131"/>
        <v>3.83</v>
      </c>
      <c r="AF480" s="256">
        <f t="shared" si="131"/>
        <v>3.83</v>
      </c>
      <c r="AG480" s="256">
        <f t="shared" si="131"/>
        <v>3.83</v>
      </c>
      <c r="AH480" s="256">
        <f t="shared" si="131"/>
        <v>3.83</v>
      </c>
      <c r="AI480" s="256">
        <f t="shared" si="131"/>
        <v>3.83</v>
      </c>
      <c r="AJ480" s="256">
        <f t="shared" si="131"/>
        <v>3.83</v>
      </c>
      <c r="AK480" s="271">
        <f t="shared" si="131"/>
        <v>3.83</v>
      </c>
      <c r="AL480" s="619"/>
      <c r="AM480" s="8"/>
      <c r="AN480" s="8"/>
      <c r="AO480" s="8"/>
      <c r="AP480" s="8"/>
      <c r="AQ480" s="8"/>
      <c r="AR480" s="8"/>
      <c r="AS480" s="8"/>
      <c r="AT480" s="8"/>
      <c r="AU480" s="8"/>
      <c r="AV480" s="8"/>
      <c r="AW480" s="8"/>
      <c r="AX480" s="8"/>
      <c r="AY480" s="8"/>
      <c r="AZ480" s="8"/>
      <c r="BA480" s="8"/>
      <c r="BB480" s="8"/>
      <c r="BC480" s="8"/>
      <c r="BD480" s="8"/>
      <c r="BE480" s="8"/>
    </row>
    <row r="481" spans="1:57" ht="14.25" customHeight="1">
      <c r="A481" s="619"/>
      <c r="B481" s="179"/>
      <c r="C481" s="258"/>
      <c r="D481" s="281"/>
      <c r="E481" s="172">
        <v>2018</v>
      </c>
      <c r="F481" s="172">
        <v>2019</v>
      </c>
      <c r="G481" s="172">
        <v>2020</v>
      </c>
      <c r="H481" s="172">
        <v>2021</v>
      </c>
      <c r="I481" s="189">
        <v>2022</v>
      </c>
      <c r="J481" s="189">
        <v>2023</v>
      </c>
      <c r="K481" s="189">
        <v>2024</v>
      </c>
      <c r="L481" s="189">
        <v>2025</v>
      </c>
      <c r="M481" s="189">
        <v>2026</v>
      </c>
      <c r="N481" s="189">
        <v>2027</v>
      </c>
      <c r="O481" s="189">
        <v>2028</v>
      </c>
      <c r="P481" s="189">
        <v>2029</v>
      </c>
      <c r="Q481" s="189">
        <v>2030</v>
      </c>
      <c r="R481" s="189">
        <v>2031</v>
      </c>
      <c r="S481" s="189">
        <v>2032</v>
      </c>
      <c r="T481" s="189">
        <v>2033</v>
      </c>
      <c r="U481" s="189">
        <v>2034</v>
      </c>
      <c r="V481" s="189">
        <v>2035</v>
      </c>
      <c r="W481" s="189">
        <v>2036</v>
      </c>
      <c r="X481" s="189">
        <v>2037</v>
      </c>
      <c r="Y481" s="189">
        <v>2038</v>
      </c>
      <c r="Z481" s="189">
        <v>2039</v>
      </c>
      <c r="AA481" s="189">
        <v>2040</v>
      </c>
      <c r="AB481" s="189">
        <v>2041</v>
      </c>
      <c r="AC481" s="189">
        <v>2042</v>
      </c>
      <c r="AD481" s="189">
        <v>2043</v>
      </c>
      <c r="AE481" s="189">
        <v>2044</v>
      </c>
      <c r="AF481" s="189">
        <v>2045</v>
      </c>
      <c r="AG481" s="189">
        <v>2046</v>
      </c>
      <c r="AH481" s="189">
        <v>2047</v>
      </c>
      <c r="AI481" s="189">
        <v>2048</v>
      </c>
      <c r="AJ481" s="189">
        <v>2049</v>
      </c>
      <c r="AK481" s="218">
        <v>2050</v>
      </c>
      <c r="AL481" s="189">
        <v>2051</v>
      </c>
      <c r="AM481" s="189">
        <v>2052</v>
      </c>
      <c r="AN481" s="189">
        <v>2053</v>
      </c>
      <c r="AO481" s="189">
        <v>2054</v>
      </c>
      <c r="AP481" s="189">
        <v>2055</v>
      </c>
      <c r="AQ481" s="189">
        <v>2056</v>
      </c>
      <c r="AR481" s="189">
        <v>2057</v>
      </c>
      <c r="AS481" s="189">
        <v>2058</v>
      </c>
      <c r="AT481" s="218">
        <v>2059</v>
      </c>
      <c r="AU481" s="189">
        <v>2060</v>
      </c>
      <c r="AV481" s="189">
        <v>2061</v>
      </c>
      <c r="AW481" s="189">
        <v>2062</v>
      </c>
      <c r="AX481" s="189">
        <v>2063</v>
      </c>
      <c r="AY481" s="189">
        <v>2064</v>
      </c>
      <c r="AZ481" s="189">
        <v>2065</v>
      </c>
      <c r="BA481" s="189">
        <v>2066</v>
      </c>
      <c r="BB481" s="189">
        <v>2067</v>
      </c>
      <c r="BC481" s="218">
        <v>2068</v>
      </c>
      <c r="BD481" s="189">
        <v>2069</v>
      </c>
      <c r="BE481" s="189">
        <v>2070</v>
      </c>
    </row>
    <row r="482" spans="1:57" ht="14.25" customHeight="1">
      <c r="A482" s="619"/>
      <c r="B482" s="179"/>
      <c r="C482" s="258"/>
      <c r="D482" s="281" t="s">
        <v>339</v>
      </c>
      <c r="E482" s="256">
        <f t="shared" ref="E482:H482" si="132">E477-E480</f>
        <v>10.564354059897241</v>
      </c>
      <c r="F482" s="256">
        <f t="shared" si="132"/>
        <v>11.659472810994274</v>
      </c>
      <c r="G482" s="256">
        <f t="shared" si="132"/>
        <v>12.049263543372305</v>
      </c>
      <c r="H482" s="256">
        <f t="shared" si="132"/>
        <v>13.388288383830997</v>
      </c>
      <c r="I482" s="256">
        <v>12.23</v>
      </c>
      <c r="J482" s="256">
        <v>13.23</v>
      </c>
      <c r="K482" s="256">
        <v>14.23</v>
      </c>
      <c r="L482" s="256">
        <v>15.23</v>
      </c>
      <c r="M482" s="256">
        <v>16.23</v>
      </c>
      <c r="N482" s="256">
        <v>17.23</v>
      </c>
      <c r="O482" s="256">
        <v>18.23</v>
      </c>
      <c r="P482" s="256">
        <v>19.23</v>
      </c>
      <c r="Q482" s="256">
        <v>20.23</v>
      </c>
      <c r="R482" s="256">
        <v>21.23</v>
      </c>
      <c r="S482" s="256">
        <v>22.23</v>
      </c>
      <c r="T482" s="256">
        <v>23.23</v>
      </c>
      <c r="U482" s="256">
        <v>24.23</v>
      </c>
      <c r="V482" s="256">
        <v>25.23</v>
      </c>
      <c r="W482" s="256">
        <v>26.23</v>
      </c>
      <c r="X482" s="256">
        <v>27.23</v>
      </c>
      <c r="Y482" s="256">
        <v>28.23</v>
      </c>
      <c r="Z482" s="256">
        <v>29.23</v>
      </c>
      <c r="AA482" s="256">
        <v>30.23</v>
      </c>
      <c r="AB482" s="256">
        <v>31.23</v>
      </c>
      <c r="AC482" s="256">
        <v>32.229999999999997</v>
      </c>
      <c r="AD482" s="256">
        <v>33.229999999999997</v>
      </c>
      <c r="AE482" s="256">
        <v>34.229999999999997</v>
      </c>
      <c r="AF482" s="256">
        <v>35.229999999999997</v>
      </c>
      <c r="AG482" s="256">
        <v>36.229999999999997</v>
      </c>
      <c r="AH482" s="256">
        <v>37.229999999999997</v>
      </c>
      <c r="AI482" s="256">
        <v>38.229999999999997</v>
      </c>
      <c r="AJ482" s="256">
        <v>39.229999999999997</v>
      </c>
      <c r="AK482" s="271">
        <v>40.229999999999997</v>
      </c>
      <c r="AL482" s="619"/>
      <c r="AM482" s="8"/>
      <c r="AN482" s="8"/>
      <c r="AO482" s="8"/>
      <c r="AP482" s="8"/>
      <c r="AQ482" s="8"/>
      <c r="AR482" s="8"/>
      <c r="AS482" s="8"/>
      <c r="AT482" s="8"/>
      <c r="AU482" s="8"/>
      <c r="AV482" s="8"/>
      <c r="AW482" s="8"/>
      <c r="AX482" s="8"/>
      <c r="AY482" s="8"/>
      <c r="AZ482" s="8"/>
      <c r="BA482" s="8"/>
      <c r="BB482" s="8"/>
      <c r="BC482" s="8"/>
      <c r="BD482" s="8"/>
      <c r="BE482" s="8"/>
    </row>
    <row r="483" spans="1:57" ht="14.25" customHeight="1">
      <c r="A483" s="619"/>
      <c r="B483" s="179"/>
      <c r="C483" s="258"/>
      <c r="D483" s="281" t="s">
        <v>340</v>
      </c>
      <c r="E483" s="256">
        <f t="shared" ref="E483:H483" si="133">(E476-E480)/(E476-E480-E482)</f>
        <v>1.117891491243006</v>
      </c>
      <c r="F483" s="256">
        <f t="shared" si="133"/>
        <v>1.1255359031210341</v>
      </c>
      <c r="G483" s="256">
        <f t="shared" si="133"/>
        <v>1.1317632999086451</v>
      </c>
      <c r="H483" s="256">
        <f t="shared" si="133"/>
        <v>1.1379827632165465</v>
      </c>
      <c r="I483" s="256">
        <f>1/(1-I482%)</f>
        <v>1.1393414606357526</v>
      </c>
      <c r="J483" s="256">
        <f t="shared" ref="J483:AK483" si="134">I483</f>
        <v>1.1393414606357526</v>
      </c>
      <c r="K483" s="256">
        <f t="shared" si="134"/>
        <v>1.1393414606357526</v>
      </c>
      <c r="L483" s="256">
        <f t="shared" si="134"/>
        <v>1.1393414606357526</v>
      </c>
      <c r="M483" s="256">
        <f t="shared" si="134"/>
        <v>1.1393414606357526</v>
      </c>
      <c r="N483" s="256">
        <f t="shared" si="134"/>
        <v>1.1393414606357526</v>
      </c>
      <c r="O483" s="256">
        <f t="shared" si="134"/>
        <v>1.1393414606357526</v>
      </c>
      <c r="P483" s="256">
        <f t="shared" si="134"/>
        <v>1.1393414606357526</v>
      </c>
      <c r="Q483" s="256">
        <f t="shared" si="134"/>
        <v>1.1393414606357526</v>
      </c>
      <c r="R483" s="256">
        <f t="shared" si="134"/>
        <v>1.1393414606357526</v>
      </c>
      <c r="S483" s="256">
        <f t="shared" si="134"/>
        <v>1.1393414606357526</v>
      </c>
      <c r="T483" s="256">
        <f t="shared" si="134"/>
        <v>1.1393414606357526</v>
      </c>
      <c r="U483" s="256">
        <f t="shared" si="134"/>
        <v>1.1393414606357526</v>
      </c>
      <c r="V483" s="256">
        <f t="shared" si="134"/>
        <v>1.1393414606357526</v>
      </c>
      <c r="W483" s="256">
        <f t="shared" si="134"/>
        <v>1.1393414606357526</v>
      </c>
      <c r="X483" s="256">
        <f t="shared" si="134"/>
        <v>1.1393414606357526</v>
      </c>
      <c r="Y483" s="256">
        <f t="shared" si="134"/>
        <v>1.1393414606357526</v>
      </c>
      <c r="Z483" s="256">
        <f t="shared" si="134"/>
        <v>1.1393414606357526</v>
      </c>
      <c r="AA483" s="256">
        <f t="shared" si="134"/>
        <v>1.1393414606357526</v>
      </c>
      <c r="AB483" s="256">
        <f t="shared" si="134"/>
        <v>1.1393414606357526</v>
      </c>
      <c r="AC483" s="256">
        <f t="shared" si="134"/>
        <v>1.1393414606357526</v>
      </c>
      <c r="AD483" s="256">
        <f t="shared" si="134"/>
        <v>1.1393414606357526</v>
      </c>
      <c r="AE483" s="256">
        <f t="shared" si="134"/>
        <v>1.1393414606357526</v>
      </c>
      <c r="AF483" s="256">
        <f t="shared" si="134"/>
        <v>1.1393414606357526</v>
      </c>
      <c r="AG483" s="256">
        <f t="shared" si="134"/>
        <v>1.1393414606357526</v>
      </c>
      <c r="AH483" s="256">
        <f t="shared" si="134"/>
        <v>1.1393414606357526</v>
      </c>
      <c r="AI483" s="256">
        <f t="shared" si="134"/>
        <v>1.1393414606357526</v>
      </c>
      <c r="AJ483" s="256">
        <f t="shared" si="134"/>
        <v>1.1393414606357526</v>
      </c>
      <c r="AK483" s="256">
        <f t="shared" si="134"/>
        <v>1.1393414606357526</v>
      </c>
      <c r="AL483" s="619"/>
      <c r="AM483" s="8"/>
      <c r="AN483" s="8"/>
      <c r="AO483" s="8"/>
      <c r="AP483" s="8"/>
      <c r="AQ483" s="8"/>
      <c r="AR483" s="8"/>
      <c r="AS483" s="8"/>
      <c r="AT483" s="8"/>
      <c r="AU483" s="8"/>
      <c r="AV483" s="8"/>
      <c r="AW483" s="8"/>
      <c r="AX483" s="8"/>
      <c r="AY483" s="8"/>
      <c r="AZ483" s="8"/>
      <c r="BA483" s="8"/>
      <c r="BB483" s="8"/>
      <c r="BC483" s="8"/>
      <c r="BD483" s="8"/>
      <c r="BE483" s="8"/>
    </row>
    <row r="484" spans="1:57" ht="14.25" customHeight="1">
      <c r="A484" s="619"/>
      <c r="B484" s="619"/>
      <c r="C484" s="619"/>
      <c r="D484" s="619"/>
      <c r="E484" s="619"/>
      <c r="F484" s="619"/>
      <c r="G484" s="619"/>
      <c r="H484" s="619"/>
      <c r="I484" s="619"/>
      <c r="J484" s="619"/>
      <c r="K484" s="619"/>
      <c r="L484" s="619"/>
      <c r="M484" s="619"/>
      <c r="N484" s="619"/>
      <c r="O484" s="619"/>
      <c r="P484" s="619"/>
      <c r="Q484" s="619"/>
      <c r="R484" s="619"/>
      <c r="S484" s="619"/>
      <c r="T484" s="619"/>
      <c r="U484" s="619"/>
      <c r="V484" s="619"/>
      <c r="W484" s="619"/>
      <c r="X484" s="619"/>
      <c r="Y484" s="619"/>
      <c r="Z484" s="619"/>
      <c r="AA484" s="619"/>
      <c r="AB484" s="619"/>
      <c r="AC484" s="619"/>
      <c r="AD484" s="619"/>
      <c r="AE484" s="619"/>
      <c r="AF484" s="619"/>
      <c r="AG484" s="619"/>
      <c r="AH484" s="619"/>
      <c r="AI484" s="619"/>
      <c r="AJ484" s="619"/>
      <c r="AK484" s="619"/>
      <c r="AL484" s="619"/>
      <c r="AM484" s="8"/>
      <c r="AN484" s="8"/>
      <c r="AO484" s="8"/>
      <c r="AP484" s="8"/>
      <c r="AQ484" s="8"/>
      <c r="AR484" s="8"/>
      <c r="AS484" s="8"/>
      <c r="AT484" s="8"/>
      <c r="AU484" s="8"/>
      <c r="AV484" s="8"/>
      <c r="AW484" s="8"/>
      <c r="AX484" s="8"/>
      <c r="AY484" s="8"/>
      <c r="AZ484" s="8"/>
      <c r="BA484" s="8"/>
      <c r="BB484" s="8"/>
      <c r="BC484" s="8"/>
      <c r="BD484" s="8"/>
      <c r="BE484" s="8"/>
    </row>
    <row r="485" spans="1:57" ht="14.25" customHeight="1">
      <c r="A485" s="619"/>
      <c r="B485" s="23"/>
      <c r="C485" s="249"/>
      <c r="D485" s="304" t="s">
        <v>341</v>
      </c>
      <c r="E485" s="172">
        <v>2018</v>
      </c>
      <c r="F485" s="172">
        <v>2019</v>
      </c>
      <c r="G485" s="172">
        <v>2020</v>
      </c>
      <c r="H485" s="172">
        <v>2021</v>
      </c>
      <c r="I485" s="189">
        <v>2022</v>
      </c>
      <c r="J485" s="189">
        <v>2023</v>
      </c>
      <c r="K485" s="189">
        <v>2024</v>
      </c>
      <c r="L485" s="189">
        <v>2025</v>
      </c>
      <c r="M485" s="189">
        <v>2026</v>
      </c>
      <c r="N485" s="189">
        <v>2027</v>
      </c>
      <c r="O485" s="189">
        <v>2028</v>
      </c>
      <c r="P485" s="189">
        <v>2029</v>
      </c>
      <c r="Q485" s="189">
        <v>2030</v>
      </c>
      <c r="R485" s="189">
        <v>2031</v>
      </c>
      <c r="S485" s="189">
        <v>2032</v>
      </c>
      <c r="T485" s="189">
        <v>2033</v>
      </c>
      <c r="U485" s="189">
        <v>2034</v>
      </c>
      <c r="V485" s="189">
        <v>2035</v>
      </c>
      <c r="W485" s="189">
        <v>2036</v>
      </c>
      <c r="X485" s="189">
        <v>2037</v>
      </c>
      <c r="Y485" s="189">
        <v>2038</v>
      </c>
      <c r="Z485" s="189">
        <v>2039</v>
      </c>
      <c r="AA485" s="189">
        <v>2040</v>
      </c>
      <c r="AB485" s="189">
        <v>2041</v>
      </c>
      <c r="AC485" s="189">
        <v>2042</v>
      </c>
      <c r="AD485" s="189">
        <v>2043</v>
      </c>
      <c r="AE485" s="189">
        <v>2044</v>
      </c>
      <c r="AF485" s="189">
        <v>2045</v>
      </c>
      <c r="AG485" s="189">
        <v>2046</v>
      </c>
      <c r="AH485" s="189">
        <v>2047</v>
      </c>
      <c r="AI485" s="189">
        <v>2048</v>
      </c>
      <c r="AJ485" s="189">
        <v>2049</v>
      </c>
      <c r="AK485" s="218">
        <v>2050</v>
      </c>
      <c r="AL485" s="189">
        <v>2051</v>
      </c>
      <c r="AM485" s="189">
        <v>2052</v>
      </c>
      <c r="AN485" s="189">
        <v>2053</v>
      </c>
      <c r="AO485" s="189">
        <v>2054</v>
      </c>
      <c r="AP485" s="189">
        <v>2055</v>
      </c>
      <c r="AQ485" s="189">
        <v>2056</v>
      </c>
      <c r="AR485" s="189">
        <v>2057</v>
      </c>
      <c r="AS485" s="189">
        <v>2058</v>
      </c>
      <c r="AT485" s="218">
        <v>2059</v>
      </c>
      <c r="AU485" s="189">
        <v>2060</v>
      </c>
      <c r="AV485" s="189">
        <v>2061</v>
      </c>
      <c r="AW485" s="189">
        <v>2062</v>
      </c>
      <c r="AX485" s="189">
        <v>2063</v>
      </c>
      <c r="AY485" s="189">
        <v>2064</v>
      </c>
      <c r="AZ485" s="189">
        <v>2065</v>
      </c>
      <c r="BA485" s="189">
        <v>2066</v>
      </c>
      <c r="BB485" s="189">
        <v>2067</v>
      </c>
      <c r="BC485" s="218">
        <v>2068</v>
      </c>
      <c r="BD485" s="189">
        <v>2069</v>
      </c>
      <c r="BE485" s="189">
        <v>2070</v>
      </c>
    </row>
    <row r="486" spans="1:57" ht="14.25" customHeight="1">
      <c r="A486" s="619"/>
      <c r="B486" s="253"/>
      <c r="C486" s="258"/>
      <c r="D486" s="259" t="s">
        <v>342</v>
      </c>
      <c r="E486" s="256">
        <f>'Copia de Electricidad'!D353*$E$601*$E$604</f>
        <v>0.3816124638432985</v>
      </c>
      <c r="F486" s="256">
        <f>'Copia de Electricidad'!E353*$E$601*$E$604</f>
        <v>2.0974834205773833E-2</v>
      </c>
      <c r="G486" s="256">
        <f>'Copia de Electricidad'!F353*$E$601*$E$604</f>
        <v>0.90227764501990038</v>
      </c>
      <c r="H486" s="256">
        <f>'Copia de Electricidad'!G353*$E$601*$E$604</f>
        <v>1.3088584363740172</v>
      </c>
      <c r="I486" s="256">
        <v>0.38161</v>
      </c>
      <c r="J486" s="256">
        <v>0.38161</v>
      </c>
      <c r="K486" s="256">
        <v>0.38161</v>
      </c>
      <c r="L486" s="256">
        <v>0.38161</v>
      </c>
      <c r="M486" s="256">
        <v>0.38161</v>
      </c>
      <c r="N486" s="256">
        <v>0.38161</v>
      </c>
      <c r="O486" s="256">
        <v>0.38161</v>
      </c>
      <c r="P486" s="256">
        <v>0.38161</v>
      </c>
      <c r="Q486" s="256">
        <v>0.38161</v>
      </c>
      <c r="R486" s="256">
        <v>0.38161</v>
      </c>
      <c r="S486" s="256">
        <v>0.38161</v>
      </c>
      <c r="T486" s="256">
        <v>0.38161</v>
      </c>
      <c r="U486" s="256">
        <v>0.38161</v>
      </c>
      <c r="V486" s="256">
        <v>0.38161</v>
      </c>
      <c r="W486" s="256">
        <v>0.38161</v>
      </c>
      <c r="X486" s="256">
        <v>0.38161</v>
      </c>
      <c r="Y486" s="256">
        <v>0.38161</v>
      </c>
      <c r="Z486" s="256">
        <v>0.38161</v>
      </c>
      <c r="AA486" s="256">
        <v>0.38161</v>
      </c>
      <c r="AB486" s="256">
        <v>0.38161</v>
      </c>
      <c r="AC486" s="256">
        <v>0.38161</v>
      </c>
      <c r="AD486" s="256">
        <v>0.38161</v>
      </c>
      <c r="AE486" s="256">
        <v>0.38161</v>
      </c>
      <c r="AF486" s="256">
        <v>0.38161</v>
      </c>
      <c r="AG486" s="256">
        <v>0.38161</v>
      </c>
      <c r="AH486" s="256">
        <v>0.38161</v>
      </c>
      <c r="AI486" s="256">
        <v>0.38161</v>
      </c>
      <c r="AJ486" s="256">
        <v>0.38161</v>
      </c>
      <c r="AK486" s="271">
        <v>0.38161</v>
      </c>
      <c r="AL486" s="619"/>
      <c r="AM486" s="8"/>
      <c r="AN486" s="8"/>
      <c r="AO486" s="8"/>
      <c r="AP486" s="8"/>
      <c r="AQ486" s="8"/>
      <c r="AR486" s="8"/>
      <c r="AS486" s="8"/>
      <c r="AT486" s="8"/>
      <c r="AU486" s="8"/>
      <c r="AV486" s="8"/>
      <c r="AW486" s="8"/>
      <c r="AX486" s="8"/>
      <c r="AY486" s="8"/>
      <c r="AZ486" s="8"/>
      <c r="BA486" s="8"/>
      <c r="BB486" s="8"/>
      <c r="BC486" s="8"/>
      <c r="BD486" s="8"/>
      <c r="BE486" s="8"/>
    </row>
    <row r="487" spans="1:57" ht="13.5" customHeight="1">
      <c r="A487" s="619"/>
      <c r="B487" s="253"/>
      <c r="C487" s="258" t="s">
        <v>343</v>
      </c>
      <c r="D487" s="259" t="s">
        <v>344</v>
      </c>
      <c r="E487" s="256">
        <f>'Copia de Electricidad'!D354*$E$601*$E$604</f>
        <v>0.91979864717806825</v>
      </c>
      <c r="F487" s="256">
        <f>'Copia de Electricidad'!E354*$E$601*$E$604</f>
        <v>6.5717789285822841</v>
      </c>
      <c r="G487" s="256">
        <f>'Copia de Electricidad'!F354*$E$601*$E$604</f>
        <v>4.8232404770645925</v>
      </c>
      <c r="H487" s="256">
        <f>'Copia de Electricidad'!G354*$E$601*$E$604</f>
        <v>1.8856843657413787</v>
      </c>
      <c r="I487" s="256">
        <v>0.91979999999999995</v>
      </c>
      <c r="J487" s="256">
        <v>0.91979999999999995</v>
      </c>
      <c r="K487" s="256">
        <v>0.91979999999999995</v>
      </c>
      <c r="L487" s="256">
        <v>0.91979999999999995</v>
      </c>
      <c r="M487" s="256">
        <v>0.91979999999999995</v>
      </c>
      <c r="N487" s="256">
        <v>0.91979999999999995</v>
      </c>
      <c r="O487" s="256">
        <v>0.91979999999999995</v>
      </c>
      <c r="P487" s="256">
        <v>0.91979999999999995</v>
      </c>
      <c r="Q487" s="256">
        <v>0.91979999999999995</v>
      </c>
      <c r="R487" s="256">
        <v>0.91979999999999995</v>
      </c>
      <c r="S487" s="256">
        <v>0.91979999999999995</v>
      </c>
      <c r="T487" s="256">
        <v>0.91979999999999995</v>
      </c>
      <c r="U487" s="256">
        <v>0.91979999999999995</v>
      </c>
      <c r="V487" s="256">
        <v>0.91979999999999995</v>
      </c>
      <c r="W487" s="256">
        <v>0.91979999999999995</v>
      </c>
      <c r="X487" s="256">
        <v>0.91979999999999995</v>
      </c>
      <c r="Y487" s="256">
        <v>0.91979999999999995</v>
      </c>
      <c r="Z487" s="256">
        <v>0.91979999999999995</v>
      </c>
      <c r="AA487" s="256">
        <v>0.91979999999999995</v>
      </c>
      <c r="AB487" s="256">
        <v>0.91979999999999995</v>
      </c>
      <c r="AC487" s="256">
        <v>0.91979999999999995</v>
      </c>
      <c r="AD487" s="256">
        <v>0.91979999999999995</v>
      </c>
      <c r="AE487" s="256">
        <v>0.91979999999999995</v>
      </c>
      <c r="AF487" s="256">
        <v>0.91979999999999995</v>
      </c>
      <c r="AG487" s="256">
        <v>0.91979999999999995</v>
      </c>
      <c r="AH487" s="256">
        <v>0.91979999999999995</v>
      </c>
      <c r="AI487" s="256">
        <v>0.91979999999999995</v>
      </c>
      <c r="AJ487" s="256">
        <v>0.91979999999999995</v>
      </c>
      <c r="AK487" s="271">
        <v>0.91979999999999995</v>
      </c>
      <c r="AL487" s="619"/>
      <c r="AM487" s="8"/>
      <c r="AN487" s="8"/>
      <c r="AO487" s="8"/>
      <c r="AP487" s="8"/>
      <c r="AQ487" s="8"/>
      <c r="AR487" s="8"/>
      <c r="AS487" s="8"/>
      <c r="AT487" s="8"/>
      <c r="AU487" s="8"/>
      <c r="AV487" s="8"/>
      <c r="AW487" s="8"/>
      <c r="AX487" s="8"/>
      <c r="AY487" s="8"/>
      <c r="AZ487" s="8"/>
      <c r="BA487" s="8"/>
      <c r="BB487" s="8"/>
      <c r="BC487" s="8"/>
      <c r="BD487" s="8"/>
      <c r="BE487" s="8"/>
    </row>
    <row r="488" spans="1:57" ht="14.25" customHeight="1">
      <c r="A488" s="619"/>
      <c r="B488" s="294"/>
      <c r="C488" s="295"/>
      <c r="D488" s="358" t="s">
        <v>345</v>
      </c>
      <c r="E488" s="359">
        <f t="shared" ref="E488:H488" si="135">E345-E501</f>
        <v>15.599767890313274</v>
      </c>
      <c r="F488" s="359">
        <f t="shared" si="135"/>
        <v>23.271750661230669</v>
      </c>
      <c r="G488" s="359">
        <f t="shared" si="135"/>
        <v>20.97592015869931</v>
      </c>
      <c r="H488" s="359">
        <f t="shared" si="135"/>
        <v>18.843291576718286</v>
      </c>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7"/>
      <c r="AL488" s="619"/>
      <c r="AM488" s="8"/>
      <c r="AN488" s="8"/>
      <c r="AO488" s="8"/>
      <c r="AP488" s="8"/>
      <c r="AQ488" s="8"/>
      <c r="AR488" s="8"/>
      <c r="AS488" s="8"/>
      <c r="AT488" s="8"/>
      <c r="AU488" s="8"/>
      <c r="AV488" s="8"/>
      <c r="AW488" s="8"/>
      <c r="AX488" s="8"/>
      <c r="AY488" s="8"/>
      <c r="AZ488" s="8"/>
      <c r="BA488" s="8"/>
      <c r="BB488" s="8"/>
      <c r="BC488" s="8"/>
      <c r="BD488" s="8"/>
      <c r="BE488" s="8"/>
    </row>
    <row r="489" spans="1:57" ht="14.25" customHeight="1">
      <c r="A489" s="619"/>
      <c r="B489" s="619"/>
      <c r="C489" s="619"/>
      <c r="D489" s="619"/>
      <c r="E489" s="619"/>
      <c r="F489" s="619"/>
      <c r="G489" s="619"/>
      <c r="H489" s="619"/>
      <c r="I489" s="619"/>
      <c r="J489" s="619"/>
      <c r="K489" s="619"/>
      <c r="L489" s="619"/>
      <c r="M489" s="619"/>
      <c r="N489" s="619"/>
      <c r="O489" s="619"/>
      <c r="P489" s="619"/>
      <c r="Q489" s="619"/>
      <c r="R489" s="619"/>
      <c r="S489" s="619"/>
      <c r="T489" s="619"/>
      <c r="U489" s="619"/>
      <c r="V489" s="619"/>
      <c r="W489" s="619"/>
      <c r="X489" s="619"/>
      <c r="Y489" s="619"/>
      <c r="Z489" s="619"/>
      <c r="AA489" s="619"/>
      <c r="AB489" s="619"/>
      <c r="AC489" s="619"/>
      <c r="AD489" s="619"/>
      <c r="AE489" s="619"/>
      <c r="AF489" s="619"/>
      <c r="AG489" s="619"/>
      <c r="AH489" s="619"/>
      <c r="AI489" s="619"/>
      <c r="AJ489" s="619"/>
      <c r="AK489" s="619"/>
      <c r="AL489" s="619"/>
      <c r="AM489" s="8"/>
      <c r="AN489" s="8"/>
      <c r="AO489" s="8"/>
      <c r="AP489" s="8"/>
      <c r="AQ489" s="8"/>
      <c r="AR489" s="8"/>
      <c r="AS489" s="8"/>
      <c r="AT489" s="8"/>
      <c r="AU489" s="8"/>
      <c r="AV489" s="8"/>
      <c r="AW489" s="8"/>
      <c r="AX489" s="8"/>
      <c r="AY489" s="8"/>
      <c r="AZ489" s="8"/>
      <c r="BA489" s="8"/>
      <c r="BB489" s="8"/>
      <c r="BC489" s="8"/>
      <c r="BD489" s="8"/>
      <c r="BE489" s="8"/>
    </row>
    <row r="490" spans="1:57" ht="14.25" customHeight="1">
      <c r="A490" s="619"/>
      <c r="B490" s="23"/>
      <c r="C490" s="249"/>
      <c r="D490" s="304" t="s">
        <v>346</v>
      </c>
      <c r="E490" s="172">
        <v>2018</v>
      </c>
      <c r="F490" s="172">
        <v>2019</v>
      </c>
      <c r="G490" s="172">
        <v>2020</v>
      </c>
      <c r="H490" s="172">
        <v>2021</v>
      </c>
      <c r="I490" s="189">
        <v>2022</v>
      </c>
      <c r="J490" s="189">
        <v>2023</v>
      </c>
      <c r="K490" s="189">
        <v>2024</v>
      </c>
      <c r="L490" s="189">
        <v>2025</v>
      </c>
      <c r="M490" s="189">
        <v>2026</v>
      </c>
      <c r="N490" s="189">
        <v>2027</v>
      </c>
      <c r="O490" s="189">
        <v>2028</v>
      </c>
      <c r="P490" s="189">
        <v>2029</v>
      </c>
      <c r="Q490" s="189">
        <v>2030</v>
      </c>
      <c r="R490" s="189">
        <v>2031</v>
      </c>
      <c r="S490" s="189">
        <v>2032</v>
      </c>
      <c r="T490" s="189">
        <v>2033</v>
      </c>
      <c r="U490" s="189">
        <v>2034</v>
      </c>
      <c r="V490" s="189">
        <v>2035</v>
      </c>
      <c r="W490" s="189">
        <v>2036</v>
      </c>
      <c r="X490" s="189">
        <v>2037</v>
      </c>
      <c r="Y490" s="189">
        <v>2038</v>
      </c>
      <c r="Z490" s="189">
        <v>2039</v>
      </c>
      <c r="AA490" s="189">
        <v>2040</v>
      </c>
      <c r="AB490" s="189">
        <v>2041</v>
      </c>
      <c r="AC490" s="189">
        <v>2042</v>
      </c>
      <c r="AD490" s="189">
        <v>2043</v>
      </c>
      <c r="AE490" s="189">
        <v>2044</v>
      </c>
      <c r="AF490" s="189">
        <v>2045</v>
      </c>
      <c r="AG490" s="189">
        <v>2046</v>
      </c>
      <c r="AH490" s="189">
        <v>2047</v>
      </c>
      <c r="AI490" s="189">
        <v>2048</v>
      </c>
      <c r="AJ490" s="189">
        <v>2049</v>
      </c>
      <c r="AK490" s="218">
        <v>2050</v>
      </c>
      <c r="AL490" s="189">
        <v>2051</v>
      </c>
      <c r="AM490" s="189">
        <v>2052</v>
      </c>
      <c r="AN490" s="189">
        <v>2053</v>
      </c>
      <c r="AO490" s="189">
        <v>2054</v>
      </c>
      <c r="AP490" s="189">
        <v>2055</v>
      </c>
      <c r="AQ490" s="189">
        <v>2056</v>
      </c>
      <c r="AR490" s="189">
        <v>2057</v>
      </c>
      <c r="AS490" s="189">
        <v>2058</v>
      </c>
      <c r="AT490" s="218">
        <v>2059</v>
      </c>
      <c r="AU490" s="189">
        <v>2060</v>
      </c>
      <c r="AV490" s="189">
        <v>2061</v>
      </c>
      <c r="AW490" s="189">
        <v>2062</v>
      </c>
      <c r="AX490" s="189">
        <v>2063</v>
      </c>
      <c r="AY490" s="189">
        <v>2064</v>
      </c>
      <c r="AZ490" s="189">
        <v>2065</v>
      </c>
      <c r="BA490" s="189">
        <v>2066</v>
      </c>
      <c r="BB490" s="189">
        <v>2067</v>
      </c>
      <c r="BC490" s="218">
        <v>2068</v>
      </c>
      <c r="BD490" s="189">
        <v>2069</v>
      </c>
      <c r="BE490" s="189">
        <v>2070</v>
      </c>
    </row>
    <row r="491" spans="1:57" ht="15" customHeight="1">
      <c r="A491" s="619" t="s">
        <v>347</v>
      </c>
      <c r="B491" s="627"/>
      <c r="C491" s="258" t="s">
        <v>348</v>
      </c>
      <c r="D491" s="259" t="s">
        <v>349</v>
      </c>
      <c r="E491" s="256">
        <f>'Copia de Electricidad'!D357*$E$604</f>
        <v>26.624217749157641</v>
      </c>
      <c r="F491" s="256">
        <f>'Copia de Electricidad'!E357*$E$604</f>
        <v>27.545137433144468</v>
      </c>
      <c r="G491" s="256">
        <f>'Copia de Electricidad'!F357*$E$604</f>
        <v>29.009550701123523</v>
      </c>
      <c r="H491" s="256">
        <f>'Copia de Electricidad'!G357*$E$604</f>
        <v>28.635027878821187</v>
      </c>
      <c r="I491" s="256">
        <v>29.01998</v>
      </c>
      <c r="J491" s="256">
        <v>29.40164</v>
      </c>
      <c r="K491" s="256">
        <v>29.779800000000002</v>
      </c>
      <c r="L491" s="256">
        <v>30.15437</v>
      </c>
      <c r="M491" s="256">
        <v>30.524940000000001</v>
      </c>
      <c r="N491" s="256">
        <v>30.891380000000002</v>
      </c>
      <c r="O491" s="256">
        <v>31.253409999999999</v>
      </c>
      <c r="P491" s="256">
        <v>31.610980000000001</v>
      </c>
      <c r="Q491" s="256">
        <v>31.963699999999999</v>
      </c>
      <c r="R491" s="256">
        <v>32.311369999999997</v>
      </c>
      <c r="S491" s="256">
        <v>32.653750000000002</v>
      </c>
      <c r="T491" s="256">
        <v>32.990560000000002</v>
      </c>
      <c r="U491" s="256">
        <v>33.321649999999998</v>
      </c>
      <c r="V491" s="256">
        <v>33.646799999999999</v>
      </c>
      <c r="W491" s="256">
        <v>33.965850000000003</v>
      </c>
      <c r="X491" s="256">
        <v>34.27854</v>
      </c>
      <c r="Y491" s="256">
        <v>34.58475</v>
      </c>
      <c r="Z491" s="256">
        <v>34.884279999999997</v>
      </c>
      <c r="AA491" s="256">
        <v>35.177</v>
      </c>
      <c r="AB491" s="256">
        <v>35.462859999999999</v>
      </c>
      <c r="AC491" s="256">
        <v>35.741770000000002</v>
      </c>
      <c r="AD491" s="256">
        <v>36.013550000000002</v>
      </c>
      <c r="AE491" s="256">
        <v>36.278179999999999</v>
      </c>
      <c r="AF491" s="256">
        <v>36.535469999999997</v>
      </c>
      <c r="AG491" s="256">
        <v>36.785380000000004</v>
      </c>
      <c r="AH491" s="256">
        <v>37.02796</v>
      </c>
      <c r="AI491" s="256">
        <v>37.262990000000002</v>
      </c>
      <c r="AJ491" s="256">
        <v>37.490540000000003</v>
      </c>
      <c r="AK491" s="271">
        <v>37.71069</v>
      </c>
      <c r="AL491" s="619"/>
      <c r="AM491" s="8"/>
      <c r="AN491" s="8"/>
      <c r="AO491" s="8"/>
      <c r="AP491" s="8"/>
      <c r="AQ491" s="8"/>
      <c r="AR491" s="8"/>
      <c r="AS491" s="8"/>
      <c r="AT491" s="8"/>
      <c r="AU491" s="8"/>
      <c r="AV491" s="8"/>
      <c r="AW491" s="8"/>
      <c r="AX491" s="8"/>
      <c r="AY491" s="8"/>
      <c r="AZ491" s="8"/>
      <c r="BA491" s="8"/>
      <c r="BB491" s="8"/>
      <c r="BC491" s="8"/>
      <c r="BD491" s="8"/>
      <c r="BE491" s="8"/>
    </row>
    <row r="492" spans="1:57" ht="14.25" customHeight="1">
      <c r="A492" s="619" t="s">
        <v>347</v>
      </c>
      <c r="B492" s="657"/>
      <c r="C492" s="258" t="s">
        <v>350</v>
      </c>
      <c r="D492" s="259" t="s">
        <v>351</v>
      </c>
      <c r="E492" s="256">
        <f>'Copia de Electricidad'!D358*$E$604</f>
        <v>24.962962253642942</v>
      </c>
      <c r="F492" s="256">
        <f>'Copia de Electricidad'!E358*$E$604</f>
        <v>26.060401221319552</v>
      </c>
      <c r="G492" s="256">
        <f>'Copia de Electricidad'!F358*$E$604</f>
        <v>23.917782284427123</v>
      </c>
      <c r="H492" s="256">
        <f>'Copia de Electricidad'!G358*$E$604</f>
        <v>25.150513992563333</v>
      </c>
      <c r="I492" s="256">
        <v>25.3154</v>
      </c>
      <c r="J492" s="256">
        <v>26.482030000000002</v>
      </c>
      <c r="K492" s="256">
        <v>26.69706</v>
      </c>
      <c r="L492" s="256">
        <v>27.839320000000001</v>
      </c>
      <c r="M492" s="256">
        <v>27.900559999999999</v>
      </c>
      <c r="N492" s="256">
        <v>29.206219999999998</v>
      </c>
      <c r="O492" s="256">
        <v>29.49297</v>
      </c>
      <c r="P492" s="256">
        <v>30.548719999999999</v>
      </c>
      <c r="Q492" s="256">
        <v>30.7712</v>
      </c>
      <c r="R492" s="256">
        <v>32.131720000000001</v>
      </c>
      <c r="S492" s="256">
        <v>32.464860000000002</v>
      </c>
      <c r="T492" s="256">
        <v>33.744399999999999</v>
      </c>
      <c r="U492" s="256">
        <v>34.125160000000001</v>
      </c>
      <c r="V492" s="256">
        <v>35.218510000000002</v>
      </c>
      <c r="W492" s="256">
        <v>35.734870000000001</v>
      </c>
      <c r="X492" s="256">
        <v>36.775820000000003</v>
      </c>
      <c r="Y492" s="256">
        <v>37.281260000000003</v>
      </c>
      <c r="Z492" s="256">
        <v>38.395879999999998</v>
      </c>
      <c r="AA492" s="256">
        <v>38.930909999999997</v>
      </c>
      <c r="AB492" s="256">
        <v>39.940860000000001</v>
      </c>
      <c r="AC492" s="256">
        <v>40.508270000000003</v>
      </c>
      <c r="AD492" s="256">
        <v>41.288600000000002</v>
      </c>
      <c r="AE492" s="256">
        <v>41.883659999999999</v>
      </c>
      <c r="AF492" s="256">
        <v>42.690219999999997</v>
      </c>
      <c r="AG492" s="256">
        <v>43.366329999999998</v>
      </c>
      <c r="AH492" s="256">
        <v>44.155999999999999</v>
      </c>
      <c r="AI492" s="256">
        <v>44.658180000000002</v>
      </c>
      <c r="AJ492" s="256">
        <v>45.432879999999997</v>
      </c>
      <c r="AK492" s="271">
        <v>45.975149999999999</v>
      </c>
      <c r="AL492" s="619"/>
      <c r="AM492" s="8"/>
      <c r="AN492" s="8"/>
      <c r="AO492" s="8"/>
      <c r="AP492" s="8"/>
      <c r="AQ492" s="8"/>
      <c r="AR492" s="8"/>
      <c r="AS492" s="8"/>
      <c r="AT492" s="8"/>
      <c r="AU492" s="8"/>
      <c r="AV492" s="8"/>
      <c r="AW492" s="8"/>
      <c r="AX492" s="8"/>
      <c r="AY492" s="8"/>
      <c r="AZ492" s="8"/>
      <c r="BA492" s="8"/>
      <c r="BB492" s="8"/>
      <c r="BC492" s="8"/>
      <c r="BD492" s="8"/>
      <c r="BE492" s="8"/>
    </row>
    <row r="493" spans="1:57" ht="14.25" customHeight="1">
      <c r="A493" s="619" t="s">
        <v>347</v>
      </c>
      <c r="B493" s="657"/>
      <c r="C493" s="258" t="s">
        <v>352</v>
      </c>
      <c r="D493" s="259" t="s">
        <v>353</v>
      </c>
      <c r="E493" s="256">
        <f>'Copia de Electricidad'!D359*$E$604</f>
        <v>35.971610607177787</v>
      </c>
      <c r="F493" s="256">
        <f>'Copia de Electricidad'!E359*$E$604</f>
        <v>37.38028094346533</v>
      </c>
      <c r="G493" s="256">
        <f>'Copia de Electricidad'!F359*$E$604</f>
        <v>36.49129731409343</v>
      </c>
      <c r="H493" s="256">
        <f>'Copia de Electricidad'!G359*$E$604</f>
        <v>40.945505949568179</v>
      </c>
      <c r="I493" s="256">
        <v>42.492939999999997</v>
      </c>
      <c r="J493" s="256">
        <v>43.412210000000002</v>
      </c>
      <c r="K493" s="256">
        <v>45.137619999999998</v>
      </c>
      <c r="L493" s="256">
        <v>45.901359999999997</v>
      </c>
      <c r="M493" s="256">
        <v>47.357300000000002</v>
      </c>
      <c r="N493" s="256">
        <v>48.397860000000001</v>
      </c>
      <c r="O493" s="256">
        <v>50.15531</v>
      </c>
      <c r="P493" s="256">
        <v>50.746839999999999</v>
      </c>
      <c r="Q493" s="256">
        <v>52.324120000000001</v>
      </c>
      <c r="R493" s="256">
        <v>53.510590000000001</v>
      </c>
      <c r="S493" s="256">
        <v>55.175409999999999</v>
      </c>
      <c r="T493" s="256">
        <v>56.337440000000001</v>
      </c>
      <c r="U493" s="256">
        <v>57.979320000000001</v>
      </c>
      <c r="V493" s="256">
        <v>58.95532</v>
      </c>
      <c r="W493" s="256">
        <v>60.729239999999997</v>
      </c>
      <c r="X493" s="256">
        <v>61.746220000000001</v>
      </c>
      <c r="Y493" s="256">
        <v>63.420589999999997</v>
      </c>
      <c r="Z493" s="256">
        <v>64.688789999999997</v>
      </c>
      <c r="AA493" s="256">
        <v>66.34666</v>
      </c>
      <c r="AB493" s="256">
        <v>67.560360000000003</v>
      </c>
      <c r="AC493" s="256">
        <v>69.217910000000003</v>
      </c>
      <c r="AD493" s="256">
        <v>70.157169999999994</v>
      </c>
      <c r="AE493" s="256">
        <v>71.813730000000007</v>
      </c>
      <c r="AF493" s="256">
        <v>72.902749999999997</v>
      </c>
      <c r="AG493" s="256">
        <v>74.658940000000001</v>
      </c>
      <c r="AH493" s="256">
        <v>75.810609999999997</v>
      </c>
      <c r="AI493" s="256">
        <v>77.232050000000001</v>
      </c>
      <c r="AJ493" s="256">
        <v>78.436809999999994</v>
      </c>
      <c r="AK493" s="271">
        <v>79.892700000000005</v>
      </c>
      <c r="AL493" s="619"/>
      <c r="AM493" s="8"/>
      <c r="AN493" s="8"/>
      <c r="AO493" s="8"/>
      <c r="AP493" s="8"/>
      <c r="AQ493" s="8"/>
      <c r="AR493" s="8"/>
      <c r="AS493" s="8"/>
      <c r="AT493" s="8"/>
      <c r="AU493" s="8"/>
      <c r="AV493" s="8"/>
      <c r="AW493" s="8"/>
      <c r="AX493" s="8"/>
      <c r="AY493" s="8"/>
      <c r="AZ493" s="8"/>
      <c r="BA493" s="8"/>
      <c r="BB493" s="8"/>
      <c r="BC493" s="8"/>
      <c r="BD493" s="8"/>
      <c r="BE493" s="8"/>
    </row>
    <row r="494" spans="1:57" ht="14.25" customHeight="1">
      <c r="A494" s="619" t="s">
        <v>347</v>
      </c>
      <c r="B494" s="657"/>
      <c r="C494" s="258" t="s">
        <v>354</v>
      </c>
      <c r="D494" s="259" t="s">
        <v>355</v>
      </c>
      <c r="E494" s="256">
        <f>'Copia de Electricidad'!D360*$E$604</f>
        <v>2.0131327518173587</v>
      </c>
      <c r="F494" s="256">
        <f>'Copia de Electricidad'!E360*$E$604</f>
        <v>1.8522911676658134</v>
      </c>
      <c r="G494" s="256">
        <f>'Copia de Electricidad'!F360*$E$604</f>
        <v>1.9887452192023232</v>
      </c>
      <c r="H494" s="256">
        <f>'Copia de Electricidad'!G360*$E$604</f>
        <v>2.2581693890446233</v>
      </c>
      <c r="I494" s="256">
        <v>2.4573100000000001</v>
      </c>
      <c r="J494" s="256">
        <v>2.3857200000000001</v>
      </c>
      <c r="K494" s="256">
        <v>2.64093</v>
      </c>
      <c r="L494" s="256">
        <v>2.5344600000000002</v>
      </c>
      <c r="M494" s="256">
        <v>2.7983500000000001</v>
      </c>
      <c r="N494" s="256">
        <v>2.7003900000000001</v>
      </c>
      <c r="O494" s="256">
        <v>2.9855999999999998</v>
      </c>
      <c r="P494" s="256">
        <v>2.8628100000000001</v>
      </c>
      <c r="Q494" s="256">
        <v>3.1268899999999999</v>
      </c>
      <c r="R494" s="256">
        <v>3.04433</v>
      </c>
      <c r="S494" s="256">
        <v>3.2931499999999998</v>
      </c>
      <c r="T494" s="256">
        <v>3.2278600000000002</v>
      </c>
      <c r="U494" s="256">
        <v>3.4545300000000001</v>
      </c>
      <c r="V494" s="256">
        <v>3.3985799999999999</v>
      </c>
      <c r="W494" s="256">
        <v>3.6136599999999999</v>
      </c>
      <c r="X494" s="256">
        <v>3.5787399999999998</v>
      </c>
      <c r="Y494" s="256">
        <v>3.77156</v>
      </c>
      <c r="Z494" s="256">
        <v>3.7673899999999998</v>
      </c>
      <c r="AA494" s="256">
        <v>3.94563</v>
      </c>
      <c r="AB494" s="256">
        <v>3.9515799999999999</v>
      </c>
      <c r="AC494" s="256">
        <v>4.1180599999999998</v>
      </c>
      <c r="AD494" s="256">
        <v>4.1192200000000003</v>
      </c>
      <c r="AE494" s="256">
        <v>4.2755099999999997</v>
      </c>
      <c r="AF494" s="256">
        <v>4.2952300000000001</v>
      </c>
      <c r="AG494" s="256">
        <v>4.4491300000000003</v>
      </c>
      <c r="AH494" s="256">
        <v>4.4807100000000002</v>
      </c>
      <c r="AI494" s="256">
        <v>4.6078299999999999</v>
      </c>
      <c r="AJ494" s="256">
        <v>4.64961</v>
      </c>
      <c r="AK494" s="271">
        <v>4.7729900000000001</v>
      </c>
      <c r="AL494" s="619"/>
      <c r="AM494" s="8"/>
      <c r="AN494" s="8"/>
      <c r="AO494" s="8"/>
      <c r="AP494" s="8"/>
      <c r="AQ494" s="8"/>
      <c r="AR494" s="8"/>
      <c r="AS494" s="8"/>
      <c r="AT494" s="8"/>
      <c r="AU494" s="8"/>
      <c r="AV494" s="8"/>
      <c r="AW494" s="8"/>
      <c r="AX494" s="8"/>
      <c r="AY494" s="8"/>
      <c r="AZ494" s="8"/>
      <c r="BA494" s="8"/>
      <c r="BB494" s="8"/>
      <c r="BC494" s="8"/>
      <c r="BD494" s="8"/>
      <c r="BE494" s="8"/>
    </row>
    <row r="495" spans="1:57" ht="14.25" customHeight="1">
      <c r="A495" s="619" t="s">
        <v>347</v>
      </c>
      <c r="B495" s="657"/>
      <c r="C495" s="258" t="s">
        <v>356</v>
      </c>
      <c r="D495" s="259" t="s">
        <v>357</v>
      </c>
      <c r="E495" s="256"/>
      <c r="F495" s="256"/>
      <c r="G495" s="256"/>
      <c r="H495" s="256"/>
      <c r="I495" s="256">
        <v>0</v>
      </c>
      <c r="J495" s="256">
        <v>0</v>
      </c>
      <c r="K495" s="256">
        <v>0</v>
      </c>
      <c r="L495" s="256">
        <v>0</v>
      </c>
      <c r="M495" s="256">
        <v>0</v>
      </c>
      <c r="N495" s="256">
        <v>0</v>
      </c>
      <c r="O495" s="256">
        <v>0</v>
      </c>
      <c r="P495" s="256">
        <v>0</v>
      </c>
      <c r="Q495" s="256">
        <v>0</v>
      </c>
      <c r="R495" s="256">
        <v>0</v>
      </c>
      <c r="S495" s="256">
        <v>0</v>
      </c>
      <c r="T495" s="256">
        <v>0</v>
      </c>
      <c r="U495" s="256">
        <v>0</v>
      </c>
      <c r="V495" s="256">
        <v>0</v>
      </c>
      <c r="W495" s="256">
        <v>0</v>
      </c>
      <c r="X495" s="256">
        <v>0</v>
      </c>
      <c r="Y495" s="256">
        <v>0</v>
      </c>
      <c r="Z495" s="256">
        <v>0</v>
      </c>
      <c r="AA495" s="256">
        <v>0</v>
      </c>
      <c r="AB495" s="256">
        <v>0</v>
      </c>
      <c r="AC495" s="256">
        <v>0</v>
      </c>
      <c r="AD495" s="256">
        <v>0</v>
      </c>
      <c r="AE495" s="256">
        <v>0</v>
      </c>
      <c r="AF495" s="256">
        <v>0</v>
      </c>
      <c r="AG495" s="256">
        <v>0</v>
      </c>
      <c r="AH495" s="256">
        <v>0</v>
      </c>
      <c r="AI495" s="256">
        <v>0</v>
      </c>
      <c r="AJ495" s="256">
        <v>0</v>
      </c>
      <c r="AK495" s="271">
        <v>0</v>
      </c>
      <c r="AL495" s="619"/>
      <c r="AM495" s="8"/>
      <c r="AN495" s="8"/>
      <c r="AO495" s="8"/>
      <c r="AP495" s="8"/>
      <c r="AQ495" s="8"/>
      <c r="AR495" s="8"/>
      <c r="AS495" s="8"/>
      <c r="AT495" s="8"/>
      <c r="AU495" s="8"/>
      <c r="AV495" s="8"/>
      <c r="AW495" s="8"/>
      <c r="AX495" s="8"/>
      <c r="AY495" s="8"/>
      <c r="AZ495" s="8"/>
      <c r="BA495" s="8"/>
      <c r="BB495" s="8"/>
      <c r="BC495" s="8"/>
      <c r="BD495" s="8"/>
      <c r="BE495" s="8"/>
    </row>
    <row r="496" spans="1:57" ht="14.25" customHeight="1">
      <c r="A496" s="619" t="s">
        <v>347</v>
      </c>
      <c r="B496" s="657"/>
      <c r="C496" s="258"/>
      <c r="D496" s="259" t="s">
        <v>358</v>
      </c>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c r="AC496" s="256"/>
      <c r="AD496" s="256"/>
      <c r="AE496" s="256"/>
      <c r="AF496" s="256"/>
      <c r="AG496" s="256"/>
      <c r="AH496" s="256"/>
      <c r="AI496" s="256"/>
      <c r="AJ496" s="256"/>
      <c r="AK496" s="271"/>
      <c r="AL496" s="619"/>
      <c r="AM496" s="8"/>
      <c r="AN496" s="8"/>
      <c r="AO496" s="8"/>
      <c r="AP496" s="8"/>
      <c r="AQ496" s="8"/>
      <c r="AR496" s="8"/>
      <c r="AS496" s="8"/>
      <c r="AT496" s="8"/>
      <c r="AU496" s="8"/>
      <c r="AV496" s="8"/>
      <c r="AW496" s="8"/>
      <c r="AX496" s="8"/>
      <c r="AY496" s="8"/>
      <c r="AZ496" s="8"/>
      <c r="BA496" s="8"/>
      <c r="BB496" s="8"/>
      <c r="BC496" s="8"/>
      <c r="BD496" s="8"/>
      <c r="BE496" s="8"/>
    </row>
    <row r="497" spans="1:39" ht="14.25" customHeight="1">
      <c r="A497" s="619"/>
      <c r="B497" s="657"/>
      <c r="C497" s="258"/>
      <c r="D497" s="259" t="s">
        <v>359</v>
      </c>
      <c r="E497" s="256"/>
      <c r="F497" s="256"/>
      <c r="G497" s="256"/>
      <c r="H497" s="256"/>
      <c r="I497" s="256">
        <v>0</v>
      </c>
      <c r="J497" s="256">
        <v>0</v>
      </c>
      <c r="K497" s="256">
        <v>0</v>
      </c>
      <c r="L497" s="256">
        <v>0</v>
      </c>
      <c r="M497" s="256">
        <v>0</v>
      </c>
      <c r="N497" s="256">
        <v>0</v>
      </c>
      <c r="O497" s="256">
        <v>0</v>
      </c>
      <c r="P497" s="256">
        <v>0</v>
      </c>
      <c r="Q497" s="256">
        <v>0</v>
      </c>
      <c r="R497" s="256">
        <v>0</v>
      </c>
      <c r="S497" s="256">
        <v>0</v>
      </c>
      <c r="T497" s="256">
        <v>0</v>
      </c>
      <c r="U497" s="256">
        <v>0</v>
      </c>
      <c r="V497" s="256">
        <v>0</v>
      </c>
      <c r="W497" s="256">
        <v>0</v>
      </c>
      <c r="X497" s="256">
        <v>0</v>
      </c>
      <c r="Y497" s="256">
        <v>0</v>
      </c>
      <c r="Z497" s="256">
        <v>0</v>
      </c>
      <c r="AA497" s="256">
        <v>0</v>
      </c>
      <c r="AB497" s="256">
        <v>0</v>
      </c>
      <c r="AC497" s="256">
        <v>0</v>
      </c>
      <c r="AD497" s="256">
        <v>0</v>
      </c>
      <c r="AE497" s="256">
        <v>0</v>
      </c>
      <c r="AF497" s="256">
        <v>0</v>
      </c>
      <c r="AG497" s="256">
        <v>0</v>
      </c>
      <c r="AH497" s="256">
        <v>0</v>
      </c>
      <c r="AI497" s="256">
        <v>0</v>
      </c>
      <c r="AJ497" s="256">
        <v>0</v>
      </c>
      <c r="AK497" s="271">
        <v>0</v>
      </c>
      <c r="AL497" s="619"/>
      <c r="AM497" s="8"/>
    </row>
    <row r="498" spans="1:39" ht="14.25" customHeight="1">
      <c r="A498" s="619"/>
      <c r="B498" s="657"/>
      <c r="C498" s="258"/>
      <c r="D498" s="259" t="s">
        <v>360</v>
      </c>
      <c r="E498" s="256">
        <f>'Copia de Electricidad'!D364*$E$604</f>
        <v>3.8903921076366615E-2</v>
      </c>
      <c r="F498" s="256">
        <f>'Copia de Electricidad'!E364*$E$604</f>
        <v>3.9484576614819841E-2</v>
      </c>
      <c r="G498" s="256">
        <f>'Copia de Electricidad'!F364*$E$604</f>
        <v>3.8903921076366615E-2</v>
      </c>
      <c r="H498" s="256">
        <f>'Copia de Electricidad'!G364*$E$604</f>
        <v>3.9484576614819841E-2</v>
      </c>
      <c r="I498" s="256">
        <v>4.1110000000000001E-2</v>
      </c>
      <c r="J498" s="256">
        <v>4.165E-2</v>
      </c>
      <c r="K498" s="256">
        <v>4.2189999999999998E-2</v>
      </c>
      <c r="L498" s="256">
        <v>4.2720000000000001E-2</v>
      </c>
      <c r="M498" s="256">
        <v>4.3240000000000001E-2</v>
      </c>
      <c r="N498" s="256">
        <v>4.376E-2</v>
      </c>
      <c r="O498" s="256">
        <v>4.428E-2</v>
      </c>
      <c r="P498" s="256">
        <v>4.478E-2</v>
      </c>
      <c r="Q498" s="256">
        <v>4.5280000000000001E-2</v>
      </c>
      <c r="R498" s="256">
        <v>4.5780000000000001E-2</v>
      </c>
      <c r="S498" s="256">
        <v>4.6260000000000003E-2</v>
      </c>
      <c r="T498" s="256">
        <v>4.6739999999999997E-2</v>
      </c>
      <c r="U498" s="256">
        <v>4.7210000000000002E-2</v>
      </c>
      <c r="V498" s="256">
        <v>4.7669999999999997E-2</v>
      </c>
      <c r="W498" s="256">
        <v>4.8120000000000003E-2</v>
      </c>
      <c r="X498" s="256">
        <v>4.8559999999999999E-2</v>
      </c>
      <c r="Y498" s="256">
        <v>4.9000000000000002E-2</v>
      </c>
      <c r="Z498" s="256">
        <v>4.9419999999999999E-2</v>
      </c>
      <c r="AA498" s="256">
        <v>4.9840000000000002E-2</v>
      </c>
      <c r="AB498" s="256">
        <v>5.024E-2</v>
      </c>
      <c r="AC498" s="256">
        <v>5.0639999999999998E-2</v>
      </c>
      <c r="AD498" s="256">
        <v>5.1020000000000003E-2</v>
      </c>
      <c r="AE498" s="256">
        <v>5.1400000000000001E-2</v>
      </c>
      <c r="AF498" s="256">
        <v>5.176E-2</v>
      </c>
      <c r="AG498" s="256">
        <v>5.2109999999999997E-2</v>
      </c>
      <c r="AH498" s="256">
        <v>5.246E-2</v>
      </c>
      <c r="AI498" s="256">
        <v>5.2789999999999997E-2</v>
      </c>
      <c r="AJ498" s="256">
        <v>5.3109999999999997E-2</v>
      </c>
      <c r="AK498" s="271">
        <v>5.3420000000000002E-2</v>
      </c>
      <c r="AL498" s="619"/>
      <c r="AM498" s="8" t="s">
        <v>361</v>
      </c>
    </row>
    <row r="499" spans="1:39" ht="14.25" customHeight="1">
      <c r="A499" s="619"/>
      <c r="B499" s="657"/>
      <c r="C499" s="258"/>
      <c r="D499" s="259" t="s">
        <v>362</v>
      </c>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56"/>
      <c r="AB499" s="256"/>
      <c r="AC499" s="256"/>
      <c r="AD499" s="256"/>
      <c r="AE499" s="256"/>
      <c r="AF499" s="256"/>
      <c r="AG499" s="256"/>
      <c r="AH499" s="256"/>
      <c r="AI499" s="256"/>
      <c r="AJ499" s="256"/>
      <c r="AK499" s="271"/>
      <c r="AL499" s="619"/>
      <c r="AM499" s="8"/>
    </row>
    <row r="500" spans="1:39" ht="14.25" customHeight="1">
      <c r="A500" s="619"/>
      <c r="B500" s="657"/>
      <c r="C500" s="258"/>
      <c r="D500" s="259" t="s">
        <v>363</v>
      </c>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c r="AH500" s="256"/>
      <c r="AI500" s="256"/>
      <c r="AJ500" s="256"/>
      <c r="AK500" s="271"/>
      <c r="AL500" s="619"/>
      <c r="AM500" s="8"/>
    </row>
    <row r="501" spans="1:39" ht="14.25" customHeight="1">
      <c r="A501" s="619"/>
      <c r="B501" s="658"/>
      <c r="C501" s="295"/>
      <c r="D501" s="301" t="s">
        <v>364</v>
      </c>
      <c r="E501" s="297">
        <f t="shared" ref="E501:AK501" si="136">SUM(E491:E500)</f>
        <v>89.61082728287208</v>
      </c>
      <c r="F501" s="297">
        <f t="shared" si="136"/>
        <v>92.877595342209986</v>
      </c>
      <c r="G501" s="297">
        <f t="shared" si="136"/>
        <v>91.446279439922776</v>
      </c>
      <c r="H501" s="297">
        <f t="shared" si="136"/>
        <v>97.02870178661216</v>
      </c>
      <c r="I501" s="297">
        <f t="shared" si="136"/>
        <v>99.326740000000001</v>
      </c>
      <c r="J501" s="297">
        <f t="shared" si="136"/>
        <v>101.72325000000002</v>
      </c>
      <c r="K501" s="297">
        <f t="shared" si="136"/>
        <v>104.2976</v>
      </c>
      <c r="L501" s="297">
        <f t="shared" si="136"/>
        <v>106.47223</v>
      </c>
      <c r="M501" s="297">
        <f t="shared" si="136"/>
        <v>108.62439000000001</v>
      </c>
      <c r="N501" s="297">
        <f t="shared" si="136"/>
        <v>111.23961000000001</v>
      </c>
      <c r="O501" s="297">
        <f t="shared" si="136"/>
        <v>113.93157000000001</v>
      </c>
      <c r="P501" s="297">
        <f t="shared" si="136"/>
        <v>115.81413000000001</v>
      </c>
      <c r="Q501" s="297">
        <f t="shared" si="136"/>
        <v>118.23119000000001</v>
      </c>
      <c r="R501" s="297">
        <f t="shared" si="136"/>
        <v>121.04378999999999</v>
      </c>
      <c r="S501" s="297">
        <f t="shared" si="136"/>
        <v>123.63343</v>
      </c>
      <c r="T501" s="297">
        <f t="shared" si="136"/>
        <v>126.34700000000001</v>
      </c>
      <c r="U501" s="297">
        <f t="shared" si="136"/>
        <v>128.92787000000001</v>
      </c>
      <c r="V501" s="297">
        <f t="shared" si="136"/>
        <v>131.26688000000001</v>
      </c>
      <c r="W501" s="297">
        <f t="shared" si="136"/>
        <v>134.09174000000002</v>
      </c>
      <c r="X501" s="297">
        <f t="shared" si="136"/>
        <v>136.42788000000002</v>
      </c>
      <c r="Y501" s="297">
        <f t="shared" si="136"/>
        <v>139.10715999999999</v>
      </c>
      <c r="Z501" s="297">
        <f t="shared" si="136"/>
        <v>141.78576000000001</v>
      </c>
      <c r="AA501" s="297">
        <f t="shared" si="136"/>
        <v>144.45003999999997</v>
      </c>
      <c r="AB501" s="297">
        <f t="shared" si="136"/>
        <v>146.9659</v>
      </c>
      <c r="AC501" s="297">
        <f t="shared" si="136"/>
        <v>149.63665000000003</v>
      </c>
      <c r="AD501" s="297">
        <f t="shared" si="136"/>
        <v>151.62956</v>
      </c>
      <c r="AE501" s="297">
        <f t="shared" si="136"/>
        <v>154.30248</v>
      </c>
      <c r="AF501" s="297">
        <f t="shared" si="136"/>
        <v>156.47542999999999</v>
      </c>
      <c r="AG501" s="297">
        <f t="shared" si="136"/>
        <v>159.31189000000001</v>
      </c>
      <c r="AH501" s="297">
        <f t="shared" si="136"/>
        <v>161.52773999999999</v>
      </c>
      <c r="AI501" s="297">
        <f t="shared" si="136"/>
        <v>163.81384</v>
      </c>
      <c r="AJ501" s="297">
        <f t="shared" si="136"/>
        <v>166.06295</v>
      </c>
      <c r="AK501" s="297">
        <f t="shared" si="136"/>
        <v>168.40494999999999</v>
      </c>
      <c r="AL501" s="619"/>
      <c r="AM501" s="8"/>
    </row>
    <row r="502" spans="1:39" ht="14.25" customHeight="1">
      <c r="A502" s="619"/>
      <c r="B502" s="619"/>
      <c r="C502" s="619"/>
      <c r="D502" s="619" t="s">
        <v>365</v>
      </c>
      <c r="E502" s="21">
        <f t="shared" ref="E502:AK502" si="137">E501+E487</f>
        <v>90.530625930050149</v>
      </c>
      <c r="F502" s="21">
        <f t="shared" si="137"/>
        <v>99.449374270792276</v>
      </c>
      <c r="G502" s="21">
        <f t="shared" si="137"/>
        <v>96.269519916987363</v>
      </c>
      <c r="H502" s="21">
        <f t="shared" si="137"/>
        <v>98.914386152353543</v>
      </c>
      <c r="I502" s="21">
        <f t="shared" si="137"/>
        <v>100.24654</v>
      </c>
      <c r="J502" s="21">
        <f t="shared" si="137"/>
        <v>102.64305000000002</v>
      </c>
      <c r="K502" s="21">
        <f t="shared" si="137"/>
        <v>105.2174</v>
      </c>
      <c r="L502" s="21">
        <f t="shared" si="137"/>
        <v>107.39202999999999</v>
      </c>
      <c r="M502" s="21">
        <f t="shared" si="137"/>
        <v>109.54419</v>
      </c>
      <c r="N502" s="21">
        <f t="shared" si="137"/>
        <v>112.15941000000001</v>
      </c>
      <c r="O502" s="21">
        <f t="shared" si="137"/>
        <v>114.85137</v>
      </c>
      <c r="P502" s="21">
        <f t="shared" si="137"/>
        <v>116.73393</v>
      </c>
      <c r="Q502" s="21">
        <f t="shared" si="137"/>
        <v>119.15099000000001</v>
      </c>
      <c r="R502" s="21">
        <f t="shared" si="137"/>
        <v>121.96358999999998</v>
      </c>
      <c r="S502" s="21">
        <f t="shared" si="137"/>
        <v>124.55323</v>
      </c>
      <c r="T502" s="21">
        <f t="shared" si="137"/>
        <v>127.2668</v>
      </c>
      <c r="U502" s="21">
        <f t="shared" si="137"/>
        <v>129.84767000000002</v>
      </c>
      <c r="V502" s="21">
        <f t="shared" si="137"/>
        <v>132.18668000000002</v>
      </c>
      <c r="W502" s="21">
        <f t="shared" si="137"/>
        <v>135.01154000000002</v>
      </c>
      <c r="X502" s="21">
        <f t="shared" si="137"/>
        <v>137.34768000000003</v>
      </c>
      <c r="Y502" s="21">
        <f t="shared" si="137"/>
        <v>140.02696</v>
      </c>
      <c r="Z502" s="21">
        <f t="shared" si="137"/>
        <v>142.70556000000002</v>
      </c>
      <c r="AA502" s="21">
        <f t="shared" si="137"/>
        <v>145.36983999999998</v>
      </c>
      <c r="AB502" s="21">
        <f t="shared" si="137"/>
        <v>147.88570000000001</v>
      </c>
      <c r="AC502" s="21">
        <f t="shared" si="137"/>
        <v>150.55645000000004</v>
      </c>
      <c r="AD502" s="21">
        <f t="shared" si="137"/>
        <v>152.54936000000001</v>
      </c>
      <c r="AE502" s="21">
        <f t="shared" si="137"/>
        <v>155.22228000000001</v>
      </c>
      <c r="AF502" s="21">
        <f t="shared" si="137"/>
        <v>157.39523</v>
      </c>
      <c r="AG502" s="21">
        <f t="shared" si="137"/>
        <v>160.23169000000001</v>
      </c>
      <c r="AH502" s="21">
        <f t="shared" si="137"/>
        <v>162.44754</v>
      </c>
      <c r="AI502" s="21">
        <f t="shared" si="137"/>
        <v>164.73364000000001</v>
      </c>
      <c r="AJ502" s="21">
        <f t="shared" si="137"/>
        <v>166.98275000000001</v>
      </c>
      <c r="AK502" s="21">
        <f t="shared" si="137"/>
        <v>169.32474999999999</v>
      </c>
      <c r="AL502" s="619"/>
      <c r="AM502" s="8"/>
    </row>
    <row r="503" spans="1:39" ht="14.25" customHeight="1">
      <c r="A503" s="619"/>
      <c r="B503" s="619"/>
      <c r="C503" s="619"/>
      <c r="D503" s="619"/>
      <c r="E503" s="21">
        <f t="shared" ref="E503:AK503" si="138">(E501+E487)*E479*E483-E486</f>
        <v>105.36519281387791</v>
      </c>
      <c r="F503" s="21">
        <f t="shared" si="138"/>
        <v>117.33247702561154</v>
      </c>
      <c r="G503" s="21">
        <f t="shared" si="138"/>
        <v>113.3217458788682</v>
      </c>
      <c r="H503" s="21">
        <f t="shared" si="138"/>
        <v>116.2269892362456</v>
      </c>
      <c r="I503" s="21">
        <f t="shared" si="138"/>
        <v>118.38207857989019</v>
      </c>
      <c r="J503" s="21">
        <f t="shared" si="138"/>
        <v>121.2212625289681</v>
      </c>
      <c r="K503" s="21">
        <f t="shared" si="138"/>
        <v>124.2711363869151</v>
      </c>
      <c r="L503" s="21">
        <f t="shared" si="138"/>
        <v>126.84745553066296</v>
      </c>
      <c r="M503" s="21">
        <f t="shared" si="138"/>
        <v>129.39715410394138</v>
      </c>
      <c r="N503" s="21">
        <f t="shared" si="138"/>
        <v>132.49544730835424</v>
      </c>
      <c r="O503" s="21">
        <f t="shared" si="138"/>
        <v>135.68465562526492</v>
      </c>
      <c r="P503" s="21">
        <f t="shared" si="138"/>
        <v>137.9149547415532</v>
      </c>
      <c r="Q503" s="21">
        <f t="shared" si="138"/>
        <v>140.77848460621396</v>
      </c>
      <c r="R503" s="21">
        <f t="shared" si="138"/>
        <v>144.1106170718312</v>
      </c>
      <c r="S503" s="21">
        <f t="shared" si="138"/>
        <v>147.17860523874478</v>
      </c>
      <c r="T503" s="21">
        <f t="shared" si="138"/>
        <v>150.39341527029035</v>
      </c>
      <c r="U503" s="21">
        <f t="shared" si="138"/>
        <v>153.45101347712307</v>
      </c>
      <c r="V503" s="21">
        <f t="shared" si="138"/>
        <v>156.22207625121229</v>
      </c>
      <c r="W503" s="21">
        <f t="shared" si="138"/>
        <v>159.56873333605321</v>
      </c>
      <c r="X503" s="21">
        <f t="shared" si="138"/>
        <v>162.33639597497347</v>
      </c>
      <c r="Y503" s="21">
        <f t="shared" si="138"/>
        <v>165.51058209190407</v>
      </c>
      <c r="Z503" s="21">
        <f t="shared" si="138"/>
        <v>168.68396260189567</v>
      </c>
      <c r="AA503" s="21">
        <f t="shared" si="138"/>
        <v>171.84037797752487</v>
      </c>
      <c r="AB503" s="21">
        <f t="shared" si="138"/>
        <v>174.82095779155742</v>
      </c>
      <c r="AC503" s="21">
        <f t="shared" si="138"/>
        <v>177.98503828026799</v>
      </c>
      <c r="AD503" s="21">
        <f t="shared" si="138"/>
        <v>180.34607081673005</v>
      </c>
      <c r="AE503" s="21">
        <f t="shared" si="138"/>
        <v>183.51272213934888</v>
      </c>
      <c r="AF503" s="21">
        <f t="shared" si="138"/>
        <v>186.08705096007094</v>
      </c>
      <c r="AG503" s="21">
        <f t="shared" si="138"/>
        <v>189.44745075151829</v>
      </c>
      <c r="AH503" s="21">
        <f t="shared" si="138"/>
        <v>192.07260389236237</v>
      </c>
      <c r="AI503" s="21">
        <f t="shared" si="138"/>
        <v>194.78098333830121</v>
      </c>
      <c r="AJ503" s="21">
        <f t="shared" si="138"/>
        <v>197.44554013619086</v>
      </c>
      <c r="AK503" s="21">
        <f t="shared" si="138"/>
        <v>200.2201452113795</v>
      </c>
      <c r="AL503" s="619"/>
      <c r="AM503" s="8"/>
    </row>
    <row r="504" spans="1:39" ht="14.25" customHeight="1">
      <c r="A504" s="619"/>
      <c r="B504" s="619"/>
      <c r="C504" s="619"/>
      <c r="D504" s="619"/>
      <c r="E504" s="619"/>
      <c r="F504" s="619"/>
      <c r="G504" s="619"/>
      <c r="H504" s="619"/>
      <c r="I504" s="619"/>
      <c r="J504" s="619"/>
      <c r="K504" s="619"/>
      <c r="L504" s="619"/>
      <c r="M504" s="619"/>
      <c r="N504" s="619"/>
      <c r="O504" s="619"/>
      <c r="P504" s="619"/>
      <c r="Q504" s="619"/>
      <c r="R504" s="619"/>
      <c r="S504" s="619"/>
      <c r="T504" s="619"/>
      <c r="U504" s="619"/>
      <c r="V504" s="619"/>
      <c r="W504" s="619"/>
      <c r="X504" s="619"/>
      <c r="Y504" s="619"/>
      <c r="Z504" s="619"/>
      <c r="AA504" s="619"/>
      <c r="AB504" s="619"/>
      <c r="AC504" s="619"/>
      <c r="AD504" s="619"/>
      <c r="AE504" s="619"/>
      <c r="AF504" s="619"/>
      <c r="AG504" s="619"/>
      <c r="AH504" s="619"/>
      <c r="AI504" s="619"/>
      <c r="AJ504" s="619"/>
      <c r="AK504" s="619"/>
      <c r="AL504" s="619"/>
      <c r="AM504" s="8"/>
    </row>
    <row r="505" spans="1:39" ht="14.25" customHeight="1">
      <c r="A505" s="1"/>
      <c r="B505" s="48"/>
      <c r="C505" s="249"/>
      <c r="D505" s="360" t="s">
        <v>366</v>
      </c>
      <c r="E505" s="361"/>
      <c r="F505" s="36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619"/>
      <c r="AM505" s="8"/>
    </row>
    <row r="506" spans="1:39" ht="14.25" customHeight="1">
      <c r="A506" s="1"/>
      <c r="B506" s="363"/>
      <c r="C506" s="258"/>
      <c r="D506" s="364" t="s">
        <v>235</v>
      </c>
      <c r="E506" s="364">
        <v>48</v>
      </c>
      <c r="F506" s="365">
        <f t="shared" ref="F506:F511" si="139">2018+E506</f>
        <v>2066</v>
      </c>
      <c r="G506" s="8"/>
      <c r="H506" s="8"/>
      <c r="I506" s="8"/>
      <c r="J506" s="8"/>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8"/>
    </row>
    <row r="507" spans="1:39" ht="14.25" customHeight="1">
      <c r="A507" s="1"/>
      <c r="B507" s="363"/>
      <c r="C507" s="258"/>
      <c r="D507" s="364" t="s">
        <v>367</v>
      </c>
      <c r="E507" s="364">
        <v>36</v>
      </c>
      <c r="F507" s="365">
        <f t="shared" si="139"/>
        <v>2054</v>
      </c>
      <c r="G507" s="8"/>
      <c r="H507" s="8"/>
      <c r="I507" s="8"/>
      <c r="J507" s="8"/>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8"/>
    </row>
    <row r="508" spans="1:39" ht="14.25" customHeight="1">
      <c r="A508" s="1"/>
      <c r="B508" s="363"/>
      <c r="C508" s="258"/>
      <c r="D508" s="364" t="s">
        <v>368</v>
      </c>
      <c r="E508" s="364">
        <v>27</v>
      </c>
      <c r="F508" s="365">
        <f t="shared" si="139"/>
        <v>2045</v>
      </c>
      <c r="G508" s="8"/>
      <c r="H508" s="8"/>
      <c r="I508" s="8"/>
      <c r="J508" s="8"/>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8"/>
    </row>
    <row r="509" spans="1:39" ht="14.25" customHeight="1">
      <c r="A509" s="1"/>
      <c r="B509" s="363"/>
      <c r="C509" s="258"/>
      <c r="D509" s="364" t="s">
        <v>369</v>
      </c>
      <c r="E509" s="364">
        <v>35</v>
      </c>
      <c r="F509" s="365">
        <f t="shared" si="139"/>
        <v>2053</v>
      </c>
      <c r="G509" s="8"/>
      <c r="H509" s="8"/>
      <c r="I509" s="8"/>
      <c r="J509" s="8"/>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8"/>
    </row>
    <row r="510" spans="1:39" ht="14.25" customHeight="1">
      <c r="A510" s="1"/>
      <c r="B510" s="363"/>
      <c r="C510" s="258"/>
      <c r="D510" s="364" t="s">
        <v>370</v>
      </c>
      <c r="E510" s="364">
        <v>23</v>
      </c>
      <c r="F510" s="365">
        <f t="shared" si="139"/>
        <v>2041</v>
      </c>
      <c r="G510" s="8"/>
      <c r="H510" s="8"/>
      <c r="I510" s="8"/>
      <c r="J510" s="8"/>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8"/>
    </row>
    <row r="511" spans="1:39" ht="14.25" customHeight="1">
      <c r="A511" s="1"/>
      <c r="B511" s="363"/>
      <c r="C511" s="258"/>
      <c r="D511" s="364" t="s">
        <v>371</v>
      </c>
      <c r="E511" s="364">
        <v>23</v>
      </c>
      <c r="F511" s="365">
        <f t="shared" si="139"/>
        <v>2041</v>
      </c>
      <c r="G511" s="8"/>
      <c r="H511" s="8"/>
      <c r="I511" s="8"/>
      <c r="J511" s="8"/>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8"/>
    </row>
    <row r="512" spans="1:39" ht="14.25" customHeight="1">
      <c r="A512" s="1"/>
      <c r="B512" s="366"/>
      <c r="C512" s="295"/>
      <c r="D512" s="367"/>
      <c r="E512" s="368"/>
      <c r="F512" s="369"/>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8"/>
    </row>
    <row r="513" spans="1:39" ht="14.25" customHeight="1">
      <c r="A513" s="4"/>
      <c r="B513" s="4"/>
      <c r="C513" s="4"/>
      <c r="D513" s="4"/>
      <c r="E513" s="21"/>
      <c r="F513" s="21"/>
      <c r="G513" s="21"/>
      <c r="H513" s="22"/>
      <c r="I513" s="619"/>
      <c r="J513" s="619"/>
      <c r="K513" s="619"/>
      <c r="L513" s="619"/>
      <c r="M513" s="619"/>
      <c r="N513" s="619"/>
      <c r="O513" s="619"/>
      <c r="P513" s="619"/>
      <c r="Q513" s="619"/>
      <c r="R513" s="619"/>
      <c r="S513" s="619"/>
      <c r="T513" s="619"/>
      <c r="U513" s="619"/>
      <c r="V513" s="619"/>
      <c r="W513" s="619"/>
      <c r="X513" s="619"/>
      <c r="Y513" s="619"/>
      <c r="Z513" s="619"/>
      <c r="AA513" s="619"/>
      <c r="AB513" s="619"/>
      <c r="AC513" s="619"/>
      <c r="AD513" s="619"/>
      <c r="AE513" s="619"/>
      <c r="AF513" s="619"/>
      <c r="AG513" s="619"/>
      <c r="AH513" s="619"/>
      <c r="AI513" s="619"/>
      <c r="AJ513" s="619"/>
      <c r="AK513" s="619"/>
      <c r="AL513" s="619"/>
      <c r="AM513" s="8"/>
    </row>
    <row r="514" spans="1:39" ht="14.25" customHeight="1">
      <c r="A514" s="619"/>
      <c r="B514" s="253"/>
      <c r="C514" s="258"/>
      <c r="D514" s="281" t="s">
        <v>372</v>
      </c>
      <c r="E514" s="281">
        <v>8760</v>
      </c>
      <c r="F514" s="281">
        <v>0.99</v>
      </c>
      <c r="G514" s="281">
        <v>0.95</v>
      </c>
      <c r="H514" s="335"/>
      <c r="I514" s="619"/>
      <c r="J514" s="619"/>
      <c r="K514" s="619"/>
      <c r="L514" s="619"/>
      <c r="M514" s="619"/>
      <c r="N514" s="619"/>
      <c r="O514" s="619"/>
      <c r="P514" s="619"/>
      <c r="Q514" s="619"/>
      <c r="R514" s="619"/>
      <c r="S514" s="619"/>
      <c r="T514" s="619"/>
      <c r="U514" s="619"/>
      <c r="V514" s="619"/>
      <c r="W514" s="619"/>
      <c r="X514" s="619"/>
      <c r="Y514" s="619"/>
      <c r="Z514" s="619"/>
      <c r="AA514" s="619"/>
      <c r="AB514" s="619"/>
      <c r="AC514" s="619"/>
      <c r="AD514" s="619"/>
      <c r="AE514" s="619"/>
      <c r="AF514" s="619"/>
      <c r="AG514" s="619"/>
      <c r="AH514" s="619"/>
      <c r="AI514" s="619"/>
      <c r="AJ514" s="619"/>
      <c r="AK514" s="619"/>
      <c r="AL514" s="619"/>
      <c r="AM514" s="8"/>
    </row>
    <row r="515" spans="1:39" ht="14.25" customHeight="1">
      <c r="A515" s="619"/>
      <c r="B515" s="253"/>
      <c r="C515" s="258"/>
      <c r="D515" s="262" t="s">
        <v>303</v>
      </c>
      <c r="E515" s="370">
        <f t="shared" ref="E515:H515" si="140">ROUND($F$514*$E$514*0.0036*E349*E6*$G$514,4)</f>
        <v>1.3623000000000001</v>
      </c>
      <c r="F515" s="370">
        <f t="shared" si="140"/>
        <v>1.4731000000000001</v>
      </c>
      <c r="G515" s="370">
        <f t="shared" si="140"/>
        <v>1.5194000000000001</v>
      </c>
      <c r="H515" s="370">
        <f t="shared" si="140"/>
        <v>1.3275999999999999</v>
      </c>
      <c r="I515" s="619"/>
      <c r="J515" s="619"/>
      <c r="K515" s="619"/>
      <c r="L515" s="619"/>
      <c r="M515" s="619"/>
      <c r="N515" s="619"/>
      <c r="O515" s="619"/>
      <c r="P515" s="619"/>
      <c r="Q515" s="619"/>
      <c r="R515" s="619"/>
      <c r="S515" s="619"/>
      <c r="T515" s="619"/>
      <c r="U515" s="619"/>
      <c r="V515" s="619"/>
      <c r="W515" s="619"/>
      <c r="X515" s="619"/>
      <c r="Y515" s="619"/>
      <c r="Z515" s="619"/>
      <c r="AA515" s="619"/>
      <c r="AB515" s="619"/>
      <c r="AC515" s="619"/>
      <c r="AD515" s="619"/>
      <c r="AE515" s="619"/>
      <c r="AF515" s="619"/>
      <c r="AG515" s="619"/>
      <c r="AH515" s="619"/>
      <c r="AI515" s="619"/>
      <c r="AJ515" s="619"/>
      <c r="AK515" s="619"/>
      <c r="AL515" s="619"/>
      <c r="AM515" s="8"/>
    </row>
    <row r="516" spans="1:39" ht="14.25" customHeight="1">
      <c r="A516" s="619"/>
      <c r="B516" s="253"/>
      <c r="C516" s="258"/>
      <c r="D516" s="266" t="s">
        <v>132</v>
      </c>
      <c r="E516" s="341">
        <f t="shared" ref="E516:H516" si="141">ROUND($F$514*$E$514*0.0036*E350*E7*$G$514,4)</f>
        <v>0</v>
      </c>
      <c r="F516" s="341">
        <f t="shared" si="141"/>
        <v>0</v>
      </c>
      <c r="G516" s="341">
        <f t="shared" si="141"/>
        <v>0</v>
      </c>
      <c r="H516" s="341">
        <f t="shared" si="141"/>
        <v>0</v>
      </c>
      <c r="I516" s="619"/>
      <c r="J516" s="619"/>
      <c r="K516" s="619"/>
      <c r="L516" s="619"/>
      <c r="M516" s="619"/>
      <c r="N516" s="619"/>
      <c r="O516" s="619"/>
      <c r="P516" s="619"/>
      <c r="Q516" s="619"/>
      <c r="R516" s="619"/>
      <c r="S516" s="619"/>
      <c r="T516" s="619"/>
      <c r="U516" s="619"/>
      <c r="V516" s="619"/>
      <c r="W516" s="619"/>
      <c r="X516" s="619"/>
      <c r="Y516" s="619"/>
      <c r="Z516" s="619"/>
      <c r="AA516" s="619"/>
      <c r="AB516" s="619"/>
      <c r="AC516" s="619"/>
      <c r="AD516" s="619"/>
      <c r="AE516" s="619"/>
      <c r="AF516" s="619"/>
      <c r="AG516" s="619"/>
      <c r="AH516" s="619"/>
      <c r="AI516" s="619"/>
      <c r="AJ516" s="619"/>
      <c r="AK516" s="619"/>
      <c r="AL516" s="619"/>
      <c r="AM516" s="8"/>
    </row>
    <row r="517" spans="1:39" ht="14.25" customHeight="1">
      <c r="A517" s="619"/>
      <c r="B517" s="253"/>
      <c r="C517" s="258" t="s">
        <v>133</v>
      </c>
      <c r="D517" s="259" t="s">
        <v>134</v>
      </c>
      <c r="E517" s="338">
        <f t="shared" ref="E517:H517" si="142">ROUND($F$514*$E$514*0.0036*E351*E8*$G$514,4)</f>
        <v>1.3623000000000001</v>
      </c>
      <c r="F517" s="338">
        <f t="shared" si="142"/>
        <v>1.4731000000000001</v>
      </c>
      <c r="G517" s="338">
        <f t="shared" si="142"/>
        <v>1.5194000000000001</v>
      </c>
      <c r="H517" s="338">
        <f t="shared" si="142"/>
        <v>1.3275999999999999</v>
      </c>
      <c r="I517" s="619"/>
      <c r="J517" s="619"/>
      <c r="K517" s="619"/>
      <c r="L517" s="619"/>
      <c r="M517" s="619"/>
      <c r="N517" s="619"/>
      <c r="O517" s="619"/>
      <c r="P517" s="619"/>
      <c r="Q517" s="619"/>
      <c r="R517" s="619"/>
      <c r="S517" s="619"/>
      <c r="T517" s="619"/>
      <c r="U517" s="619"/>
      <c r="V517" s="619"/>
      <c r="W517" s="619"/>
      <c r="X517" s="619"/>
      <c r="Y517" s="619"/>
      <c r="Z517" s="619"/>
      <c r="AA517" s="619"/>
      <c r="AB517" s="619"/>
      <c r="AC517" s="619"/>
      <c r="AD517" s="619"/>
      <c r="AE517" s="619"/>
      <c r="AF517" s="619"/>
      <c r="AG517" s="619"/>
      <c r="AH517" s="619"/>
      <c r="AI517" s="619"/>
      <c r="AJ517" s="619"/>
      <c r="AK517" s="619"/>
      <c r="AL517" s="619"/>
      <c r="AM517" s="8"/>
    </row>
    <row r="518" spans="1:39" ht="14.25" customHeight="1">
      <c r="A518" s="619"/>
      <c r="B518" s="253"/>
      <c r="C518" s="258" t="s">
        <v>135</v>
      </c>
      <c r="D518" s="262" t="s">
        <v>304</v>
      </c>
      <c r="E518" s="370">
        <f t="shared" ref="E518:H518" si="143">ROUND($F$514*$E$514*0.0036*E352*E9*$G$514,4)</f>
        <v>0.26250000000000001</v>
      </c>
      <c r="F518" s="370">
        <f t="shared" si="143"/>
        <v>0.28489999999999999</v>
      </c>
      <c r="G518" s="370">
        <f t="shared" si="143"/>
        <v>0.25519999999999998</v>
      </c>
      <c r="H518" s="370">
        <f t="shared" si="143"/>
        <v>0.21390000000000001</v>
      </c>
      <c r="I518" s="619"/>
      <c r="J518" s="619"/>
      <c r="K518" s="619"/>
      <c r="L518" s="619"/>
      <c r="M518" s="619"/>
      <c r="N518" s="619"/>
      <c r="O518" s="619"/>
      <c r="P518" s="619"/>
      <c r="Q518" s="619"/>
      <c r="R518" s="619"/>
      <c r="S518" s="619"/>
      <c r="T518" s="619"/>
      <c r="U518" s="619"/>
      <c r="V518" s="619"/>
      <c r="W518" s="619"/>
      <c r="X518" s="619"/>
      <c r="Y518" s="619"/>
      <c r="Z518" s="619"/>
      <c r="AA518" s="619"/>
      <c r="AB518" s="619"/>
      <c r="AC518" s="619"/>
      <c r="AD518" s="619"/>
      <c r="AE518" s="619"/>
      <c r="AF518" s="619"/>
      <c r="AG518" s="619"/>
      <c r="AH518" s="619"/>
      <c r="AI518" s="619"/>
      <c r="AJ518" s="619"/>
      <c r="AK518" s="619"/>
      <c r="AL518" s="619"/>
      <c r="AM518" s="8"/>
    </row>
    <row r="519" spans="1:39" ht="14.25" customHeight="1">
      <c r="A519" s="619"/>
      <c r="B519" s="253"/>
      <c r="C519" s="258"/>
      <c r="D519" s="262" t="s">
        <v>305</v>
      </c>
      <c r="E519" s="370">
        <f t="shared" ref="E519:H519" si="144">ROUND($F$514*$E$514*0.0036*E353*E10*$G$514,4)</f>
        <v>73.588099999999997</v>
      </c>
      <c r="F519" s="370">
        <f t="shared" si="144"/>
        <v>87.6892</v>
      </c>
      <c r="G519" s="370">
        <f t="shared" si="144"/>
        <v>86.595299999999995</v>
      </c>
      <c r="H519" s="370">
        <f t="shared" si="144"/>
        <v>91.029600000000002</v>
      </c>
      <c r="I519" s="619"/>
      <c r="J519" s="619"/>
      <c r="K519" s="619"/>
      <c r="L519" s="619"/>
      <c r="M519" s="619"/>
      <c r="N519" s="619"/>
      <c r="O519" s="619"/>
      <c r="P519" s="619"/>
      <c r="Q519" s="619"/>
      <c r="R519" s="619"/>
      <c r="S519" s="619"/>
      <c r="T519" s="619"/>
      <c r="U519" s="619"/>
      <c r="V519" s="619"/>
      <c r="W519" s="619"/>
      <c r="X519" s="619"/>
      <c r="Y519" s="619"/>
      <c r="Z519" s="619"/>
      <c r="AA519" s="619"/>
      <c r="AB519" s="619"/>
      <c r="AC519" s="619"/>
      <c r="AD519" s="619"/>
      <c r="AE519" s="619"/>
      <c r="AF519" s="619"/>
      <c r="AG519" s="619"/>
      <c r="AH519" s="619"/>
      <c r="AI519" s="619"/>
      <c r="AJ519" s="619"/>
      <c r="AK519" s="619"/>
      <c r="AL519" s="619"/>
      <c r="AM519" s="8"/>
    </row>
    <row r="520" spans="1:39" ht="14.25" customHeight="1">
      <c r="A520" s="619"/>
      <c r="B520" s="253"/>
      <c r="C520" s="258"/>
      <c r="D520" s="266" t="s">
        <v>138</v>
      </c>
      <c r="E520" s="341">
        <f t="shared" ref="E520:H520" si="145">ROUND($F$514*$E$514*0.0036*E354*E11*$G$514,4)</f>
        <v>27.461099999999998</v>
      </c>
      <c r="F520" s="341">
        <f t="shared" si="145"/>
        <v>31.882000000000001</v>
      </c>
      <c r="G520" s="341">
        <f t="shared" si="145"/>
        <v>28.761700000000001</v>
      </c>
      <c r="H520" s="341">
        <f t="shared" si="145"/>
        <v>31.008099999999999</v>
      </c>
      <c r="I520" s="619"/>
      <c r="J520" s="619"/>
      <c r="K520" s="619"/>
      <c r="L520" s="619"/>
      <c r="M520" s="619"/>
      <c r="N520" s="619"/>
      <c r="O520" s="619"/>
      <c r="P520" s="619"/>
      <c r="Q520" s="619"/>
      <c r="R520" s="619"/>
      <c r="S520" s="619"/>
      <c r="T520" s="619"/>
      <c r="U520" s="619"/>
      <c r="V520" s="619"/>
      <c r="W520" s="619"/>
      <c r="X520" s="619"/>
      <c r="Y520" s="619"/>
      <c r="Z520" s="619"/>
      <c r="AA520" s="619"/>
      <c r="AB520" s="619"/>
      <c r="AC520" s="619"/>
      <c r="AD520" s="619"/>
      <c r="AE520" s="619"/>
      <c r="AF520" s="619"/>
      <c r="AG520" s="619"/>
      <c r="AH520" s="619"/>
      <c r="AI520" s="619"/>
      <c r="AJ520" s="619"/>
      <c r="AK520" s="619"/>
      <c r="AL520" s="619"/>
      <c r="AM520" s="8"/>
    </row>
    <row r="521" spans="1:39" ht="14.25" customHeight="1">
      <c r="A521" s="619"/>
      <c r="B521" s="253"/>
      <c r="C521" s="258"/>
      <c r="D521" s="259" t="s">
        <v>139</v>
      </c>
      <c r="E521" s="338">
        <f t="shared" ref="E521:H521" si="146">ROUND($F$514*$E$514*0.0036*E355*E12*$G$514,4)</f>
        <v>23.926200000000001</v>
      </c>
      <c r="F521" s="338">
        <f t="shared" si="146"/>
        <v>27.143799999999999</v>
      </c>
      <c r="G521" s="338">
        <f t="shared" si="146"/>
        <v>25.122900000000001</v>
      </c>
      <c r="H521" s="338">
        <f t="shared" si="146"/>
        <v>26.670400000000001</v>
      </c>
      <c r="I521" s="619"/>
      <c r="J521" s="619"/>
      <c r="K521" s="619"/>
      <c r="L521" s="619"/>
      <c r="M521" s="619"/>
      <c r="N521" s="619"/>
      <c r="O521" s="619"/>
      <c r="P521" s="619"/>
      <c r="Q521" s="619"/>
      <c r="R521" s="619"/>
      <c r="S521" s="619"/>
      <c r="T521" s="619"/>
      <c r="U521" s="619"/>
      <c r="V521" s="619"/>
      <c r="W521" s="619"/>
      <c r="X521" s="619"/>
      <c r="Y521" s="619"/>
      <c r="Z521" s="619"/>
      <c r="AA521" s="619"/>
      <c r="AB521" s="619"/>
      <c r="AC521" s="619"/>
      <c r="AD521" s="619"/>
      <c r="AE521" s="619"/>
      <c r="AF521" s="619"/>
      <c r="AG521" s="619"/>
      <c r="AH521" s="619"/>
      <c r="AI521" s="619"/>
      <c r="AJ521" s="619"/>
      <c r="AK521" s="619"/>
      <c r="AL521" s="619"/>
      <c r="AM521" s="8"/>
    </row>
    <row r="522" spans="1:39" ht="14.25" customHeight="1">
      <c r="A522" s="619"/>
      <c r="B522" s="253"/>
      <c r="C522" s="258"/>
      <c r="D522" s="259" t="s">
        <v>140</v>
      </c>
      <c r="E522" s="338">
        <f t="shared" ref="E522:H522" si="147">ROUND($F$514*$E$514*0.0036*E356*E13*$G$514,4)</f>
        <v>3.5348000000000002</v>
      </c>
      <c r="F522" s="338">
        <f t="shared" si="147"/>
        <v>4.7397999999999998</v>
      </c>
      <c r="G522" s="338">
        <f t="shared" si="147"/>
        <v>3.6385000000000001</v>
      </c>
      <c r="H522" s="338">
        <f t="shared" si="147"/>
        <v>4.3348000000000004</v>
      </c>
      <c r="I522" s="619"/>
      <c r="J522" s="619"/>
      <c r="K522" s="619"/>
      <c r="L522" s="619"/>
      <c r="M522" s="619"/>
      <c r="N522" s="619"/>
      <c r="O522" s="619"/>
      <c r="P522" s="619"/>
      <c r="Q522" s="619"/>
      <c r="R522" s="619"/>
      <c r="S522" s="619"/>
      <c r="T522" s="619"/>
      <c r="U522" s="619"/>
      <c r="V522" s="619"/>
      <c r="W522" s="619"/>
      <c r="X522" s="619"/>
      <c r="Y522" s="619"/>
      <c r="Z522" s="619"/>
      <c r="AA522" s="619"/>
      <c r="AB522" s="619"/>
      <c r="AC522" s="619"/>
      <c r="AD522" s="619"/>
      <c r="AE522" s="619"/>
      <c r="AF522" s="619"/>
      <c r="AG522" s="619"/>
      <c r="AH522" s="619"/>
      <c r="AI522" s="619"/>
      <c r="AJ522" s="619"/>
      <c r="AK522" s="619"/>
      <c r="AL522" s="619"/>
      <c r="AM522" s="8"/>
    </row>
    <row r="523" spans="1:39" ht="14.25" customHeight="1">
      <c r="A523" s="619"/>
      <c r="B523" s="253"/>
      <c r="C523" s="258"/>
      <c r="D523" s="266" t="s">
        <v>141</v>
      </c>
      <c r="E523" s="267">
        <f t="shared" ref="E523:H523" si="148">ROUND($F$514*$E$514*0.0036*E357*E14*$G$514,4)</f>
        <v>46.133699999999997</v>
      </c>
      <c r="F523" s="267">
        <f t="shared" si="148"/>
        <v>55.804000000000002</v>
      </c>
      <c r="G523" s="267">
        <f t="shared" si="148"/>
        <v>57.831699999999998</v>
      </c>
      <c r="H523" s="267">
        <f t="shared" si="148"/>
        <v>60.018700000000003</v>
      </c>
      <c r="I523" s="619"/>
      <c r="J523" s="619"/>
      <c r="K523" s="619"/>
      <c r="L523" s="619"/>
      <c r="M523" s="619"/>
      <c r="N523" s="619"/>
      <c r="O523" s="619"/>
      <c r="P523" s="619"/>
      <c r="Q523" s="619"/>
      <c r="R523" s="619"/>
      <c r="S523" s="619"/>
      <c r="T523" s="619"/>
      <c r="U523" s="619"/>
      <c r="V523" s="619"/>
      <c r="W523" s="619"/>
      <c r="X523" s="619"/>
      <c r="Y523" s="619"/>
      <c r="Z523" s="619"/>
      <c r="AA523" s="619"/>
      <c r="AB523" s="619"/>
      <c r="AC523" s="619"/>
      <c r="AD523" s="619"/>
      <c r="AE523" s="619"/>
      <c r="AF523" s="619"/>
      <c r="AG523" s="619"/>
      <c r="AH523" s="619"/>
      <c r="AI523" s="619"/>
      <c r="AJ523" s="619"/>
      <c r="AK523" s="619"/>
      <c r="AL523" s="619"/>
      <c r="AM523" s="8"/>
    </row>
    <row r="524" spans="1:39" ht="14.25" customHeight="1">
      <c r="A524" s="619"/>
      <c r="B524" s="253"/>
      <c r="C524" s="258"/>
      <c r="D524" s="259" t="s">
        <v>139</v>
      </c>
      <c r="E524" s="270">
        <f t="shared" ref="E524:H524" si="149">ROUND($F$514*$E$514*0.0036*E358*E15*$G$514,4)</f>
        <v>43.782400000000003</v>
      </c>
      <c r="F524" s="270">
        <f t="shared" si="149"/>
        <v>50.045999999999999</v>
      </c>
      <c r="G524" s="270">
        <f t="shared" si="149"/>
        <v>51.939500000000002</v>
      </c>
      <c r="H524" s="270">
        <f t="shared" si="149"/>
        <v>53.200200000000002</v>
      </c>
      <c r="I524" s="619"/>
      <c r="J524" s="619"/>
      <c r="K524" s="619"/>
      <c r="L524" s="619"/>
      <c r="M524" s="619"/>
      <c r="N524" s="619"/>
      <c r="O524" s="619"/>
      <c r="P524" s="619"/>
      <c r="Q524" s="619"/>
      <c r="R524" s="619"/>
      <c r="S524" s="619"/>
      <c r="T524" s="619"/>
      <c r="U524" s="619"/>
      <c r="V524" s="619"/>
      <c r="W524" s="619"/>
      <c r="X524" s="619"/>
      <c r="Y524" s="619"/>
      <c r="Z524" s="619"/>
      <c r="AA524" s="619"/>
      <c r="AB524" s="619"/>
      <c r="AC524" s="619"/>
      <c r="AD524" s="619"/>
      <c r="AE524" s="619"/>
      <c r="AF524" s="619"/>
      <c r="AG524" s="619"/>
      <c r="AH524" s="619"/>
      <c r="AI524" s="619"/>
      <c r="AJ524" s="619"/>
      <c r="AK524" s="619"/>
      <c r="AL524" s="619"/>
      <c r="AM524" s="8"/>
    </row>
    <row r="525" spans="1:39" ht="14.25" customHeight="1">
      <c r="A525" s="619"/>
      <c r="B525" s="253"/>
      <c r="C525" s="258"/>
      <c r="D525" s="259" t="s">
        <v>140</v>
      </c>
      <c r="E525" s="270">
        <f t="shared" ref="E525:H525" si="150">ROUND($F$514*$E$514*0.0036*E359*E16*$G$514,4)</f>
        <v>2.3483999999999998</v>
      </c>
      <c r="F525" s="270">
        <f t="shared" si="150"/>
        <v>5.7561</v>
      </c>
      <c r="G525" s="270">
        <f t="shared" si="150"/>
        <v>5.8983999999999996</v>
      </c>
      <c r="H525" s="270">
        <f t="shared" si="150"/>
        <v>6.8189000000000002</v>
      </c>
      <c r="I525" s="619"/>
      <c r="J525" s="619"/>
      <c r="K525" s="619"/>
      <c r="L525" s="619"/>
      <c r="M525" s="619"/>
      <c r="N525" s="619"/>
      <c r="O525" s="619"/>
      <c r="P525" s="619"/>
      <c r="Q525" s="619"/>
      <c r="R525" s="619"/>
      <c r="S525" s="619"/>
      <c r="T525" s="619"/>
      <c r="U525" s="619"/>
      <c r="V525" s="619"/>
      <c r="W525" s="619"/>
      <c r="X525" s="619"/>
      <c r="Y525" s="619"/>
      <c r="Z525" s="619"/>
      <c r="AA525" s="619"/>
      <c r="AB525" s="619"/>
      <c r="AC525" s="619"/>
      <c r="AD525" s="619"/>
      <c r="AE525" s="619"/>
      <c r="AF525" s="619"/>
      <c r="AG525" s="619"/>
      <c r="AH525" s="619"/>
      <c r="AI525" s="619"/>
      <c r="AJ525" s="619"/>
      <c r="AK525" s="619"/>
      <c r="AL525" s="619"/>
      <c r="AM525" s="8"/>
    </row>
    <row r="526" spans="1:39" ht="14.25" customHeight="1">
      <c r="A526" s="619"/>
      <c r="B526" s="253"/>
      <c r="C526" s="258" t="s">
        <v>142</v>
      </c>
      <c r="D526" s="262" t="s">
        <v>306</v>
      </c>
      <c r="E526" s="325">
        <f t="shared" ref="E526:H526" si="151">ROUND($F$514*$E$514*0.0036*E360*E17*$G$514,4)</f>
        <v>0.12379999999999999</v>
      </c>
      <c r="F526" s="325">
        <f t="shared" si="151"/>
        <v>0.11799999999999999</v>
      </c>
      <c r="G526" s="325">
        <f t="shared" si="151"/>
        <v>0.12039999999999999</v>
      </c>
      <c r="H526" s="325">
        <f t="shared" si="151"/>
        <v>0.1191</v>
      </c>
      <c r="I526" s="619"/>
      <c r="J526" s="619"/>
      <c r="K526" s="619"/>
      <c r="L526" s="619"/>
      <c r="M526" s="619"/>
      <c r="N526" s="619"/>
      <c r="O526" s="619"/>
      <c r="P526" s="619"/>
      <c r="Q526" s="619"/>
      <c r="R526" s="619"/>
      <c r="S526" s="619"/>
      <c r="T526" s="619"/>
      <c r="U526" s="619"/>
      <c r="V526" s="619"/>
      <c r="W526" s="619"/>
      <c r="X526" s="619"/>
      <c r="Y526" s="619"/>
      <c r="Z526" s="619"/>
      <c r="AA526" s="619"/>
      <c r="AB526" s="619"/>
      <c r="AC526" s="619"/>
      <c r="AD526" s="619"/>
      <c r="AE526" s="619"/>
      <c r="AF526" s="619"/>
      <c r="AG526" s="619"/>
      <c r="AH526" s="619"/>
      <c r="AI526" s="619"/>
      <c r="AJ526" s="619"/>
      <c r="AK526" s="619"/>
      <c r="AL526" s="619"/>
      <c r="AM526" s="8"/>
    </row>
    <row r="527" spans="1:39" ht="14.25" customHeight="1">
      <c r="A527" s="619"/>
      <c r="B527" s="253"/>
      <c r="C527" s="258"/>
      <c r="D527" s="262" t="s">
        <v>307</v>
      </c>
      <c r="E527" s="325">
        <f t="shared" ref="E527:H527" si="152">ROUND($F$514*$E$514*0.0036*E361*E18*$G$514,4)</f>
        <v>14.88</v>
      </c>
      <c r="F527" s="325">
        <f t="shared" si="152"/>
        <v>10.605600000000001</v>
      </c>
      <c r="G527" s="325">
        <f t="shared" si="152"/>
        <v>8.5881000000000007</v>
      </c>
      <c r="H527" s="325">
        <f t="shared" si="152"/>
        <v>7.5156000000000001</v>
      </c>
      <c r="I527" s="619"/>
      <c r="J527" s="619"/>
      <c r="K527" s="619"/>
      <c r="L527" s="619"/>
      <c r="M527" s="619"/>
      <c r="N527" s="619"/>
      <c r="O527" s="619"/>
      <c r="P527" s="619"/>
      <c r="Q527" s="619"/>
      <c r="R527" s="619"/>
      <c r="S527" s="619"/>
      <c r="T527" s="619"/>
      <c r="U527" s="619"/>
      <c r="V527" s="619"/>
      <c r="W527" s="619"/>
      <c r="X527" s="619"/>
      <c r="Y527" s="619"/>
      <c r="Z527" s="619"/>
      <c r="AA527" s="619"/>
      <c r="AB527" s="619"/>
      <c r="AC527" s="619"/>
      <c r="AD527" s="619"/>
      <c r="AE527" s="619"/>
      <c r="AF527" s="619"/>
      <c r="AG527" s="619"/>
      <c r="AH527" s="619"/>
      <c r="AI527" s="619"/>
      <c r="AJ527" s="619"/>
      <c r="AK527" s="619"/>
      <c r="AL527" s="619"/>
      <c r="AM527" s="8"/>
    </row>
    <row r="528" spans="1:39" ht="14.25" customHeight="1">
      <c r="A528" s="619"/>
      <c r="B528" s="253"/>
      <c r="C528" s="258"/>
      <c r="D528" s="266" t="s">
        <v>145</v>
      </c>
      <c r="E528" s="267">
        <f t="shared" ref="E528:H528" si="153">ROUND($F$514*$E$514*0.0036*E362*E19*$G$514,4)</f>
        <v>5.1627999999999998</v>
      </c>
      <c r="F528" s="267">
        <f t="shared" si="153"/>
        <v>3.0424000000000002</v>
      </c>
      <c r="G528" s="267">
        <f t="shared" si="153"/>
        <v>2.7898999999999998</v>
      </c>
      <c r="H528" s="267">
        <f t="shared" si="153"/>
        <v>2.3942999999999999</v>
      </c>
      <c r="I528" s="619"/>
      <c r="J528" s="619"/>
      <c r="K528" s="619"/>
      <c r="L528" s="619"/>
      <c r="M528" s="619"/>
      <c r="N528" s="619"/>
      <c r="O528" s="619"/>
      <c r="P528" s="619"/>
      <c r="Q528" s="619"/>
      <c r="R528" s="619"/>
      <c r="S528" s="619"/>
      <c r="T528" s="619"/>
      <c r="U528" s="619"/>
      <c r="V528" s="619"/>
      <c r="W528" s="619"/>
      <c r="X528" s="619"/>
      <c r="Y528" s="619"/>
      <c r="Z528" s="619"/>
      <c r="AA528" s="619"/>
      <c r="AB528" s="619"/>
      <c r="AC528" s="619"/>
      <c r="AD528" s="619"/>
      <c r="AE528" s="619"/>
      <c r="AF528" s="619"/>
      <c r="AG528" s="619"/>
      <c r="AH528" s="619"/>
      <c r="AI528" s="619"/>
      <c r="AJ528" s="619"/>
      <c r="AK528" s="619"/>
      <c r="AL528" s="619"/>
      <c r="AM528" s="8"/>
    </row>
    <row r="529" spans="1:39" ht="14.25" customHeight="1">
      <c r="A529" s="619"/>
      <c r="B529" s="253"/>
      <c r="C529" s="258" t="s">
        <v>146</v>
      </c>
      <c r="D529" s="259" t="s">
        <v>155</v>
      </c>
      <c r="E529" s="329">
        <f t="shared" ref="E529:H529" si="154">ROUND($F$514*$E$514*0.0036*E363*E20*$G$514,4)</f>
        <v>0.78700000000000003</v>
      </c>
      <c r="F529" s="329">
        <f t="shared" si="154"/>
        <v>8.4000000000000005E-2</v>
      </c>
      <c r="G529" s="371">
        <f t="shared" si="154"/>
        <v>0.28560000000000002</v>
      </c>
      <c r="H529" s="372">
        <f t="shared" si="154"/>
        <v>0.13619999999999999</v>
      </c>
      <c r="I529" s="619"/>
      <c r="J529" s="619"/>
      <c r="K529" s="619"/>
      <c r="L529" s="619"/>
      <c r="M529" s="619"/>
      <c r="N529" s="619"/>
      <c r="O529" s="619"/>
      <c r="P529" s="619"/>
      <c r="Q529" s="619"/>
      <c r="R529" s="619"/>
      <c r="S529" s="619"/>
      <c r="T529" s="619"/>
      <c r="U529" s="619"/>
      <c r="V529" s="619"/>
      <c r="W529" s="619"/>
      <c r="X529" s="619"/>
      <c r="Y529" s="619"/>
      <c r="Z529" s="619"/>
      <c r="AA529" s="619"/>
      <c r="AB529" s="619"/>
      <c r="AC529" s="619"/>
      <c r="AD529" s="619"/>
      <c r="AE529" s="619"/>
      <c r="AF529" s="619"/>
      <c r="AG529" s="619"/>
      <c r="AH529" s="619"/>
      <c r="AI529" s="619"/>
      <c r="AJ529" s="619"/>
      <c r="AK529" s="619"/>
      <c r="AL529" s="619"/>
      <c r="AM529" s="8"/>
    </row>
    <row r="530" spans="1:39" ht="14.25" customHeight="1">
      <c r="A530" s="619"/>
      <c r="B530" s="253"/>
      <c r="C530" s="258" t="s">
        <v>148</v>
      </c>
      <c r="D530" s="259" t="s">
        <v>160</v>
      </c>
      <c r="E530" s="329">
        <f t="shared" ref="E530:H530" si="155">ROUND($F$514*$E$514*0.0036*E364*E21*$G$514,4)</f>
        <v>3.5324</v>
      </c>
      <c r="F530" s="329">
        <f t="shared" si="155"/>
        <v>2.39</v>
      </c>
      <c r="G530" s="372">
        <f t="shared" si="155"/>
        <v>1.9516</v>
      </c>
      <c r="H530" s="372">
        <f t="shared" si="155"/>
        <v>1.5744</v>
      </c>
      <c r="I530" s="619"/>
      <c r="J530" s="619"/>
      <c r="K530" s="619"/>
      <c r="L530" s="619"/>
      <c r="M530" s="619"/>
      <c r="N530" s="619"/>
      <c r="O530" s="619"/>
      <c r="P530" s="619"/>
      <c r="Q530" s="619"/>
      <c r="R530" s="619"/>
      <c r="S530" s="619"/>
      <c r="T530" s="619"/>
      <c r="U530" s="619"/>
      <c r="V530" s="619"/>
      <c r="W530" s="619"/>
      <c r="X530" s="619"/>
      <c r="Y530" s="619"/>
      <c r="Z530" s="619"/>
      <c r="AA530" s="619"/>
      <c r="AB530" s="619"/>
      <c r="AC530" s="619"/>
      <c r="AD530" s="619"/>
      <c r="AE530" s="619"/>
      <c r="AF530" s="619"/>
      <c r="AG530" s="619"/>
      <c r="AH530" s="619"/>
      <c r="AI530" s="619"/>
      <c r="AJ530" s="619"/>
      <c r="AK530" s="619"/>
      <c r="AL530" s="619"/>
      <c r="AM530" s="8"/>
    </row>
    <row r="531" spans="1:39" ht="14.25" customHeight="1">
      <c r="A531" s="619"/>
      <c r="B531" s="253"/>
      <c r="C531" s="258"/>
      <c r="D531" s="259" t="s">
        <v>308</v>
      </c>
      <c r="E531" s="332">
        <f t="shared" ref="E531:H531" si="156">ROUND($F$514*$E$514*0.0036*E365*E22*$G$514,4)</f>
        <v>1.6000000000000001E-3</v>
      </c>
      <c r="F531" s="332">
        <f t="shared" si="156"/>
        <v>0</v>
      </c>
      <c r="G531" s="372">
        <f t="shared" si="156"/>
        <v>0</v>
      </c>
      <c r="H531" s="372">
        <f t="shared" si="156"/>
        <v>0</v>
      </c>
      <c r="I531" s="619"/>
      <c r="J531" s="619"/>
      <c r="K531" s="619"/>
      <c r="L531" s="619"/>
      <c r="M531" s="619"/>
      <c r="N531" s="619"/>
      <c r="O531" s="619"/>
      <c r="P531" s="619"/>
      <c r="Q531" s="619"/>
      <c r="R531" s="619"/>
      <c r="S531" s="619"/>
      <c r="T531" s="619"/>
      <c r="U531" s="619"/>
      <c r="V531" s="619"/>
      <c r="W531" s="619"/>
      <c r="X531" s="619"/>
      <c r="Y531" s="619"/>
      <c r="Z531" s="619"/>
      <c r="AA531" s="619"/>
      <c r="AB531" s="619"/>
      <c r="AC531" s="619"/>
      <c r="AD531" s="619"/>
      <c r="AE531" s="619"/>
      <c r="AF531" s="619"/>
      <c r="AG531" s="619"/>
      <c r="AH531" s="619"/>
      <c r="AI531" s="619"/>
      <c r="AJ531" s="619"/>
      <c r="AK531" s="619"/>
      <c r="AL531" s="619"/>
      <c r="AM531" s="8"/>
    </row>
    <row r="532" spans="1:39" ht="14.25" customHeight="1">
      <c r="A532" s="619"/>
      <c r="B532" s="253"/>
      <c r="C532" s="258" t="s">
        <v>151</v>
      </c>
      <c r="D532" s="259" t="s">
        <v>309</v>
      </c>
      <c r="E532" s="329">
        <f t="shared" ref="E532:H532" si="157">ROUND($F$514*$E$514*0.0036*E366*E23*$G$514,4)</f>
        <v>0.84199999999999997</v>
      </c>
      <c r="F532" s="329">
        <f t="shared" si="157"/>
        <v>0.56789999999999996</v>
      </c>
      <c r="G532" s="372">
        <f t="shared" si="157"/>
        <v>0.55249999999999999</v>
      </c>
      <c r="H532" s="372">
        <f t="shared" si="157"/>
        <v>0.68320000000000003</v>
      </c>
      <c r="I532" s="619"/>
      <c r="J532" s="619"/>
      <c r="K532" s="619"/>
      <c r="L532" s="619"/>
      <c r="M532" s="619"/>
      <c r="N532" s="619"/>
      <c r="O532" s="619"/>
      <c r="P532" s="619"/>
      <c r="Q532" s="619"/>
      <c r="R532" s="619"/>
      <c r="S532" s="619"/>
      <c r="T532" s="619"/>
      <c r="U532" s="619"/>
      <c r="V532" s="619"/>
      <c r="W532" s="619"/>
      <c r="X532" s="619"/>
      <c r="Y532" s="619"/>
      <c r="Z532" s="619"/>
      <c r="AA532" s="619"/>
      <c r="AB532" s="619"/>
      <c r="AC532" s="619"/>
      <c r="AD532" s="619"/>
      <c r="AE532" s="619"/>
      <c r="AF532" s="619"/>
      <c r="AG532" s="619"/>
      <c r="AH532" s="619"/>
      <c r="AI532" s="619"/>
      <c r="AJ532" s="619"/>
      <c r="AK532" s="619"/>
      <c r="AL532" s="619"/>
      <c r="AM532" s="8"/>
    </row>
    <row r="533" spans="1:39" ht="14.25" customHeight="1">
      <c r="A533" s="619"/>
      <c r="B533" s="253"/>
      <c r="C533" s="258"/>
      <c r="D533" s="266" t="s">
        <v>153</v>
      </c>
      <c r="E533" s="267">
        <f t="shared" ref="E533:H533" si="158">ROUND($F$514*$E$514*0.0036*E367*E24*$G$514,4)</f>
        <v>3.6313</v>
      </c>
      <c r="F533" s="267">
        <f t="shared" si="158"/>
        <v>3.1640000000000001</v>
      </c>
      <c r="G533" s="341">
        <f t="shared" si="158"/>
        <v>2.5215000000000001</v>
      </c>
      <c r="H533" s="341">
        <f t="shared" si="158"/>
        <v>2.1177999999999999</v>
      </c>
      <c r="I533" s="619"/>
      <c r="J533" s="619"/>
      <c r="K533" s="619"/>
      <c r="L533" s="619"/>
      <c r="M533" s="619"/>
      <c r="N533" s="619"/>
      <c r="O533" s="619"/>
      <c r="P533" s="619"/>
      <c r="Q533" s="619"/>
      <c r="R533" s="619"/>
      <c r="S533" s="619"/>
      <c r="T533" s="619"/>
      <c r="U533" s="619"/>
      <c r="V533" s="619"/>
      <c r="W533" s="619"/>
      <c r="X533" s="619"/>
      <c r="Y533" s="619"/>
      <c r="Z533" s="619"/>
      <c r="AA533" s="619"/>
      <c r="AB533" s="619"/>
      <c r="AC533" s="619"/>
      <c r="AD533" s="619"/>
      <c r="AE533" s="619"/>
      <c r="AF533" s="619"/>
      <c r="AG533" s="619"/>
      <c r="AH533" s="619"/>
      <c r="AI533" s="619"/>
      <c r="AJ533" s="619"/>
      <c r="AK533" s="619"/>
      <c r="AL533" s="619"/>
      <c r="AM533" s="8"/>
    </row>
    <row r="534" spans="1:39" ht="14.25" customHeight="1">
      <c r="A534" s="619"/>
      <c r="B534" s="253"/>
      <c r="C534" s="258" t="s">
        <v>154</v>
      </c>
      <c r="D534" s="259" t="s">
        <v>155</v>
      </c>
      <c r="E534" s="25">
        <f t="shared" ref="E534:H534" si="159">ROUND($F$514*$E$514*0.0036*E368*E25*$G$514,4)</f>
        <v>0.4269</v>
      </c>
      <c r="F534" s="25">
        <f t="shared" si="159"/>
        <v>0.2442</v>
      </c>
      <c r="G534" s="40">
        <f t="shared" si="159"/>
        <v>8.2500000000000004E-2</v>
      </c>
      <c r="H534" s="40">
        <f t="shared" si="159"/>
        <v>5.4899999999999997E-2</v>
      </c>
      <c r="I534" s="619"/>
      <c r="J534" s="619"/>
      <c r="K534" s="619"/>
      <c r="L534" s="619"/>
      <c r="M534" s="619"/>
      <c r="N534" s="619"/>
      <c r="O534" s="619"/>
      <c r="P534" s="619"/>
      <c r="Q534" s="619"/>
      <c r="R534" s="619"/>
      <c r="S534" s="619"/>
      <c r="T534" s="619"/>
      <c r="U534" s="619"/>
      <c r="V534" s="619"/>
      <c r="W534" s="619"/>
      <c r="X534" s="619"/>
      <c r="Y534" s="619"/>
      <c r="Z534" s="619"/>
      <c r="AA534" s="619"/>
      <c r="AB534" s="619"/>
      <c r="AC534" s="619"/>
      <c r="AD534" s="619"/>
      <c r="AE534" s="619"/>
      <c r="AF534" s="619"/>
      <c r="AG534" s="619"/>
      <c r="AH534" s="619"/>
      <c r="AI534" s="619"/>
      <c r="AJ534" s="619"/>
      <c r="AK534" s="619"/>
      <c r="AL534" s="619"/>
      <c r="AM534" s="8"/>
    </row>
    <row r="535" spans="1:39" ht="14.25" customHeight="1">
      <c r="A535" s="619"/>
      <c r="B535" s="253"/>
      <c r="C535" s="258" t="s">
        <v>156</v>
      </c>
      <c r="D535" s="259" t="s">
        <v>157</v>
      </c>
      <c r="E535" s="25">
        <f t="shared" ref="E535:H535" si="160">ROUND($F$514*$E$514*0.0036*E369*E26*$G$514,4)</f>
        <v>3.2056</v>
      </c>
      <c r="F535" s="25">
        <f t="shared" si="160"/>
        <v>2.9214000000000002</v>
      </c>
      <c r="G535" s="25">
        <f t="shared" si="160"/>
        <v>2.4403000000000001</v>
      </c>
      <c r="H535" s="25">
        <f t="shared" si="160"/>
        <v>2.0621999999999998</v>
      </c>
      <c r="I535" s="619"/>
      <c r="J535" s="619"/>
      <c r="K535" s="619"/>
      <c r="L535" s="619"/>
      <c r="M535" s="619"/>
      <c r="N535" s="619"/>
      <c r="O535" s="619"/>
      <c r="P535" s="619"/>
      <c r="Q535" s="619"/>
      <c r="R535" s="619"/>
      <c r="S535" s="619"/>
      <c r="T535" s="619"/>
      <c r="U535" s="619"/>
      <c r="V535" s="619"/>
      <c r="W535" s="619"/>
      <c r="X535" s="619"/>
      <c r="Y535" s="619"/>
      <c r="Z535" s="619"/>
      <c r="AA535" s="619"/>
      <c r="AB535" s="619"/>
      <c r="AC535" s="619"/>
      <c r="AD535" s="619"/>
      <c r="AE535" s="619"/>
      <c r="AF535" s="619"/>
      <c r="AG535" s="619"/>
      <c r="AH535" s="619"/>
      <c r="AI535" s="619"/>
      <c r="AJ535" s="619"/>
      <c r="AK535" s="619"/>
      <c r="AL535" s="619"/>
      <c r="AM535" s="8"/>
    </row>
    <row r="536" spans="1:39" ht="14.25" customHeight="1">
      <c r="A536" s="619"/>
      <c r="B536" s="253"/>
      <c r="C536" s="258"/>
      <c r="D536" s="266" t="s">
        <v>158</v>
      </c>
      <c r="E536" s="267">
        <f t="shared" ref="E536:H536" si="161">ROUND($F$514*$E$514*0.0036*E370*E27*$G$514,4)</f>
        <v>6.085</v>
      </c>
      <c r="F536" s="267">
        <f t="shared" si="161"/>
        <v>4.3956999999999997</v>
      </c>
      <c r="G536" s="267">
        <f t="shared" si="161"/>
        <v>3.2778999999999998</v>
      </c>
      <c r="H536" s="267">
        <f t="shared" si="161"/>
        <v>3.0028000000000001</v>
      </c>
      <c r="I536" s="619"/>
      <c r="J536" s="619"/>
      <c r="K536" s="619"/>
      <c r="L536" s="619"/>
      <c r="M536" s="619"/>
      <c r="N536" s="619"/>
      <c r="O536" s="619"/>
      <c r="P536" s="619"/>
      <c r="Q536" s="619"/>
      <c r="R536" s="619"/>
      <c r="S536" s="619"/>
      <c r="T536" s="619"/>
      <c r="U536" s="619"/>
      <c r="V536" s="619"/>
      <c r="W536" s="619"/>
      <c r="X536" s="619"/>
      <c r="Y536" s="619"/>
      <c r="Z536" s="619"/>
      <c r="AA536" s="619"/>
      <c r="AB536" s="619"/>
      <c r="AC536" s="619"/>
      <c r="AD536" s="619"/>
      <c r="AE536" s="619"/>
      <c r="AF536" s="619"/>
      <c r="AG536" s="619"/>
      <c r="AH536" s="619"/>
      <c r="AI536" s="619"/>
      <c r="AJ536" s="619"/>
      <c r="AK536" s="619"/>
      <c r="AL536" s="619"/>
      <c r="AM536" s="8"/>
    </row>
    <row r="537" spans="1:39" ht="14.25" customHeight="1">
      <c r="A537" s="619"/>
      <c r="B537" s="253"/>
      <c r="C537" s="258" t="s">
        <v>159</v>
      </c>
      <c r="D537" s="259" t="s">
        <v>160</v>
      </c>
      <c r="E537" s="25">
        <f t="shared" ref="E537:H537" si="162">ROUND($F$514*$E$514*0.0036*E371*E28*$G$514,4)</f>
        <v>6.085</v>
      </c>
      <c r="F537" s="25">
        <f t="shared" si="162"/>
        <v>4.3956999999999997</v>
      </c>
      <c r="G537" s="25">
        <f t="shared" si="162"/>
        <v>3.2778999999999998</v>
      </c>
      <c r="H537" s="25">
        <f t="shared" si="162"/>
        <v>3.0028000000000001</v>
      </c>
      <c r="I537" s="619"/>
      <c r="J537" s="619"/>
      <c r="K537" s="619"/>
      <c r="L537" s="619"/>
      <c r="M537" s="619"/>
      <c r="N537" s="619"/>
      <c r="O537" s="619"/>
      <c r="P537" s="619"/>
      <c r="Q537" s="619"/>
      <c r="R537" s="619"/>
      <c r="S537" s="619"/>
      <c r="T537" s="619"/>
      <c r="U537" s="619"/>
      <c r="V537" s="619"/>
      <c r="W537" s="619"/>
      <c r="X537" s="619"/>
      <c r="Y537" s="619"/>
      <c r="Z537" s="619"/>
      <c r="AA537" s="619"/>
      <c r="AB537" s="619"/>
      <c r="AC537" s="619"/>
      <c r="AD537" s="619"/>
      <c r="AE537" s="619"/>
      <c r="AF537" s="619"/>
      <c r="AG537" s="619"/>
      <c r="AH537" s="619"/>
      <c r="AI537" s="619"/>
      <c r="AJ537" s="619"/>
      <c r="AK537" s="619"/>
      <c r="AL537" s="619"/>
      <c r="AM537" s="8"/>
    </row>
    <row r="538" spans="1:39" ht="14.25" customHeight="1">
      <c r="A538" s="619"/>
      <c r="B538" s="253"/>
      <c r="C538" s="258"/>
      <c r="D538" s="262" t="s">
        <v>310</v>
      </c>
      <c r="E538" s="325">
        <f t="shared" ref="E538:H538" si="163">ROUND($F$514*$E$514*0.0036*E372*E29*$G$514,4)</f>
        <v>0.16220000000000001</v>
      </c>
      <c r="F538" s="325">
        <f t="shared" si="163"/>
        <v>0.14660000000000001</v>
      </c>
      <c r="G538" s="325">
        <f t="shared" si="163"/>
        <v>0.15670000000000001</v>
      </c>
      <c r="H538" s="325">
        <f t="shared" si="163"/>
        <v>0.15010000000000001</v>
      </c>
      <c r="I538" s="619"/>
      <c r="J538" s="619"/>
      <c r="K538" s="619"/>
      <c r="L538" s="619"/>
      <c r="M538" s="619"/>
      <c r="N538" s="619"/>
      <c r="O538" s="619"/>
      <c r="P538" s="619"/>
      <c r="Q538" s="619"/>
      <c r="R538" s="619"/>
      <c r="S538" s="619"/>
      <c r="T538" s="619"/>
      <c r="U538" s="619"/>
      <c r="V538" s="619"/>
      <c r="W538" s="619"/>
      <c r="X538" s="619"/>
      <c r="Y538" s="619"/>
      <c r="Z538" s="619"/>
      <c r="AA538" s="619"/>
      <c r="AB538" s="619"/>
      <c r="AC538" s="619"/>
      <c r="AD538" s="619"/>
      <c r="AE538" s="619"/>
      <c r="AF538" s="619"/>
      <c r="AG538" s="619"/>
      <c r="AH538" s="619"/>
      <c r="AI538" s="619"/>
      <c r="AJ538" s="619"/>
      <c r="AK538" s="619"/>
      <c r="AL538" s="619"/>
      <c r="AM538" s="8"/>
    </row>
    <row r="539" spans="1:39" ht="14.25" customHeight="1">
      <c r="A539" s="619"/>
      <c r="B539" s="253"/>
      <c r="C539" s="258"/>
      <c r="D539" s="266" t="s">
        <v>162</v>
      </c>
      <c r="E539" s="267">
        <f t="shared" ref="E539:H539" si="164">ROUND($F$514*$E$514*0.0036*E373*E30*$G$514,4)</f>
        <v>0</v>
      </c>
      <c r="F539" s="267">
        <f t="shared" si="164"/>
        <v>0</v>
      </c>
      <c r="G539" s="267">
        <f t="shared" si="164"/>
        <v>0</v>
      </c>
      <c r="H539" s="267">
        <f t="shared" si="164"/>
        <v>0</v>
      </c>
      <c r="I539" s="619"/>
      <c r="J539" s="619"/>
      <c r="K539" s="619"/>
      <c r="L539" s="619"/>
      <c r="M539" s="619"/>
      <c r="N539" s="619"/>
      <c r="O539" s="619"/>
      <c r="P539" s="619"/>
      <c r="Q539" s="619"/>
      <c r="R539" s="619"/>
      <c r="S539" s="619"/>
      <c r="T539" s="619"/>
      <c r="U539" s="619"/>
      <c r="V539" s="619"/>
      <c r="W539" s="619"/>
      <c r="X539" s="619"/>
      <c r="Y539" s="619"/>
      <c r="Z539" s="619"/>
      <c r="AA539" s="619"/>
      <c r="AB539" s="619"/>
      <c r="AC539" s="619"/>
      <c r="AD539" s="619"/>
      <c r="AE539" s="619"/>
      <c r="AF539" s="619"/>
      <c r="AG539" s="619"/>
      <c r="AH539" s="619"/>
      <c r="AI539" s="619"/>
      <c r="AJ539" s="619"/>
      <c r="AK539" s="619"/>
      <c r="AL539" s="619"/>
      <c r="AM539" s="8"/>
    </row>
    <row r="540" spans="1:39" ht="14.25" customHeight="1">
      <c r="A540" s="619"/>
      <c r="B540" s="253"/>
      <c r="C540" s="258" t="s">
        <v>163</v>
      </c>
      <c r="D540" s="259" t="s">
        <v>161</v>
      </c>
      <c r="E540" s="270">
        <f t="shared" ref="E540:H540" si="165">ROUND($F$514*$E$514*0.0036*E374*E31*$G$514,4)</f>
        <v>0.16220000000000001</v>
      </c>
      <c r="F540" s="270">
        <f t="shared" si="165"/>
        <v>0.14660000000000001</v>
      </c>
      <c r="G540" s="270">
        <f t="shared" si="165"/>
        <v>0.15670000000000001</v>
      </c>
      <c r="H540" s="270">
        <f t="shared" si="165"/>
        <v>0.15010000000000001</v>
      </c>
      <c r="I540" s="619"/>
      <c r="J540" s="619"/>
      <c r="K540" s="619"/>
      <c r="L540" s="619"/>
      <c r="M540" s="619"/>
      <c r="N540" s="619"/>
      <c r="O540" s="619"/>
      <c r="P540" s="619"/>
      <c r="Q540" s="619"/>
      <c r="R540" s="619"/>
      <c r="S540" s="619"/>
      <c r="T540" s="619"/>
      <c r="U540" s="619"/>
      <c r="V540" s="619"/>
      <c r="W540" s="619"/>
      <c r="X540" s="619"/>
      <c r="Y540" s="619"/>
      <c r="Z540" s="619"/>
      <c r="AA540" s="619"/>
      <c r="AB540" s="619"/>
      <c r="AC540" s="619"/>
      <c r="AD540" s="619"/>
      <c r="AE540" s="619"/>
      <c r="AF540" s="619"/>
      <c r="AG540" s="619"/>
      <c r="AH540" s="619"/>
      <c r="AI540" s="619"/>
      <c r="AJ540" s="619"/>
      <c r="AK540" s="619"/>
      <c r="AL540" s="619"/>
      <c r="AM540" s="8"/>
    </row>
    <row r="541" spans="1:39" ht="14.25" customHeight="1">
      <c r="A541" s="619"/>
      <c r="B541" s="253"/>
      <c r="C541" s="258"/>
      <c r="D541" s="272" t="s">
        <v>164</v>
      </c>
      <c r="E541" s="256">
        <f t="shared" ref="E541:H541" si="166">ROUND($F$514*$E$514*0.0036*E375*E32*$G$514,4)</f>
        <v>0</v>
      </c>
      <c r="F541" s="256">
        <f t="shared" si="166"/>
        <v>0</v>
      </c>
      <c r="G541" s="256">
        <f t="shared" si="166"/>
        <v>0</v>
      </c>
      <c r="H541" s="256">
        <f t="shared" si="166"/>
        <v>0</v>
      </c>
      <c r="I541" s="619"/>
      <c r="J541" s="619"/>
      <c r="K541" s="619"/>
      <c r="L541" s="619"/>
      <c r="M541" s="619"/>
      <c r="N541" s="619"/>
      <c r="O541" s="619"/>
      <c r="P541" s="619"/>
      <c r="Q541" s="619"/>
      <c r="R541" s="619"/>
      <c r="S541" s="619"/>
      <c r="T541" s="619"/>
      <c r="U541" s="619"/>
      <c r="V541" s="619"/>
      <c r="W541" s="619"/>
      <c r="X541" s="619"/>
      <c r="Y541" s="619"/>
      <c r="Z541" s="619"/>
      <c r="AA541" s="619"/>
      <c r="AB541" s="619"/>
      <c r="AC541" s="619"/>
      <c r="AD541" s="619"/>
      <c r="AE541" s="619"/>
      <c r="AF541" s="619"/>
      <c r="AG541" s="619"/>
      <c r="AH541" s="619"/>
      <c r="AI541" s="619"/>
      <c r="AJ541" s="619"/>
      <c r="AK541" s="619"/>
      <c r="AL541" s="619"/>
      <c r="AM541" s="8"/>
    </row>
    <row r="542" spans="1:39" ht="14.25" customHeight="1">
      <c r="A542" s="619"/>
      <c r="B542" s="253"/>
      <c r="C542" s="258" t="s">
        <v>165</v>
      </c>
      <c r="D542" s="334" t="s">
        <v>166</v>
      </c>
      <c r="E542" s="270">
        <f t="shared" ref="E542:H542" si="167">ROUND($F$514*$E$514*0.0036*E376*E33*$G$514,4)</f>
        <v>0.37159999999999999</v>
      </c>
      <c r="F542" s="270">
        <f t="shared" si="167"/>
        <v>0.53610000000000002</v>
      </c>
      <c r="G542" s="270">
        <f t="shared" si="167"/>
        <v>0.50829999999999997</v>
      </c>
      <c r="H542" s="270">
        <f t="shared" si="167"/>
        <v>0.53559999999999997</v>
      </c>
      <c r="I542" s="619"/>
      <c r="J542" s="619"/>
      <c r="K542" s="619"/>
      <c r="L542" s="619"/>
      <c r="M542" s="619"/>
      <c r="N542" s="619"/>
      <c r="O542" s="619"/>
      <c r="P542" s="619"/>
      <c r="Q542" s="619"/>
      <c r="R542" s="619"/>
      <c r="S542" s="619"/>
      <c r="T542" s="619"/>
      <c r="U542" s="619"/>
      <c r="V542" s="619"/>
      <c r="W542" s="619"/>
      <c r="X542" s="619"/>
      <c r="Y542" s="619"/>
      <c r="Z542" s="619"/>
      <c r="AA542" s="619"/>
      <c r="AB542" s="619"/>
      <c r="AC542" s="619"/>
      <c r="AD542" s="619"/>
      <c r="AE542" s="619"/>
      <c r="AF542" s="619"/>
      <c r="AG542" s="619"/>
      <c r="AH542" s="619"/>
      <c r="AI542" s="619"/>
      <c r="AJ542" s="619"/>
      <c r="AK542" s="619"/>
      <c r="AL542" s="619"/>
      <c r="AM542" s="8"/>
    </row>
    <row r="543" spans="1:39" ht="14.25" customHeight="1">
      <c r="A543" s="619"/>
      <c r="B543" s="253"/>
      <c r="C543" s="258" t="s">
        <v>167</v>
      </c>
      <c r="D543" s="334" t="s">
        <v>168</v>
      </c>
      <c r="E543" s="270">
        <f t="shared" ref="E543:H543" si="168">ROUND($F$514*$E$514*0.0036*E377*E34*$G$514,4)</f>
        <v>3.1625000000000001</v>
      </c>
      <c r="F543" s="270">
        <f t="shared" si="168"/>
        <v>4.2037000000000004</v>
      </c>
      <c r="G543" s="270">
        <f t="shared" si="168"/>
        <v>3.1303000000000001</v>
      </c>
      <c r="H543" s="270">
        <f t="shared" si="168"/>
        <v>3.7993000000000001</v>
      </c>
      <c r="I543" s="619"/>
      <c r="J543" s="619"/>
      <c r="K543" s="619"/>
      <c r="L543" s="619"/>
      <c r="M543" s="619"/>
      <c r="N543" s="619"/>
      <c r="O543" s="619"/>
      <c r="P543" s="619"/>
      <c r="Q543" s="619"/>
      <c r="R543" s="619"/>
      <c r="S543" s="619"/>
      <c r="T543" s="619"/>
      <c r="U543" s="619"/>
      <c r="V543" s="619"/>
      <c r="W543" s="619"/>
      <c r="X543" s="619"/>
      <c r="Y543" s="619"/>
      <c r="Z543" s="619"/>
      <c r="AA543" s="619"/>
      <c r="AB543" s="619"/>
      <c r="AC543" s="619"/>
      <c r="AD543" s="619"/>
      <c r="AE543" s="619"/>
      <c r="AF543" s="619"/>
      <c r="AG543" s="619"/>
      <c r="AH543" s="619"/>
      <c r="AI543" s="619"/>
      <c r="AJ543" s="619"/>
      <c r="AK543" s="619"/>
      <c r="AL543" s="619"/>
      <c r="AM543" s="8"/>
    </row>
    <row r="544" spans="1:39" ht="14.25" customHeight="1">
      <c r="A544" s="619"/>
      <c r="B544" s="253"/>
      <c r="C544" s="258" t="s">
        <v>169</v>
      </c>
      <c r="D544" s="334" t="s">
        <v>170</v>
      </c>
      <c r="E544" s="270">
        <f t="shared" ref="E544:H544" si="169">ROUND($F$514*$E$514*0.0036*E378*E35*$G$514,4)</f>
        <v>0</v>
      </c>
      <c r="F544" s="270">
        <f t="shared" si="169"/>
        <v>0</v>
      </c>
      <c r="G544" s="270">
        <f t="shared" si="169"/>
        <v>0</v>
      </c>
      <c r="H544" s="270">
        <f t="shared" si="169"/>
        <v>0</v>
      </c>
      <c r="I544" s="619"/>
      <c r="J544" s="619"/>
      <c r="K544" s="619"/>
      <c r="L544" s="619"/>
      <c r="M544" s="619"/>
      <c r="N544" s="619"/>
      <c r="O544" s="619"/>
      <c r="P544" s="619"/>
      <c r="Q544" s="619"/>
      <c r="R544" s="619"/>
      <c r="S544" s="619"/>
      <c r="T544" s="619"/>
      <c r="U544" s="619"/>
      <c r="V544" s="619"/>
      <c r="W544" s="619"/>
      <c r="X544" s="619"/>
      <c r="Y544" s="619"/>
      <c r="Z544" s="619"/>
      <c r="AA544" s="619"/>
      <c r="AB544" s="619"/>
      <c r="AC544" s="619"/>
      <c r="AD544" s="619"/>
      <c r="AE544" s="619"/>
      <c r="AF544" s="619"/>
      <c r="AG544" s="619"/>
      <c r="AH544" s="619"/>
      <c r="AI544" s="619"/>
      <c r="AJ544" s="619"/>
      <c r="AK544" s="619"/>
      <c r="AL544" s="619"/>
      <c r="AM544" s="8"/>
    </row>
    <row r="545" spans="1:39" ht="14.25" customHeight="1">
      <c r="A545" s="619"/>
      <c r="B545" s="253"/>
      <c r="C545" s="258" t="s">
        <v>171</v>
      </c>
      <c r="D545" s="334" t="s">
        <v>172</v>
      </c>
      <c r="E545" s="270">
        <f t="shared" ref="E545:H545" si="170">ROUND($F$514*$E$514*0.0036*E379*E36*$G$514,4)</f>
        <v>0</v>
      </c>
      <c r="F545" s="270">
        <f t="shared" si="170"/>
        <v>0</v>
      </c>
      <c r="G545" s="270">
        <f t="shared" si="170"/>
        <v>0</v>
      </c>
      <c r="H545" s="270">
        <f t="shared" si="170"/>
        <v>0</v>
      </c>
      <c r="I545" s="619"/>
      <c r="J545" s="619"/>
      <c r="K545" s="619"/>
      <c r="L545" s="619"/>
      <c r="M545" s="619"/>
      <c r="N545" s="619"/>
      <c r="O545" s="619"/>
      <c r="P545" s="619"/>
      <c r="Q545" s="619"/>
      <c r="R545" s="619"/>
      <c r="S545" s="619"/>
      <c r="T545" s="619"/>
      <c r="U545" s="619"/>
      <c r="V545" s="619"/>
      <c r="W545" s="619"/>
      <c r="X545" s="619"/>
      <c r="Y545" s="619"/>
      <c r="Z545" s="619"/>
      <c r="AA545" s="619"/>
      <c r="AB545" s="619"/>
      <c r="AC545" s="619"/>
      <c r="AD545" s="619"/>
      <c r="AE545" s="619"/>
      <c r="AF545" s="619"/>
      <c r="AG545" s="619"/>
      <c r="AH545" s="619"/>
      <c r="AI545" s="619"/>
      <c r="AJ545" s="619"/>
      <c r="AK545" s="619"/>
      <c r="AL545" s="619"/>
      <c r="AM545" s="8"/>
    </row>
    <row r="546" spans="1:39" ht="14.25" customHeight="1">
      <c r="A546" s="619"/>
      <c r="B546" s="253"/>
      <c r="C546" s="258" t="s">
        <v>173</v>
      </c>
      <c r="D546" s="334" t="s">
        <v>174</v>
      </c>
      <c r="E546" s="270">
        <f t="shared" ref="E546:H546" si="171">ROUND($F$514*$E$514*0.0036*E380*E37*$G$514,4)</f>
        <v>6.4592999999999998</v>
      </c>
      <c r="F546" s="270">
        <f t="shared" si="171"/>
        <v>7.1669</v>
      </c>
      <c r="G546" s="270">
        <f t="shared" si="171"/>
        <v>6.6074999999999999</v>
      </c>
      <c r="H546" s="270">
        <f t="shared" si="171"/>
        <v>7.1262999999999996</v>
      </c>
      <c r="I546" s="619"/>
      <c r="J546" s="619"/>
      <c r="K546" s="619"/>
      <c r="L546" s="619"/>
      <c r="M546" s="619"/>
      <c r="N546" s="619"/>
      <c r="O546" s="619"/>
      <c r="P546" s="619"/>
      <c r="Q546" s="619"/>
      <c r="R546" s="619"/>
      <c r="S546" s="619"/>
      <c r="T546" s="619"/>
      <c r="U546" s="619"/>
      <c r="V546" s="619"/>
      <c r="W546" s="619"/>
      <c r="X546" s="619"/>
      <c r="Y546" s="619"/>
      <c r="Z546" s="619"/>
      <c r="AA546" s="619"/>
      <c r="AB546" s="619"/>
      <c r="AC546" s="619"/>
      <c r="AD546" s="619"/>
      <c r="AE546" s="619"/>
      <c r="AF546" s="619"/>
      <c r="AG546" s="619"/>
      <c r="AH546" s="619"/>
      <c r="AI546" s="619"/>
      <c r="AJ546" s="619"/>
      <c r="AK546" s="619"/>
      <c r="AL546" s="619"/>
      <c r="AM546" s="8"/>
    </row>
    <row r="547" spans="1:39" ht="14.25" customHeight="1">
      <c r="A547" s="619"/>
      <c r="B547" s="253"/>
      <c r="C547" s="258" t="s">
        <v>175</v>
      </c>
      <c r="D547" s="334" t="s">
        <v>176</v>
      </c>
      <c r="E547" s="270">
        <f t="shared" ref="E547:H547" si="172">ROUND($F$514*$E$514*0.0036*E381*E38*$G$514,4)</f>
        <v>17.466100000000001</v>
      </c>
      <c r="F547" s="270">
        <f t="shared" si="172"/>
        <v>19.9786</v>
      </c>
      <c r="G547" s="270">
        <f t="shared" si="172"/>
        <v>18.5183</v>
      </c>
      <c r="H547" s="270">
        <f t="shared" si="172"/>
        <v>19.544899999999998</v>
      </c>
      <c r="I547" s="619"/>
      <c r="J547" s="619"/>
      <c r="K547" s="619"/>
      <c r="L547" s="619"/>
      <c r="M547" s="619"/>
      <c r="N547" s="619"/>
      <c r="O547" s="619"/>
      <c r="P547" s="619"/>
      <c r="Q547" s="619"/>
      <c r="R547" s="619"/>
      <c r="S547" s="619"/>
      <c r="T547" s="619"/>
      <c r="U547" s="619"/>
      <c r="V547" s="619"/>
      <c r="W547" s="619"/>
      <c r="X547" s="619"/>
      <c r="Y547" s="619"/>
      <c r="Z547" s="619"/>
      <c r="AA547" s="619"/>
      <c r="AB547" s="619"/>
      <c r="AC547" s="619"/>
      <c r="AD547" s="619"/>
      <c r="AE547" s="619"/>
      <c r="AF547" s="619"/>
      <c r="AG547" s="619"/>
      <c r="AH547" s="619"/>
      <c r="AI547" s="619"/>
      <c r="AJ547" s="619"/>
      <c r="AK547" s="619"/>
      <c r="AL547" s="619"/>
      <c r="AM547" s="8"/>
    </row>
    <row r="548" spans="1:39" ht="14.25" customHeight="1">
      <c r="A548" s="619"/>
      <c r="B548" s="253"/>
      <c r="C548" s="258"/>
      <c r="D548" s="272" t="s">
        <v>177</v>
      </c>
      <c r="E548" s="270">
        <f t="shared" ref="E548:H548" si="173">ROUND($F$514*$E$514*0.0036*E382*E39*$G$514,4)</f>
        <v>0</v>
      </c>
      <c r="F548" s="270">
        <f t="shared" si="173"/>
        <v>0</v>
      </c>
      <c r="G548" s="270">
        <f t="shared" si="173"/>
        <v>0</v>
      </c>
      <c r="H548" s="270">
        <f t="shared" si="173"/>
        <v>0</v>
      </c>
      <c r="I548" s="619"/>
      <c r="J548" s="619"/>
      <c r="K548" s="619"/>
      <c r="L548" s="619"/>
      <c r="M548" s="619"/>
      <c r="N548" s="619"/>
      <c r="O548" s="619"/>
      <c r="P548" s="619"/>
      <c r="Q548" s="619"/>
      <c r="R548" s="619"/>
      <c r="S548" s="619"/>
      <c r="T548" s="619"/>
      <c r="U548" s="619"/>
      <c r="V548" s="619"/>
      <c r="W548" s="619"/>
      <c r="X548" s="619"/>
      <c r="Y548" s="619"/>
      <c r="Z548" s="619"/>
      <c r="AA548" s="619"/>
      <c r="AB548" s="619"/>
      <c r="AC548" s="619"/>
      <c r="AD548" s="619"/>
      <c r="AE548" s="619"/>
      <c r="AF548" s="619"/>
      <c r="AG548" s="619"/>
      <c r="AH548" s="619"/>
      <c r="AI548" s="619"/>
      <c r="AJ548" s="619"/>
      <c r="AK548" s="619"/>
      <c r="AL548" s="619"/>
      <c r="AM548" s="8"/>
    </row>
    <row r="549" spans="1:39" ht="14.25" customHeight="1">
      <c r="A549" s="619"/>
      <c r="B549" s="253"/>
      <c r="C549" s="258" t="s">
        <v>178</v>
      </c>
      <c r="D549" s="334" t="s">
        <v>166</v>
      </c>
      <c r="E549" s="270">
        <f t="shared" ref="E549:H549" si="174">ROUND($F$514*$E$514*0.0036*E383*E40*$G$514,4)</f>
        <v>0.96150000000000002</v>
      </c>
      <c r="F549" s="270">
        <f t="shared" si="174"/>
        <v>0.9667</v>
      </c>
      <c r="G549" s="270">
        <f t="shared" si="174"/>
        <v>1.0781000000000001</v>
      </c>
      <c r="H549" s="270">
        <f t="shared" si="174"/>
        <v>1.331</v>
      </c>
      <c r="I549" s="619"/>
      <c r="J549" s="619"/>
      <c r="K549" s="619"/>
      <c r="L549" s="619"/>
      <c r="M549" s="619"/>
      <c r="N549" s="619"/>
      <c r="O549" s="619"/>
      <c r="P549" s="619"/>
      <c r="Q549" s="619"/>
      <c r="R549" s="619"/>
      <c r="S549" s="619"/>
      <c r="T549" s="619"/>
      <c r="U549" s="619"/>
      <c r="V549" s="619"/>
      <c r="W549" s="619"/>
      <c r="X549" s="619"/>
      <c r="Y549" s="619"/>
      <c r="Z549" s="619"/>
      <c r="AA549" s="619"/>
      <c r="AB549" s="619"/>
      <c r="AC549" s="619"/>
      <c r="AD549" s="619"/>
      <c r="AE549" s="619"/>
      <c r="AF549" s="619"/>
      <c r="AG549" s="619"/>
      <c r="AH549" s="619"/>
      <c r="AI549" s="619"/>
      <c r="AJ549" s="619"/>
      <c r="AK549" s="619"/>
      <c r="AL549" s="619"/>
      <c r="AM549" s="8"/>
    </row>
    <row r="550" spans="1:39" ht="14.25" customHeight="1">
      <c r="A550" s="619"/>
      <c r="B550" s="253"/>
      <c r="C550" s="258" t="s">
        <v>179</v>
      </c>
      <c r="D550" s="334" t="s">
        <v>168</v>
      </c>
      <c r="E550" s="270">
        <f t="shared" ref="E550:H550" si="175">ROUND($F$514*$E$514*0.0036*E384*E41*$G$514,4)</f>
        <v>1.3862000000000001</v>
      </c>
      <c r="F550" s="270">
        <f t="shared" si="175"/>
        <v>4.7884000000000002</v>
      </c>
      <c r="G550" s="270">
        <f t="shared" si="175"/>
        <v>4.8201000000000001</v>
      </c>
      <c r="H550" s="270">
        <f t="shared" si="175"/>
        <v>5.4885000000000002</v>
      </c>
      <c r="I550" s="619"/>
      <c r="J550" s="619"/>
      <c r="K550" s="619"/>
      <c r="L550" s="619"/>
      <c r="M550" s="619"/>
      <c r="N550" s="619"/>
      <c r="O550" s="619"/>
      <c r="P550" s="619"/>
      <c r="Q550" s="619"/>
      <c r="R550" s="619"/>
      <c r="S550" s="619"/>
      <c r="T550" s="619"/>
      <c r="U550" s="619"/>
      <c r="V550" s="619"/>
      <c r="W550" s="619"/>
      <c r="X550" s="619"/>
      <c r="Y550" s="619"/>
      <c r="Z550" s="619"/>
      <c r="AA550" s="619"/>
      <c r="AB550" s="619"/>
      <c r="AC550" s="619"/>
      <c r="AD550" s="619"/>
      <c r="AE550" s="619"/>
      <c r="AF550" s="619"/>
      <c r="AG550" s="619"/>
      <c r="AH550" s="619"/>
      <c r="AI550" s="619"/>
      <c r="AJ550" s="619"/>
      <c r="AK550" s="619"/>
      <c r="AL550" s="619"/>
      <c r="AM550" s="8"/>
    </row>
    <row r="551" spans="1:39" ht="14.25" customHeight="1">
      <c r="A551" s="619"/>
      <c r="B551" s="253"/>
      <c r="C551" s="258" t="s">
        <v>180</v>
      </c>
      <c r="D551" s="334" t="s">
        <v>170</v>
      </c>
      <c r="E551" s="270">
        <f t="shared" ref="E551:H551" si="176">ROUND($F$514*$E$514*0.0036*E385*E42*$G$514,4)</f>
        <v>0</v>
      </c>
      <c r="F551" s="270">
        <f t="shared" si="176"/>
        <v>0</v>
      </c>
      <c r="G551" s="270">
        <f t="shared" si="176"/>
        <v>0</v>
      </c>
      <c r="H551" s="270">
        <f t="shared" si="176"/>
        <v>0</v>
      </c>
      <c r="I551" s="619"/>
      <c r="J551" s="619"/>
      <c r="K551" s="619"/>
      <c r="L551" s="619"/>
      <c r="M551" s="619"/>
      <c r="N551" s="619"/>
      <c r="O551" s="619"/>
      <c r="P551" s="619"/>
      <c r="Q551" s="619"/>
      <c r="R551" s="619"/>
      <c r="S551" s="619"/>
      <c r="T551" s="619"/>
      <c r="U551" s="619"/>
      <c r="V551" s="619"/>
      <c r="W551" s="619"/>
      <c r="X551" s="619"/>
      <c r="Y551" s="619"/>
      <c r="Z551" s="619"/>
      <c r="AA551" s="619"/>
      <c r="AB551" s="619"/>
      <c r="AC551" s="619"/>
      <c r="AD551" s="619"/>
      <c r="AE551" s="619"/>
      <c r="AF551" s="619"/>
      <c r="AG551" s="619"/>
      <c r="AH551" s="619"/>
      <c r="AI551" s="619"/>
      <c r="AJ551" s="619"/>
      <c r="AK551" s="619"/>
      <c r="AL551" s="619"/>
      <c r="AM551" s="8"/>
    </row>
    <row r="552" spans="1:39" ht="14.25" customHeight="1">
      <c r="A552" s="619"/>
      <c r="B552" s="253"/>
      <c r="C552" s="258" t="s">
        <v>181</v>
      </c>
      <c r="D552" s="334" t="s">
        <v>172</v>
      </c>
      <c r="E552" s="270">
        <f t="shared" ref="E552:H552" si="177">ROUND($F$514*$E$514*0.0036*E386*E43*$G$514,4)</f>
        <v>9.6891999999999996</v>
      </c>
      <c r="F552" s="270">
        <f t="shared" si="177"/>
        <v>11.860099999999999</v>
      </c>
      <c r="G552" s="270">
        <f t="shared" si="177"/>
        <v>10.1968</v>
      </c>
      <c r="H552" s="270">
        <f t="shared" si="177"/>
        <v>10.9937</v>
      </c>
      <c r="I552" s="619"/>
      <c r="J552" s="619"/>
      <c r="K552" s="619"/>
      <c r="L552" s="619"/>
      <c r="M552" s="619"/>
      <c r="N552" s="619"/>
      <c r="O552" s="619"/>
      <c r="P552" s="619"/>
      <c r="Q552" s="619"/>
      <c r="R552" s="619"/>
      <c r="S552" s="619"/>
      <c r="T552" s="619"/>
      <c r="U552" s="619"/>
      <c r="V552" s="619"/>
      <c r="W552" s="619"/>
      <c r="X552" s="619"/>
      <c r="Y552" s="619"/>
      <c r="Z552" s="619"/>
      <c r="AA552" s="619"/>
      <c r="AB552" s="619"/>
      <c r="AC552" s="619"/>
      <c r="AD552" s="619"/>
      <c r="AE552" s="619"/>
      <c r="AF552" s="619"/>
      <c r="AG552" s="619"/>
      <c r="AH552" s="619"/>
      <c r="AI552" s="619"/>
      <c r="AJ552" s="619"/>
      <c r="AK552" s="619"/>
      <c r="AL552" s="619"/>
      <c r="AM552" s="8"/>
    </row>
    <row r="553" spans="1:39" ht="14.25" customHeight="1">
      <c r="A553" s="619"/>
      <c r="B553" s="253"/>
      <c r="C553" s="258" t="s">
        <v>182</v>
      </c>
      <c r="D553" s="334" t="s">
        <v>174</v>
      </c>
      <c r="E553" s="270">
        <f t="shared" ref="E553:H553" si="178">ROUND($F$514*$E$514*0.0036*E387*E44*$G$514,4)</f>
        <v>4.3959999999999999</v>
      </c>
      <c r="F553" s="270">
        <f t="shared" si="178"/>
        <v>6.8475000000000001</v>
      </c>
      <c r="G553" s="270">
        <f t="shared" si="178"/>
        <v>8.7922999999999991</v>
      </c>
      <c r="H553" s="270">
        <f t="shared" si="178"/>
        <v>9.4085000000000001</v>
      </c>
      <c r="I553" s="619"/>
      <c r="J553" s="619"/>
      <c r="K553" s="619"/>
      <c r="L553" s="619"/>
      <c r="M553" s="619"/>
      <c r="N553" s="619"/>
      <c r="O553" s="619"/>
      <c r="P553" s="619"/>
      <c r="Q553" s="619"/>
      <c r="R553" s="619"/>
      <c r="S553" s="619"/>
      <c r="T553" s="619"/>
      <c r="U553" s="619"/>
      <c r="V553" s="619"/>
      <c r="W553" s="619"/>
      <c r="X553" s="619"/>
      <c r="Y553" s="619"/>
      <c r="Z553" s="619"/>
      <c r="AA553" s="619"/>
      <c r="AB553" s="619"/>
      <c r="AC553" s="619"/>
      <c r="AD553" s="619"/>
      <c r="AE553" s="619"/>
      <c r="AF553" s="619"/>
      <c r="AG553" s="619"/>
      <c r="AH553" s="619"/>
      <c r="AI553" s="619"/>
      <c r="AJ553" s="619"/>
      <c r="AK553" s="619"/>
      <c r="AL553" s="619"/>
      <c r="AM553" s="8"/>
    </row>
    <row r="554" spans="1:39" ht="14.25" customHeight="1">
      <c r="A554" s="619"/>
      <c r="B554" s="253"/>
      <c r="C554" s="258" t="s">
        <v>183</v>
      </c>
      <c r="D554" s="334" t="s">
        <v>176</v>
      </c>
      <c r="E554" s="270">
        <f t="shared" ref="E554:H554" si="179">ROUND($F$514*$E$514*0.0036*E388*E45*$G$514,4)</f>
        <v>29.6967</v>
      </c>
      <c r="F554" s="270">
        <f t="shared" si="179"/>
        <v>31.340900000000001</v>
      </c>
      <c r="G554" s="270">
        <f t="shared" si="179"/>
        <v>32.949800000000003</v>
      </c>
      <c r="H554" s="270">
        <f t="shared" si="179"/>
        <v>32.796599999999998</v>
      </c>
      <c r="I554" s="619"/>
      <c r="J554" s="619"/>
      <c r="K554" s="619"/>
      <c r="L554" s="619"/>
      <c r="M554" s="619"/>
      <c r="N554" s="619"/>
      <c r="O554" s="619"/>
      <c r="P554" s="619"/>
      <c r="Q554" s="619"/>
      <c r="R554" s="619"/>
      <c r="S554" s="619"/>
      <c r="T554" s="619"/>
      <c r="U554" s="619"/>
      <c r="V554" s="619"/>
      <c r="W554" s="619"/>
      <c r="X554" s="619"/>
      <c r="Y554" s="619"/>
      <c r="Z554" s="619"/>
      <c r="AA554" s="619"/>
      <c r="AB554" s="619"/>
      <c r="AC554" s="619"/>
      <c r="AD554" s="619"/>
      <c r="AE554" s="619"/>
      <c r="AF554" s="619"/>
      <c r="AG554" s="619"/>
      <c r="AH554" s="619"/>
      <c r="AI554" s="619"/>
      <c r="AJ554" s="619"/>
      <c r="AK554" s="619"/>
      <c r="AL554" s="619"/>
      <c r="AM554" s="8"/>
    </row>
    <row r="555" spans="1:39" ht="14.25" customHeight="1">
      <c r="A555" s="619"/>
      <c r="B555" s="253"/>
      <c r="C555" s="258"/>
      <c r="D555" s="281" t="s">
        <v>39</v>
      </c>
      <c r="E555" s="25">
        <f t="shared" ref="E555:H555" si="180">E515+E518+E519+E526+E527+E538</f>
        <v>90.378899999999987</v>
      </c>
      <c r="F555" s="25">
        <f t="shared" si="180"/>
        <v>100.31739999999999</v>
      </c>
      <c r="G555" s="25">
        <f t="shared" si="180"/>
        <v>97.235100000000003</v>
      </c>
      <c r="H555" s="49">
        <f t="shared" si="180"/>
        <v>100.35590000000001</v>
      </c>
      <c r="I555" s="619"/>
      <c r="J555" s="619"/>
      <c r="K555" s="619"/>
      <c r="L555" s="619"/>
      <c r="M555" s="619"/>
      <c r="N555" s="619"/>
      <c r="O555" s="619"/>
      <c r="P555" s="619"/>
      <c r="Q555" s="619"/>
      <c r="R555" s="619"/>
      <c r="S555" s="619"/>
      <c r="T555" s="619"/>
      <c r="U555" s="619"/>
      <c r="V555" s="619"/>
      <c r="W555" s="619"/>
      <c r="X555" s="619"/>
      <c r="Y555" s="619"/>
      <c r="Z555" s="619"/>
      <c r="AA555" s="619"/>
      <c r="AB555" s="619"/>
      <c r="AC555" s="619"/>
      <c r="AD555" s="619"/>
      <c r="AE555" s="619"/>
      <c r="AF555" s="619"/>
      <c r="AG555" s="619"/>
      <c r="AH555" s="619"/>
      <c r="AI555" s="619"/>
      <c r="AJ555" s="619"/>
      <c r="AK555" s="619"/>
      <c r="AL555" s="619"/>
      <c r="AM555" s="8"/>
    </row>
    <row r="556" spans="1:39" ht="14.25" customHeight="1">
      <c r="A556" s="619"/>
      <c r="B556" s="253"/>
      <c r="C556" s="258"/>
      <c r="D556" s="259"/>
      <c r="E556" s="259"/>
      <c r="F556" s="259"/>
      <c r="G556" s="259"/>
      <c r="H556" s="259"/>
      <c r="I556" s="619"/>
      <c r="J556" s="619"/>
      <c r="K556" s="619"/>
      <c r="L556" s="619"/>
      <c r="M556" s="619"/>
      <c r="N556" s="619"/>
      <c r="O556" s="619"/>
      <c r="P556" s="619"/>
      <c r="Q556" s="619"/>
      <c r="R556" s="619"/>
      <c r="S556" s="619"/>
      <c r="T556" s="619"/>
      <c r="U556" s="619"/>
      <c r="V556" s="619"/>
      <c r="W556" s="619"/>
      <c r="X556" s="619"/>
      <c r="Y556" s="619"/>
      <c r="Z556" s="619"/>
      <c r="AA556" s="619"/>
      <c r="AB556" s="619"/>
      <c r="AC556" s="619"/>
      <c r="AD556" s="619"/>
      <c r="AE556" s="619"/>
      <c r="AF556" s="619"/>
      <c r="AG556" s="619"/>
      <c r="AH556" s="619"/>
      <c r="AI556" s="619"/>
      <c r="AJ556" s="619"/>
      <c r="AK556" s="619"/>
      <c r="AL556" s="619"/>
      <c r="AM556" s="8"/>
    </row>
    <row r="557" spans="1:39" ht="14.25" customHeight="1">
      <c r="A557" s="619"/>
      <c r="B557" s="253"/>
      <c r="C557" s="258"/>
      <c r="D557" s="281" t="s">
        <v>314</v>
      </c>
      <c r="E557" s="281"/>
      <c r="F557" s="281"/>
      <c r="G557" s="281"/>
      <c r="H557" s="281"/>
      <c r="I557" s="619"/>
      <c r="J557" s="619"/>
      <c r="K557" s="619"/>
      <c r="L557" s="619"/>
      <c r="M557" s="619"/>
      <c r="N557" s="619"/>
      <c r="O557" s="619"/>
      <c r="P557" s="619"/>
      <c r="Q557" s="619"/>
      <c r="R557" s="619"/>
      <c r="S557" s="619"/>
      <c r="T557" s="619"/>
      <c r="U557" s="619"/>
      <c r="V557" s="619"/>
      <c r="W557" s="619"/>
      <c r="X557" s="619"/>
      <c r="Y557" s="619"/>
      <c r="Z557" s="619"/>
      <c r="AA557" s="619"/>
      <c r="AB557" s="619"/>
      <c r="AC557" s="619"/>
      <c r="AD557" s="619"/>
      <c r="AE557" s="619"/>
      <c r="AF557" s="619"/>
      <c r="AG557" s="619"/>
      <c r="AH557" s="619"/>
      <c r="AI557" s="619"/>
      <c r="AJ557" s="619"/>
      <c r="AK557" s="619"/>
      <c r="AL557" s="619"/>
      <c r="AM557" s="8"/>
    </row>
    <row r="558" spans="1:39" ht="14.25" customHeight="1">
      <c r="A558" s="619"/>
      <c r="B558" s="253"/>
      <c r="C558" s="258"/>
      <c r="D558" s="262" t="s">
        <v>303</v>
      </c>
      <c r="E558" s="325">
        <f t="shared" ref="E558:H558" si="181">IFERROR(ROUND($F$514*$E$514*0.0036*E391*E49*$G$514,4),0)</f>
        <v>0</v>
      </c>
      <c r="F558" s="325">
        <f t="shared" si="181"/>
        <v>0</v>
      </c>
      <c r="G558" s="325">
        <f t="shared" si="181"/>
        <v>0</v>
      </c>
      <c r="H558" s="325">
        <f t="shared" si="181"/>
        <v>0</v>
      </c>
      <c r="I558" s="619"/>
      <c r="J558" s="619"/>
      <c r="K558" s="619"/>
      <c r="L558" s="619"/>
      <c r="M558" s="619"/>
      <c r="N558" s="619"/>
      <c r="O558" s="619"/>
      <c r="P558" s="619"/>
      <c r="Q558" s="619"/>
      <c r="R558" s="619"/>
      <c r="S558" s="619"/>
      <c r="T558" s="619"/>
      <c r="U558" s="619"/>
      <c r="V558" s="619"/>
      <c r="W558" s="619"/>
      <c r="X558" s="619"/>
      <c r="Y558" s="619"/>
      <c r="Z558" s="619"/>
      <c r="AA558" s="619"/>
      <c r="AB558" s="619"/>
      <c r="AC558" s="619"/>
      <c r="AD558" s="619"/>
      <c r="AE558" s="619"/>
      <c r="AF558" s="619"/>
      <c r="AG558" s="619"/>
      <c r="AH558" s="619"/>
      <c r="AI558" s="619"/>
      <c r="AJ558" s="619"/>
      <c r="AK558" s="619"/>
      <c r="AL558" s="619"/>
      <c r="AM558" s="8"/>
    </row>
    <row r="559" spans="1:39" ht="14.25" customHeight="1">
      <c r="A559" s="619"/>
      <c r="B559" s="253"/>
      <c r="C559" s="258"/>
      <c r="D559" s="262" t="s">
        <v>304</v>
      </c>
      <c r="E559" s="325">
        <f t="shared" ref="E559:H559" si="182">IFERROR(ROUND($F$514*$E$514*0.0036*E392*E50*$G$514,4),0)</f>
        <v>2.3300000000000001E-2</v>
      </c>
      <c r="F559" s="325">
        <f t="shared" si="182"/>
        <v>1.9699999999999999E-2</v>
      </c>
      <c r="G559" s="325">
        <f t="shared" si="182"/>
        <v>1.95E-2</v>
      </c>
      <c r="H559" s="325">
        <f t="shared" si="182"/>
        <v>7.0000000000000001E-3</v>
      </c>
      <c r="I559" s="619"/>
      <c r="J559" s="619"/>
      <c r="K559" s="619"/>
      <c r="L559" s="619"/>
      <c r="M559" s="619"/>
      <c r="N559" s="619"/>
      <c r="O559" s="619"/>
      <c r="P559" s="619"/>
      <c r="Q559" s="619"/>
      <c r="R559" s="619"/>
      <c r="S559" s="619"/>
      <c r="T559" s="619"/>
      <c r="U559" s="619"/>
      <c r="V559" s="619"/>
      <c r="W559" s="619"/>
      <c r="X559" s="619"/>
      <c r="Y559" s="619"/>
      <c r="Z559" s="619"/>
      <c r="AA559" s="619"/>
      <c r="AB559" s="619"/>
      <c r="AC559" s="619"/>
      <c r="AD559" s="619"/>
      <c r="AE559" s="619"/>
      <c r="AF559" s="619"/>
      <c r="AG559" s="619"/>
      <c r="AH559" s="619"/>
      <c r="AI559" s="619"/>
      <c r="AJ559" s="619"/>
      <c r="AK559" s="619"/>
      <c r="AL559" s="619"/>
      <c r="AM559" s="8"/>
    </row>
    <row r="560" spans="1:39" ht="14.25" customHeight="1">
      <c r="A560" s="619"/>
      <c r="B560" s="253"/>
      <c r="C560" s="258" t="s">
        <v>187</v>
      </c>
      <c r="D560" s="285" t="s">
        <v>188</v>
      </c>
      <c r="E560" s="336">
        <f t="shared" ref="E560:H560" si="183">IFERROR(ROUND($F$514*$E$514*0.0036*E393*E51*$G$514,4),0)</f>
        <v>2.3300000000000001E-2</v>
      </c>
      <c r="F560" s="336">
        <f t="shared" si="183"/>
        <v>1.9699999999999999E-2</v>
      </c>
      <c r="G560" s="336">
        <f t="shared" si="183"/>
        <v>1.95E-2</v>
      </c>
      <c r="H560" s="336">
        <f t="shared" si="183"/>
        <v>7.0000000000000001E-3</v>
      </c>
      <c r="I560" s="619"/>
      <c r="J560" s="619"/>
      <c r="K560" s="619"/>
      <c r="L560" s="619"/>
      <c r="M560" s="619"/>
      <c r="N560" s="619"/>
      <c r="O560" s="619"/>
      <c r="P560" s="619"/>
      <c r="Q560" s="619"/>
      <c r="R560" s="619"/>
      <c r="S560" s="619"/>
      <c r="T560" s="619"/>
      <c r="U560" s="619"/>
      <c r="V560" s="619"/>
      <c r="W560" s="619"/>
      <c r="X560" s="619"/>
      <c r="Y560" s="619"/>
      <c r="Z560" s="619"/>
      <c r="AA560" s="619"/>
      <c r="AB560" s="619"/>
      <c r="AC560" s="619"/>
      <c r="AD560" s="619"/>
      <c r="AE560" s="619"/>
      <c r="AF560" s="619"/>
      <c r="AG560" s="619"/>
      <c r="AH560" s="619"/>
      <c r="AI560" s="619"/>
      <c r="AJ560" s="619"/>
      <c r="AK560" s="619"/>
      <c r="AL560" s="619"/>
      <c r="AM560" s="8"/>
    </row>
    <row r="561" spans="1:39" ht="14.25" customHeight="1">
      <c r="A561" s="619"/>
      <c r="B561" s="253"/>
      <c r="C561" s="258"/>
      <c r="D561" s="262" t="s">
        <v>305</v>
      </c>
      <c r="E561" s="325">
        <f t="shared" ref="E561:H561" si="184">IFERROR(ROUND($F$514*$E$514*0.0036*E394*E52*$G$514,4),0)</f>
        <v>5.8500000000000003E-2</v>
      </c>
      <c r="F561" s="325">
        <f t="shared" si="184"/>
        <v>7.6399999999999996E-2</v>
      </c>
      <c r="G561" s="325">
        <f t="shared" si="184"/>
        <v>7.2700000000000001E-2</v>
      </c>
      <c r="H561" s="325">
        <f t="shared" si="184"/>
        <v>6.8000000000000005E-2</v>
      </c>
      <c r="I561" s="619"/>
      <c r="J561" s="619"/>
      <c r="K561" s="619"/>
      <c r="L561" s="619"/>
      <c r="M561" s="619"/>
      <c r="N561" s="619"/>
      <c r="O561" s="619"/>
      <c r="P561" s="619"/>
      <c r="Q561" s="619"/>
      <c r="R561" s="619"/>
      <c r="S561" s="619"/>
      <c r="T561" s="619"/>
      <c r="U561" s="619"/>
      <c r="V561" s="619"/>
      <c r="W561" s="619"/>
      <c r="X561" s="619"/>
      <c r="Y561" s="619"/>
      <c r="Z561" s="619"/>
      <c r="AA561" s="619"/>
      <c r="AB561" s="619"/>
      <c r="AC561" s="619"/>
      <c r="AD561" s="619"/>
      <c r="AE561" s="619"/>
      <c r="AF561" s="619"/>
      <c r="AG561" s="619"/>
      <c r="AH561" s="619"/>
      <c r="AI561" s="619"/>
      <c r="AJ561" s="619"/>
      <c r="AK561" s="619"/>
      <c r="AL561" s="619"/>
      <c r="AM561" s="8"/>
    </row>
    <row r="562" spans="1:39" ht="14.25" customHeight="1">
      <c r="A562" s="619"/>
      <c r="B562" s="253"/>
      <c r="C562" s="258"/>
      <c r="D562" s="266" t="s">
        <v>189</v>
      </c>
      <c r="E562" s="267">
        <f t="shared" ref="E562:H562" si="185">IFERROR(ROUND($F$514*$E$514*0.0036*E395*E53*$G$514,4),0)</f>
        <v>5.8500000000000003E-2</v>
      </c>
      <c r="F562" s="267">
        <f t="shared" si="185"/>
        <v>7.6399999999999996E-2</v>
      </c>
      <c r="G562" s="267">
        <f t="shared" si="185"/>
        <v>7.2700000000000001E-2</v>
      </c>
      <c r="H562" s="267">
        <f t="shared" si="185"/>
        <v>6.8000000000000005E-2</v>
      </c>
      <c r="I562" s="619"/>
      <c r="J562" s="619"/>
      <c r="K562" s="619"/>
      <c r="L562" s="619"/>
      <c r="M562" s="619"/>
      <c r="N562" s="619"/>
      <c r="O562" s="619"/>
      <c r="P562" s="619"/>
      <c r="Q562" s="619"/>
      <c r="R562" s="619"/>
      <c r="S562" s="619"/>
      <c r="T562" s="619"/>
      <c r="U562" s="619"/>
      <c r="V562" s="619"/>
      <c r="W562" s="619"/>
      <c r="X562" s="619"/>
      <c r="Y562" s="619"/>
      <c r="Z562" s="619"/>
      <c r="AA562" s="619"/>
      <c r="AB562" s="619"/>
      <c r="AC562" s="619"/>
      <c r="AD562" s="619"/>
      <c r="AE562" s="619"/>
      <c r="AF562" s="619"/>
      <c r="AG562" s="619"/>
      <c r="AH562" s="619"/>
      <c r="AI562" s="619"/>
      <c r="AJ562" s="619"/>
      <c r="AK562" s="619"/>
      <c r="AL562" s="619"/>
      <c r="AM562" s="8"/>
    </row>
    <row r="563" spans="1:39" ht="14.25" customHeight="1">
      <c r="A563" s="619"/>
      <c r="B563" s="253"/>
      <c r="C563" s="258"/>
      <c r="D563" s="285" t="s">
        <v>190</v>
      </c>
      <c r="E563" s="336">
        <f t="shared" ref="E563:H563" si="186">IFERROR(ROUND($F$514*$E$514*0.0036*E396*E54*$G$514,4),0)</f>
        <v>0</v>
      </c>
      <c r="F563" s="336">
        <f t="shared" si="186"/>
        <v>0</v>
      </c>
      <c r="G563" s="336">
        <f t="shared" si="186"/>
        <v>0</v>
      </c>
      <c r="H563" s="336">
        <f t="shared" si="186"/>
        <v>0</v>
      </c>
      <c r="I563" s="619"/>
      <c r="J563" s="619"/>
      <c r="K563" s="619"/>
      <c r="L563" s="619"/>
      <c r="M563" s="619"/>
      <c r="N563" s="619"/>
      <c r="O563" s="619"/>
      <c r="P563" s="619"/>
      <c r="Q563" s="619"/>
      <c r="R563" s="619"/>
      <c r="S563" s="619"/>
      <c r="T563" s="619"/>
      <c r="U563" s="619"/>
      <c r="V563" s="619"/>
      <c r="W563" s="619"/>
      <c r="X563" s="619"/>
      <c r="Y563" s="619"/>
      <c r="Z563" s="619"/>
      <c r="AA563" s="619"/>
      <c r="AB563" s="619"/>
      <c r="AC563" s="619"/>
      <c r="AD563" s="619"/>
      <c r="AE563" s="619"/>
      <c r="AF563" s="619"/>
      <c r="AG563" s="619"/>
      <c r="AH563" s="619"/>
      <c r="AI563" s="619"/>
      <c r="AJ563" s="619"/>
      <c r="AK563" s="619"/>
      <c r="AL563" s="619"/>
      <c r="AM563" s="8"/>
    </row>
    <row r="564" spans="1:39" ht="14.25" customHeight="1">
      <c r="A564" s="619"/>
      <c r="B564" s="253"/>
      <c r="C564" s="258" t="s">
        <v>191</v>
      </c>
      <c r="D564" s="259" t="s">
        <v>192</v>
      </c>
      <c r="E564" s="270">
        <f t="shared" ref="E564:H564" si="187">IFERROR(ROUND($F$514*$E$514*0.0036*E397*E55*$G$514,4),0)</f>
        <v>1.7000000000000001E-2</v>
      </c>
      <c r="F564" s="270">
        <f t="shared" si="187"/>
        <v>2.01E-2</v>
      </c>
      <c r="G564" s="270">
        <f t="shared" si="187"/>
        <v>1.7399999999999999E-2</v>
      </c>
      <c r="H564" s="270">
        <f t="shared" si="187"/>
        <v>1.2800000000000001E-2</v>
      </c>
      <c r="I564" s="619"/>
      <c r="J564" s="619"/>
      <c r="K564" s="619"/>
      <c r="L564" s="619"/>
      <c r="M564" s="619"/>
      <c r="N564" s="619"/>
      <c r="O564" s="619"/>
      <c r="P564" s="619"/>
      <c r="Q564" s="619"/>
      <c r="R564" s="619"/>
      <c r="S564" s="619"/>
      <c r="T564" s="619"/>
      <c r="U564" s="619"/>
      <c r="V564" s="619"/>
      <c r="W564" s="619"/>
      <c r="X564" s="619"/>
      <c r="Y564" s="619"/>
      <c r="Z564" s="619"/>
      <c r="AA564" s="619"/>
      <c r="AB564" s="619"/>
      <c r="AC564" s="619"/>
      <c r="AD564" s="619"/>
      <c r="AE564" s="619"/>
      <c r="AF564" s="619"/>
      <c r="AG564" s="619"/>
      <c r="AH564" s="619"/>
      <c r="AI564" s="619"/>
      <c r="AJ564" s="619"/>
      <c r="AK564" s="619"/>
      <c r="AL564" s="619"/>
      <c r="AM564" s="8"/>
    </row>
    <row r="565" spans="1:39" ht="14.25" customHeight="1">
      <c r="A565" s="619"/>
      <c r="B565" s="253"/>
      <c r="C565" s="258" t="s">
        <v>193</v>
      </c>
      <c r="D565" s="259" t="s">
        <v>194</v>
      </c>
      <c r="E565" s="270">
        <f t="shared" ref="E565:H565" si="188">IFERROR(ROUND($F$514*$E$514*0.0036*E398*E56*$G$514,4),0)</f>
        <v>3.6499999999999998E-2</v>
      </c>
      <c r="F565" s="270">
        <f t="shared" si="188"/>
        <v>4.1000000000000002E-2</v>
      </c>
      <c r="G565" s="270">
        <f t="shared" si="188"/>
        <v>5.4899999999999997E-2</v>
      </c>
      <c r="H565" s="270">
        <f t="shared" si="188"/>
        <v>5.4300000000000001E-2</v>
      </c>
      <c r="I565" s="619"/>
      <c r="J565" s="619"/>
      <c r="K565" s="619"/>
      <c r="L565" s="619"/>
      <c r="M565" s="619"/>
      <c r="N565" s="619"/>
      <c r="O565" s="619"/>
      <c r="P565" s="619"/>
      <c r="Q565" s="619"/>
      <c r="R565" s="619"/>
      <c r="S565" s="619"/>
      <c r="T565" s="619"/>
      <c r="U565" s="619"/>
      <c r="V565" s="619"/>
      <c r="W565" s="619"/>
      <c r="X565" s="619"/>
      <c r="Y565" s="619"/>
      <c r="Z565" s="619"/>
      <c r="AA565" s="619"/>
      <c r="AB565" s="619"/>
      <c r="AC565" s="619"/>
      <c r="AD565" s="619"/>
      <c r="AE565" s="619"/>
      <c r="AF565" s="619"/>
      <c r="AG565" s="619"/>
      <c r="AH565" s="619"/>
      <c r="AI565" s="619"/>
      <c r="AJ565" s="619"/>
      <c r="AK565" s="619"/>
      <c r="AL565" s="619"/>
      <c r="AM565" s="8"/>
    </row>
    <row r="566" spans="1:39" ht="14.25" customHeight="1">
      <c r="A566" s="619"/>
      <c r="B566" s="253"/>
      <c r="C566" s="258"/>
      <c r="D566" s="285" t="s">
        <v>195</v>
      </c>
      <c r="E566" s="336">
        <f t="shared" ref="E566:H566" si="189">IFERROR(ROUND($F$514*$E$514*0.0036*E399*E57*$G$514,4),0)</f>
        <v>0</v>
      </c>
      <c r="F566" s="336">
        <f t="shared" si="189"/>
        <v>0</v>
      </c>
      <c r="G566" s="336">
        <f t="shared" si="189"/>
        <v>0</v>
      </c>
      <c r="H566" s="336">
        <f t="shared" si="189"/>
        <v>0</v>
      </c>
      <c r="I566" s="619"/>
      <c r="J566" s="619"/>
      <c r="K566" s="619"/>
      <c r="L566" s="619"/>
      <c r="M566" s="619"/>
      <c r="N566" s="619"/>
      <c r="O566" s="619"/>
      <c r="P566" s="619"/>
      <c r="Q566" s="619"/>
      <c r="R566" s="619"/>
      <c r="S566" s="619"/>
      <c r="T566" s="619"/>
      <c r="U566" s="619"/>
      <c r="V566" s="619"/>
      <c r="W566" s="619"/>
      <c r="X566" s="619"/>
      <c r="Y566" s="619"/>
      <c r="Z566" s="619"/>
      <c r="AA566" s="619"/>
      <c r="AB566" s="619"/>
      <c r="AC566" s="619"/>
      <c r="AD566" s="619"/>
      <c r="AE566" s="619"/>
      <c r="AF566" s="619"/>
      <c r="AG566" s="619"/>
      <c r="AH566" s="619"/>
      <c r="AI566" s="619"/>
      <c r="AJ566" s="619"/>
      <c r="AK566" s="619"/>
      <c r="AL566" s="619"/>
      <c r="AM566" s="8"/>
    </row>
    <row r="567" spans="1:39" ht="14.25" customHeight="1">
      <c r="A567" s="619"/>
      <c r="B567" s="253"/>
      <c r="C567" s="258" t="s">
        <v>196</v>
      </c>
      <c r="D567" s="259" t="s">
        <v>192</v>
      </c>
      <c r="E567" s="277">
        <f t="shared" ref="E567:H567" si="190">IFERROR(ROUND($F$514*$E$514*0.0036*E400*E58*$G$514,4),0)</f>
        <v>4.8999999999999998E-3</v>
      </c>
      <c r="F567" s="277">
        <f t="shared" si="190"/>
        <v>1.5299999999999999E-2</v>
      </c>
      <c r="G567" s="277">
        <f t="shared" si="190"/>
        <v>4.0000000000000002E-4</v>
      </c>
      <c r="H567" s="277">
        <f t="shared" si="190"/>
        <v>8.9999999999999998E-4</v>
      </c>
      <c r="I567" s="619"/>
      <c r="J567" s="619"/>
      <c r="K567" s="619"/>
      <c r="L567" s="619"/>
      <c r="M567" s="619"/>
      <c r="N567" s="619"/>
      <c r="O567" s="619"/>
      <c r="P567" s="619"/>
      <c r="Q567" s="619"/>
      <c r="R567" s="619"/>
      <c r="S567" s="619"/>
      <c r="T567" s="619"/>
      <c r="U567" s="619"/>
      <c r="V567" s="619"/>
      <c r="W567" s="619"/>
      <c r="X567" s="619"/>
      <c r="Y567" s="619"/>
      <c r="Z567" s="619"/>
      <c r="AA567" s="619"/>
      <c r="AB567" s="619"/>
      <c r="AC567" s="619"/>
      <c r="AD567" s="619"/>
      <c r="AE567" s="619"/>
      <c r="AF567" s="619"/>
      <c r="AG567" s="619"/>
      <c r="AH567" s="619"/>
      <c r="AI567" s="619"/>
      <c r="AJ567" s="619"/>
      <c r="AK567" s="619"/>
      <c r="AL567" s="619"/>
      <c r="AM567" s="8"/>
    </row>
    <row r="568" spans="1:39" ht="14.25" customHeight="1">
      <c r="A568" s="619"/>
      <c r="B568" s="253"/>
      <c r="C568" s="258" t="s">
        <v>197</v>
      </c>
      <c r="D568" s="259" t="s">
        <v>194</v>
      </c>
      <c r="E568" s="277">
        <f t="shared" ref="E568:H568" si="191">IFERROR(ROUND($F$514*$E$514*0.0036*E401*E59*$G$514,4),0)</f>
        <v>0</v>
      </c>
      <c r="F568" s="277">
        <f t="shared" si="191"/>
        <v>0</v>
      </c>
      <c r="G568" s="277">
        <f t="shared" si="191"/>
        <v>0</v>
      </c>
      <c r="H568" s="277">
        <f t="shared" si="191"/>
        <v>0</v>
      </c>
      <c r="I568" s="619"/>
      <c r="J568" s="619"/>
      <c r="K568" s="619"/>
      <c r="L568" s="619"/>
      <c r="M568" s="619"/>
      <c r="N568" s="619"/>
      <c r="O568" s="619"/>
      <c r="P568" s="619"/>
      <c r="Q568" s="619"/>
      <c r="R568" s="619"/>
      <c r="S568" s="619"/>
      <c r="T568" s="619"/>
      <c r="U568" s="619"/>
      <c r="V568" s="619"/>
      <c r="W568" s="619"/>
      <c r="X568" s="619"/>
      <c r="Y568" s="619"/>
      <c r="Z568" s="619"/>
      <c r="AA568" s="619"/>
      <c r="AB568" s="619"/>
      <c r="AC568" s="619"/>
      <c r="AD568" s="619"/>
      <c r="AE568" s="619"/>
      <c r="AF568" s="619"/>
      <c r="AG568" s="619"/>
      <c r="AH568" s="619"/>
      <c r="AI568" s="619"/>
      <c r="AJ568" s="619"/>
      <c r="AK568" s="619"/>
      <c r="AL568" s="619"/>
      <c r="AM568" s="8"/>
    </row>
    <row r="569" spans="1:39" ht="14.25" customHeight="1">
      <c r="A569" s="619"/>
      <c r="B569" s="253"/>
      <c r="C569" s="258"/>
      <c r="D569" s="262" t="s">
        <v>306</v>
      </c>
      <c r="E569" s="325">
        <f t="shared" ref="E569:H569" si="192">IFERROR(ROUND($F$514*$E$514*0.0036*E402*E60*$G$514,4),0)</f>
        <v>1.18E-2</v>
      </c>
      <c r="F569" s="325">
        <f t="shared" si="192"/>
        <v>1.6E-2</v>
      </c>
      <c r="G569" s="325">
        <f t="shared" si="192"/>
        <v>1.41E-2</v>
      </c>
      <c r="H569" s="325">
        <f t="shared" si="192"/>
        <v>1.2200000000000001E-2</v>
      </c>
      <c r="I569" s="619"/>
      <c r="J569" s="619"/>
      <c r="K569" s="619"/>
      <c r="L569" s="619"/>
      <c r="M569" s="619"/>
      <c r="N569" s="619"/>
      <c r="O569" s="619"/>
      <c r="P569" s="619"/>
      <c r="Q569" s="619"/>
      <c r="R569" s="619"/>
      <c r="S569" s="619"/>
      <c r="T569" s="619"/>
      <c r="U569" s="619"/>
      <c r="V569" s="619"/>
      <c r="W569" s="619"/>
      <c r="X569" s="619"/>
      <c r="Y569" s="619"/>
      <c r="Z569" s="619"/>
      <c r="AA569" s="619"/>
      <c r="AB569" s="619"/>
      <c r="AC569" s="619"/>
      <c r="AD569" s="619"/>
      <c r="AE569" s="619"/>
      <c r="AF569" s="619"/>
      <c r="AG569" s="619"/>
      <c r="AH569" s="619"/>
      <c r="AI569" s="619"/>
      <c r="AJ569" s="619"/>
      <c r="AK569" s="619"/>
      <c r="AL569" s="619"/>
      <c r="AM569" s="8"/>
    </row>
    <row r="570" spans="1:39" ht="14.25" customHeight="1">
      <c r="A570" s="619"/>
      <c r="B570" s="253"/>
      <c r="C570" s="258" t="s">
        <v>198</v>
      </c>
      <c r="D570" s="285" t="s">
        <v>188</v>
      </c>
      <c r="E570" s="337">
        <f t="shared" ref="E570:H570" si="193">IFERROR(ROUND($F$514*$E$514*0.0036*E403*E61*$G$514,4),0)</f>
        <v>2.7000000000000001E-3</v>
      </c>
      <c r="F570" s="337">
        <f t="shared" si="193"/>
        <v>2.5999999999999999E-3</v>
      </c>
      <c r="G570" s="337">
        <f t="shared" si="193"/>
        <v>2.5999999999999999E-3</v>
      </c>
      <c r="H570" s="337">
        <f t="shared" si="193"/>
        <v>2.5999999999999999E-3</v>
      </c>
      <c r="I570" s="619"/>
      <c r="J570" s="619"/>
      <c r="K570" s="619"/>
      <c r="L570" s="619"/>
      <c r="M570" s="619"/>
      <c r="N570" s="619"/>
      <c r="O570" s="619"/>
      <c r="P570" s="619"/>
      <c r="Q570" s="619"/>
      <c r="R570" s="619"/>
      <c r="S570" s="619"/>
      <c r="T570" s="619"/>
      <c r="U570" s="619"/>
      <c r="V570" s="619"/>
      <c r="W570" s="619"/>
      <c r="X570" s="619"/>
      <c r="Y570" s="619"/>
      <c r="Z570" s="619"/>
      <c r="AA570" s="619"/>
      <c r="AB570" s="619"/>
      <c r="AC570" s="619"/>
      <c r="AD570" s="619"/>
      <c r="AE570" s="619"/>
      <c r="AF570" s="619"/>
      <c r="AG570" s="619"/>
      <c r="AH570" s="619"/>
      <c r="AI570" s="619"/>
      <c r="AJ570" s="619"/>
      <c r="AK570" s="619"/>
      <c r="AL570" s="619"/>
      <c r="AM570" s="8"/>
    </row>
    <row r="571" spans="1:39" ht="14.25" customHeight="1">
      <c r="A571" s="619"/>
      <c r="B571" s="253"/>
      <c r="C571" s="258" t="s">
        <v>199</v>
      </c>
      <c r="D571" s="285" t="s">
        <v>190</v>
      </c>
      <c r="E571" s="337">
        <f t="shared" ref="E571:H571" si="194">IFERROR(ROUND($F$514*$E$514*0.0036*E404*E62*$G$514,4),0)</f>
        <v>9.1000000000000004E-3</v>
      </c>
      <c r="F571" s="337">
        <f t="shared" si="194"/>
        <v>1.34E-2</v>
      </c>
      <c r="G571" s="337">
        <f t="shared" si="194"/>
        <v>1.14E-2</v>
      </c>
      <c r="H571" s="337">
        <f t="shared" si="194"/>
        <v>9.5999999999999992E-3</v>
      </c>
      <c r="I571" s="619"/>
      <c r="J571" s="619"/>
      <c r="K571" s="619"/>
      <c r="L571" s="619"/>
      <c r="M571" s="619"/>
      <c r="N571" s="619"/>
      <c r="O571" s="619"/>
      <c r="P571" s="619"/>
      <c r="Q571" s="619"/>
      <c r="R571" s="619"/>
      <c r="S571" s="619"/>
      <c r="T571" s="619"/>
      <c r="U571" s="619"/>
      <c r="V571" s="619"/>
      <c r="W571" s="619"/>
      <c r="X571" s="619"/>
      <c r="Y571" s="619"/>
      <c r="Z571" s="619"/>
      <c r="AA571" s="619"/>
      <c r="AB571" s="619"/>
      <c r="AC571" s="619"/>
      <c r="AD571" s="619"/>
      <c r="AE571" s="619"/>
      <c r="AF571" s="619"/>
      <c r="AG571" s="619"/>
      <c r="AH571" s="619"/>
      <c r="AI571" s="619"/>
      <c r="AJ571" s="619"/>
      <c r="AK571" s="619"/>
      <c r="AL571" s="619"/>
      <c r="AM571" s="8"/>
    </row>
    <row r="572" spans="1:39" ht="14.25" customHeight="1">
      <c r="A572" s="619"/>
      <c r="B572" s="253"/>
      <c r="C572" s="258"/>
      <c r="D572" s="262" t="s">
        <v>307</v>
      </c>
      <c r="E572" s="325">
        <f t="shared" ref="E572:H572" si="195">IFERROR(ROUND($F$514*$E$514*0.0036*E405*E63*$G$514,4),0)</f>
        <v>13.681900000000001</v>
      </c>
      <c r="F572" s="325">
        <f t="shared" si="195"/>
        <v>14.561299999999999</v>
      </c>
      <c r="G572" s="325">
        <f t="shared" si="195"/>
        <v>13.953900000000001</v>
      </c>
      <c r="H572" s="325">
        <f t="shared" si="195"/>
        <v>14.2791</v>
      </c>
      <c r="I572" s="619"/>
      <c r="J572" s="619"/>
      <c r="K572" s="619"/>
      <c r="L572" s="619"/>
      <c r="M572" s="619"/>
      <c r="N572" s="619"/>
      <c r="O572" s="619"/>
      <c r="P572" s="619"/>
      <c r="Q572" s="619"/>
      <c r="R572" s="619"/>
      <c r="S572" s="619"/>
      <c r="T572" s="619"/>
      <c r="U572" s="619"/>
      <c r="V572" s="619"/>
      <c r="W572" s="619"/>
      <c r="X572" s="619"/>
      <c r="Y572" s="619"/>
      <c r="Z572" s="619"/>
      <c r="AA572" s="619"/>
      <c r="AB572" s="619"/>
      <c r="AC572" s="619"/>
      <c r="AD572" s="619"/>
      <c r="AE572" s="619"/>
      <c r="AF572" s="619"/>
      <c r="AG572" s="619"/>
      <c r="AH572" s="619"/>
      <c r="AI572" s="619"/>
      <c r="AJ572" s="619"/>
      <c r="AK572" s="619"/>
      <c r="AL572" s="619"/>
      <c r="AM572" s="8"/>
    </row>
    <row r="573" spans="1:39" ht="14.25" customHeight="1">
      <c r="A573" s="619"/>
      <c r="B573" s="253"/>
      <c r="C573" s="258"/>
      <c r="D573" s="266" t="s">
        <v>145</v>
      </c>
      <c r="E573" s="267">
        <f t="shared" ref="E573:H573" si="196">IFERROR(ROUND($F$514*$E$514*0.0036*E406*E64*$G$514,4),0)</f>
        <v>12.4421</v>
      </c>
      <c r="F573" s="267">
        <f t="shared" si="196"/>
        <v>13.4063</v>
      </c>
      <c r="G573" s="267">
        <f t="shared" si="196"/>
        <v>12.962899999999999</v>
      </c>
      <c r="H573" s="267">
        <f t="shared" si="196"/>
        <v>13.047599999999999</v>
      </c>
      <c r="I573" s="619"/>
      <c r="J573" s="619"/>
      <c r="K573" s="619"/>
      <c r="L573" s="619"/>
      <c r="M573" s="619"/>
      <c r="N573" s="619"/>
      <c r="O573" s="619"/>
      <c r="P573" s="619"/>
      <c r="Q573" s="619"/>
      <c r="R573" s="619"/>
      <c r="S573" s="619"/>
      <c r="T573" s="619"/>
      <c r="U573" s="619"/>
      <c r="V573" s="619"/>
      <c r="W573" s="619"/>
      <c r="X573" s="619"/>
      <c r="Y573" s="619"/>
      <c r="Z573" s="619"/>
      <c r="AA573" s="619"/>
      <c r="AB573" s="619"/>
      <c r="AC573" s="619"/>
      <c r="AD573" s="619"/>
      <c r="AE573" s="619"/>
      <c r="AF573" s="619"/>
      <c r="AG573" s="619"/>
      <c r="AH573" s="619"/>
      <c r="AI573" s="619"/>
      <c r="AJ573" s="619"/>
      <c r="AK573" s="619"/>
      <c r="AL573" s="619"/>
      <c r="AM573" s="8"/>
    </row>
    <row r="574" spans="1:39" ht="14.25" customHeight="1">
      <c r="A574" s="619"/>
      <c r="B574" s="253"/>
      <c r="C574" s="258"/>
      <c r="D574" s="285" t="s">
        <v>190</v>
      </c>
      <c r="E574" s="336">
        <f t="shared" ref="E574:H574" si="197">IFERROR(ROUND($F$514*$E$514*0.0036*E407*E65*$G$514,4),0)</f>
        <v>0</v>
      </c>
      <c r="F574" s="336">
        <f t="shared" si="197"/>
        <v>0</v>
      </c>
      <c r="G574" s="336">
        <f t="shared" si="197"/>
        <v>0</v>
      </c>
      <c r="H574" s="336">
        <f t="shared" si="197"/>
        <v>0</v>
      </c>
      <c r="I574" s="619"/>
      <c r="J574" s="619"/>
      <c r="K574" s="619"/>
      <c r="L574" s="619"/>
      <c r="M574" s="619"/>
      <c r="N574" s="619"/>
      <c r="O574" s="619"/>
      <c r="P574" s="619"/>
      <c r="Q574" s="619"/>
      <c r="R574" s="619"/>
      <c r="S574" s="619"/>
      <c r="T574" s="619"/>
      <c r="U574" s="619"/>
      <c r="V574" s="619"/>
      <c r="W574" s="619"/>
      <c r="X574" s="619"/>
      <c r="Y574" s="619"/>
      <c r="Z574" s="619"/>
      <c r="AA574" s="619"/>
      <c r="AB574" s="619"/>
      <c r="AC574" s="619"/>
      <c r="AD574" s="619"/>
      <c r="AE574" s="619"/>
      <c r="AF574" s="619"/>
      <c r="AG574" s="619"/>
      <c r="AH574" s="619"/>
      <c r="AI574" s="619"/>
      <c r="AJ574" s="619"/>
      <c r="AK574" s="619"/>
      <c r="AL574" s="619"/>
      <c r="AM574" s="8"/>
    </row>
    <row r="575" spans="1:39" ht="14.25" customHeight="1">
      <c r="A575" s="619"/>
      <c r="B575" s="253"/>
      <c r="C575" s="258" t="s">
        <v>200</v>
      </c>
      <c r="D575" s="259" t="s">
        <v>201</v>
      </c>
      <c r="E575" s="270">
        <f t="shared" ref="E575:H575" si="198">IFERROR(ROUND($F$514*$E$514*0.0036*E408*E66*$G$514,4),0)</f>
        <v>0.42830000000000001</v>
      </c>
      <c r="F575" s="270">
        <f t="shared" si="198"/>
        <v>0.38700000000000001</v>
      </c>
      <c r="G575" s="270">
        <f t="shared" si="198"/>
        <v>0.42609999999999998</v>
      </c>
      <c r="H575" s="270">
        <f t="shared" si="198"/>
        <v>5.3600000000000002E-2</v>
      </c>
      <c r="I575" s="619"/>
      <c r="J575" s="619"/>
      <c r="K575" s="619"/>
      <c r="L575" s="619"/>
      <c r="M575" s="619"/>
      <c r="N575" s="619"/>
      <c r="O575" s="619"/>
      <c r="P575" s="619"/>
      <c r="Q575" s="619"/>
      <c r="R575" s="619"/>
      <c r="S575" s="619"/>
      <c r="T575" s="619"/>
      <c r="U575" s="619"/>
      <c r="V575" s="619"/>
      <c r="W575" s="619"/>
      <c r="X575" s="619"/>
      <c r="Y575" s="619"/>
      <c r="Z575" s="619"/>
      <c r="AA575" s="619"/>
      <c r="AB575" s="619"/>
      <c r="AC575" s="619"/>
      <c r="AD575" s="619"/>
      <c r="AE575" s="619"/>
      <c r="AF575" s="619"/>
      <c r="AG575" s="619"/>
      <c r="AH575" s="619"/>
      <c r="AI575" s="619"/>
      <c r="AJ575" s="619"/>
      <c r="AK575" s="619"/>
      <c r="AL575" s="619"/>
      <c r="AM575" s="8"/>
    </row>
    <row r="576" spans="1:39" ht="14.25" customHeight="1">
      <c r="A576" s="619"/>
      <c r="B576" s="253"/>
      <c r="C576" s="258"/>
      <c r="D576" s="285" t="s">
        <v>188</v>
      </c>
      <c r="E576" s="336">
        <f t="shared" ref="E576:H576" si="199">IFERROR(ROUND($F$514*$E$514*0.0036*E409*E67*$G$514,4),0)</f>
        <v>0</v>
      </c>
      <c r="F576" s="336">
        <f t="shared" si="199"/>
        <v>0</v>
      </c>
      <c r="G576" s="336">
        <f t="shared" si="199"/>
        <v>0</v>
      </c>
      <c r="H576" s="336">
        <f t="shared" si="199"/>
        <v>0</v>
      </c>
      <c r="I576" s="619"/>
      <c r="J576" s="619"/>
      <c r="K576" s="619"/>
      <c r="L576" s="619"/>
      <c r="M576" s="619"/>
      <c r="N576" s="619"/>
      <c r="O576" s="619"/>
      <c r="P576" s="619"/>
      <c r="Q576" s="619"/>
      <c r="R576" s="619"/>
      <c r="S576" s="619"/>
      <c r="T576" s="619"/>
      <c r="U576" s="619"/>
      <c r="V576" s="619"/>
      <c r="W576" s="619"/>
      <c r="X576" s="619"/>
      <c r="Y576" s="619"/>
      <c r="Z576" s="619"/>
      <c r="AA576" s="619"/>
      <c r="AB576" s="619"/>
      <c r="AC576" s="619"/>
      <c r="AD576" s="619"/>
      <c r="AE576" s="619"/>
      <c r="AF576" s="619"/>
      <c r="AG576" s="619"/>
      <c r="AH576" s="619"/>
      <c r="AI576" s="619"/>
      <c r="AJ576" s="619"/>
      <c r="AK576" s="619"/>
      <c r="AL576" s="619"/>
      <c r="AM576" s="8"/>
    </row>
    <row r="577" spans="1:39" ht="14.25" customHeight="1">
      <c r="A577" s="619"/>
      <c r="B577" s="253"/>
      <c r="C577" s="258" t="s">
        <v>202</v>
      </c>
      <c r="D577" s="259" t="s">
        <v>201</v>
      </c>
      <c r="E577" s="270">
        <f t="shared" ref="E577:H577" si="200">IFERROR(ROUND($F$514*$E$514*0.0036*E410*E68*$G$514,4),0)</f>
        <v>0.16569999999999999</v>
      </c>
      <c r="F577" s="270">
        <f t="shared" si="200"/>
        <v>0.1709</v>
      </c>
      <c r="G577" s="270">
        <f t="shared" si="200"/>
        <v>0.15</v>
      </c>
      <c r="H577" s="270">
        <f t="shared" si="200"/>
        <v>0.16569999999999999</v>
      </c>
      <c r="I577" s="619"/>
      <c r="J577" s="619"/>
      <c r="K577" s="619"/>
      <c r="L577" s="619"/>
      <c r="M577" s="619"/>
      <c r="N577" s="619"/>
      <c r="O577" s="619"/>
      <c r="P577" s="619"/>
      <c r="Q577" s="619"/>
      <c r="R577" s="619"/>
      <c r="S577" s="619"/>
      <c r="T577" s="619"/>
      <c r="U577" s="619"/>
      <c r="V577" s="619"/>
      <c r="W577" s="619"/>
      <c r="X577" s="619"/>
      <c r="Y577" s="619"/>
      <c r="Z577" s="619"/>
      <c r="AA577" s="619"/>
      <c r="AB577" s="619"/>
      <c r="AC577" s="619"/>
      <c r="AD577" s="619"/>
      <c r="AE577" s="619"/>
      <c r="AF577" s="619"/>
      <c r="AG577" s="619"/>
      <c r="AH577" s="619"/>
      <c r="AI577" s="619"/>
      <c r="AJ577" s="619"/>
      <c r="AK577" s="619"/>
      <c r="AL577" s="619"/>
      <c r="AM577" s="8"/>
    </row>
    <row r="578" spans="1:39" ht="14.25" customHeight="1">
      <c r="A578" s="619"/>
      <c r="B578" s="253"/>
      <c r="C578" s="258"/>
      <c r="D578" s="285" t="s">
        <v>203</v>
      </c>
      <c r="E578" s="336">
        <f t="shared" ref="E578:H578" si="201">IFERROR(ROUND($F$514*$E$514*0.0036*E411*E69*$G$514,4),0)</f>
        <v>0</v>
      </c>
      <c r="F578" s="336">
        <f t="shared" si="201"/>
        <v>0</v>
      </c>
      <c r="G578" s="336">
        <f t="shared" si="201"/>
        <v>0</v>
      </c>
      <c r="H578" s="336">
        <f t="shared" si="201"/>
        <v>0</v>
      </c>
      <c r="I578" s="619"/>
      <c r="J578" s="619"/>
      <c r="K578" s="619"/>
      <c r="L578" s="619"/>
      <c r="M578" s="619"/>
      <c r="N578" s="619"/>
      <c r="O578" s="619"/>
      <c r="P578" s="619"/>
      <c r="Q578" s="619"/>
      <c r="R578" s="619"/>
      <c r="S578" s="619"/>
      <c r="T578" s="619"/>
      <c r="U578" s="619"/>
      <c r="V578" s="619"/>
      <c r="W578" s="619"/>
      <c r="X578" s="619"/>
      <c r="Y578" s="619"/>
      <c r="Z578" s="619"/>
      <c r="AA578" s="619"/>
      <c r="AB578" s="619"/>
      <c r="AC578" s="619"/>
      <c r="AD578" s="619"/>
      <c r="AE578" s="619"/>
      <c r="AF578" s="619"/>
      <c r="AG578" s="619"/>
      <c r="AH578" s="619"/>
      <c r="AI578" s="619"/>
      <c r="AJ578" s="619"/>
      <c r="AK578" s="619"/>
      <c r="AL578" s="619"/>
      <c r="AM578" s="8"/>
    </row>
    <row r="579" spans="1:39" ht="14.25" customHeight="1">
      <c r="A579" s="619"/>
      <c r="B579" s="253"/>
      <c r="C579" s="258" t="s">
        <v>204</v>
      </c>
      <c r="D579" s="259" t="s">
        <v>205</v>
      </c>
      <c r="E579" s="338">
        <f t="shared" ref="E579:H579" si="202">IFERROR(ROUND($F$514*$E$514*0.0036*E412*E70*$G$514,4),0)</f>
        <v>6.1117999999999997</v>
      </c>
      <c r="F579" s="338">
        <f t="shared" si="202"/>
        <v>6.0220000000000002</v>
      </c>
      <c r="G579" s="339">
        <f t="shared" si="202"/>
        <v>5.8303000000000003</v>
      </c>
      <c r="H579" s="339">
        <f t="shared" si="202"/>
        <v>6.18</v>
      </c>
      <c r="I579" s="619"/>
      <c r="J579" s="619"/>
      <c r="K579" s="619"/>
      <c r="L579" s="619"/>
      <c r="M579" s="619"/>
      <c r="N579" s="619"/>
      <c r="O579" s="619"/>
      <c r="P579" s="619"/>
      <c r="Q579" s="619"/>
      <c r="R579" s="619"/>
      <c r="S579" s="619"/>
      <c r="T579" s="619"/>
      <c r="U579" s="619"/>
      <c r="V579" s="619"/>
      <c r="W579" s="619"/>
      <c r="X579" s="619"/>
      <c r="Y579" s="619"/>
      <c r="Z579" s="619"/>
      <c r="AA579" s="619"/>
      <c r="AB579" s="619"/>
      <c r="AC579" s="619"/>
      <c r="AD579" s="619"/>
      <c r="AE579" s="619"/>
      <c r="AF579" s="619"/>
      <c r="AG579" s="619"/>
      <c r="AH579" s="619"/>
      <c r="AI579" s="619"/>
      <c r="AJ579" s="619"/>
      <c r="AK579" s="619"/>
      <c r="AL579" s="619"/>
      <c r="AM579" s="8"/>
    </row>
    <row r="580" spans="1:39" ht="14.25" customHeight="1">
      <c r="A580" s="619"/>
      <c r="B580" s="253"/>
      <c r="C580" s="258" t="s">
        <v>206</v>
      </c>
      <c r="D580" s="259" t="s">
        <v>201</v>
      </c>
      <c r="E580" s="338">
        <f t="shared" ref="E580:H580" si="203">IFERROR(ROUND($F$514*$E$514*0.0036*E413*E71*$G$514,4),0)</f>
        <v>3.3464</v>
      </c>
      <c r="F580" s="338">
        <f t="shared" si="203"/>
        <v>4.5650000000000004</v>
      </c>
      <c r="G580" s="340">
        <f t="shared" si="203"/>
        <v>4.3478000000000003</v>
      </c>
      <c r="H580" s="338">
        <f t="shared" si="203"/>
        <v>4.2096</v>
      </c>
      <c r="I580" s="619"/>
      <c r="J580" s="619"/>
      <c r="K580" s="619"/>
      <c r="L580" s="619"/>
      <c r="M580" s="619"/>
      <c r="N580" s="619"/>
      <c r="O580" s="619"/>
      <c r="P580" s="619"/>
      <c r="Q580" s="619"/>
      <c r="R580" s="619"/>
      <c r="S580" s="619"/>
      <c r="T580" s="619"/>
      <c r="U580" s="619"/>
      <c r="V580" s="619"/>
      <c r="W580" s="619"/>
      <c r="X580" s="619"/>
      <c r="Y580" s="619"/>
      <c r="Z580" s="619"/>
      <c r="AA580" s="619"/>
      <c r="AB580" s="619"/>
      <c r="AC580" s="619"/>
      <c r="AD580" s="619"/>
      <c r="AE580" s="619"/>
      <c r="AF580" s="619"/>
      <c r="AG580" s="619"/>
      <c r="AH580" s="619"/>
      <c r="AI580" s="619"/>
      <c r="AJ580" s="619"/>
      <c r="AK580" s="619"/>
      <c r="AL580" s="619"/>
      <c r="AM580" s="8"/>
    </row>
    <row r="581" spans="1:39" ht="14.25" customHeight="1">
      <c r="A581" s="619"/>
      <c r="B581" s="253"/>
      <c r="C581" s="258" t="s">
        <v>207</v>
      </c>
      <c r="D581" s="259" t="s">
        <v>208</v>
      </c>
      <c r="E581" s="338">
        <f t="shared" ref="E581:H581" si="204">IFERROR(ROUND($F$514*$E$514*0.0036*E414*E72*$G$514,4),0)</f>
        <v>0.25490000000000002</v>
      </c>
      <c r="F581" s="338">
        <f t="shared" si="204"/>
        <v>0.23549999999999999</v>
      </c>
      <c r="G581" s="338">
        <f t="shared" si="204"/>
        <v>0.24729999999999999</v>
      </c>
      <c r="H581" s="338">
        <f t="shared" si="204"/>
        <v>0.25280000000000002</v>
      </c>
      <c r="I581" s="619"/>
      <c r="J581" s="619"/>
      <c r="K581" s="619"/>
      <c r="L581" s="619"/>
      <c r="M581" s="619"/>
      <c r="N581" s="619"/>
      <c r="O581" s="619"/>
      <c r="P581" s="619"/>
      <c r="Q581" s="619"/>
      <c r="R581" s="619"/>
      <c r="S581" s="619"/>
      <c r="T581" s="619"/>
      <c r="U581" s="619"/>
      <c r="V581" s="619"/>
      <c r="W581" s="619"/>
      <c r="X581" s="619"/>
      <c r="Y581" s="619"/>
      <c r="Z581" s="619"/>
      <c r="AA581" s="619"/>
      <c r="AB581" s="619"/>
      <c r="AC581" s="619"/>
      <c r="AD581" s="619"/>
      <c r="AE581" s="619"/>
      <c r="AF581" s="619"/>
      <c r="AG581" s="619"/>
      <c r="AH581" s="619"/>
      <c r="AI581" s="619"/>
      <c r="AJ581" s="619"/>
      <c r="AK581" s="619"/>
      <c r="AL581" s="619"/>
      <c r="AM581" s="8"/>
    </row>
    <row r="582" spans="1:39" ht="14.25" customHeight="1">
      <c r="A582" s="619"/>
      <c r="B582" s="253"/>
      <c r="C582" s="258" t="s">
        <v>209</v>
      </c>
      <c r="D582" s="259" t="s">
        <v>210</v>
      </c>
      <c r="E582" s="338">
        <f t="shared" ref="E582:H582" si="205">IFERROR(ROUND($F$514*$E$514*0.0036*E415*E73*$G$514,4),0)</f>
        <v>2.1347999999999998</v>
      </c>
      <c r="F582" s="338">
        <f t="shared" si="205"/>
        <v>2.0259999999999998</v>
      </c>
      <c r="G582" s="339">
        <f t="shared" si="205"/>
        <v>1.9598</v>
      </c>
      <c r="H582" s="339">
        <f t="shared" si="205"/>
        <v>2.1863999999999999</v>
      </c>
      <c r="I582" s="619"/>
      <c r="J582" s="619"/>
      <c r="K582" s="619"/>
      <c r="L582" s="619"/>
      <c r="M582" s="619"/>
      <c r="N582" s="619"/>
      <c r="O582" s="619"/>
      <c r="P582" s="619"/>
      <c r="Q582" s="619"/>
      <c r="R582" s="619"/>
      <c r="S582" s="619"/>
      <c r="T582" s="619"/>
      <c r="U582" s="619"/>
      <c r="V582" s="619"/>
      <c r="W582" s="619"/>
      <c r="X582" s="619"/>
      <c r="Y582" s="619"/>
      <c r="Z582" s="619"/>
      <c r="AA582" s="619"/>
      <c r="AB582" s="619"/>
      <c r="AC582" s="619"/>
      <c r="AD582" s="619"/>
      <c r="AE582" s="619"/>
      <c r="AF582" s="619"/>
      <c r="AG582" s="619"/>
      <c r="AH582" s="619"/>
      <c r="AI582" s="619"/>
      <c r="AJ582" s="619"/>
      <c r="AK582" s="619"/>
      <c r="AL582" s="619"/>
      <c r="AM582" s="8"/>
    </row>
    <row r="583" spans="1:39" ht="14.25" customHeight="1">
      <c r="A583" s="619"/>
      <c r="B583" s="253"/>
      <c r="C583" s="258"/>
      <c r="D583" s="266" t="s">
        <v>153</v>
      </c>
      <c r="E583" s="341">
        <f t="shared" ref="E583:H583" si="206">IFERROR(ROUND($F$514*$E$514*0.0036*E416*E74*$G$514,4),0)</f>
        <v>1.1349</v>
      </c>
      <c r="F583" s="341">
        <f t="shared" si="206"/>
        <v>1.0580000000000001</v>
      </c>
      <c r="G583" s="341">
        <f t="shared" si="206"/>
        <v>0.97450000000000003</v>
      </c>
      <c r="H583" s="341">
        <f t="shared" si="206"/>
        <v>1.1298999999999999</v>
      </c>
      <c r="I583" s="619"/>
      <c r="J583" s="619"/>
      <c r="K583" s="619"/>
      <c r="L583" s="619"/>
      <c r="M583" s="619"/>
      <c r="N583" s="619"/>
      <c r="O583" s="619"/>
      <c r="P583" s="619"/>
      <c r="Q583" s="619"/>
      <c r="R583" s="619"/>
      <c r="S583" s="619"/>
      <c r="T583" s="619"/>
      <c r="U583" s="619"/>
      <c r="V583" s="619"/>
      <c r="W583" s="619"/>
      <c r="X583" s="619"/>
      <c r="Y583" s="619"/>
      <c r="Z583" s="619"/>
      <c r="AA583" s="619"/>
      <c r="AB583" s="619"/>
      <c r="AC583" s="619"/>
      <c r="AD583" s="619"/>
      <c r="AE583" s="619"/>
      <c r="AF583" s="619"/>
      <c r="AG583" s="619"/>
      <c r="AH583" s="619"/>
      <c r="AI583" s="619"/>
      <c r="AJ583" s="619"/>
      <c r="AK583" s="619"/>
      <c r="AL583" s="619"/>
      <c r="AM583" s="8"/>
    </row>
    <row r="584" spans="1:39" ht="14.25" customHeight="1">
      <c r="A584" s="619"/>
      <c r="B584" s="253"/>
      <c r="C584" s="258"/>
      <c r="D584" s="285" t="s">
        <v>203</v>
      </c>
      <c r="E584" s="342">
        <f t="shared" ref="E584:H584" si="207">IFERROR(ROUND($F$514*$E$514*0.0036*E417*E75*$G$514,4),0)</f>
        <v>0</v>
      </c>
      <c r="F584" s="342">
        <f t="shared" si="207"/>
        <v>0</v>
      </c>
      <c r="G584" s="342">
        <f t="shared" si="207"/>
        <v>0</v>
      </c>
      <c r="H584" s="342">
        <f t="shared" si="207"/>
        <v>0</v>
      </c>
      <c r="I584" s="619"/>
      <c r="J584" s="619"/>
      <c r="K584" s="619"/>
      <c r="L584" s="619"/>
      <c r="M584" s="619"/>
      <c r="N584" s="619"/>
      <c r="O584" s="619"/>
      <c r="P584" s="619"/>
      <c r="Q584" s="619"/>
      <c r="R584" s="619"/>
      <c r="S584" s="619"/>
      <c r="T584" s="619"/>
      <c r="U584" s="619"/>
      <c r="V584" s="619"/>
      <c r="W584" s="619"/>
      <c r="X584" s="619"/>
      <c r="Y584" s="619"/>
      <c r="Z584" s="619"/>
      <c r="AA584" s="619"/>
      <c r="AB584" s="619"/>
      <c r="AC584" s="619"/>
      <c r="AD584" s="619"/>
      <c r="AE584" s="619"/>
      <c r="AF584" s="619"/>
      <c r="AG584" s="619"/>
      <c r="AH584" s="619"/>
      <c r="AI584" s="619"/>
      <c r="AJ584" s="619"/>
      <c r="AK584" s="619"/>
      <c r="AL584" s="619"/>
      <c r="AM584" s="8"/>
    </row>
    <row r="585" spans="1:39" ht="14.25" customHeight="1">
      <c r="A585" s="619"/>
      <c r="B585" s="253"/>
      <c r="C585" s="258" t="s">
        <v>211</v>
      </c>
      <c r="D585" s="259" t="s">
        <v>201</v>
      </c>
      <c r="E585" s="39">
        <f t="shared" ref="E585:H585" si="208">IFERROR(ROUND($F$514*$E$514*0.0036*E418*E76*$G$514,4),0)</f>
        <v>0.55889999999999995</v>
      </c>
      <c r="F585" s="39">
        <f t="shared" si="208"/>
        <v>0.54859999999999998</v>
      </c>
      <c r="G585" s="40">
        <f t="shared" si="208"/>
        <v>0.48880000000000001</v>
      </c>
      <c r="H585" s="41">
        <f t="shared" si="208"/>
        <v>0.4985</v>
      </c>
      <c r="I585" s="619"/>
      <c r="J585" s="619"/>
      <c r="K585" s="619"/>
      <c r="L585" s="619"/>
      <c r="M585" s="619"/>
      <c r="N585" s="619"/>
      <c r="O585" s="619"/>
      <c r="P585" s="619"/>
      <c r="Q585" s="619"/>
      <c r="R585" s="619"/>
      <c r="S585" s="619"/>
      <c r="T585" s="619"/>
      <c r="U585" s="619"/>
      <c r="V585" s="619"/>
      <c r="W585" s="619"/>
      <c r="X585" s="619"/>
      <c r="Y585" s="619"/>
      <c r="Z585" s="619"/>
      <c r="AA585" s="619"/>
      <c r="AB585" s="619"/>
      <c r="AC585" s="619"/>
      <c r="AD585" s="619"/>
      <c r="AE585" s="619"/>
      <c r="AF585" s="619"/>
      <c r="AG585" s="619"/>
      <c r="AH585" s="619"/>
      <c r="AI585" s="619"/>
      <c r="AJ585" s="619"/>
      <c r="AK585" s="619"/>
      <c r="AL585" s="619"/>
      <c r="AM585" s="8"/>
    </row>
    <row r="586" spans="1:39" ht="14.25" customHeight="1">
      <c r="A586" s="619"/>
      <c r="B586" s="253"/>
      <c r="C586" s="258" t="s">
        <v>212</v>
      </c>
      <c r="D586" s="259" t="s">
        <v>210</v>
      </c>
      <c r="E586" s="39">
        <f t="shared" ref="E586:H586" si="209">IFERROR(ROUND($F$514*$E$514*0.0036*E419*E77*$G$514,4),0)</f>
        <v>0.53010000000000002</v>
      </c>
      <c r="F586" s="39">
        <f t="shared" si="209"/>
        <v>0.48280000000000001</v>
      </c>
      <c r="G586" s="40">
        <f t="shared" si="209"/>
        <v>0.46179999999999999</v>
      </c>
      <c r="H586" s="42">
        <f t="shared" si="209"/>
        <v>0.62470000000000003</v>
      </c>
      <c r="I586" s="619"/>
      <c r="J586" s="619"/>
      <c r="K586" s="619"/>
      <c r="L586" s="619"/>
      <c r="M586" s="619"/>
      <c r="N586" s="619"/>
      <c r="O586" s="619"/>
      <c r="P586" s="619"/>
      <c r="Q586" s="619"/>
      <c r="R586" s="619"/>
      <c r="S586" s="619"/>
      <c r="T586" s="619"/>
      <c r="U586" s="619"/>
      <c r="V586" s="619"/>
      <c r="W586" s="619"/>
      <c r="X586" s="619"/>
      <c r="Y586" s="619"/>
      <c r="Z586" s="619"/>
      <c r="AA586" s="619"/>
      <c r="AB586" s="619"/>
      <c r="AC586" s="619"/>
      <c r="AD586" s="619"/>
      <c r="AE586" s="619"/>
      <c r="AF586" s="619"/>
      <c r="AG586" s="619"/>
      <c r="AH586" s="619"/>
      <c r="AI586" s="619"/>
      <c r="AJ586" s="619"/>
      <c r="AK586" s="619"/>
      <c r="AL586" s="619"/>
      <c r="AM586" s="8"/>
    </row>
    <row r="587" spans="1:39" ht="14.25" customHeight="1">
      <c r="A587" s="619"/>
      <c r="B587" s="253"/>
      <c r="C587" s="258" t="s">
        <v>213</v>
      </c>
      <c r="D587" s="259" t="s">
        <v>205</v>
      </c>
      <c r="E587" s="39">
        <f t="shared" ref="E587:H587" si="210">IFERROR(ROUND($F$514*$E$514*0.0036*E420*E78*$G$514,4),0)</f>
        <v>4.58E-2</v>
      </c>
      <c r="F587" s="39">
        <f t="shared" si="210"/>
        <v>2.6700000000000002E-2</v>
      </c>
      <c r="G587" s="40">
        <f t="shared" si="210"/>
        <v>2.3699999999999999E-2</v>
      </c>
      <c r="H587" s="42">
        <f t="shared" si="210"/>
        <v>6.8999999999999999E-3</v>
      </c>
      <c r="I587" s="619"/>
      <c r="J587" s="619"/>
      <c r="K587" s="619"/>
      <c r="L587" s="619"/>
      <c r="M587" s="619"/>
      <c r="N587" s="619"/>
      <c r="O587" s="619"/>
      <c r="P587" s="619"/>
      <c r="Q587" s="619"/>
      <c r="R587" s="619"/>
      <c r="S587" s="619"/>
      <c r="T587" s="619"/>
      <c r="U587" s="619"/>
      <c r="V587" s="619"/>
      <c r="W587" s="619"/>
      <c r="X587" s="619"/>
      <c r="Y587" s="619"/>
      <c r="Z587" s="619"/>
      <c r="AA587" s="619"/>
      <c r="AB587" s="619"/>
      <c r="AC587" s="619"/>
      <c r="AD587" s="619"/>
      <c r="AE587" s="619"/>
      <c r="AF587" s="619"/>
      <c r="AG587" s="619"/>
      <c r="AH587" s="619"/>
      <c r="AI587" s="619"/>
      <c r="AJ587" s="619"/>
      <c r="AK587" s="619"/>
      <c r="AL587" s="619"/>
      <c r="AM587" s="8"/>
    </row>
    <row r="588" spans="1:39" ht="14.25" customHeight="1">
      <c r="A588" s="619"/>
      <c r="B588" s="253"/>
      <c r="C588" s="258"/>
      <c r="D588" s="266" t="s">
        <v>158</v>
      </c>
      <c r="E588" s="267">
        <f t="shared" ref="E588:H588" si="211">IFERROR(ROUND($F$514*$E$514*0.0036*E421*E79*$G$514,4),0)</f>
        <v>0.1047</v>
      </c>
      <c r="F588" s="267">
        <f t="shared" si="211"/>
        <v>9.6500000000000002E-2</v>
      </c>
      <c r="G588" s="267">
        <f t="shared" si="211"/>
        <v>1.7999999999999999E-2</v>
      </c>
      <c r="H588" s="267">
        <f t="shared" si="211"/>
        <v>9.98E-2</v>
      </c>
      <c r="I588" s="619"/>
      <c r="J588" s="619"/>
      <c r="K588" s="619"/>
      <c r="L588" s="619"/>
      <c r="M588" s="619"/>
      <c r="N588" s="619"/>
      <c r="O588" s="619"/>
      <c r="P588" s="619"/>
      <c r="Q588" s="619"/>
      <c r="R588" s="619"/>
      <c r="S588" s="619"/>
      <c r="T588" s="619"/>
      <c r="U588" s="619"/>
      <c r="V588" s="619"/>
      <c r="W588" s="619"/>
      <c r="X588" s="619"/>
      <c r="Y588" s="619"/>
      <c r="Z588" s="619"/>
      <c r="AA588" s="619"/>
      <c r="AB588" s="619"/>
      <c r="AC588" s="619"/>
      <c r="AD588" s="619"/>
      <c r="AE588" s="619"/>
      <c r="AF588" s="619"/>
      <c r="AG588" s="619"/>
      <c r="AH588" s="619"/>
      <c r="AI588" s="619"/>
      <c r="AJ588" s="619"/>
      <c r="AK588" s="619"/>
      <c r="AL588" s="619"/>
      <c r="AM588" s="8"/>
    </row>
    <row r="589" spans="1:39" ht="14.25" customHeight="1">
      <c r="A589" s="619"/>
      <c r="B589" s="253"/>
      <c r="C589" s="258"/>
      <c r="D589" s="285" t="s">
        <v>190</v>
      </c>
      <c r="E589" s="336">
        <f t="shared" ref="E589:H589" si="212">IFERROR(ROUND($F$514*$E$514*0.0036*E422*E80*$G$514,4),0)</f>
        <v>0</v>
      </c>
      <c r="F589" s="336">
        <f t="shared" si="212"/>
        <v>0</v>
      </c>
      <c r="G589" s="336">
        <f t="shared" si="212"/>
        <v>0</v>
      </c>
      <c r="H589" s="336">
        <f t="shared" si="212"/>
        <v>0</v>
      </c>
      <c r="I589" s="619"/>
      <c r="J589" s="619"/>
      <c r="K589" s="619"/>
      <c r="L589" s="619"/>
      <c r="M589" s="619"/>
      <c r="N589" s="619"/>
      <c r="O589" s="619"/>
      <c r="P589" s="619"/>
      <c r="Q589" s="619"/>
      <c r="R589" s="619"/>
      <c r="S589" s="619"/>
      <c r="T589" s="619"/>
      <c r="U589" s="619"/>
      <c r="V589" s="619"/>
      <c r="W589" s="619"/>
      <c r="X589" s="619"/>
      <c r="Y589" s="619"/>
      <c r="Z589" s="619"/>
      <c r="AA589" s="619"/>
      <c r="AB589" s="619"/>
      <c r="AC589" s="619"/>
      <c r="AD589" s="619"/>
      <c r="AE589" s="619"/>
      <c r="AF589" s="619"/>
      <c r="AG589" s="619"/>
      <c r="AH589" s="619"/>
      <c r="AI589" s="619"/>
      <c r="AJ589" s="619"/>
      <c r="AK589" s="619"/>
      <c r="AL589" s="619"/>
      <c r="AM589" s="8"/>
    </row>
    <row r="590" spans="1:39" ht="14.25" customHeight="1">
      <c r="A590" s="619"/>
      <c r="B590" s="253"/>
      <c r="C590" s="258" t="s">
        <v>214</v>
      </c>
      <c r="D590" s="259" t="s">
        <v>201</v>
      </c>
      <c r="E590" s="43">
        <f t="shared" ref="E590:H590" si="213">IFERROR(ROUND($F$514*$E$514*0.0036*E423*E81*$G$514,4),0)</f>
        <v>0</v>
      </c>
      <c r="F590" s="43">
        <f t="shared" si="213"/>
        <v>0</v>
      </c>
      <c r="G590" s="43">
        <f t="shared" si="213"/>
        <v>0</v>
      </c>
      <c r="H590" s="44">
        <f t="shared" si="213"/>
        <v>0</v>
      </c>
      <c r="I590" s="619"/>
      <c r="J590" s="619"/>
      <c r="K590" s="619"/>
      <c r="L590" s="619"/>
      <c r="M590" s="619"/>
      <c r="N590" s="619"/>
      <c r="O590" s="619"/>
      <c r="P590" s="619"/>
      <c r="Q590" s="619"/>
      <c r="R590" s="619"/>
      <c r="S590" s="619"/>
      <c r="T590" s="619"/>
      <c r="U590" s="619"/>
      <c r="V590" s="619"/>
      <c r="W590" s="619"/>
      <c r="X590" s="619"/>
      <c r="Y590" s="619"/>
      <c r="Z590" s="619"/>
      <c r="AA590" s="619"/>
      <c r="AB590" s="619"/>
      <c r="AC590" s="619"/>
      <c r="AD590" s="619"/>
      <c r="AE590" s="619"/>
      <c r="AF590" s="619"/>
      <c r="AG590" s="619"/>
      <c r="AH590" s="619"/>
      <c r="AI590" s="619"/>
      <c r="AJ590" s="619"/>
      <c r="AK590" s="619"/>
      <c r="AL590" s="619"/>
      <c r="AM590" s="8"/>
    </row>
    <row r="591" spans="1:39" ht="14.25" customHeight="1">
      <c r="A591" s="619"/>
      <c r="B591" s="253"/>
      <c r="C591" s="258"/>
      <c r="D591" s="285" t="s">
        <v>195</v>
      </c>
      <c r="E591" s="336">
        <f t="shared" ref="E591:H591" si="214">IFERROR(ROUND($F$514*$E$514*0.0036*E424*E82*$G$514,4),0)</f>
        <v>0</v>
      </c>
      <c r="F591" s="336">
        <f t="shared" si="214"/>
        <v>0</v>
      </c>
      <c r="G591" s="336">
        <f t="shared" si="214"/>
        <v>0</v>
      </c>
      <c r="H591" s="336">
        <f t="shared" si="214"/>
        <v>0</v>
      </c>
      <c r="I591" s="619"/>
      <c r="J591" s="619"/>
      <c r="K591" s="619"/>
      <c r="L591" s="619"/>
      <c r="M591" s="619"/>
      <c r="N591" s="619"/>
      <c r="O591" s="619"/>
      <c r="P591" s="619"/>
      <c r="Q591" s="619"/>
      <c r="R591" s="619"/>
      <c r="S591" s="619"/>
      <c r="T591" s="619"/>
      <c r="U591" s="619"/>
      <c r="V591" s="619"/>
      <c r="W591" s="619"/>
      <c r="X591" s="619"/>
      <c r="Y591" s="619"/>
      <c r="Z591" s="619"/>
      <c r="AA591" s="619"/>
      <c r="AB591" s="619"/>
      <c r="AC591" s="619"/>
      <c r="AD591" s="619"/>
      <c r="AE591" s="619"/>
      <c r="AF591" s="619"/>
      <c r="AG591" s="619"/>
      <c r="AH591" s="619"/>
      <c r="AI591" s="619"/>
      <c r="AJ591" s="619"/>
      <c r="AK591" s="619"/>
      <c r="AL591" s="619"/>
      <c r="AM591" s="8"/>
    </row>
    <row r="592" spans="1:39" ht="14.25" customHeight="1">
      <c r="A592" s="619"/>
      <c r="B592" s="253"/>
      <c r="C592" s="258" t="s">
        <v>215</v>
      </c>
      <c r="D592" s="259" t="s">
        <v>201</v>
      </c>
      <c r="E592" s="256">
        <f t="shared" ref="E592:H592" si="215">IFERROR(ROUND($F$514*$E$514*0.0036*E425*E83*$G$514,4),0)</f>
        <v>1E-4</v>
      </c>
      <c r="F592" s="256">
        <f t="shared" si="215"/>
        <v>0</v>
      </c>
      <c r="G592" s="256">
        <f t="shared" si="215"/>
        <v>0</v>
      </c>
      <c r="H592" s="256">
        <f t="shared" si="215"/>
        <v>0</v>
      </c>
      <c r="I592" s="619"/>
      <c r="J592" s="619"/>
      <c r="K592" s="619"/>
      <c r="L592" s="619"/>
      <c r="M592" s="619"/>
      <c r="N592" s="619"/>
      <c r="O592" s="619"/>
      <c r="P592" s="619"/>
      <c r="Q592" s="619"/>
      <c r="R592" s="619"/>
      <c r="S592" s="619"/>
      <c r="T592" s="619"/>
      <c r="U592" s="619"/>
      <c r="V592" s="619"/>
      <c r="W592" s="619"/>
      <c r="X592" s="619"/>
      <c r="Y592" s="619"/>
      <c r="Z592" s="619"/>
      <c r="AA592" s="619"/>
      <c r="AB592" s="619"/>
      <c r="AC592" s="619"/>
      <c r="AD592" s="619"/>
      <c r="AE592" s="619"/>
      <c r="AF592" s="619"/>
      <c r="AG592" s="619"/>
      <c r="AH592" s="619"/>
      <c r="AI592" s="619"/>
      <c r="AJ592" s="619"/>
      <c r="AK592" s="619"/>
      <c r="AL592" s="619"/>
      <c r="AM592" s="8"/>
    </row>
    <row r="593" spans="1:39" ht="14.25" customHeight="1">
      <c r="A593" s="619"/>
      <c r="B593" s="253"/>
      <c r="C593" s="258"/>
      <c r="D593" s="285" t="s">
        <v>203</v>
      </c>
      <c r="E593" s="336">
        <f t="shared" ref="E593:H593" si="216">IFERROR(ROUND($F$514*$E$514*0.0036*E426*E84*$G$514,4),0)</f>
        <v>0</v>
      </c>
      <c r="F593" s="336">
        <f t="shared" si="216"/>
        <v>0</v>
      </c>
      <c r="G593" s="336">
        <f t="shared" si="216"/>
        <v>0</v>
      </c>
      <c r="H593" s="336">
        <f t="shared" si="216"/>
        <v>0</v>
      </c>
      <c r="I593" s="619"/>
      <c r="J593" s="619"/>
      <c r="K593" s="619"/>
      <c r="L593" s="619"/>
      <c r="M593" s="619"/>
      <c r="N593" s="619"/>
      <c r="O593" s="619"/>
      <c r="P593" s="619"/>
      <c r="Q593" s="619"/>
      <c r="R593" s="619"/>
      <c r="S593" s="619"/>
      <c r="T593" s="619"/>
      <c r="U593" s="619"/>
      <c r="V593" s="619"/>
      <c r="W593" s="619"/>
      <c r="X593" s="619"/>
      <c r="Y593" s="619"/>
      <c r="Z593" s="619"/>
      <c r="AA593" s="619"/>
      <c r="AB593" s="619"/>
      <c r="AC593" s="619"/>
      <c r="AD593" s="619"/>
      <c r="AE593" s="619"/>
      <c r="AF593" s="619"/>
      <c r="AG593" s="619"/>
      <c r="AH593" s="619"/>
      <c r="AI593" s="619"/>
      <c r="AJ593" s="619"/>
      <c r="AK593" s="619"/>
      <c r="AL593" s="619"/>
      <c r="AM593" s="8"/>
    </row>
    <row r="594" spans="1:39" ht="14.25" customHeight="1">
      <c r="A594" s="619"/>
      <c r="B594" s="253"/>
      <c r="C594" s="258" t="s">
        <v>216</v>
      </c>
      <c r="D594" s="259" t="s">
        <v>210</v>
      </c>
      <c r="E594" s="270">
        <f t="shared" ref="E594:H594" si="217">IFERROR(ROUND($F$514*$E$514*0.0036*E427*E85*$G$514,4),0)</f>
        <v>0.1046</v>
      </c>
      <c r="F594" s="270">
        <f t="shared" si="217"/>
        <v>9.6500000000000002E-2</v>
      </c>
      <c r="G594" s="270">
        <f t="shared" si="217"/>
        <v>1.7999999999999999E-2</v>
      </c>
      <c r="H594" s="270">
        <f t="shared" si="217"/>
        <v>9.98E-2</v>
      </c>
      <c r="I594" s="619"/>
      <c r="J594" s="619"/>
      <c r="K594" s="619"/>
      <c r="L594" s="619"/>
      <c r="M594" s="619"/>
      <c r="N594" s="619"/>
      <c r="O594" s="619"/>
      <c r="P594" s="619"/>
      <c r="Q594" s="619"/>
      <c r="R594" s="619"/>
      <c r="S594" s="619"/>
      <c r="T594" s="619"/>
      <c r="U594" s="619"/>
      <c r="V594" s="619"/>
      <c r="W594" s="619"/>
      <c r="X594" s="619"/>
      <c r="Y594" s="619"/>
      <c r="Z594" s="619"/>
      <c r="AA594" s="619"/>
      <c r="AB594" s="619"/>
      <c r="AC594" s="619"/>
      <c r="AD594" s="619"/>
      <c r="AE594" s="619"/>
      <c r="AF594" s="619"/>
      <c r="AG594" s="619"/>
      <c r="AH594" s="619"/>
      <c r="AI594" s="619"/>
      <c r="AJ594" s="619"/>
      <c r="AK594" s="619"/>
      <c r="AL594" s="619"/>
      <c r="AM594" s="8"/>
    </row>
    <row r="595" spans="1:39" ht="14.25" customHeight="1">
      <c r="A595" s="619"/>
      <c r="B595" s="253"/>
      <c r="C595" s="258"/>
      <c r="D595" s="262" t="s">
        <v>310</v>
      </c>
      <c r="E595" s="325">
        <f t="shared" ref="E595:H595" si="218">IFERROR(ROUND($F$514*$E$514*0.0036*E428*E86*$G$514,4),0)</f>
        <v>0</v>
      </c>
      <c r="F595" s="325">
        <f t="shared" si="218"/>
        <v>0</v>
      </c>
      <c r="G595" s="325">
        <f t="shared" si="218"/>
        <v>0</v>
      </c>
      <c r="H595" s="325">
        <f t="shared" si="218"/>
        <v>0</v>
      </c>
      <c r="I595" s="619"/>
      <c r="J595" s="619"/>
      <c r="K595" s="619"/>
      <c r="L595" s="619"/>
      <c r="M595" s="619"/>
      <c r="N595" s="619"/>
      <c r="O595" s="619"/>
      <c r="P595" s="619"/>
      <c r="Q595" s="619"/>
      <c r="R595" s="619"/>
      <c r="S595" s="619"/>
      <c r="T595" s="619"/>
      <c r="U595" s="619"/>
      <c r="V595" s="619"/>
      <c r="W595" s="619"/>
      <c r="X595" s="619"/>
      <c r="Y595" s="619"/>
      <c r="Z595" s="619"/>
      <c r="AA595" s="619"/>
      <c r="AB595" s="619"/>
      <c r="AC595" s="619"/>
      <c r="AD595" s="619"/>
      <c r="AE595" s="619"/>
      <c r="AF595" s="619"/>
      <c r="AG595" s="619"/>
      <c r="AH595" s="619"/>
      <c r="AI595" s="619"/>
      <c r="AJ595" s="619"/>
      <c r="AK595" s="619"/>
      <c r="AL595" s="619"/>
      <c r="AM595" s="8"/>
    </row>
    <row r="596" spans="1:39" ht="14.25" customHeight="1">
      <c r="A596" s="619"/>
      <c r="B596" s="253"/>
      <c r="C596" s="258"/>
      <c r="D596" s="281"/>
      <c r="E596" s="281"/>
      <c r="F596" s="281"/>
      <c r="G596" s="281"/>
      <c r="H596" s="335"/>
      <c r="I596" s="619"/>
      <c r="J596" s="619"/>
      <c r="K596" s="619"/>
      <c r="L596" s="619"/>
      <c r="M596" s="619"/>
      <c r="N596" s="619"/>
      <c r="O596" s="619"/>
      <c r="P596" s="619"/>
      <c r="Q596" s="619"/>
      <c r="R596" s="619"/>
      <c r="S596" s="619"/>
      <c r="T596" s="619"/>
      <c r="U596" s="619"/>
      <c r="V596" s="619"/>
      <c r="W596" s="619"/>
      <c r="X596" s="619"/>
      <c r="Y596" s="619"/>
      <c r="Z596" s="619"/>
      <c r="AA596" s="619"/>
      <c r="AB596" s="619"/>
      <c r="AC596" s="619"/>
      <c r="AD596" s="619"/>
      <c r="AE596" s="619"/>
      <c r="AF596" s="619"/>
      <c r="AG596" s="619"/>
      <c r="AH596" s="619"/>
      <c r="AI596" s="619"/>
      <c r="AJ596" s="619"/>
      <c r="AK596" s="619"/>
      <c r="AL596" s="619"/>
      <c r="AM596" s="8"/>
    </row>
    <row r="597" spans="1:39" ht="14.25" customHeight="1">
      <c r="A597" s="619"/>
      <c r="B597" s="619"/>
      <c r="C597" s="619"/>
      <c r="D597" s="4" t="s">
        <v>373</v>
      </c>
      <c r="E597" s="50"/>
      <c r="F597" s="50"/>
      <c r="G597" s="50"/>
      <c r="H597" s="51"/>
      <c r="I597" s="1"/>
      <c r="J597" s="619"/>
      <c r="K597" s="619"/>
      <c r="L597" s="619"/>
      <c r="M597" s="619"/>
      <c r="N597" s="619"/>
      <c r="O597" s="619"/>
      <c r="P597" s="619"/>
      <c r="Q597" s="619"/>
      <c r="R597" s="619"/>
      <c r="S597" s="619"/>
      <c r="T597" s="619"/>
      <c r="U597" s="619"/>
      <c r="V597" s="619"/>
      <c r="W597" s="619"/>
      <c r="X597" s="619"/>
      <c r="Y597" s="619"/>
      <c r="Z597" s="619"/>
      <c r="AA597" s="619"/>
      <c r="AB597" s="619"/>
      <c r="AC597" s="619"/>
      <c r="AD597" s="619"/>
      <c r="AE597" s="619"/>
      <c r="AF597" s="619"/>
      <c r="AG597" s="619"/>
      <c r="AH597" s="619"/>
      <c r="AI597" s="619"/>
      <c r="AJ597" s="619"/>
      <c r="AK597" s="619"/>
      <c r="AL597" s="619"/>
      <c r="AM597" s="8"/>
    </row>
    <row r="598" spans="1:39" ht="14.25" customHeight="1">
      <c r="A598" s="619"/>
      <c r="B598" s="619"/>
      <c r="C598" s="619"/>
      <c r="D598" s="4"/>
      <c r="E598" s="21"/>
      <c r="F598" s="21"/>
      <c r="G598" s="21"/>
      <c r="H598" s="22"/>
      <c r="I598" s="619"/>
      <c r="J598" s="619"/>
      <c r="K598" s="619"/>
      <c r="L598" s="619"/>
      <c r="M598" s="619"/>
      <c r="N598" s="619"/>
      <c r="O598" s="619"/>
      <c r="P598" s="619"/>
      <c r="Q598" s="619"/>
      <c r="R598" s="619"/>
      <c r="S598" s="619"/>
      <c r="T598" s="619"/>
      <c r="U598" s="619"/>
      <c r="V598" s="619"/>
      <c r="W598" s="619"/>
      <c r="X598" s="619"/>
      <c r="Y598" s="619"/>
      <c r="Z598" s="619"/>
      <c r="AA598" s="619"/>
      <c r="AB598" s="619"/>
      <c r="AC598" s="619"/>
      <c r="AD598" s="619"/>
      <c r="AE598" s="619"/>
      <c r="AF598" s="619"/>
      <c r="AG598" s="619"/>
      <c r="AH598" s="619"/>
      <c r="AI598" s="619"/>
      <c r="AJ598" s="619"/>
      <c r="AK598" s="619"/>
      <c r="AL598" s="619"/>
      <c r="AM598" s="8"/>
    </row>
    <row r="599" spans="1:39" ht="14.25" customHeight="1">
      <c r="A599" s="619"/>
      <c r="B599" s="619"/>
      <c r="C599" s="8"/>
      <c r="D599" s="12" t="s">
        <v>95</v>
      </c>
      <c r="E599" s="5"/>
      <c r="F599" s="5"/>
      <c r="G599" s="5"/>
      <c r="H599" s="5"/>
      <c r="I599" s="619"/>
      <c r="J599" s="619"/>
      <c r="K599" s="619"/>
      <c r="L599" s="619"/>
      <c r="M599" s="619"/>
      <c r="N599" s="619"/>
      <c r="O599" s="619"/>
      <c r="P599" s="619"/>
      <c r="Q599" s="619"/>
      <c r="R599" s="619"/>
      <c r="S599" s="619"/>
      <c r="T599" s="619"/>
      <c r="U599" s="619"/>
      <c r="V599" s="619"/>
      <c r="W599" s="619"/>
      <c r="X599" s="619"/>
      <c r="Y599" s="619"/>
      <c r="Z599" s="619"/>
      <c r="AA599" s="619"/>
      <c r="AB599" s="619"/>
      <c r="AC599" s="619"/>
      <c r="AD599" s="619"/>
      <c r="AE599" s="619"/>
      <c r="AF599" s="619"/>
      <c r="AG599" s="619"/>
      <c r="AH599" s="619"/>
      <c r="AI599" s="619"/>
      <c r="AJ599" s="619"/>
      <c r="AK599" s="619"/>
      <c r="AL599" s="619"/>
      <c r="AM599" s="8"/>
    </row>
    <row r="600" spans="1:39" ht="14.25" customHeight="1">
      <c r="A600" s="619"/>
      <c r="B600" s="619"/>
      <c r="C600" s="8"/>
      <c r="D600" s="4"/>
      <c r="E600" s="5"/>
      <c r="F600" s="5"/>
      <c r="G600" s="5"/>
      <c r="H600" s="5"/>
      <c r="I600" s="619"/>
      <c r="J600" s="619"/>
      <c r="K600" s="619"/>
      <c r="L600" s="619"/>
      <c r="M600" s="619"/>
      <c r="N600" s="619"/>
      <c r="O600" s="619"/>
      <c r="P600" s="619"/>
      <c r="Q600" s="619"/>
      <c r="R600" s="619"/>
      <c r="S600" s="619"/>
      <c r="T600" s="619"/>
      <c r="U600" s="619"/>
      <c r="V600" s="619"/>
      <c r="W600" s="619"/>
      <c r="X600" s="619"/>
      <c r="Y600" s="619"/>
      <c r="Z600" s="619"/>
      <c r="AA600" s="619"/>
      <c r="AB600" s="619"/>
      <c r="AC600" s="619"/>
      <c r="AD600" s="619"/>
      <c r="AE600" s="619"/>
      <c r="AF600" s="619"/>
      <c r="AG600" s="619"/>
      <c r="AH600" s="619"/>
      <c r="AI600" s="619"/>
      <c r="AJ600" s="619"/>
      <c r="AK600" s="619"/>
      <c r="AL600" s="619"/>
      <c r="AM600" s="8"/>
    </row>
    <row r="601" spans="1:39" ht="19.5" customHeight="1">
      <c r="A601" s="619"/>
      <c r="B601" s="619"/>
      <c r="C601" s="8"/>
      <c r="D601" s="237" t="s">
        <v>374</v>
      </c>
      <c r="E601" s="241">
        <f>(G601*I601*K601*M601)/(I602*K602*M602)</f>
        <v>0.61960000000000004</v>
      </c>
      <c r="F601" s="239" t="s">
        <v>97</v>
      </c>
      <c r="G601" s="13">
        <v>1</v>
      </c>
      <c r="H601" s="240" t="s">
        <v>375</v>
      </c>
      <c r="I601" s="13">
        <v>1000000</v>
      </c>
      <c r="J601" s="5" t="s">
        <v>376</v>
      </c>
      <c r="K601" s="14">
        <v>0.61960000000000004</v>
      </c>
      <c r="L601" s="619" t="s">
        <v>107</v>
      </c>
      <c r="M601" s="619">
        <v>1</v>
      </c>
      <c r="N601" s="619" t="s">
        <v>97</v>
      </c>
      <c r="O601" s="619"/>
      <c r="P601" s="619"/>
      <c r="Q601" s="619"/>
      <c r="R601" s="619"/>
      <c r="S601" s="619"/>
      <c r="T601" s="619"/>
      <c r="U601" s="619"/>
      <c r="V601" s="619"/>
      <c r="W601" s="619"/>
      <c r="X601" s="619"/>
      <c r="Y601" s="619"/>
      <c r="Z601" s="619"/>
      <c r="AA601" s="619"/>
      <c r="AB601" s="619"/>
      <c r="AC601" s="619"/>
      <c r="AD601" s="619"/>
      <c r="AE601" s="619"/>
      <c r="AF601" s="619"/>
      <c r="AG601" s="619"/>
      <c r="AH601" s="619"/>
      <c r="AI601" s="619"/>
      <c r="AJ601" s="619"/>
      <c r="AK601" s="619"/>
      <c r="AL601" s="619"/>
      <c r="AM601" s="8"/>
    </row>
    <row r="602" spans="1:39" ht="14.25" customHeight="1">
      <c r="A602" s="619"/>
      <c r="B602" s="619"/>
      <c r="C602" s="8"/>
      <c r="D602" s="4"/>
      <c r="E602" s="8"/>
      <c r="F602" s="8"/>
      <c r="G602" s="5"/>
      <c r="H602" s="5"/>
      <c r="I602" s="13">
        <v>1</v>
      </c>
      <c r="J602" s="5" t="s">
        <v>375</v>
      </c>
      <c r="K602" s="619">
        <v>1000</v>
      </c>
      <c r="L602" s="5" t="s">
        <v>376</v>
      </c>
      <c r="M602" s="619">
        <v>1000</v>
      </c>
      <c r="N602" s="619" t="s">
        <v>107</v>
      </c>
      <c r="O602" s="619"/>
      <c r="P602" s="619"/>
      <c r="Q602" s="619"/>
      <c r="R602" s="619"/>
      <c r="S602" s="619"/>
      <c r="T602" s="619"/>
      <c r="U602" s="619"/>
      <c r="V602" s="619"/>
      <c r="W602" s="619"/>
      <c r="X602" s="619"/>
      <c r="Y602" s="619"/>
      <c r="Z602" s="619"/>
      <c r="AA602" s="619"/>
      <c r="AB602" s="619"/>
      <c r="AC602" s="619"/>
      <c r="AD602" s="619"/>
      <c r="AE602" s="619"/>
      <c r="AF602" s="619"/>
      <c r="AG602" s="619"/>
      <c r="AH602" s="619"/>
      <c r="AI602" s="619"/>
      <c r="AJ602" s="619"/>
      <c r="AK602" s="619"/>
      <c r="AL602" s="619"/>
      <c r="AM602" s="8"/>
    </row>
    <row r="603" spans="1:39" ht="14.25" customHeight="1">
      <c r="A603" s="619"/>
      <c r="B603" s="619"/>
      <c r="C603" s="619"/>
      <c r="D603" s="4"/>
      <c r="E603" s="21"/>
      <c r="F603" s="21"/>
      <c r="G603" s="21"/>
      <c r="H603" s="22"/>
      <c r="I603" s="619"/>
      <c r="J603" s="619"/>
      <c r="K603" s="619"/>
      <c r="L603" s="619"/>
      <c r="M603" s="619"/>
      <c r="N603" s="619"/>
      <c r="O603" s="619"/>
      <c r="P603" s="619"/>
      <c r="Q603" s="619"/>
      <c r="R603" s="619"/>
      <c r="S603" s="619"/>
      <c r="T603" s="619"/>
      <c r="U603" s="619"/>
      <c r="V603" s="619"/>
      <c r="W603" s="619"/>
      <c r="X603" s="619"/>
      <c r="Y603" s="619"/>
      <c r="Z603" s="619"/>
      <c r="AA603" s="619"/>
      <c r="AB603" s="619"/>
      <c r="AC603" s="619"/>
      <c r="AD603" s="619"/>
      <c r="AE603" s="619"/>
      <c r="AF603" s="619"/>
      <c r="AG603" s="619"/>
      <c r="AH603" s="619"/>
      <c r="AI603" s="619"/>
      <c r="AJ603" s="619"/>
      <c r="AK603" s="619"/>
      <c r="AL603" s="619"/>
      <c r="AM603" s="8"/>
    </row>
    <row r="604" spans="1:39" ht="18" customHeight="1">
      <c r="A604" s="619"/>
      <c r="B604" s="619"/>
      <c r="C604" s="619"/>
      <c r="D604" s="237" t="s">
        <v>108</v>
      </c>
      <c r="E604" s="241">
        <f>(G604*I604*K604*M604*O604)/(I605*K605*M605*O605)</f>
        <v>5.8065553845323302E-3</v>
      </c>
      <c r="F604" s="239" t="s">
        <v>109</v>
      </c>
      <c r="G604" s="13">
        <v>1</v>
      </c>
      <c r="H604" s="240" t="s">
        <v>97</v>
      </c>
      <c r="I604" s="13">
        <v>1000</v>
      </c>
      <c r="J604" s="5" t="s">
        <v>107</v>
      </c>
      <c r="K604" s="13">
        <v>1</v>
      </c>
      <c r="L604" s="5" t="s">
        <v>110</v>
      </c>
      <c r="M604" s="242">
        <v>41.84</v>
      </c>
      <c r="N604" s="5" t="s">
        <v>111</v>
      </c>
      <c r="O604" s="13">
        <v>1</v>
      </c>
      <c r="P604" s="5" t="s">
        <v>109</v>
      </c>
      <c r="Q604" s="619"/>
      <c r="R604" s="619"/>
      <c r="S604" s="619"/>
      <c r="T604" s="619"/>
      <c r="U604" s="619"/>
      <c r="V604" s="619"/>
      <c r="W604" s="619"/>
      <c r="X604" s="619"/>
      <c r="Y604" s="619"/>
      <c r="Z604" s="619"/>
      <c r="AA604" s="619"/>
      <c r="AB604" s="619"/>
      <c r="AC604" s="619"/>
      <c r="AD604" s="619"/>
      <c r="AE604" s="619"/>
      <c r="AF604" s="619"/>
      <c r="AG604" s="619"/>
      <c r="AH604" s="619"/>
      <c r="AI604" s="619"/>
      <c r="AJ604" s="619"/>
      <c r="AK604" s="619"/>
      <c r="AL604" s="619"/>
      <c r="AM604" s="8"/>
    </row>
    <row r="605" spans="1:39" ht="14.25" customHeight="1">
      <c r="A605" s="619"/>
      <c r="B605" s="619"/>
      <c r="C605" s="619"/>
      <c r="D605" s="4"/>
      <c r="E605" s="8"/>
      <c r="F605" s="8"/>
      <c r="G605" s="8"/>
      <c r="H605" s="8"/>
      <c r="I605" s="13">
        <v>1</v>
      </c>
      <c r="J605" s="5" t="s">
        <v>97</v>
      </c>
      <c r="K605" s="243">
        <v>7.2056490000000002</v>
      </c>
      <c r="L605" s="5" t="s">
        <v>107</v>
      </c>
      <c r="M605" s="13">
        <v>1000</v>
      </c>
      <c r="N605" s="5" t="s">
        <v>110</v>
      </c>
      <c r="O605" s="13">
        <v>1000</v>
      </c>
      <c r="P605" s="5" t="s">
        <v>111</v>
      </c>
      <c r="Q605" s="619"/>
      <c r="R605" s="619"/>
      <c r="S605" s="619"/>
      <c r="T605" s="619"/>
      <c r="U605" s="619"/>
      <c r="V605" s="619"/>
      <c r="W605" s="619"/>
      <c r="X605" s="619"/>
      <c r="Y605" s="619"/>
      <c r="Z605" s="619"/>
      <c r="AA605" s="619"/>
      <c r="AB605" s="619"/>
      <c r="AC605" s="619"/>
      <c r="AD605" s="619"/>
      <c r="AE605" s="619"/>
      <c r="AF605" s="619"/>
      <c r="AG605" s="619"/>
      <c r="AH605" s="619"/>
      <c r="AI605" s="619"/>
      <c r="AJ605" s="619"/>
      <c r="AK605" s="619"/>
      <c r="AL605" s="619"/>
      <c r="AM605" s="8"/>
    </row>
    <row r="606" spans="1:39" ht="14.25" customHeight="1">
      <c r="A606" s="619"/>
      <c r="B606" s="619"/>
      <c r="C606" s="619"/>
      <c r="D606" s="4"/>
      <c r="E606" s="21">
        <f>E601*E604</f>
        <v>3.5977417162562321E-3</v>
      </c>
      <c r="F606" s="21"/>
      <c r="G606" s="21"/>
      <c r="H606" s="22"/>
      <c r="I606" s="619"/>
      <c r="J606" s="619"/>
      <c r="K606" s="619"/>
      <c r="L606" s="619"/>
      <c r="M606" s="619"/>
      <c r="N606" s="619"/>
      <c r="O606" s="619"/>
      <c r="P606" s="619"/>
      <c r="Q606" s="619"/>
      <c r="R606" s="619"/>
      <c r="S606" s="619"/>
      <c r="T606" s="619"/>
      <c r="U606" s="619"/>
      <c r="V606" s="619"/>
      <c r="W606" s="619"/>
      <c r="X606" s="619"/>
      <c r="Y606" s="619"/>
      <c r="Z606" s="619"/>
      <c r="AA606" s="619"/>
      <c r="AB606" s="619"/>
      <c r="AC606" s="619"/>
      <c r="AD606" s="619"/>
      <c r="AE606" s="619"/>
      <c r="AF606" s="619"/>
      <c r="AG606" s="619"/>
      <c r="AH606" s="619"/>
      <c r="AI606" s="619"/>
      <c r="AJ606" s="619"/>
      <c r="AK606" s="619"/>
      <c r="AL606" s="619"/>
      <c r="AM606" s="8"/>
    </row>
    <row r="607" spans="1:39" ht="14.25" customHeight="1">
      <c r="A607" s="619"/>
      <c r="B607" s="619"/>
      <c r="C607" s="619"/>
      <c r="D607" s="4"/>
      <c r="E607" s="21"/>
      <c r="F607" s="21"/>
      <c r="G607" s="21"/>
      <c r="H607" s="22"/>
      <c r="I607" s="619"/>
      <c r="J607" s="619"/>
      <c r="K607" s="619"/>
      <c r="L607" s="619"/>
      <c r="M607" s="619"/>
      <c r="N607" s="619"/>
      <c r="O607" s="619"/>
      <c r="P607" s="619"/>
      <c r="Q607" s="619"/>
      <c r="R607" s="619"/>
      <c r="S607" s="619"/>
      <c r="T607" s="619"/>
      <c r="U607" s="619"/>
      <c r="V607" s="619"/>
      <c r="W607" s="619"/>
      <c r="X607" s="619"/>
      <c r="Y607" s="619"/>
      <c r="Z607" s="619"/>
      <c r="AA607" s="619"/>
      <c r="AB607" s="619"/>
      <c r="AC607" s="619"/>
      <c r="AD607" s="619"/>
      <c r="AE607" s="619"/>
      <c r="AF607" s="619"/>
      <c r="AG607" s="619"/>
      <c r="AH607" s="619"/>
      <c r="AI607" s="619"/>
      <c r="AJ607" s="619"/>
      <c r="AK607" s="619"/>
      <c r="AL607" s="619"/>
      <c r="AM607" s="8"/>
    </row>
    <row r="608" spans="1:39" ht="14.25" customHeight="1">
      <c r="A608" s="619"/>
      <c r="B608" s="619"/>
      <c r="C608" s="619"/>
      <c r="D608" s="4"/>
      <c r="E608" s="21"/>
      <c r="F608" s="21"/>
      <c r="G608" s="21"/>
      <c r="H608" s="22"/>
      <c r="I608" s="619"/>
      <c r="J608" s="619"/>
      <c r="K608" s="619"/>
      <c r="L608" s="619"/>
      <c r="M608" s="619"/>
      <c r="N608" s="619"/>
      <c r="O608" s="619"/>
      <c r="P608" s="619"/>
      <c r="Q608" s="619"/>
      <c r="R608" s="619"/>
      <c r="S608" s="619"/>
      <c r="T608" s="619"/>
      <c r="U608" s="619"/>
      <c r="V608" s="619"/>
      <c r="W608" s="619"/>
      <c r="X608" s="619"/>
      <c r="Y608" s="619"/>
      <c r="Z608" s="619"/>
      <c r="AA608" s="619"/>
      <c r="AB608" s="619"/>
      <c r="AC608" s="619"/>
      <c r="AD608" s="619"/>
      <c r="AE608" s="619"/>
      <c r="AF608" s="619"/>
      <c r="AG608" s="619"/>
      <c r="AH608" s="619"/>
      <c r="AI608" s="619"/>
      <c r="AJ608" s="619"/>
      <c r="AK608" s="619"/>
      <c r="AL608" s="619"/>
      <c r="AM608" s="8"/>
    </row>
    <row r="609" spans="1:51" ht="14.25" customHeight="1">
      <c r="A609" s="619"/>
      <c r="B609" s="619"/>
      <c r="C609" s="619"/>
      <c r="D609" s="4"/>
      <c r="E609" s="21"/>
      <c r="F609" s="21"/>
      <c r="G609" s="21"/>
      <c r="H609" s="22"/>
      <c r="I609" s="619"/>
      <c r="J609" s="619"/>
      <c r="K609" s="619"/>
      <c r="L609" s="619"/>
      <c r="M609" s="619"/>
      <c r="N609" s="619"/>
      <c r="O609" s="619"/>
      <c r="P609" s="619"/>
      <c r="Q609" s="619"/>
      <c r="R609" s="619"/>
      <c r="S609" s="619"/>
      <c r="T609" s="619"/>
      <c r="U609" s="619"/>
      <c r="V609" s="619"/>
      <c r="W609" s="619"/>
      <c r="X609" s="619"/>
      <c r="Y609" s="619"/>
      <c r="Z609" s="619"/>
      <c r="AA609" s="619"/>
      <c r="AB609" s="619"/>
      <c r="AC609" s="619"/>
      <c r="AD609" s="619"/>
      <c r="AE609" s="619"/>
      <c r="AF609" s="619"/>
      <c r="AG609" s="619"/>
      <c r="AH609" s="619"/>
      <c r="AI609" s="619"/>
      <c r="AJ609" s="619"/>
      <c r="AK609" s="619"/>
      <c r="AL609" s="619"/>
      <c r="AM609" s="8"/>
      <c r="AN609" s="8"/>
      <c r="AO609" s="8"/>
      <c r="AP609" s="8"/>
      <c r="AQ609" s="8"/>
      <c r="AR609" s="8"/>
      <c r="AS609" s="8"/>
      <c r="AT609" s="8"/>
      <c r="AU609" s="8"/>
      <c r="AV609" s="8"/>
      <c r="AW609" s="8"/>
      <c r="AX609" s="8"/>
      <c r="AY609" s="8"/>
    </row>
    <row r="610" spans="1:51" ht="14.25" customHeight="1">
      <c r="A610" s="619"/>
      <c r="B610" s="619"/>
      <c r="C610" s="619">
        <v>1</v>
      </c>
      <c r="D610" s="4">
        <v>2</v>
      </c>
      <c r="E610" s="21">
        <v>3</v>
      </c>
      <c r="F610" s="619">
        <v>4</v>
      </c>
      <c r="G610" s="4">
        <v>5</v>
      </c>
      <c r="H610" s="21">
        <v>6</v>
      </c>
      <c r="I610" s="619">
        <v>7</v>
      </c>
      <c r="J610" s="4">
        <v>8</v>
      </c>
      <c r="K610" s="21">
        <v>9</v>
      </c>
      <c r="L610" s="619">
        <v>10</v>
      </c>
      <c r="M610" s="4">
        <v>11</v>
      </c>
      <c r="N610" s="21">
        <v>12</v>
      </c>
      <c r="O610" s="619">
        <v>13</v>
      </c>
      <c r="P610" s="4">
        <v>14</v>
      </c>
      <c r="Q610" s="21">
        <v>15</v>
      </c>
      <c r="R610" s="619">
        <v>16</v>
      </c>
      <c r="S610" s="4">
        <v>17</v>
      </c>
      <c r="T610" s="21">
        <v>18</v>
      </c>
      <c r="U610" s="619">
        <v>19</v>
      </c>
      <c r="V610" s="4">
        <v>20</v>
      </c>
      <c r="W610" s="21">
        <v>21</v>
      </c>
      <c r="X610" s="619">
        <v>22</v>
      </c>
      <c r="Y610" s="4">
        <v>23</v>
      </c>
      <c r="Z610" s="21">
        <v>24</v>
      </c>
      <c r="AA610" s="619">
        <v>25</v>
      </c>
      <c r="AB610" s="4">
        <v>26</v>
      </c>
      <c r="AC610" s="21">
        <v>27</v>
      </c>
      <c r="AD610" s="619">
        <v>28</v>
      </c>
      <c r="AE610" s="4">
        <v>29</v>
      </c>
      <c r="AF610" s="21">
        <v>30</v>
      </c>
      <c r="AG610" s="619">
        <v>31</v>
      </c>
      <c r="AH610" s="4">
        <v>32</v>
      </c>
      <c r="AI610" s="21">
        <v>33</v>
      </c>
      <c r="AJ610" s="619">
        <v>34</v>
      </c>
      <c r="AK610" s="4">
        <v>35</v>
      </c>
      <c r="AL610" s="21">
        <v>36</v>
      </c>
      <c r="AM610" s="619">
        <v>37</v>
      </c>
      <c r="AN610" s="4">
        <v>38</v>
      </c>
      <c r="AO610" s="21">
        <v>39</v>
      </c>
      <c r="AP610" s="619">
        <v>40</v>
      </c>
      <c r="AQ610" s="4">
        <v>41</v>
      </c>
      <c r="AR610" s="21">
        <v>42</v>
      </c>
      <c r="AS610" s="619">
        <v>43</v>
      </c>
      <c r="AT610" s="4">
        <v>44</v>
      </c>
      <c r="AU610" s="21">
        <v>45</v>
      </c>
      <c r="AV610" s="619">
        <v>46</v>
      </c>
      <c r="AW610" s="4">
        <v>47</v>
      </c>
      <c r="AX610" s="21">
        <v>48</v>
      </c>
      <c r="AY610" s="619">
        <v>49</v>
      </c>
    </row>
    <row r="611" spans="1:51" ht="14.25" customHeight="1">
      <c r="A611" s="619"/>
      <c r="B611" s="619"/>
      <c r="C611" s="619"/>
      <c r="D611" s="4"/>
      <c r="E611" s="21"/>
      <c r="F611" s="21"/>
      <c r="G611" s="21"/>
      <c r="H611" s="22"/>
      <c r="I611" s="619"/>
      <c r="J611" s="619"/>
      <c r="K611" s="619"/>
      <c r="L611" s="619"/>
      <c r="M611" s="619"/>
      <c r="N611" s="619"/>
      <c r="O611" s="619"/>
      <c r="P611" s="619"/>
      <c r="Q611" s="619"/>
      <c r="R611" s="619"/>
      <c r="S611" s="619"/>
      <c r="T611" s="619"/>
      <c r="U611" s="619"/>
      <c r="V611" s="619"/>
      <c r="W611" s="619"/>
      <c r="X611" s="619"/>
      <c r="Y611" s="619"/>
      <c r="Z611" s="619"/>
      <c r="AA611" s="619"/>
      <c r="AB611" s="619"/>
      <c r="AC611" s="619"/>
      <c r="AD611" s="619"/>
      <c r="AE611" s="619"/>
      <c r="AF611" s="619"/>
      <c r="AG611" s="619"/>
      <c r="AH611" s="619"/>
      <c r="AI611" s="619"/>
      <c r="AJ611" s="619"/>
      <c r="AK611" s="619"/>
      <c r="AL611" s="619"/>
      <c r="AM611" s="8"/>
      <c r="AN611" s="8"/>
      <c r="AO611" s="8"/>
      <c r="AP611" s="8"/>
      <c r="AQ611" s="8"/>
      <c r="AR611" s="8"/>
      <c r="AS611" s="8"/>
      <c r="AT611" s="8"/>
      <c r="AU611" s="8"/>
      <c r="AV611" s="8"/>
      <c r="AW611" s="8"/>
      <c r="AX611" s="8"/>
      <c r="AY611" s="8"/>
    </row>
    <row r="612" spans="1:51" ht="14.25" customHeight="1">
      <c r="A612" s="619"/>
      <c r="B612" s="619"/>
      <c r="C612" s="619"/>
      <c r="D612" s="4"/>
      <c r="E612" s="21"/>
      <c r="F612" s="21"/>
      <c r="G612" s="21"/>
      <c r="H612" s="22"/>
      <c r="I612" s="619"/>
      <c r="J612" s="619"/>
      <c r="K612" s="619"/>
      <c r="L612" s="619"/>
      <c r="M612" s="619"/>
      <c r="N612" s="619"/>
      <c r="O612" s="619"/>
      <c r="P612" s="619"/>
      <c r="Q612" s="619"/>
      <c r="R612" s="619"/>
      <c r="S612" s="619"/>
      <c r="T612" s="619"/>
      <c r="U612" s="619"/>
      <c r="V612" s="619"/>
      <c r="W612" s="619"/>
      <c r="X612" s="619"/>
      <c r="Y612" s="619"/>
      <c r="Z612" s="619"/>
      <c r="AA612" s="619"/>
      <c r="AB612" s="619"/>
      <c r="AC612" s="619"/>
      <c r="AD612" s="619"/>
      <c r="AE612" s="619"/>
      <c r="AF612" s="619"/>
      <c r="AG612" s="619"/>
      <c r="AH612" s="619"/>
      <c r="AI612" s="619"/>
      <c r="AJ612" s="619"/>
      <c r="AK612" s="619"/>
      <c r="AL612" s="619"/>
      <c r="AM612" s="8"/>
      <c r="AN612" s="8"/>
      <c r="AO612" s="8"/>
      <c r="AP612" s="8"/>
      <c r="AQ612" s="8"/>
      <c r="AR612" s="8"/>
      <c r="AS612" s="8"/>
      <c r="AT612" s="8"/>
      <c r="AU612" s="8"/>
      <c r="AV612" s="8"/>
      <c r="AW612" s="8"/>
      <c r="AX612" s="8"/>
      <c r="AY612" s="8"/>
    </row>
    <row r="613" spans="1:51" ht="14.25" customHeight="1">
      <c r="A613" s="619"/>
      <c r="B613" s="619"/>
      <c r="C613" s="619"/>
      <c r="D613" s="4"/>
      <c r="E613" s="21"/>
      <c r="F613" s="21"/>
      <c r="G613" s="21"/>
      <c r="H613" s="22"/>
      <c r="I613" s="619"/>
      <c r="J613" s="619"/>
      <c r="K613" s="619"/>
      <c r="L613" s="619"/>
      <c r="M613" s="619"/>
      <c r="N613" s="619"/>
      <c r="O613" s="619"/>
      <c r="P613" s="619"/>
      <c r="Q613" s="619"/>
      <c r="R613" s="619"/>
      <c r="S613" s="619"/>
      <c r="T613" s="619"/>
      <c r="U613" s="619"/>
      <c r="V613" s="619"/>
      <c r="W613" s="619"/>
      <c r="X613" s="619"/>
      <c r="Y613" s="619"/>
      <c r="Z613" s="619"/>
      <c r="AA613" s="619"/>
      <c r="AB613" s="619"/>
      <c r="AC613" s="619"/>
      <c r="AD613" s="619"/>
      <c r="AE613" s="619"/>
      <c r="AF613" s="619"/>
      <c r="AG613" s="619"/>
      <c r="AH613" s="619"/>
      <c r="AI613" s="619"/>
      <c r="AJ613" s="619"/>
      <c r="AK613" s="619"/>
      <c r="AL613" s="619"/>
      <c r="AM613" s="8"/>
      <c r="AN613" s="8"/>
      <c r="AO613" s="8"/>
      <c r="AP613" s="8"/>
      <c r="AQ613" s="8"/>
      <c r="AR613" s="8"/>
      <c r="AS613" s="8"/>
      <c r="AT613" s="8"/>
      <c r="AU613" s="8"/>
      <c r="AV613" s="8"/>
      <c r="AW613" s="8"/>
      <c r="AX613" s="8"/>
      <c r="AY613" s="8"/>
    </row>
    <row r="614" spans="1:51" ht="14.25" customHeight="1">
      <c r="A614" s="619"/>
      <c r="B614" s="619"/>
      <c r="C614" s="619"/>
      <c r="D614" s="4"/>
      <c r="E614" s="21"/>
      <c r="F614" s="21"/>
      <c r="G614" s="21"/>
      <c r="H614" s="22"/>
      <c r="I614" s="619"/>
      <c r="J614" s="619"/>
      <c r="K614" s="619"/>
      <c r="L614" s="619"/>
      <c r="M614" s="619"/>
      <c r="N614" s="619"/>
      <c r="O614" s="619"/>
      <c r="P614" s="619"/>
      <c r="Q614" s="619"/>
      <c r="R614" s="619"/>
      <c r="S614" s="619"/>
      <c r="T614" s="619"/>
      <c r="U614" s="619"/>
      <c r="V614" s="619"/>
      <c r="W614" s="619"/>
      <c r="X614" s="619"/>
      <c r="Y614" s="619"/>
      <c r="Z614" s="619"/>
      <c r="AA614" s="619"/>
      <c r="AB614" s="619"/>
      <c r="AC614" s="619"/>
      <c r="AD614" s="619"/>
      <c r="AE614" s="619"/>
      <c r="AF614" s="619"/>
      <c r="AG614" s="619"/>
      <c r="AH614" s="619"/>
      <c r="AI614" s="619"/>
      <c r="AJ614" s="619"/>
      <c r="AK614" s="619"/>
      <c r="AL614" s="619"/>
      <c r="AM614" s="8"/>
      <c r="AN614" s="8"/>
      <c r="AO614" s="8"/>
      <c r="AP614" s="8"/>
      <c r="AQ614" s="8"/>
      <c r="AR614" s="8"/>
      <c r="AS614" s="8"/>
      <c r="AT614" s="8"/>
      <c r="AU614" s="8"/>
      <c r="AV614" s="8"/>
      <c r="AW614" s="8"/>
      <c r="AX614" s="8"/>
      <c r="AY614" s="8"/>
    </row>
    <row r="615" spans="1:51" ht="14.25" customHeight="1">
      <c r="A615" s="619"/>
      <c r="B615" s="619"/>
      <c r="C615" s="619"/>
      <c r="D615" s="4"/>
      <c r="E615" s="21"/>
      <c r="F615" s="21"/>
      <c r="G615" s="21"/>
      <c r="H615" s="22"/>
      <c r="I615" s="619"/>
      <c r="J615" s="619"/>
      <c r="K615" s="619"/>
      <c r="L615" s="619"/>
      <c r="M615" s="619"/>
      <c r="N615" s="619"/>
      <c r="O615" s="619"/>
      <c r="P615" s="619"/>
      <c r="Q615" s="619"/>
      <c r="R615" s="619"/>
      <c r="S615" s="619"/>
      <c r="T615" s="619"/>
      <c r="U615" s="619"/>
      <c r="V615" s="619"/>
      <c r="W615" s="619"/>
      <c r="X615" s="619"/>
      <c r="Y615" s="619"/>
      <c r="Z615" s="619"/>
      <c r="AA615" s="619"/>
      <c r="AB615" s="619"/>
      <c r="AC615" s="619"/>
      <c r="AD615" s="619"/>
      <c r="AE615" s="619"/>
      <c r="AF615" s="619"/>
      <c r="AG615" s="619"/>
      <c r="AH615" s="619"/>
      <c r="AI615" s="619"/>
      <c r="AJ615" s="619"/>
      <c r="AK615" s="619"/>
      <c r="AL615" s="619"/>
      <c r="AM615" s="8"/>
      <c r="AN615" s="8"/>
      <c r="AO615" s="8"/>
      <c r="AP615" s="8"/>
      <c r="AQ615" s="8"/>
      <c r="AR615" s="8"/>
      <c r="AS615" s="8"/>
      <c r="AT615" s="8"/>
      <c r="AU615" s="8"/>
      <c r="AV615" s="8"/>
      <c r="AW615" s="8"/>
      <c r="AX615" s="8"/>
      <c r="AY615" s="8"/>
    </row>
    <row r="616" spans="1:51" ht="14.25" customHeight="1">
      <c r="A616" s="619"/>
      <c r="B616" s="619"/>
      <c r="C616" s="619"/>
      <c r="D616" s="4"/>
      <c r="E616" s="21"/>
      <c r="F616" s="21"/>
      <c r="G616" s="21"/>
      <c r="H616" s="22"/>
      <c r="I616" s="619"/>
      <c r="J616" s="619"/>
      <c r="K616" s="619"/>
      <c r="L616" s="619"/>
      <c r="M616" s="619"/>
      <c r="N616" s="619"/>
      <c r="O616" s="619"/>
      <c r="P616" s="619"/>
      <c r="Q616" s="619"/>
      <c r="R616" s="619"/>
      <c r="S616" s="619"/>
      <c r="T616" s="619"/>
      <c r="U616" s="619"/>
      <c r="V616" s="619"/>
      <c r="W616" s="619"/>
      <c r="X616" s="619"/>
      <c r="Y616" s="619"/>
      <c r="Z616" s="619"/>
      <c r="AA616" s="619"/>
      <c r="AB616" s="619"/>
      <c r="AC616" s="619"/>
      <c r="AD616" s="619"/>
      <c r="AE616" s="619"/>
      <c r="AF616" s="619"/>
      <c r="AG616" s="619"/>
      <c r="AH616" s="619"/>
      <c r="AI616" s="619"/>
      <c r="AJ616" s="619"/>
      <c r="AK616" s="619"/>
      <c r="AL616" s="619"/>
      <c r="AM616" s="8"/>
      <c r="AN616" s="8"/>
      <c r="AO616" s="8"/>
      <c r="AP616" s="8"/>
      <c r="AQ616" s="8"/>
      <c r="AR616" s="8"/>
      <c r="AS616" s="8"/>
      <c r="AT616" s="8"/>
      <c r="AU616" s="8"/>
      <c r="AV616" s="8"/>
      <c r="AW616" s="8"/>
      <c r="AX616" s="8"/>
      <c r="AY616" s="8"/>
    </row>
    <row r="617" spans="1:51" ht="14.25" customHeight="1">
      <c r="A617" s="619"/>
      <c r="B617" s="619"/>
      <c r="C617" s="619"/>
      <c r="D617" s="4"/>
      <c r="E617" s="21"/>
      <c r="F617" s="21"/>
      <c r="G617" s="21"/>
      <c r="H617" s="22"/>
      <c r="I617" s="619"/>
      <c r="J617" s="619"/>
      <c r="K617" s="619"/>
      <c r="L617" s="619"/>
      <c r="M617" s="619"/>
      <c r="N617" s="619"/>
      <c r="O617" s="619"/>
      <c r="P617" s="619"/>
      <c r="Q617" s="619"/>
      <c r="R617" s="619"/>
      <c r="S617" s="619"/>
      <c r="T617" s="619"/>
      <c r="U617" s="619"/>
      <c r="V617" s="619"/>
      <c r="W617" s="619"/>
      <c r="X617" s="619"/>
      <c r="Y617" s="619"/>
      <c r="Z617" s="619"/>
      <c r="AA617" s="619"/>
      <c r="AB617" s="619"/>
      <c r="AC617" s="619"/>
      <c r="AD617" s="619"/>
      <c r="AE617" s="619"/>
      <c r="AF617" s="619"/>
      <c r="AG617" s="619"/>
      <c r="AH617" s="619"/>
      <c r="AI617" s="619"/>
      <c r="AJ617" s="619"/>
      <c r="AK617" s="619"/>
      <c r="AL617" s="619"/>
      <c r="AM617" s="8"/>
      <c r="AN617" s="8"/>
      <c r="AO617" s="8"/>
      <c r="AP617" s="8"/>
      <c r="AQ617" s="8"/>
      <c r="AR617" s="8"/>
      <c r="AS617" s="8"/>
      <c r="AT617" s="8"/>
      <c r="AU617" s="8"/>
      <c r="AV617" s="8"/>
      <c r="AW617" s="8"/>
      <c r="AX617" s="8"/>
      <c r="AY617" s="8"/>
    </row>
    <row r="618" spans="1:51" ht="14.25" customHeight="1">
      <c r="A618" s="619"/>
      <c r="B618" s="619"/>
      <c r="C618" s="619"/>
      <c r="D618" s="4"/>
      <c r="E618" s="21"/>
      <c r="F618" s="21"/>
      <c r="G618" s="21"/>
      <c r="H618" s="22"/>
      <c r="I618" s="619"/>
      <c r="J618" s="619"/>
      <c r="K618" s="619"/>
      <c r="L618" s="619"/>
      <c r="M618" s="619"/>
      <c r="N618" s="619"/>
      <c r="O618" s="619"/>
      <c r="P618" s="619"/>
      <c r="Q618" s="619"/>
      <c r="R618" s="619"/>
      <c r="S618" s="619"/>
      <c r="T618" s="619"/>
      <c r="U618" s="619"/>
      <c r="V618" s="619"/>
      <c r="W618" s="619"/>
      <c r="X618" s="619"/>
      <c r="Y618" s="619"/>
      <c r="Z618" s="619"/>
      <c r="AA618" s="619"/>
      <c r="AB618" s="619"/>
      <c r="AC618" s="619"/>
      <c r="AD618" s="619"/>
      <c r="AE618" s="619"/>
      <c r="AF618" s="619"/>
      <c r="AG618" s="619"/>
      <c r="AH618" s="619"/>
      <c r="AI618" s="619"/>
      <c r="AJ618" s="619"/>
      <c r="AK618" s="619"/>
      <c r="AL618" s="619"/>
      <c r="AM618" s="8"/>
      <c r="AN618" s="8"/>
      <c r="AO618" s="8"/>
      <c r="AP618" s="8"/>
      <c r="AQ618" s="8"/>
      <c r="AR618" s="8"/>
      <c r="AS618" s="8"/>
      <c r="AT618" s="8"/>
      <c r="AU618" s="8"/>
      <c r="AV618" s="8"/>
      <c r="AW618" s="8"/>
      <c r="AX618" s="8"/>
      <c r="AY618" s="8"/>
    </row>
    <row r="619" spans="1:51" ht="14.25" customHeight="1">
      <c r="A619" s="619"/>
      <c r="B619" s="619"/>
      <c r="C619" s="619"/>
      <c r="D619" s="4"/>
      <c r="E619" s="21"/>
      <c r="F619" s="21"/>
      <c r="G619" s="21"/>
      <c r="H619" s="22"/>
      <c r="I619" s="619"/>
      <c r="J619" s="619"/>
      <c r="K619" s="619"/>
      <c r="L619" s="619"/>
      <c r="M619" s="619"/>
      <c r="N619" s="619"/>
      <c r="O619" s="619"/>
      <c r="P619" s="619"/>
      <c r="Q619" s="619"/>
      <c r="R619" s="619"/>
      <c r="S619" s="619"/>
      <c r="T619" s="619"/>
      <c r="U619" s="619"/>
      <c r="V619" s="619"/>
      <c r="W619" s="619"/>
      <c r="X619" s="619"/>
      <c r="Y619" s="619"/>
      <c r="Z619" s="619"/>
      <c r="AA619" s="619"/>
      <c r="AB619" s="619"/>
      <c r="AC619" s="619"/>
      <c r="AD619" s="619"/>
      <c r="AE619" s="619"/>
      <c r="AF619" s="619"/>
      <c r="AG619" s="619"/>
      <c r="AH619" s="619"/>
      <c r="AI619" s="619"/>
      <c r="AJ619" s="619"/>
      <c r="AK619" s="619"/>
      <c r="AL619" s="619"/>
      <c r="AM619" s="8"/>
      <c r="AN619" s="8"/>
      <c r="AO619" s="8"/>
      <c r="AP619" s="8"/>
      <c r="AQ619" s="8"/>
      <c r="AR619" s="8"/>
      <c r="AS619" s="8"/>
      <c r="AT619" s="8"/>
      <c r="AU619" s="8"/>
      <c r="AV619" s="8"/>
      <c r="AW619" s="8"/>
      <c r="AX619" s="8"/>
      <c r="AY619" s="8"/>
    </row>
    <row r="620" spans="1:51" ht="14.25" customHeight="1">
      <c r="A620" s="619"/>
      <c r="B620" s="619"/>
      <c r="C620" s="619"/>
      <c r="D620" s="4"/>
      <c r="E620" s="21"/>
      <c r="F620" s="21"/>
      <c r="G620" s="21"/>
      <c r="H620" s="22"/>
      <c r="I620" s="619"/>
      <c r="J620" s="619"/>
      <c r="K620" s="619"/>
      <c r="L620" s="619"/>
      <c r="M620" s="619"/>
      <c r="N620" s="619"/>
      <c r="O620" s="619"/>
      <c r="P620" s="619"/>
      <c r="Q620" s="619"/>
      <c r="R620" s="619"/>
      <c r="S620" s="619"/>
      <c r="T620" s="619"/>
      <c r="U620" s="619"/>
      <c r="V620" s="619"/>
      <c r="W620" s="619"/>
      <c r="X620" s="619"/>
      <c r="Y620" s="619"/>
      <c r="Z620" s="619"/>
      <c r="AA620" s="619"/>
      <c r="AB620" s="619"/>
      <c r="AC620" s="619"/>
      <c r="AD620" s="619"/>
      <c r="AE620" s="619"/>
      <c r="AF620" s="619"/>
      <c r="AG620" s="619"/>
      <c r="AH620" s="619"/>
      <c r="AI620" s="619"/>
      <c r="AJ620" s="619"/>
      <c r="AK620" s="619"/>
      <c r="AL620" s="619"/>
      <c r="AM620" s="8"/>
      <c r="AN620" s="8"/>
      <c r="AO620" s="8"/>
      <c r="AP620" s="8"/>
      <c r="AQ620" s="8"/>
      <c r="AR620" s="8"/>
      <c r="AS620" s="8"/>
      <c r="AT620" s="8"/>
      <c r="AU620" s="8"/>
      <c r="AV620" s="8"/>
      <c r="AW620" s="8"/>
      <c r="AX620" s="8"/>
      <c r="AY620" s="8"/>
    </row>
    <row r="621" spans="1:51" ht="14.25" customHeight="1">
      <c r="A621" s="619"/>
      <c r="B621" s="619"/>
      <c r="C621" s="619"/>
      <c r="D621" s="4"/>
      <c r="E621" s="21"/>
      <c r="F621" s="21"/>
      <c r="G621" s="21"/>
      <c r="H621" s="22"/>
      <c r="I621" s="619"/>
      <c r="J621" s="619"/>
      <c r="K621" s="619"/>
      <c r="L621" s="619"/>
      <c r="M621" s="619"/>
      <c r="N621" s="619"/>
      <c r="O621" s="619"/>
      <c r="P621" s="619"/>
      <c r="Q621" s="619"/>
      <c r="R621" s="619"/>
      <c r="S621" s="619"/>
      <c r="T621" s="619"/>
      <c r="U621" s="619"/>
      <c r="V621" s="619"/>
      <c r="W621" s="619"/>
      <c r="X621" s="619"/>
      <c r="Y621" s="619"/>
      <c r="Z621" s="619"/>
      <c r="AA621" s="619"/>
      <c r="AB621" s="619"/>
      <c r="AC621" s="619"/>
      <c r="AD621" s="619"/>
      <c r="AE621" s="619"/>
      <c r="AF621" s="619"/>
      <c r="AG621" s="619"/>
      <c r="AH621" s="619"/>
      <c r="AI621" s="619"/>
      <c r="AJ621" s="619"/>
      <c r="AK621" s="619"/>
      <c r="AL621" s="619"/>
      <c r="AM621" s="8"/>
      <c r="AN621" s="8"/>
      <c r="AO621" s="8"/>
      <c r="AP621" s="8"/>
      <c r="AQ621" s="8"/>
      <c r="AR621" s="8"/>
      <c r="AS621" s="8"/>
      <c r="AT621" s="8"/>
      <c r="AU621" s="8"/>
      <c r="AV621" s="8"/>
      <c r="AW621" s="8"/>
      <c r="AX621" s="8"/>
      <c r="AY621" s="8"/>
    </row>
    <row r="622" spans="1:51" ht="14.25" customHeight="1">
      <c r="A622" s="619"/>
      <c r="B622" s="619"/>
      <c r="C622" s="619"/>
      <c r="D622" s="4"/>
      <c r="E622" s="21"/>
      <c r="F622" s="21"/>
      <c r="G622" s="21"/>
      <c r="H622" s="22"/>
      <c r="I622" s="619"/>
      <c r="J622" s="619"/>
      <c r="K622" s="619"/>
      <c r="L622" s="619"/>
      <c r="M622" s="619"/>
      <c r="N622" s="619"/>
      <c r="O622" s="619"/>
      <c r="P622" s="619"/>
      <c r="Q622" s="619"/>
      <c r="R622" s="619"/>
      <c r="S622" s="619"/>
      <c r="T622" s="619"/>
      <c r="U622" s="619"/>
      <c r="V622" s="619"/>
      <c r="W622" s="619"/>
      <c r="X622" s="619"/>
      <c r="Y622" s="619"/>
      <c r="Z622" s="619"/>
      <c r="AA622" s="619"/>
      <c r="AB622" s="619"/>
      <c r="AC622" s="619"/>
      <c r="AD622" s="619"/>
      <c r="AE622" s="619"/>
      <c r="AF622" s="619"/>
      <c r="AG622" s="619"/>
      <c r="AH622" s="619"/>
      <c r="AI622" s="619"/>
      <c r="AJ622" s="619"/>
      <c r="AK622" s="619"/>
      <c r="AL622" s="619"/>
      <c r="AM622" s="8"/>
      <c r="AN622" s="8"/>
      <c r="AO622" s="8"/>
      <c r="AP622" s="8"/>
      <c r="AQ622" s="8"/>
      <c r="AR622" s="8"/>
      <c r="AS622" s="8"/>
      <c r="AT622" s="8"/>
      <c r="AU622" s="8"/>
      <c r="AV622" s="8"/>
      <c r="AW622" s="8"/>
      <c r="AX622" s="8"/>
      <c r="AY622" s="8"/>
    </row>
    <row r="623" spans="1:51" ht="14.25" customHeight="1">
      <c r="A623" s="619"/>
      <c r="B623" s="619"/>
      <c r="C623" s="619"/>
      <c r="D623" s="4"/>
      <c r="E623" s="21"/>
      <c r="F623" s="21"/>
      <c r="G623" s="21"/>
      <c r="H623" s="22"/>
      <c r="I623" s="619"/>
      <c r="J623" s="619"/>
      <c r="K623" s="619"/>
      <c r="L623" s="619"/>
      <c r="M623" s="619"/>
      <c r="N623" s="619"/>
      <c r="O623" s="619"/>
      <c r="P623" s="619"/>
      <c r="Q623" s="619"/>
      <c r="R623" s="619"/>
      <c r="S623" s="619"/>
      <c r="T623" s="619"/>
      <c r="U623" s="619"/>
      <c r="V623" s="619"/>
      <c r="W623" s="619"/>
      <c r="X623" s="619"/>
      <c r="Y623" s="619"/>
      <c r="Z623" s="619"/>
      <c r="AA623" s="619"/>
      <c r="AB623" s="619"/>
      <c r="AC623" s="619"/>
      <c r="AD623" s="619"/>
      <c r="AE623" s="619"/>
      <c r="AF623" s="619"/>
      <c r="AG623" s="619"/>
      <c r="AH623" s="619"/>
      <c r="AI623" s="619"/>
      <c r="AJ623" s="619"/>
      <c r="AK623" s="619"/>
      <c r="AL623" s="619"/>
      <c r="AM623" s="8"/>
      <c r="AN623" s="8"/>
      <c r="AO623" s="8"/>
      <c r="AP623" s="8"/>
      <c r="AQ623" s="8"/>
      <c r="AR623" s="8"/>
      <c r="AS623" s="8"/>
      <c r="AT623" s="8"/>
      <c r="AU623" s="8"/>
      <c r="AV623" s="8"/>
      <c r="AW623" s="8"/>
      <c r="AX623" s="8"/>
      <c r="AY623" s="8"/>
    </row>
    <row r="624" spans="1:51" ht="14.25" customHeight="1">
      <c r="A624" s="619"/>
      <c r="B624" s="619"/>
      <c r="C624" s="619"/>
      <c r="D624" s="4"/>
      <c r="E624" s="21"/>
      <c r="F624" s="21"/>
      <c r="G624" s="21"/>
      <c r="H624" s="22"/>
      <c r="I624" s="619"/>
      <c r="J624" s="619"/>
      <c r="K624" s="619"/>
      <c r="L624" s="619"/>
      <c r="M624" s="619"/>
      <c r="N624" s="619"/>
      <c r="O624" s="619"/>
      <c r="P624" s="619"/>
      <c r="Q624" s="619"/>
      <c r="R624" s="619"/>
      <c r="S624" s="619"/>
      <c r="T624" s="619"/>
      <c r="U624" s="619"/>
      <c r="V624" s="619"/>
      <c r="W624" s="619"/>
      <c r="X624" s="619"/>
      <c r="Y624" s="619"/>
      <c r="Z624" s="619"/>
      <c r="AA624" s="619"/>
      <c r="AB624" s="619"/>
      <c r="AC624" s="619"/>
      <c r="AD624" s="619"/>
      <c r="AE624" s="619"/>
      <c r="AF624" s="619"/>
      <c r="AG624" s="619"/>
      <c r="AH624" s="619"/>
      <c r="AI624" s="619"/>
      <c r="AJ624" s="619"/>
      <c r="AK624" s="619"/>
      <c r="AL624" s="619"/>
      <c r="AM624" s="8"/>
      <c r="AN624" s="8"/>
      <c r="AO624" s="8"/>
      <c r="AP624" s="8"/>
      <c r="AQ624" s="8"/>
      <c r="AR624" s="8"/>
      <c r="AS624" s="8"/>
      <c r="AT624" s="8"/>
      <c r="AU624" s="8"/>
      <c r="AV624" s="8"/>
      <c r="AW624" s="8"/>
      <c r="AX624" s="8"/>
      <c r="AY624" s="8"/>
    </row>
    <row r="625" spans="1:39" ht="14.25" customHeight="1">
      <c r="A625" s="619"/>
      <c r="B625" s="619"/>
      <c r="C625" s="619"/>
      <c r="D625" s="4"/>
      <c r="E625" s="21"/>
      <c r="F625" s="21"/>
      <c r="G625" s="21"/>
      <c r="H625" s="22"/>
      <c r="I625" s="619"/>
      <c r="J625" s="619"/>
      <c r="K625" s="619"/>
      <c r="L625" s="619"/>
      <c r="M625" s="619"/>
      <c r="N625" s="619"/>
      <c r="O625" s="619"/>
      <c r="P625" s="619"/>
      <c r="Q625" s="619"/>
      <c r="R625" s="619"/>
      <c r="S625" s="619"/>
      <c r="T625" s="619"/>
      <c r="U625" s="619"/>
      <c r="V625" s="619"/>
      <c r="W625" s="619"/>
      <c r="X625" s="619"/>
      <c r="Y625" s="619"/>
      <c r="Z625" s="619"/>
      <c r="AA625" s="619"/>
      <c r="AB625" s="619"/>
      <c r="AC625" s="619"/>
      <c r="AD625" s="619"/>
      <c r="AE625" s="619"/>
      <c r="AF625" s="619"/>
      <c r="AG625" s="619"/>
      <c r="AH625" s="619"/>
      <c r="AI625" s="619"/>
      <c r="AJ625" s="619"/>
      <c r="AK625" s="619"/>
      <c r="AL625" s="619"/>
      <c r="AM625" s="8"/>
    </row>
    <row r="626" spans="1:39" ht="14.25" customHeight="1">
      <c r="A626" s="619"/>
      <c r="B626" s="619"/>
      <c r="C626" s="619"/>
      <c r="D626" s="4"/>
      <c r="E626" s="21"/>
      <c r="F626" s="21"/>
      <c r="G626" s="21"/>
      <c r="H626" s="22"/>
      <c r="I626" s="619"/>
      <c r="J626" s="619"/>
      <c r="K626" s="619"/>
      <c r="L626" s="619"/>
      <c r="M626" s="619"/>
      <c r="N626" s="619"/>
      <c r="O626" s="619"/>
      <c r="P626" s="619"/>
      <c r="Q626" s="619"/>
      <c r="R626" s="619"/>
      <c r="S626" s="619"/>
      <c r="T626" s="619"/>
      <c r="U626" s="619"/>
      <c r="V626" s="619"/>
      <c r="W626" s="619"/>
      <c r="X626" s="619"/>
      <c r="Y626" s="619"/>
      <c r="Z626" s="619"/>
      <c r="AA626" s="619"/>
      <c r="AB626" s="619"/>
      <c r="AC626" s="619"/>
      <c r="AD626" s="619"/>
      <c r="AE626" s="619"/>
      <c r="AF626" s="619"/>
      <c r="AG626" s="619"/>
      <c r="AH626" s="619"/>
      <c r="AI626" s="619"/>
      <c r="AJ626" s="619"/>
      <c r="AK626" s="619"/>
      <c r="AL626" s="619"/>
      <c r="AM626" s="8"/>
    </row>
    <row r="627" spans="1:39" ht="14.25" customHeight="1">
      <c r="A627" s="619"/>
      <c r="B627" s="619"/>
      <c r="C627" s="619"/>
      <c r="D627" s="4"/>
      <c r="E627" s="21"/>
      <c r="F627" s="21"/>
      <c r="G627" s="21"/>
      <c r="H627" s="22"/>
      <c r="I627" s="619"/>
      <c r="J627" s="619"/>
      <c r="K627" s="619"/>
      <c r="L627" s="619"/>
      <c r="M627" s="619"/>
      <c r="N627" s="619"/>
      <c r="O627" s="619"/>
      <c r="P627" s="619"/>
      <c r="Q627" s="619"/>
      <c r="R627" s="619"/>
      <c r="S627" s="619"/>
      <c r="T627" s="619"/>
      <c r="U627" s="619"/>
      <c r="V627" s="619"/>
      <c r="W627" s="619"/>
      <c r="X627" s="619"/>
      <c r="Y627" s="619"/>
      <c r="Z627" s="619"/>
      <c r="AA627" s="619"/>
      <c r="AB627" s="619"/>
      <c r="AC627" s="619"/>
      <c r="AD627" s="619"/>
      <c r="AE627" s="619"/>
      <c r="AF627" s="619"/>
      <c r="AG627" s="619"/>
      <c r="AH627" s="619"/>
      <c r="AI627" s="619"/>
      <c r="AJ627" s="619"/>
      <c r="AK627" s="619"/>
      <c r="AL627" s="619"/>
      <c r="AM627" s="8"/>
    </row>
    <row r="628" spans="1:39" ht="14.25" customHeight="1">
      <c r="A628" s="619"/>
      <c r="B628" s="619"/>
      <c r="C628" s="619"/>
      <c r="D628" s="4"/>
      <c r="E628" s="21"/>
      <c r="F628" s="21"/>
      <c r="G628" s="21"/>
      <c r="H628" s="22"/>
      <c r="I628" s="619"/>
      <c r="J628" s="619"/>
      <c r="K628" s="619"/>
      <c r="L628" s="619"/>
      <c r="M628" s="619"/>
      <c r="N628" s="619"/>
      <c r="O628" s="619"/>
      <c r="P628" s="619"/>
      <c r="Q628" s="619"/>
      <c r="R628" s="619"/>
      <c r="S628" s="619"/>
      <c r="T628" s="619"/>
      <c r="U628" s="619"/>
      <c r="V628" s="619"/>
      <c r="W628" s="619"/>
      <c r="X628" s="619"/>
      <c r="Y628" s="619"/>
      <c r="Z628" s="619"/>
      <c r="AA628" s="619"/>
      <c r="AB628" s="619"/>
      <c r="AC628" s="619"/>
      <c r="AD628" s="619"/>
      <c r="AE628" s="619"/>
      <c r="AF628" s="619"/>
      <c r="AG628" s="619"/>
      <c r="AH628" s="619"/>
      <c r="AI628" s="619"/>
      <c r="AJ628" s="619"/>
      <c r="AK628" s="619"/>
      <c r="AL628" s="619"/>
      <c r="AM628" s="8"/>
    </row>
    <row r="629" spans="1:39" ht="14.25" customHeight="1">
      <c r="A629" s="619"/>
      <c r="B629" s="619"/>
      <c r="C629" s="619"/>
      <c r="D629" s="4"/>
      <c r="E629" s="21"/>
      <c r="F629" s="21"/>
      <c r="G629" s="21"/>
      <c r="H629" s="22"/>
      <c r="I629" s="619"/>
      <c r="J629" s="619"/>
      <c r="K629" s="619"/>
      <c r="L629" s="619"/>
      <c r="M629" s="619"/>
      <c r="N629" s="619"/>
      <c r="O629" s="619"/>
      <c r="P629" s="619"/>
      <c r="Q629" s="619"/>
      <c r="R629" s="619"/>
      <c r="S629" s="619"/>
      <c r="T629" s="619"/>
      <c r="U629" s="619"/>
      <c r="V629" s="619"/>
      <c r="W629" s="619"/>
      <c r="X629" s="619"/>
      <c r="Y629" s="619"/>
      <c r="Z629" s="619"/>
      <c r="AA629" s="619"/>
      <c r="AB629" s="619"/>
      <c r="AC629" s="619"/>
      <c r="AD629" s="619"/>
      <c r="AE629" s="619"/>
      <c r="AF629" s="619"/>
      <c r="AG629" s="619"/>
      <c r="AH629" s="619"/>
      <c r="AI629" s="619"/>
      <c r="AJ629" s="619"/>
      <c r="AK629" s="619"/>
      <c r="AL629" s="619"/>
      <c r="AM629" s="8"/>
    </row>
    <row r="630" spans="1:39" ht="14.25" customHeight="1">
      <c r="A630" s="619"/>
      <c r="B630" s="619"/>
      <c r="C630" s="619"/>
      <c r="D630" s="4"/>
      <c r="E630" s="21"/>
      <c r="F630" s="21"/>
      <c r="G630" s="21"/>
      <c r="H630" s="22"/>
      <c r="I630" s="619"/>
      <c r="J630" s="619"/>
      <c r="K630" s="619"/>
      <c r="L630" s="619"/>
      <c r="M630" s="619"/>
      <c r="N630" s="619"/>
      <c r="O630" s="619"/>
      <c r="P630" s="619"/>
      <c r="Q630" s="619"/>
      <c r="R630" s="619"/>
      <c r="S630" s="619"/>
      <c r="T630" s="619"/>
      <c r="U630" s="619"/>
      <c r="V630" s="619"/>
      <c r="W630" s="619"/>
      <c r="X630" s="619"/>
      <c r="Y630" s="619"/>
      <c r="Z630" s="619"/>
      <c r="AA630" s="619"/>
      <c r="AB630" s="619"/>
      <c r="AC630" s="619"/>
      <c r="AD630" s="619"/>
      <c r="AE630" s="619"/>
      <c r="AF630" s="619"/>
      <c r="AG630" s="619"/>
      <c r="AH630" s="619"/>
      <c r="AI630" s="619"/>
      <c r="AJ630" s="619"/>
      <c r="AK630" s="619"/>
      <c r="AL630" s="619"/>
      <c r="AM630" s="8"/>
    </row>
    <row r="631" spans="1:39" ht="14.25" customHeight="1">
      <c r="A631" s="619"/>
      <c r="B631" s="619"/>
      <c r="C631" s="619"/>
      <c r="D631" s="4"/>
      <c r="E631" s="21"/>
      <c r="F631" s="21"/>
      <c r="G631" s="21"/>
      <c r="H631" s="22"/>
      <c r="I631" s="619"/>
      <c r="J631" s="619"/>
      <c r="K631" s="619"/>
      <c r="L631" s="619"/>
      <c r="M631" s="619"/>
      <c r="N631" s="619"/>
      <c r="O631" s="619"/>
      <c r="P631" s="619"/>
      <c r="Q631" s="619"/>
      <c r="R631" s="619"/>
      <c r="S631" s="619"/>
      <c r="T631" s="619"/>
      <c r="U631" s="619"/>
      <c r="V631" s="619"/>
      <c r="W631" s="619"/>
      <c r="X631" s="619"/>
      <c r="Y631" s="619"/>
      <c r="Z631" s="619"/>
      <c r="AA631" s="619"/>
      <c r="AB631" s="619"/>
      <c r="AC631" s="619"/>
      <c r="AD631" s="619"/>
      <c r="AE631" s="619"/>
      <c r="AF631" s="619"/>
      <c r="AG631" s="619"/>
      <c r="AH631" s="619"/>
      <c r="AI631" s="619"/>
      <c r="AJ631" s="619"/>
      <c r="AK631" s="619"/>
      <c r="AL631" s="619"/>
      <c r="AM631" s="8"/>
    </row>
    <row r="632" spans="1:39" ht="14.25" customHeight="1">
      <c r="A632" s="619"/>
      <c r="B632" s="619"/>
      <c r="C632" s="619"/>
      <c r="D632" s="4"/>
      <c r="E632" s="21"/>
      <c r="F632" s="21"/>
      <c r="G632" s="21"/>
      <c r="H632" s="22"/>
      <c r="I632" s="619"/>
      <c r="J632" s="619"/>
      <c r="K632" s="619"/>
      <c r="L632" s="619"/>
      <c r="M632" s="619"/>
      <c r="N632" s="619"/>
      <c r="O632" s="619"/>
      <c r="P632" s="619"/>
      <c r="Q632" s="619"/>
      <c r="R632" s="619"/>
      <c r="S632" s="619"/>
      <c r="T632" s="619"/>
      <c r="U632" s="619"/>
      <c r="V632" s="619"/>
      <c r="W632" s="619"/>
      <c r="X632" s="619"/>
      <c r="Y632" s="619"/>
      <c r="Z632" s="619"/>
      <c r="AA632" s="619"/>
      <c r="AB632" s="619"/>
      <c r="AC632" s="619"/>
      <c r="AD632" s="619"/>
      <c r="AE632" s="619"/>
      <c r="AF632" s="619"/>
      <c r="AG632" s="619"/>
      <c r="AH632" s="619"/>
      <c r="AI632" s="619"/>
      <c r="AJ632" s="619"/>
      <c r="AK632" s="619"/>
      <c r="AL632" s="619"/>
      <c r="AM632" s="8"/>
    </row>
    <row r="633" spans="1:39" ht="14.25" customHeight="1">
      <c r="A633" s="619"/>
      <c r="B633" s="619"/>
      <c r="C633" s="619"/>
      <c r="D633" s="4"/>
      <c r="E633" s="21"/>
      <c r="F633" s="21"/>
      <c r="G633" s="21"/>
      <c r="H633" s="22"/>
      <c r="I633" s="619"/>
      <c r="J633" s="619"/>
      <c r="K633" s="619"/>
      <c r="L633" s="619"/>
      <c r="M633" s="619"/>
      <c r="N633" s="619"/>
      <c r="O633" s="619"/>
      <c r="P633" s="619"/>
      <c r="Q633" s="619"/>
      <c r="R633" s="619"/>
      <c r="S633" s="619"/>
      <c r="T633" s="619"/>
      <c r="U633" s="619"/>
      <c r="V633" s="619"/>
      <c r="W633" s="619"/>
      <c r="X633" s="619"/>
      <c r="Y633" s="619"/>
      <c r="Z633" s="619"/>
      <c r="AA633" s="619"/>
      <c r="AB633" s="619"/>
      <c r="AC633" s="619"/>
      <c r="AD633" s="619"/>
      <c r="AE633" s="619"/>
      <c r="AF633" s="619"/>
      <c r="AG633" s="619"/>
      <c r="AH633" s="619"/>
      <c r="AI633" s="619"/>
      <c r="AJ633" s="619"/>
      <c r="AK633" s="619"/>
      <c r="AL633" s="619"/>
      <c r="AM633" s="8"/>
    </row>
    <row r="634" spans="1:39" ht="14.25" customHeight="1">
      <c r="A634" s="619"/>
      <c r="B634" s="619"/>
      <c r="C634" s="619"/>
      <c r="D634" s="4"/>
      <c r="E634" s="21"/>
      <c r="F634" s="21"/>
      <c r="G634" s="21"/>
      <c r="H634" s="22"/>
      <c r="I634" s="619"/>
      <c r="J634" s="619"/>
      <c r="K634" s="619"/>
      <c r="L634" s="619"/>
      <c r="M634" s="619"/>
      <c r="N634" s="619"/>
      <c r="O634" s="619"/>
      <c r="P634" s="619"/>
      <c r="Q634" s="619"/>
      <c r="R634" s="619"/>
      <c r="S634" s="619"/>
      <c r="T634" s="619"/>
      <c r="U634" s="619"/>
      <c r="V634" s="619"/>
      <c r="W634" s="619"/>
      <c r="X634" s="619"/>
      <c r="Y634" s="619"/>
      <c r="Z634" s="619"/>
      <c r="AA634" s="619"/>
      <c r="AB634" s="619"/>
      <c r="AC634" s="619"/>
      <c r="AD634" s="619"/>
      <c r="AE634" s="619"/>
      <c r="AF634" s="619"/>
      <c r="AG634" s="619"/>
      <c r="AH634" s="619"/>
      <c r="AI634" s="619"/>
      <c r="AJ634" s="619"/>
      <c r="AK634" s="619"/>
      <c r="AL634" s="619"/>
      <c r="AM634" s="8"/>
    </row>
    <row r="635" spans="1:39" ht="14.25" customHeight="1">
      <c r="A635" s="619"/>
      <c r="B635" s="619"/>
      <c r="C635" s="619"/>
      <c r="D635" s="4"/>
      <c r="E635" s="21"/>
      <c r="F635" s="21"/>
      <c r="G635" s="21"/>
      <c r="H635" s="22"/>
      <c r="I635" s="619"/>
      <c r="J635" s="619"/>
      <c r="K635" s="619"/>
      <c r="L635" s="619"/>
      <c r="M635" s="619"/>
      <c r="N635" s="619"/>
      <c r="O635" s="619"/>
      <c r="P635" s="619"/>
      <c r="Q635" s="619"/>
      <c r="R635" s="619"/>
      <c r="S635" s="619"/>
      <c r="T635" s="619"/>
      <c r="U635" s="619"/>
      <c r="V635" s="619"/>
      <c r="W635" s="619"/>
      <c r="X635" s="619"/>
      <c r="Y635" s="619"/>
      <c r="Z635" s="619"/>
      <c r="AA635" s="619"/>
      <c r="AB635" s="619"/>
      <c r="AC635" s="619"/>
      <c r="AD635" s="619"/>
      <c r="AE635" s="619"/>
      <c r="AF635" s="619"/>
      <c r="AG635" s="619"/>
      <c r="AH635" s="619"/>
      <c r="AI635" s="619"/>
      <c r="AJ635" s="619"/>
      <c r="AK635" s="619"/>
      <c r="AL635" s="619"/>
      <c r="AM635" s="8"/>
    </row>
    <row r="636" spans="1:39" ht="14.25" customHeight="1">
      <c r="A636" s="619"/>
      <c r="B636" s="619"/>
      <c r="C636" s="619"/>
      <c r="D636" s="4"/>
      <c r="E636" s="21"/>
      <c r="F636" s="21"/>
      <c r="G636" s="21"/>
      <c r="H636" s="22"/>
      <c r="I636" s="619"/>
      <c r="J636" s="619"/>
      <c r="K636" s="619"/>
      <c r="L636" s="619"/>
      <c r="M636" s="619"/>
      <c r="N636" s="619"/>
      <c r="O636" s="619"/>
      <c r="P636" s="619"/>
      <c r="Q636" s="619"/>
      <c r="R636" s="619"/>
      <c r="S636" s="619"/>
      <c r="T636" s="619"/>
      <c r="U636" s="619"/>
      <c r="V636" s="619"/>
      <c r="W636" s="619"/>
      <c r="X636" s="619"/>
      <c r="Y636" s="619"/>
      <c r="Z636" s="619"/>
      <c r="AA636" s="619"/>
      <c r="AB636" s="619"/>
      <c r="AC636" s="619"/>
      <c r="AD636" s="619"/>
      <c r="AE636" s="619"/>
      <c r="AF636" s="619"/>
      <c r="AG636" s="619"/>
      <c r="AH636" s="619"/>
      <c r="AI636" s="619"/>
      <c r="AJ636" s="619"/>
      <c r="AK636" s="619"/>
      <c r="AL636" s="619"/>
      <c r="AM636" s="8"/>
    </row>
    <row r="637" spans="1:39" ht="14.25" customHeight="1">
      <c r="A637" s="619"/>
      <c r="B637" s="619"/>
      <c r="C637" s="619"/>
      <c r="D637" s="4"/>
      <c r="E637" s="21"/>
      <c r="F637" s="21"/>
      <c r="G637" s="21"/>
      <c r="H637" s="22"/>
      <c r="I637" s="619"/>
      <c r="J637" s="619"/>
      <c r="K637" s="619"/>
      <c r="L637" s="619"/>
      <c r="M637" s="619"/>
      <c r="N637" s="619"/>
      <c r="O637" s="619"/>
      <c r="P637" s="619"/>
      <c r="Q637" s="619"/>
      <c r="R637" s="619"/>
      <c r="S637" s="619"/>
      <c r="T637" s="619"/>
      <c r="U637" s="619"/>
      <c r="V637" s="619"/>
      <c r="W637" s="619"/>
      <c r="X637" s="619"/>
      <c r="Y637" s="619"/>
      <c r="Z637" s="619"/>
      <c r="AA637" s="619"/>
      <c r="AB637" s="619"/>
      <c r="AC637" s="619"/>
      <c r="AD637" s="619"/>
      <c r="AE637" s="619"/>
      <c r="AF637" s="619"/>
      <c r="AG637" s="619"/>
      <c r="AH637" s="619"/>
      <c r="AI637" s="619"/>
      <c r="AJ637" s="619"/>
      <c r="AK637" s="619"/>
      <c r="AL637" s="619"/>
      <c r="AM637" s="8"/>
    </row>
    <row r="638" spans="1:39" ht="14.25" customHeight="1">
      <c r="A638" s="619"/>
      <c r="B638" s="619"/>
      <c r="C638" s="619"/>
      <c r="D638" s="4"/>
      <c r="E638" s="21"/>
      <c r="F638" s="21"/>
      <c r="G638" s="21"/>
      <c r="H638" s="22"/>
      <c r="I638" s="619"/>
      <c r="J638" s="619"/>
      <c r="K638" s="619"/>
      <c r="L638" s="619"/>
      <c r="M638" s="619"/>
      <c r="N638" s="619"/>
      <c r="O638" s="619"/>
      <c r="P638" s="619"/>
      <c r="Q638" s="619"/>
      <c r="R638" s="619"/>
      <c r="S638" s="619"/>
      <c r="T638" s="619"/>
      <c r="U638" s="619"/>
      <c r="V638" s="619"/>
      <c r="W638" s="619"/>
      <c r="X638" s="619"/>
      <c r="Y638" s="619"/>
      <c r="Z638" s="619"/>
      <c r="AA638" s="619"/>
      <c r="AB638" s="619"/>
      <c r="AC638" s="619"/>
      <c r="AD638" s="619"/>
      <c r="AE638" s="619"/>
      <c r="AF638" s="619"/>
      <c r="AG638" s="619"/>
      <c r="AH638" s="619"/>
      <c r="AI638" s="619"/>
      <c r="AJ638" s="619"/>
      <c r="AK638" s="619"/>
      <c r="AL638" s="619"/>
      <c r="AM638" s="8"/>
    </row>
    <row r="639" spans="1:39" ht="14.25" customHeight="1">
      <c r="A639" s="619"/>
      <c r="B639" s="619"/>
      <c r="C639" s="619"/>
      <c r="D639" s="4"/>
      <c r="E639" s="21"/>
      <c r="F639" s="21"/>
      <c r="G639" s="21"/>
      <c r="H639" s="22"/>
      <c r="I639" s="619"/>
      <c r="J639" s="619"/>
      <c r="K639" s="619"/>
      <c r="L639" s="619"/>
      <c r="M639" s="619"/>
      <c r="N639" s="619"/>
      <c r="O639" s="619"/>
      <c r="P639" s="619"/>
      <c r="Q639" s="619"/>
      <c r="R639" s="619"/>
      <c r="S639" s="619"/>
      <c r="T639" s="619"/>
      <c r="U639" s="619"/>
      <c r="V639" s="619"/>
      <c r="W639" s="619"/>
      <c r="X639" s="619"/>
      <c r="Y639" s="619"/>
      <c r="Z639" s="619"/>
      <c r="AA639" s="619"/>
      <c r="AB639" s="619"/>
      <c r="AC639" s="619"/>
      <c r="AD639" s="619"/>
      <c r="AE639" s="619"/>
      <c r="AF639" s="619"/>
      <c r="AG639" s="619"/>
      <c r="AH639" s="619"/>
      <c r="AI639" s="619"/>
      <c r="AJ639" s="619"/>
      <c r="AK639" s="619"/>
      <c r="AL639" s="619"/>
      <c r="AM639" s="8"/>
    </row>
    <row r="640" spans="1:39" ht="14.25" customHeight="1">
      <c r="A640" s="619"/>
      <c r="B640" s="619"/>
      <c r="C640" s="619"/>
      <c r="D640" s="4"/>
      <c r="E640" s="21"/>
      <c r="F640" s="21"/>
      <c r="G640" s="21"/>
      <c r="H640" s="22"/>
      <c r="I640" s="619"/>
      <c r="J640" s="619"/>
      <c r="K640" s="619"/>
      <c r="L640" s="619"/>
      <c r="M640" s="619"/>
      <c r="N640" s="619"/>
      <c r="O640" s="619"/>
      <c r="P640" s="619"/>
      <c r="Q640" s="619"/>
      <c r="R640" s="619"/>
      <c r="S640" s="619"/>
      <c r="T640" s="619"/>
      <c r="U640" s="619"/>
      <c r="V640" s="619"/>
      <c r="W640" s="619"/>
      <c r="X640" s="619"/>
      <c r="Y640" s="619"/>
      <c r="Z640" s="619"/>
      <c r="AA640" s="619"/>
      <c r="AB640" s="619"/>
      <c r="AC640" s="619"/>
      <c r="AD640" s="619"/>
      <c r="AE640" s="619"/>
      <c r="AF640" s="619"/>
      <c r="AG640" s="619"/>
      <c r="AH640" s="619"/>
      <c r="AI640" s="619"/>
      <c r="AJ640" s="619"/>
      <c r="AK640" s="619"/>
      <c r="AL640" s="619"/>
      <c r="AM640" s="8"/>
    </row>
    <row r="641" spans="1:39" ht="14.25" customHeight="1">
      <c r="A641" s="619"/>
      <c r="B641" s="619"/>
      <c r="C641" s="619"/>
      <c r="D641" s="4"/>
      <c r="E641" s="21"/>
      <c r="F641" s="21"/>
      <c r="G641" s="21"/>
      <c r="H641" s="22"/>
      <c r="I641" s="619"/>
      <c r="J641" s="619"/>
      <c r="K641" s="619"/>
      <c r="L641" s="619"/>
      <c r="M641" s="619"/>
      <c r="N641" s="619"/>
      <c r="O641" s="619"/>
      <c r="P641" s="619"/>
      <c r="Q641" s="619"/>
      <c r="R641" s="619"/>
      <c r="S641" s="619"/>
      <c r="T641" s="619"/>
      <c r="U641" s="619"/>
      <c r="V641" s="619"/>
      <c r="W641" s="619"/>
      <c r="X641" s="619"/>
      <c r="Y641" s="619"/>
      <c r="Z641" s="619"/>
      <c r="AA641" s="619"/>
      <c r="AB641" s="619"/>
      <c r="AC641" s="619"/>
      <c r="AD641" s="619"/>
      <c r="AE641" s="619"/>
      <c r="AF641" s="619"/>
      <c r="AG641" s="619"/>
      <c r="AH641" s="619"/>
      <c r="AI641" s="619"/>
      <c r="AJ641" s="619"/>
      <c r="AK641" s="619"/>
      <c r="AL641" s="619"/>
      <c r="AM641" s="8"/>
    </row>
    <row r="642" spans="1:39" ht="14.25" customHeight="1">
      <c r="A642" s="619"/>
      <c r="B642" s="619"/>
      <c r="C642" s="619"/>
      <c r="D642" s="4"/>
      <c r="E642" s="21"/>
      <c r="F642" s="21"/>
      <c r="G642" s="21"/>
      <c r="H642" s="22"/>
      <c r="I642" s="619"/>
      <c r="J642" s="619"/>
      <c r="K642" s="619"/>
      <c r="L642" s="619"/>
      <c r="M642" s="619"/>
      <c r="N642" s="619"/>
      <c r="O642" s="619"/>
      <c r="P642" s="619"/>
      <c r="Q642" s="619"/>
      <c r="R642" s="619"/>
      <c r="S642" s="619"/>
      <c r="T642" s="619"/>
      <c r="U642" s="619"/>
      <c r="V642" s="619"/>
      <c r="W642" s="619"/>
      <c r="X642" s="619"/>
      <c r="Y642" s="619"/>
      <c r="Z642" s="619"/>
      <c r="AA642" s="619"/>
      <c r="AB642" s="619"/>
      <c r="AC642" s="619"/>
      <c r="AD642" s="619"/>
      <c r="AE642" s="619"/>
      <c r="AF642" s="619"/>
      <c r="AG642" s="619"/>
      <c r="AH642" s="619"/>
      <c r="AI642" s="619"/>
      <c r="AJ642" s="619"/>
      <c r="AK642" s="619"/>
      <c r="AL642" s="619"/>
      <c r="AM642" s="8"/>
    </row>
    <row r="643" spans="1:39" ht="14.25" customHeight="1">
      <c r="A643" s="619"/>
      <c r="B643" s="619"/>
      <c r="C643" s="619"/>
      <c r="D643" s="4"/>
      <c r="E643" s="21"/>
      <c r="F643" s="21"/>
      <c r="G643" s="21"/>
      <c r="H643" s="22"/>
      <c r="I643" s="619"/>
      <c r="J643" s="619"/>
      <c r="K643" s="619"/>
      <c r="L643" s="619"/>
      <c r="M643" s="619"/>
      <c r="N643" s="619"/>
      <c r="O643" s="619"/>
      <c r="P643" s="619"/>
      <c r="Q643" s="619"/>
      <c r="R643" s="619"/>
      <c r="S643" s="619"/>
      <c r="T643" s="619"/>
      <c r="U643" s="619"/>
      <c r="V643" s="619"/>
      <c r="W643" s="619"/>
      <c r="X643" s="619"/>
      <c r="Y643" s="619"/>
      <c r="Z643" s="619"/>
      <c r="AA643" s="619"/>
      <c r="AB643" s="619"/>
      <c r="AC643" s="619"/>
      <c r="AD643" s="619"/>
      <c r="AE643" s="619"/>
      <c r="AF643" s="619"/>
      <c r="AG643" s="619"/>
      <c r="AH643" s="619"/>
      <c r="AI643" s="619"/>
      <c r="AJ643" s="619"/>
      <c r="AK643" s="619"/>
      <c r="AL643" s="619"/>
      <c r="AM643" s="8"/>
    </row>
    <row r="644" spans="1:39" ht="14.25" customHeight="1">
      <c r="A644" s="619"/>
      <c r="B644" s="619"/>
      <c r="C644" s="619"/>
      <c r="D644" s="4"/>
      <c r="E644" s="21"/>
      <c r="F644" s="21"/>
      <c r="G644" s="21"/>
      <c r="H644" s="22"/>
      <c r="I644" s="619"/>
      <c r="J644" s="619"/>
      <c r="K644" s="619"/>
      <c r="L644" s="619"/>
      <c r="M644" s="619"/>
      <c r="N644" s="619"/>
      <c r="O644" s="619"/>
      <c r="P644" s="619"/>
      <c r="Q644" s="619"/>
      <c r="R644" s="619"/>
      <c r="S644" s="619"/>
      <c r="T644" s="619"/>
      <c r="U644" s="619"/>
      <c r="V644" s="619"/>
      <c r="W644" s="619"/>
      <c r="X644" s="619"/>
      <c r="Y644" s="619"/>
      <c r="Z644" s="619"/>
      <c r="AA644" s="619"/>
      <c r="AB644" s="619"/>
      <c r="AC644" s="619"/>
      <c r="AD644" s="619"/>
      <c r="AE644" s="619"/>
      <c r="AF644" s="619"/>
      <c r="AG644" s="619"/>
      <c r="AH644" s="619"/>
      <c r="AI644" s="619"/>
      <c r="AJ644" s="619"/>
      <c r="AK644" s="619"/>
      <c r="AL644" s="619"/>
      <c r="AM644" s="8"/>
    </row>
    <row r="645" spans="1:39" ht="14.25" customHeight="1">
      <c r="A645" s="619"/>
      <c r="B645" s="619"/>
      <c r="C645" s="619"/>
      <c r="D645" s="4"/>
      <c r="E645" s="21"/>
      <c r="F645" s="21"/>
      <c r="G645" s="21"/>
      <c r="H645" s="22"/>
      <c r="I645" s="619"/>
      <c r="J645" s="619"/>
      <c r="K645" s="619"/>
      <c r="L645" s="619"/>
      <c r="M645" s="619"/>
      <c r="N645" s="619"/>
      <c r="O645" s="619"/>
      <c r="P645" s="619"/>
      <c r="Q645" s="619"/>
      <c r="R645" s="619"/>
      <c r="S645" s="619"/>
      <c r="T645" s="619"/>
      <c r="U645" s="619"/>
      <c r="V645" s="619"/>
      <c r="W645" s="619"/>
      <c r="X645" s="619"/>
      <c r="Y645" s="619"/>
      <c r="Z645" s="619"/>
      <c r="AA645" s="619"/>
      <c r="AB645" s="619"/>
      <c r="AC645" s="619"/>
      <c r="AD645" s="619"/>
      <c r="AE645" s="619"/>
      <c r="AF645" s="619"/>
      <c r="AG645" s="619"/>
      <c r="AH645" s="619"/>
      <c r="AI645" s="619"/>
      <c r="AJ645" s="619"/>
      <c r="AK645" s="619"/>
      <c r="AL645" s="619"/>
      <c r="AM645" s="8"/>
    </row>
    <row r="646" spans="1:39" ht="14.25" customHeight="1">
      <c r="A646" s="619"/>
      <c r="B646" s="619"/>
      <c r="C646" s="619"/>
      <c r="D646" s="4"/>
      <c r="E646" s="21"/>
      <c r="F646" s="21"/>
      <c r="G646" s="21"/>
      <c r="H646" s="22"/>
      <c r="I646" s="619"/>
      <c r="J646" s="619"/>
      <c r="K646" s="619"/>
      <c r="L646" s="619"/>
      <c r="M646" s="619"/>
      <c r="N646" s="619"/>
      <c r="O646" s="619"/>
      <c r="P646" s="619"/>
      <c r="Q646" s="619"/>
      <c r="R646" s="619"/>
      <c r="S646" s="619"/>
      <c r="T646" s="619"/>
      <c r="U646" s="619"/>
      <c r="V646" s="619"/>
      <c r="W646" s="619"/>
      <c r="X646" s="619"/>
      <c r="Y646" s="619"/>
      <c r="Z646" s="619"/>
      <c r="AA646" s="619"/>
      <c r="AB646" s="619"/>
      <c r="AC646" s="619"/>
      <c r="AD646" s="619"/>
      <c r="AE646" s="619"/>
      <c r="AF646" s="619"/>
      <c r="AG646" s="619"/>
      <c r="AH646" s="619"/>
      <c r="AI646" s="619"/>
      <c r="AJ646" s="619"/>
      <c r="AK646" s="619"/>
      <c r="AL646" s="619"/>
      <c r="AM646" s="8"/>
    </row>
    <row r="647" spans="1:39" ht="14.25" customHeight="1">
      <c r="A647" s="619"/>
      <c r="B647" s="619"/>
      <c r="C647" s="619"/>
      <c r="D647" s="4"/>
      <c r="E647" s="21"/>
      <c r="F647" s="21"/>
      <c r="G647" s="21"/>
      <c r="H647" s="22"/>
      <c r="I647" s="619"/>
      <c r="J647" s="619"/>
      <c r="K647" s="619"/>
      <c r="L647" s="619"/>
      <c r="M647" s="619"/>
      <c r="N647" s="619"/>
      <c r="O647" s="619"/>
      <c r="P647" s="619"/>
      <c r="Q647" s="619"/>
      <c r="R647" s="619"/>
      <c r="S647" s="619"/>
      <c r="T647" s="619"/>
      <c r="U647" s="619"/>
      <c r="V647" s="619"/>
      <c r="W647" s="619"/>
      <c r="X647" s="619"/>
      <c r="Y647" s="619"/>
      <c r="Z647" s="619"/>
      <c r="AA647" s="619"/>
      <c r="AB647" s="619"/>
      <c r="AC647" s="619"/>
      <c r="AD647" s="619"/>
      <c r="AE647" s="619"/>
      <c r="AF647" s="619"/>
      <c r="AG647" s="619"/>
      <c r="AH647" s="619"/>
      <c r="AI647" s="619"/>
      <c r="AJ647" s="619"/>
      <c r="AK647" s="619"/>
      <c r="AL647" s="619"/>
      <c r="AM647" s="8"/>
    </row>
    <row r="648" spans="1:39" ht="14.25" customHeight="1">
      <c r="A648" s="619"/>
      <c r="B648" s="619"/>
      <c r="C648" s="619"/>
      <c r="D648" s="4"/>
      <c r="E648" s="21"/>
      <c r="F648" s="21"/>
      <c r="G648" s="21"/>
      <c r="H648" s="22"/>
      <c r="I648" s="619"/>
      <c r="J648" s="619"/>
      <c r="K648" s="619"/>
      <c r="L648" s="619"/>
      <c r="M648" s="619"/>
      <c r="N648" s="619"/>
      <c r="O648" s="619"/>
      <c r="P648" s="619"/>
      <c r="Q648" s="619"/>
      <c r="R648" s="619"/>
      <c r="S648" s="619"/>
      <c r="T648" s="619"/>
      <c r="U648" s="619"/>
      <c r="V648" s="619"/>
      <c r="W648" s="619"/>
      <c r="X648" s="619"/>
      <c r="Y648" s="619"/>
      <c r="Z648" s="619"/>
      <c r="AA648" s="619"/>
      <c r="AB648" s="619"/>
      <c r="AC648" s="619"/>
      <c r="AD648" s="619"/>
      <c r="AE648" s="619"/>
      <c r="AF648" s="619"/>
      <c r="AG648" s="619"/>
      <c r="AH648" s="619"/>
      <c r="AI648" s="619"/>
      <c r="AJ648" s="619"/>
      <c r="AK648" s="619"/>
      <c r="AL648" s="619"/>
      <c r="AM648" s="8"/>
    </row>
    <row r="649" spans="1:39" ht="14.25" customHeight="1">
      <c r="A649" s="619"/>
      <c r="B649" s="619"/>
      <c r="C649" s="619"/>
      <c r="D649" s="4"/>
      <c r="E649" s="21"/>
      <c r="F649" s="21"/>
      <c r="G649" s="21"/>
      <c r="H649" s="22"/>
      <c r="I649" s="619"/>
      <c r="J649" s="619"/>
      <c r="K649" s="619"/>
      <c r="L649" s="619"/>
      <c r="M649" s="619"/>
      <c r="N649" s="619"/>
      <c r="O649" s="619"/>
      <c r="P649" s="619"/>
      <c r="Q649" s="619"/>
      <c r="R649" s="619"/>
      <c r="S649" s="619"/>
      <c r="T649" s="619"/>
      <c r="U649" s="619"/>
      <c r="V649" s="619"/>
      <c r="W649" s="619"/>
      <c r="X649" s="619"/>
      <c r="Y649" s="619"/>
      <c r="Z649" s="619"/>
      <c r="AA649" s="619"/>
      <c r="AB649" s="619"/>
      <c r="AC649" s="619"/>
      <c r="AD649" s="619"/>
      <c r="AE649" s="619"/>
      <c r="AF649" s="619"/>
      <c r="AG649" s="619"/>
      <c r="AH649" s="619"/>
      <c r="AI649" s="619"/>
      <c r="AJ649" s="619"/>
      <c r="AK649" s="619"/>
      <c r="AL649" s="619"/>
      <c r="AM649" s="8"/>
    </row>
    <row r="650" spans="1:39" ht="14.25" customHeight="1">
      <c r="A650" s="619"/>
      <c r="B650" s="619"/>
      <c r="C650" s="619"/>
      <c r="D650" s="4"/>
      <c r="E650" s="21"/>
      <c r="F650" s="21"/>
      <c r="G650" s="21"/>
      <c r="H650" s="22"/>
      <c r="I650" s="619"/>
      <c r="J650" s="619"/>
      <c r="K650" s="619"/>
      <c r="L650" s="619"/>
      <c r="M650" s="619"/>
      <c r="N650" s="619"/>
      <c r="O650" s="619"/>
      <c r="P650" s="619"/>
      <c r="Q650" s="619"/>
      <c r="R650" s="619"/>
      <c r="S650" s="619"/>
      <c r="T650" s="619"/>
      <c r="U650" s="619"/>
      <c r="V650" s="619"/>
      <c r="W650" s="619"/>
      <c r="X650" s="619"/>
      <c r="Y650" s="619"/>
      <c r="Z650" s="619"/>
      <c r="AA650" s="619"/>
      <c r="AB650" s="619"/>
      <c r="AC650" s="619"/>
      <c r="AD650" s="619"/>
      <c r="AE650" s="619"/>
      <c r="AF650" s="619"/>
      <c r="AG650" s="619"/>
      <c r="AH650" s="619"/>
      <c r="AI650" s="619"/>
      <c r="AJ650" s="619"/>
      <c r="AK650" s="619"/>
      <c r="AL650" s="619"/>
      <c r="AM650" s="8"/>
    </row>
    <row r="651" spans="1:39" ht="14.25" customHeight="1">
      <c r="A651" s="619"/>
      <c r="B651" s="619"/>
      <c r="C651" s="619"/>
      <c r="D651" s="4"/>
      <c r="E651" s="21"/>
      <c r="F651" s="21"/>
      <c r="G651" s="21"/>
      <c r="H651" s="22"/>
      <c r="I651" s="619"/>
      <c r="J651" s="619"/>
      <c r="K651" s="619"/>
      <c r="L651" s="619"/>
      <c r="M651" s="619"/>
      <c r="N651" s="619"/>
      <c r="O651" s="619"/>
      <c r="P651" s="619"/>
      <c r="Q651" s="619"/>
      <c r="R651" s="619"/>
      <c r="S651" s="619"/>
      <c r="T651" s="619"/>
      <c r="U651" s="619"/>
      <c r="V651" s="619"/>
      <c r="W651" s="619"/>
      <c r="X651" s="619"/>
      <c r="Y651" s="619"/>
      <c r="Z651" s="619"/>
      <c r="AA651" s="619"/>
      <c r="AB651" s="619"/>
      <c r="AC651" s="619"/>
      <c r="AD651" s="619"/>
      <c r="AE651" s="619"/>
      <c r="AF651" s="619"/>
      <c r="AG651" s="619"/>
      <c r="AH651" s="619"/>
      <c r="AI651" s="619"/>
      <c r="AJ651" s="619"/>
      <c r="AK651" s="619"/>
      <c r="AL651" s="619"/>
      <c r="AM651" s="8"/>
    </row>
    <row r="652" spans="1:39" ht="14.25" customHeight="1">
      <c r="A652" s="619"/>
      <c r="B652" s="619"/>
      <c r="C652" s="619"/>
      <c r="D652" s="4"/>
      <c r="E652" s="21"/>
      <c r="F652" s="21"/>
      <c r="G652" s="21"/>
      <c r="H652" s="22"/>
      <c r="I652" s="619"/>
      <c r="J652" s="619"/>
      <c r="K652" s="619"/>
      <c r="L652" s="619"/>
      <c r="M652" s="619"/>
      <c r="N652" s="619"/>
      <c r="O652" s="619"/>
      <c r="P652" s="619"/>
      <c r="Q652" s="619"/>
      <c r="R652" s="619"/>
      <c r="S652" s="619"/>
      <c r="T652" s="619"/>
      <c r="U652" s="619"/>
      <c r="V652" s="619"/>
      <c r="W652" s="619"/>
      <c r="X652" s="619"/>
      <c r="Y652" s="619"/>
      <c r="Z652" s="619"/>
      <c r="AA652" s="619"/>
      <c r="AB652" s="619"/>
      <c r="AC652" s="619"/>
      <c r="AD652" s="619"/>
      <c r="AE652" s="619"/>
      <c r="AF652" s="619"/>
      <c r="AG652" s="619"/>
      <c r="AH652" s="619"/>
      <c r="AI652" s="619"/>
      <c r="AJ652" s="619"/>
      <c r="AK652" s="619"/>
      <c r="AL652" s="619"/>
      <c r="AM652" s="8"/>
    </row>
    <row r="653" spans="1:39" ht="14.25" customHeight="1">
      <c r="A653" s="619"/>
      <c r="B653" s="619"/>
      <c r="C653" s="619"/>
      <c r="D653" s="4"/>
      <c r="E653" s="21"/>
      <c r="F653" s="21"/>
      <c r="G653" s="21"/>
      <c r="H653" s="22"/>
      <c r="I653" s="619"/>
      <c r="J653" s="619"/>
      <c r="K653" s="619"/>
      <c r="L653" s="619"/>
      <c r="M653" s="619"/>
      <c r="N653" s="619"/>
      <c r="O653" s="619"/>
      <c r="P653" s="619"/>
      <c r="Q653" s="619"/>
      <c r="R653" s="619"/>
      <c r="S653" s="619"/>
      <c r="T653" s="619"/>
      <c r="U653" s="619"/>
      <c r="V653" s="619"/>
      <c r="W653" s="619"/>
      <c r="X653" s="619"/>
      <c r="Y653" s="619"/>
      <c r="Z653" s="619"/>
      <c r="AA653" s="619"/>
      <c r="AB653" s="619"/>
      <c r="AC653" s="619"/>
      <c r="AD653" s="619"/>
      <c r="AE653" s="619"/>
      <c r="AF653" s="619"/>
      <c r="AG653" s="619"/>
      <c r="AH653" s="619"/>
      <c r="AI653" s="619"/>
      <c r="AJ653" s="619"/>
      <c r="AK653" s="619"/>
      <c r="AL653" s="619"/>
      <c r="AM653" s="8"/>
    </row>
    <row r="654" spans="1:39" ht="14.25" customHeight="1">
      <c r="A654" s="619"/>
      <c r="B654" s="619"/>
      <c r="C654" s="619"/>
      <c r="D654" s="4"/>
      <c r="E654" s="21"/>
      <c r="F654" s="21"/>
      <c r="G654" s="21"/>
      <c r="H654" s="22"/>
      <c r="I654" s="619"/>
      <c r="J654" s="619"/>
      <c r="K654" s="619"/>
      <c r="L654" s="619"/>
      <c r="M654" s="619"/>
      <c r="N654" s="619"/>
      <c r="O654" s="619"/>
      <c r="P654" s="619"/>
      <c r="Q654" s="619"/>
      <c r="R654" s="619"/>
      <c r="S654" s="619"/>
      <c r="T654" s="619"/>
      <c r="U654" s="619"/>
      <c r="V654" s="619"/>
      <c r="W654" s="619"/>
      <c r="X654" s="619"/>
      <c r="Y654" s="619"/>
      <c r="Z654" s="619"/>
      <c r="AA654" s="619"/>
      <c r="AB654" s="619"/>
      <c r="AC654" s="619"/>
      <c r="AD654" s="619"/>
      <c r="AE654" s="619"/>
      <c r="AF654" s="619"/>
      <c r="AG654" s="619"/>
      <c r="AH654" s="619"/>
      <c r="AI654" s="619"/>
      <c r="AJ654" s="619"/>
      <c r="AK654" s="619"/>
      <c r="AL654" s="619"/>
      <c r="AM654" s="8"/>
    </row>
    <row r="655" spans="1:39" ht="14.25" customHeight="1">
      <c r="A655" s="619"/>
      <c r="B655" s="619"/>
      <c r="C655" s="619"/>
      <c r="D655" s="4"/>
      <c r="E655" s="21"/>
      <c r="F655" s="21"/>
      <c r="G655" s="21"/>
      <c r="H655" s="22"/>
      <c r="I655" s="619"/>
      <c r="J655" s="619"/>
      <c r="K655" s="619"/>
      <c r="L655" s="619"/>
      <c r="M655" s="619"/>
      <c r="N655" s="619"/>
      <c r="O655" s="619"/>
      <c r="P655" s="619"/>
      <c r="Q655" s="619"/>
      <c r="R655" s="619"/>
      <c r="S655" s="619"/>
      <c r="T655" s="619"/>
      <c r="U655" s="619"/>
      <c r="V655" s="619"/>
      <c r="W655" s="619"/>
      <c r="X655" s="619"/>
      <c r="Y655" s="619"/>
      <c r="Z655" s="619"/>
      <c r="AA655" s="619"/>
      <c r="AB655" s="619"/>
      <c r="AC655" s="619"/>
      <c r="AD655" s="619"/>
      <c r="AE655" s="619"/>
      <c r="AF655" s="619"/>
      <c r="AG655" s="619"/>
      <c r="AH655" s="619"/>
      <c r="AI655" s="619"/>
      <c r="AJ655" s="619"/>
      <c r="AK655" s="619"/>
      <c r="AL655" s="619"/>
      <c r="AM655" s="8"/>
    </row>
    <row r="656" spans="1:39" ht="14.25" customHeight="1">
      <c r="A656" s="619"/>
      <c r="B656" s="619"/>
      <c r="C656" s="619"/>
      <c r="D656" s="4"/>
      <c r="E656" s="21"/>
      <c r="F656" s="21"/>
      <c r="G656" s="21"/>
      <c r="H656" s="22"/>
      <c r="I656" s="619"/>
      <c r="J656" s="619"/>
      <c r="K656" s="619"/>
      <c r="L656" s="619"/>
      <c r="M656" s="619"/>
      <c r="N656" s="619"/>
      <c r="O656" s="619"/>
      <c r="P656" s="619"/>
      <c r="Q656" s="619"/>
      <c r="R656" s="619"/>
      <c r="S656" s="619"/>
      <c r="T656" s="619"/>
      <c r="U656" s="619"/>
      <c r="V656" s="619"/>
      <c r="W656" s="619"/>
      <c r="X656" s="619"/>
      <c r="Y656" s="619"/>
      <c r="Z656" s="619"/>
      <c r="AA656" s="619"/>
      <c r="AB656" s="619"/>
      <c r="AC656" s="619"/>
      <c r="AD656" s="619"/>
      <c r="AE656" s="619"/>
      <c r="AF656" s="619"/>
      <c r="AG656" s="619"/>
      <c r="AH656" s="619"/>
      <c r="AI656" s="619"/>
      <c r="AJ656" s="619"/>
      <c r="AK656" s="619"/>
      <c r="AL656" s="619"/>
      <c r="AM656" s="8"/>
    </row>
    <row r="657" spans="1:39" ht="14.25" customHeight="1">
      <c r="A657" s="619"/>
      <c r="B657" s="619"/>
      <c r="C657" s="619"/>
      <c r="D657" s="4"/>
      <c r="E657" s="21"/>
      <c r="F657" s="21"/>
      <c r="G657" s="21"/>
      <c r="H657" s="22"/>
      <c r="I657" s="619"/>
      <c r="J657" s="619"/>
      <c r="K657" s="619"/>
      <c r="L657" s="619"/>
      <c r="M657" s="619"/>
      <c r="N657" s="619"/>
      <c r="O657" s="619"/>
      <c r="P657" s="619"/>
      <c r="Q657" s="619"/>
      <c r="R657" s="619"/>
      <c r="S657" s="619"/>
      <c r="T657" s="619"/>
      <c r="U657" s="619"/>
      <c r="V657" s="619"/>
      <c r="W657" s="619"/>
      <c r="X657" s="619"/>
      <c r="Y657" s="619"/>
      <c r="Z657" s="619"/>
      <c r="AA657" s="619"/>
      <c r="AB657" s="619"/>
      <c r="AC657" s="619"/>
      <c r="AD657" s="619"/>
      <c r="AE657" s="619"/>
      <c r="AF657" s="619"/>
      <c r="AG657" s="619"/>
      <c r="AH657" s="619"/>
      <c r="AI657" s="619"/>
      <c r="AJ657" s="619"/>
      <c r="AK657" s="619"/>
      <c r="AL657" s="619"/>
      <c r="AM657" s="8"/>
    </row>
    <row r="658" spans="1:39" ht="14.25" customHeight="1">
      <c r="A658" s="619"/>
      <c r="B658" s="619"/>
      <c r="C658" s="619"/>
      <c r="D658" s="4"/>
      <c r="E658" s="21"/>
      <c r="F658" s="21"/>
      <c r="G658" s="21"/>
      <c r="H658" s="22"/>
      <c r="I658" s="619"/>
      <c r="J658" s="619"/>
      <c r="K658" s="619"/>
      <c r="L658" s="619"/>
      <c r="M658" s="619"/>
      <c r="N658" s="619"/>
      <c r="O658" s="619"/>
      <c r="P658" s="619"/>
      <c r="Q658" s="619"/>
      <c r="R658" s="619"/>
      <c r="S658" s="619"/>
      <c r="T658" s="619"/>
      <c r="U658" s="619"/>
      <c r="V658" s="619"/>
      <c r="W658" s="619"/>
      <c r="X658" s="619"/>
      <c r="Y658" s="619"/>
      <c r="Z658" s="619"/>
      <c r="AA658" s="619"/>
      <c r="AB658" s="619"/>
      <c r="AC658" s="619"/>
      <c r="AD658" s="619"/>
      <c r="AE658" s="619"/>
      <c r="AF658" s="619"/>
      <c r="AG658" s="619"/>
      <c r="AH658" s="619"/>
      <c r="AI658" s="619"/>
      <c r="AJ658" s="619"/>
      <c r="AK658" s="619"/>
      <c r="AL658" s="619"/>
      <c r="AM658" s="8"/>
    </row>
    <row r="659" spans="1:39" ht="14.25" customHeight="1">
      <c r="A659" s="619"/>
      <c r="B659" s="619"/>
      <c r="C659" s="619"/>
      <c r="D659" s="4"/>
      <c r="E659" s="21"/>
      <c r="F659" s="21"/>
      <c r="G659" s="21"/>
      <c r="H659" s="22"/>
      <c r="I659" s="619"/>
      <c r="J659" s="619"/>
      <c r="K659" s="619"/>
      <c r="L659" s="619"/>
      <c r="M659" s="619"/>
      <c r="N659" s="619"/>
      <c r="O659" s="619"/>
      <c r="P659" s="619"/>
      <c r="Q659" s="619"/>
      <c r="R659" s="619"/>
      <c r="S659" s="619"/>
      <c r="T659" s="619"/>
      <c r="U659" s="619"/>
      <c r="V659" s="619"/>
      <c r="W659" s="619"/>
      <c r="X659" s="619"/>
      <c r="Y659" s="619"/>
      <c r="Z659" s="619"/>
      <c r="AA659" s="619"/>
      <c r="AB659" s="619"/>
      <c r="AC659" s="619"/>
      <c r="AD659" s="619"/>
      <c r="AE659" s="619"/>
      <c r="AF659" s="619"/>
      <c r="AG659" s="619"/>
      <c r="AH659" s="619"/>
      <c r="AI659" s="619"/>
      <c r="AJ659" s="619"/>
      <c r="AK659" s="619"/>
      <c r="AL659" s="619"/>
      <c r="AM659" s="8"/>
    </row>
    <row r="660" spans="1:39" ht="14.25" customHeight="1">
      <c r="A660" s="619"/>
      <c r="B660" s="619"/>
      <c r="C660" s="619"/>
      <c r="D660" s="4"/>
      <c r="E660" s="21"/>
      <c r="F660" s="21"/>
      <c r="G660" s="21"/>
      <c r="H660" s="22"/>
      <c r="I660" s="619"/>
      <c r="J660" s="619"/>
      <c r="K660" s="619"/>
      <c r="L660" s="619"/>
      <c r="M660" s="619"/>
      <c r="N660" s="619"/>
      <c r="O660" s="619"/>
      <c r="P660" s="619"/>
      <c r="Q660" s="619"/>
      <c r="R660" s="619"/>
      <c r="S660" s="619"/>
      <c r="T660" s="619"/>
      <c r="U660" s="619"/>
      <c r="V660" s="619"/>
      <c r="W660" s="619"/>
      <c r="X660" s="619"/>
      <c r="Y660" s="619"/>
      <c r="Z660" s="619"/>
      <c r="AA660" s="619"/>
      <c r="AB660" s="619"/>
      <c r="AC660" s="619"/>
      <c r="AD660" s="619"/>
      <c r="AE660" s="619"/>
      <c r="AF660" s="619"/>
      <c r="AG660" s="619"/>
      <c r="AH660" s="619"/>
      <c r="AI660" s="619"/>
      <c r="AJ660" s="619"/>
      <c r="AK660" s="619"/>
      <c r="AL660" s="619"/>
      <c r="AM660" s="8"/>
    </row>
    <row r="661" spans="1:39" ht="14.25" customHeight="1">
      <c r="A661" s="619"/>
      <c r="B661" s="619"/>
      <c r="C661" s="619"/>
      <c r="D661" s="4"/>
      <c r="E661" s="21"/>
      <c r="F661" s="21"/>
      <c r="G661" s="21"/>
      <c r="H661" s="22"/>
      <c r="I661" s="619"/>
      <c r="J661" s="619"/>
      <c r="K661" s="619"/>
      <c r="L661" s="619"/>
      <c r="M661" s="619"/>
      <c r="N661" s="619"/>
      <c r="O661" s="619"/>
      <c r="P661" s="619"/>
      <c r="Q661" s="619"/>
      <c r="R661" s="619"/>
      <c r="S661" s="619"/>
      <c r="T661" s="619"/>
      <c r="U661" s="619"/>
      <c r="V661" s="619"/>
      <c r="W661" s="619"/>
      <c r="X661" s="619"/>
      <c r="Y661" s="619"/>
      <c r="Z661" s="619"/>
      <c r="AA661" s="619"/>
      <c r="AB661" s="619"/>
      <c r="AC661" s="619"/>
      <c r="AD661" s="619"/>
      <c r="AE661" s="619"/>
      <c r="AF661" s="619"/>
      <c r="AG661" s="619"/>
      <c r="AH661" s="619"/>
      <c r="AI661" s="619"/>
      <c r="AJ661" s="619"/>
      <c r="AK661" s="619"/>
      <c r="AL661" s="619"/>
      <c r="AM661" s="8"/>
    </row>
    <row r="662" spans="1:39" ht="14.25" customHeight="1">
      <c r="A662" s="619"/>
      <c r="B662" s="619"/>
      <c r="C662" s="619"/>
      <c r="D662" s="4"/>
      <c r="E662" s="21"/>
      <c r="F662" s="21"/>
      <c r="G662" s="21"/>
      <c r="H662" s="22"/>
      <c r="I662" s="619"/>
      <c r="J662" s="619"/>
      <c r="K662" s="619"/>
      <c r="L662" s="619"/>
      <c r="M662" s="619"/>
      <c r="N662" s="619"/>
      <c r="O662" s="619"/>
      <c r="P662" s="619"/>
      <c r="Q662" s="619"/>
      <c r="R662" s="619"/>
      <c r="S662" s="619"/>
      <c r="T662" s="619"/>
      <c r="U662" s="619"/>
      <c r="V662" s="619"/>
      <c r="W662" s="619"/>
      <c r="X662" s="619"/>
      <c r="Y662" s="619"/>
      <c r="Z662" s="619"/>
      <c r="AA662" s="619"/>
      <c r="AB662" s="619"/>
      <c r="AC662" s="619"/>
      <c r="AD662" s="619"/>
      <c r="AE662" s="619"/>
      <c r="AF662" s="619"/>
      <c r="AG662" s="619"/>
      <c r="AH662" s="619"/>
      <c r="AI662" s="619"/>
      <c r="AJ662" s="619"/>
      <c r="AK662" s="619"/>
      <c r="AL662" s="619"/>
      <c r="AM662" s="8"/>
    </row>
    <row r="663" spans="1:39" ht="14.25" customHeight="1">
      <c r="A663" s="619"/>
      <c r="B663" s="619"/>
      <c r="C663" s="619"/>
      <c r="D663" s="4"/>
      <c r="E663" s="21"/>
      <c r="F663" s="21"/>
      <c r="G663" s="21"/>
      <c r="H663" s="22"/>
      <c r="I663" s="619"/>
      <c r="J663" s="619"/>
      <c r="K663" s="619"/>
      <c r="L663" s="619"/>
      <c r="M663" s="619"/>
      <c r="N663" s="619"/>
      <c r="O663" s="619"/>
      <c r="P663" s="619"/>
      <c r="Q663" s="619"/>
      <c r="R663" s="619"/>
      <c r="S663" s="619"/>
      <c r="T663" s="619"/>
      <c r="U663" s="619"/>
      <c r="V663" s="619"/>
      <c r="W663" s="619"/>
      <c r="X663" s="619"/>
      <c r="Y663" s="619"/>
      <c r="Z663" s="619"/>
      <c r="AA663" s="619"/>
      <c r="AB663" s="619"/>
      <c r="AC663" s="619"/>
      <c r="AD663" s="619"/>
      <c r="AE663" s="619"/>
      <c r="AF663" s="619"/>
      <c r="AG663" s="619"/>
      <c r="AH663" s="619"/>
      <c r="AI663" s="619"/>
      <c r="AJ663" s="619"/>
      <c r="AK663" s="619"/>
      <c r="AL663" s="619"/>
      <c r="AM663" s="8"/>
    </row>
    <row r="664" spans="1:39" ht="14.25" customHeight="1">
      <c r="A664" s="619"/>
      <c r="B664" s="619"/>
      <c r="C664" s="619"/>
      <c r="D664" s="4"/>
      <c r="E664" s="21"/>
      <c r="F664" s="21"/>
      <c r="G664" s="21"/>
      <c r="H664" s="22"/>
      <c r="I664" s="619"/>
      <c r="J664" s="619"/>
      <c r="K664" s="619"/>
      <c r="L664" s="619"/>
      <c r="M664" s="619"/>
      <c r="N664" s="619"/>
      <c r="O664" s="619"/>
      <c r="P664" s="619"/>
      <c r="Q664" s="619"/>
      <c r="R664" s="619"/>
      <c r="S664" s="619"/>
      <c r="T664" s="619"/>
      <c r="U664" s="619"/>
      <c r="V664" s="619"/>
      <c r="W664" s="619"/>
      <c r="X664" s="619"/>
      <c r="Y664" s="619"/>
      <c r="Z664" s="619"/>
      <c r="AA664" s="619"/>
      <c r="AB664" s="619"/>
      <c r="AC664" s="619"/>
      <c r="AD664" s="619"/>
      <c r="AE664" s="619"/>
      <c r="AF664" s="619"/>
      <c r="AG664" s="619"/>
      <c r="AH664" s="619"/>
      <c r="AI664" s="619"/>
      <c r="AJ664" s="619"/>
      <c r="AK664" s="619"/>
      <c r="AL664" s="619"/>
      <c r="AM664" s="8"/>
    </row>
    <row r="665" spans="1:39" ht="14.25" customHeight="1">
      <c r="A665" s="619"/>
      <c r="B665" s="619"/>
      <c r="C665" s="619"/>
      <c r="D665" s="4"/>
      <c r="E665" s="21"/>
      <c r="F665" s="21"/>
      <c r="G665" s="21"/>
      <c r="H665" s="22"/>
      <c r="I665" s="619"/>
      <c r="J665" s="619"/>
      <c r="K665" s="619"/>
      <c r="L665" s="619"/>
      <c r="M665" s="619"/>
      <c r="N665" s="619"/>
      <c r="O665" s="619"/>
      <c r="P665" s="619"/>
      <c r="Q665" s="619"/>
      <c r="R665" s="619"/>
      <c r="S665" s="619"/>
      <c r="T665" s="619"/>
      <c r="U665" s="619"/>
      <c r="V665" s="619"/>
      <c r="W665" s="619"/>
      <c r="X665" s="619"/>
      <c r="Y665" s="619"/>
      <c r="Z665" s="619"/>
      <c r="AA665" s="619"/>
      <c r="AB665" s="619"/>
      <c r="AC665" s="619"/>
      <c r="AD665" s="619"/>
      <c r="AE665" s="619"/>
      <c r="AF665" s="619"/>
      <c r="AG665" s="619"/>
      <c r="AH665" s="619"/>
      <c r="AI665" s="619"/>
      <c r="AJ665" s="619"/>
      <c r="AK665" s="619"/>
      <c r="AL665" s="619"/>
      <c r="AM665" s="8"/>
    </row>
    <row r="666" spans="1:39" ht="14.25" customHeight="1">
      <c r="A666" s="619"/>
      <c r="B666" s="619"/>
      <c r="C666" s="619"/>
      <c r="D666" s="4"/>
      <c r="E666" s="21"/>
      <c r="F666" s="21"/>
      <c r="G666" s="21"/>
      <c r="H666" s="22"/>
      <c r="I666" s="619"/>
      <c r="J666" s="619"/>
      <c r="K666" s="619"/>
      <c r="L666" s="619"/>
      <c r="M666" s="619"/>
      <c r="N666" s="619"/>
      <c r="O666" s="619"/>
      <c r="P666" s="619"/>
      <c r="Q666" s="619"/>
      <c r="R666" s="619"/>
      <c r="S666" s="619"/>
      <c r="T666" s="619"/>
      <c r="U666" s="619"/>
      <c r="V666" s="619"/>
      <c r="W666" s="619"/>
      <c r="X666" s="619"/>
      <c r="Y666" s="619"/>
      <c r="Z666" s="619"/>
      <c r="AA666" s="619"/>
      <c r="AB666" s="619"/>
      <c r="AC666" s="619"/>
      <c r="AD666" s="619"/>
      <c r="AE666" s="619"/>
      <c r="AF666" s="619"/>
      <c r="AG666" s="619"/>
      <c r="AH666" s="619"/>
      <c r="AI666" s="619"/>
      <c r="AJ666" s="619"/>
      <c r="AK666" s="619"/>
      <c r="AL666" s="619"/>
      <c r="AM666" s="8"/>
    </row>
    <row r="667" spans="1:39" ht="14.25" customHeight="1">
      <c r="A667" s="619"/>
      <c r="B667" s="619"/>
      <c r="C667" s="619"/>
      <c r="D667" s="4"/>
      <c r="E667" s="21"/>
      <c r="F667" s="21"/>
      <c r="G667" s="21"/>
      <c r="H667" s="22"/>
      <c r="I667" s="619"/>
      <c r="J667" s="619"/>
      <c r="K667" s="619"/>
      <c r="L667" s="619"/>
      <c r="M667" s="619"/>
      <c r="N667" s="619"/>
      <c r="O667" s="619"/>
      <c r="P667" s="619"/>
      <c r="Q667" s="619"/>
      <c r="R667" s="619"/>
      <c r="S667" s="619"/>
      <c r="T667" s="619"/>
      <c r="U667" s="619"/>
      <c r="V667" s="619"/>
      <c r="W667" s="619"/>
      <c r="X667" s="619"/>
      <c r="Y667" s="619"/>
      <c r="Z667" s="619"/>
      <c r="AA667" s="619"/>
      <c r="AB667" s="619"/>
      <c r="AC667" s="619"/>
      <c r="AD667" s="619"/>
      <c r="AE667" s="619"/>
      <c r="AF667" s="619"/>
      <c r="AG667" s="619"/>
      <c r="AH667" s="619"/>
      <c r="AI667" s="619"/>
      <c r="AJ667" s="619"/>
      <c r="AK667" s="619"/>
      <c r="AL667" s="619"/>
      <c r="AM667" s="8"/>
    </row>
    <row r="668" spans="1:39" ht="14.25" customHeight="1">
      <c r="A668" s="619"/>
      <c r="B668" s="619"/>
      <c r="C668" s="619"/>
      <c r="D668" s="4"/>
      <c r="E668" s="21"/>
      <c r="F668" s="21"/>
      <c r="G668" s="21"/>
      <c r="H668" s="22"/>
      <c r="I668" s="619"/>
      <c r="J668" s="619"/>
      <c r="K668" s="619"/>
      <c r="L668" s="619"/>
      <c r="M668" s="619"/>
      <c r="N668" s="619"/>
      <c r="O668" s="619"/>
      <c r="P668" s="619"/>
      <c r="Q668" s="619"/>
      <c r="R668" s="619"/>
      <c r="S668" s="619"/>
      <c r="T668" s="619"/>
      <c r="U668" s="619"/>
      <c r="V668" s="619"/>
      <c r="W668" s="619"/>
      <c r="X668" s="619"/>
      <c r="Y668" s="619"/>
      <c r="Z668" s="619"/>
      <c r="AA668" s="619"/>
      <c r="AB668" s="619"/>
      <c r="AC668" s="619"/>
      <c r="AD668" s="619"/>
      <c r="AE668" s="619"/>
      <c r="AF668" s="619"/>
      <c r="AG668" s="619"/>
      <c r="AH668" s="619"/>
      <c r="AI668" s="619"/>
      <c r="AJ668" s="619"/>
      <c r="AK668" s="619"/>
      <c r="AL668" s="619"/>
      <c r="AM668" s="8"/>
    </row>
    <row r="669" spans="1:39" ht="14.25" customHeight="1">
      <c r="A669" s="619"/>
      <c r="B669" s="619"/>
      <c r="C669" s="619"/>
      <c r="D669" s="4"/>
      <c r="E669" s="21"/>
      <c r="F669" s="21"/>
      <c r="G669" s="21"/>
      <c r="H669" s="22"/>
      <c r="I669" s="619"/>
      <c r="J669" s="619"/>
      <c r="K669" s="619"/>
      <c r="L669" s="619"/>
      <c r="M669" s="619"/>
      <c r="N669" s="619"/>
      <c r="O669" s="619"/>
      <c r="P669" s="619"/>
      <c r="Q669" s="619"/>
      <c r="R669" s="619"/>
      <c r="S669" s="619"/>
      <c r="T669" s="619"/>
      <c r="U669" s="619"/>
      <c r="V669" s="619"/>
      <c r="W669" s="619"/>
      <c r="X669" s="619"/>
      <c r="Y669" s="619"/>
      <c r="Z669" s="619"/>
      <c r="AA669" s="619"/>
      <c r="AB669" s="619"/>
      <c r="AC669" s="619"/>
      <c r="AD669" s="619"/>
      <c r="AE669" s="619"/>
      <c r="AF669" s="619"/>
      <c r="AG669" s="619"/>
      <c r="AH669" s="619"/>
      <c r="AI669" s="619"/>
      <c r="AJ669" s="619"/>
      <c r="AK669" s="619"/>
      <c r="AL669" s="619"/>
      <c r="AM669" s="8"/>
    </row>
    <row r="670" spans="1:39" ht="14.25" customHeight="1">
      <c r="A670" s="619"/>
      <c r="B670" s="619"/>
      <c r="C670" s="619"/>
      <c r="D670" s="4"/>
      <c r="E670" s="21"/>
      <c r="F670" s="21"/>
      <c r="G670" s="21"/>
      <c r="H670" s="22"/>
      <c r="I670" s="619"/>
      <c r="J670" s="619"/>
      <c r="K670" s="619"/>
      <c r="L670" s="619"/>
      <c r="M670" s="619"/>
      <c r="N670" s="619"/>
      <c r="O670" s="619"/>
      <c r="P670" s="619"/>
      <c r="Q670" s="619"/>
      <c r="R670" s="619"/>
      <c r="S670" s="619"/>
      <c r="T670" s="619"/>
      <c r="U670" s="619"/>
      <c r="V670" s="619"/>
      <c r="W670" s="619"/>
      <c r="X670" s="619"/>
      <c r="Y670" s="619"/>
      <c r="Z670" s="619"/>
      <c r="AA670" s="619"/>
      <c r="AB670" s="619"/>
      <c r="AC670" s="619"/>
      <c r="AD670" s="619"/>
      <c r="AE670" s="619"/>
      <c r="AF670" s="619"/>
      <c r="AG670" s="619"/>
      <c r="AH670" s="619"/>
      <c r="AI670" s="619"/>
      <c r="AJ670" s="619"/>
      <c r="AK670" s="619"/>
      <c r="AL670" s="619"/>
      <c r="AM670" s="8"/>
    </row>
    <row r="671" spans="1:39" ht="14.25" customHeight="1">
      <c r="A671" s="619"/>
      <c r="B671" s="619"/>
      <c r="C671" s="619"/>
      <c r="D671" s="4"/>
      <c r="E671" s="21"/>
      <c r="F671" s="21"/>
      <c r="G671" s="21"/>
      <c r="H671" s="22"/>
      <c r="I671" s="619"/>
      <c r="J671" s="619"/>
      <c r="K671" s="619"/>
      <c r="L671" s="619"/>
      <c r="M671" s="619"/>
      <c r="N671" s="619"/>
      <c r="O671" s="619"/>
      <c r="P671" s="619"/>
      <c r="Q671" s="619"/>
      <c r="R671" s="619"/>
      <c r="S671" s="619"/>
      <c r="T671" s="619"/>
      <c r="U671" s="619"/>
      <c r="V671" s="619"/>
      <c r="W671" s="619"/>
      <c r="X671" s="619"/>
      <c r="Y671" s="619"/>
      <c r="Z671" s="619"/>
      <c r="AA671" s="619"/>
      <c r="AB671" s="619"/>
      <c r="AC671" s="619"/>
      <c r="AD671" s="619"/>
      <c r="AE671" s="619"/>
      <c r="AF671" s="619"/>
      <c r="AG671" s="619"/>
      <c r="AH671" s="619"/>
      <c r="AI671" s="619"/>
      <c r="AJ671" s="619"/>
      <c r="AK671" s="619"/>
      <c r="AL671" s="619"/>
      <c r="AM671" s="8"/>
    </row>
    <row r="672" spans="1:39" ht="14.25" customHeight="1">
      <c r="A672" s="619"/>
      <c r="B672" s="619"/>
      <c r="C672" s="619"/>
      <c r="D672" s="4"/>
      <c r="E672" s="21"/>
      <c r="F672" s="21"/>
      <c r="G672" s="21"/>
      <c r="H672" s="22"/>
      <c r="I672" s="619"/>
      <c r="J672" s="619"/>
      <c r="K672" s="619"/>
      <c r="L672" s="619"/>
      <c r="M672" s="619"/>
      <c r="N672" s="619"/>
      <c r="O672" s="619"/>
      <c r="P672" s="619"/>
      <c r="Q672" s="619"/>
      <c r="R672" s="619"/>
      <c r="S672" s="619"/>
      <c r="T672" s="619"/>
      <c r="U672" s="619"/>
      <c r="V672" s="619"/>
      <c r="W672" s="619"/>
      <c r="X672" s="619"/>
      <c r="Y672" s="619"/>
      <c r="Z672" s="619"/>
      <c r="AA672" s="619"/>
      <c r="AB672" s="619"/>
      <c r="AC672" s="619"/>
      <c r="AD672" s="619"/>
      <c r="AE672" s="619"/>
      <c r="AF672" s="619"/>
      <c r="AG672" s="619"/>
      <c r="AH672" s="619"/>
      <c r="AI672" s="619"/>
      <c r="AJ672" s="619"/>
      <c r="AK672" s="619"/>
      <c r="AL672" s="619"/>
      <c r="AM672" s="8"/>
    </row>
    <row r="673" spans="1:39" ht="14.25" customHeight="1">
      <c r="A673" s="619"/>
      <c r="B673" s="619"/>
      <c r="C673" s="619"/>
      <c r="D673" s="4"/>
      <c r="E673" s="21"/>
      <c r="F673" s="21"/>
      <c r="G673" s="21"/>
      <c r="H673" s="22"/>
      <c r="I673" s="619"/>
      <c r="J673" s="619"/>
      <c r="K673" s="619"/>
      <c r="L673" s="619"/>
      <c r="M673" s="619"/>
      <c r="N673" s="619"/>
      <c r="O673" s="619"/>
      <c r="P673" s="619"/>
      <c r="Q673" s="619"/>
      <c r="R673" s="619"/>
      <c r="S673" s="619"/>
      <c r="T673" s="619"/>
      <c r="U673" s="619"/>
      <c r="V673" s="619"/>
      <c r="W673" s="619"/>
      <c r="X673" s="619"/>
      <c r="Y673" s="619"/>
      <c r="Z673" s="619"/>
      <c r="AA673" s="619"/>
      <c r="AB673" s="619"/>
      <c r="AC673" s="619"/>
      <c r="AD673" s="619"/>
      <c r="AE673" s="619"/>
      <c r="AF673" s="619"/>
      <c r="AG673" s="619"/>
      <c r="AH673" s="619"/>
      <c r="AI673" s="619"/>
      <c r="AJ673" s="619"/>
      <c r="AK673" s="619"/>
      <c r="AL673" s="619"/>
      <c r="AM673" s="8"/>
    </row>
    <row r="674" spans="1:39" ht="14.25" customHeight="1">
      <c r="A674" s="619"/>
      <c r="B674" s="619"/>
      <c r="C674" s="619"/>
      <c r="D674" s="4"/>
      <c r="E674" s="21"/>
      <c r="F674" s="21"/>
      <c r="G674" s="21"/>
      <c r="H674" s="22"/>
      <c r="I674" s="619"/>
      <c r="J674" s="619"/>
      <c r="K674" s="619"/>
      <c r="L674" s="619"/>
      <c r="M674" s="619"/>
      <c r="N674" s="619"/>
      <c r="O674" s="619"/>
      <c r="P674" s="619"/>
      <c r="Q674" s="619"/>
      <c r="R674" s="619"/>
      <c r="S674" s="619"/>
      <c r="T674" s="619"/>
      <c r="U674" s="619"/>
      <c r="V674" s="619"/>
      <c r="W674" s="619"/>
      <c r="X674" s="619"/>
      <c r="Y674" s="619"/>
      <c r="Z674" s="619"/>
      <c r="AA674" s="619"/>
      <c r="AB674" s="619"/>
      <c r="AC674" s="619"/>
      <c r="AD674" s="619"/>
      <c r="AE674" s="619"/>
      <c r="AF674" s="619"/>
      <c r="AG674" s="619"/>
      <c r="AH674" s="619"/>
      <c r="AI674" s="619"/>
      <c r="AJ674" s="619"/>
      <c r="AK674" s="619"/>
      <c r="AL674" s="619"/>
      <c r="AM674" s="8"/>
    </row>
    <row r="675" spans="1:39" ht="14.25" customHeight="1">
      <c r="A675" s="619"/>
      <c r="B675" s="619"/>
      <c r="C675" s="619"/>
      <c r="D675" s="4"/>
      <c r="E675" s="21"/>
      <c r="F675" s="21"/>
      <c r="G675" s="21"/>
      <c r="H675" s="22"/>
      <c r="I675" s="619"/>
      <c r="J675" s="619"/>
      <c r="K675" s="619"/>
      <c r="L675" s="619"/>
      <c r="M675" s="619"/>
      <c r="N675" s="619"/>
      <c r="O675" s="619"/>
      <c r="P675" s="619"/>
      <c r="Q675" s="619"/>
      <c r="R675" s="619"/>
      <c r="S675" s="619"/>
      <c r="T675" s="619"/>
      <c r="U675" s="619"/>
      <c r="V675" s="619"/>
      <c r="W675" s="619"/>
      <c r="X675" s="619"/>
      <c r="Y675" s="619"/>
      <c r="Z675" s="619"/>
      <c r="AA675" s="619"/>
      <c r="AB675" s="619"/>
      <c r="AC675" s="619"/>
      <c r="AD675" s="619"/>
      <c r="AE675" s="619"/>
      <c r="AF675" s="619"/>
      <c r="AG675" s="619"/>
      <c r="AH675" s="619"/>
      <c r="AI675" s="619"/>
      <c r="AJ675" s="619"/>
      <c r="AK675" s="619"/>
      <c r="AL675" s="619"/>
      <c r="AM675" s="8"/>
    </row>
    <row r="676" spans="1:39" ht="14.25" customHeight="1">
      <c r="A676" s="619"/>
      <c r="B676" s="619"/>
      <c r="C676" s="619"/>
      <c r="D676" s="4"/>
      <c r="E676" s="21"/>
      <c r="F676" s="21"/>
      <c r="G676" s="21"/>
      <c r="H676" s="22"/>
      <c r="I676" s="619"/>
      <c r="J676" s="619"/>
      <c r="K676" s="619"/>
      <c r="L676" s="619"/>
      <c r="M676" s="619"/>
      <c r="N676" s="619"/>
      <c r="O676" s="619"/>
      <c r="P676" s="619"/>
      <c r="Q676" s="619"/>
      <c r="R676" s="619"/>
      <c r="S676" s="619"/>
      <c r="T676" s="619"/>
      <c r="U676" s="619"/>
      <c r="V676" s="619"/>
      <c r="W676" s="619"/>
      <c r="X676" s="619"/>
      <c r="Y676" s="619"/>
      <c r="Z676" s="619"/>
      <c r="AA676" s="619"/>
      <c r="AB676" s="619"/>
      <c r="AC676" s="619"/>
      <c r="AD676" s="619"/>
      <c r="AE676" s="619"/>
      <c r="AF676" s="619"/>
      <c r="AG676" s="619"/>
      <c r="AH676" s="619"/>
      <c r="AI676" s="619"/>
      <c r="AJ676" s="619"/>
      <c r="AK676" s="619"/>
      <c r="AL676" s="619"/>
      <c r="AM676" s="8"/>
    </row>
    <row r="677" spans="1:39" ht="14.25" customHeight="1">
      <c r="A677" s="619"/>
      <c r="B677" s="619"/>
      <c r="C677" s="619"/>
      <c r="D677" s="4"/>
      <c r="E677" s="21"/>
      <c r="F677" s="21"/>
      <c r="G677" s="21"/>
      <c r="H677" s="22"/>
      <c r="I677" s="619"/>
      <c r="J677" s="619"/>
      <c r="K677" s="619"/>
      <c r="L677" s="619"/>
      <c r="M677" s="619"/>
      <c r="N677" s="619"/>
      <c r="O677" s="619"/>
      <c r="P677" s="619"/>
      <c r="Q677" s="619"/>
      <c r="R677" s="619"/>
      <c r="S677" s="619"/>
      <c r="T677" s="619"/>
      <c r="U677" s="619"/>
      <c r="V677" s="619"/>
      <c r="W677" s="619"/>
      <c r="X677" s="619"/>
      <c r="Y677" s="619"/>
      <c r="Z677" s="619"/>
      <c r="AA677" s="619"/>
      <c r="AB677" s="619"/>
      <c r="AC677" s="619"/>
      <c r="AD677" s="619"/>
      <c r="AE677" s="619"/>
      <c r="AF677" s="619"/>
      <c r="AG677" s="619"/>
      <c r="AH677" s="619"/>
      <c r="AI677" s="619"/>
      <c r="AJ677" s="619"/>
      <c r="AK677" s="619"/>
      <c r="AL677" s="619"/>
      <c r="AM677" s="8"/>
    </row>
    <row r="678" spans="1:39" ht="14.25" customHeight="1">
      <c r="A678" s="619"/>
      <c r="B678" s="619"/>
      <c r="C678" s="619"/>
      <c r="D678" s="4"/>
      <c r="E678" s="21"/>
      <c r="F678" s="21"/>
      <c r="G678" s="21"/>
      <c r="H678" s="22"/>
      <c r="I678" s="619"/>
      <c r="J678" s="619"/>
      <c r="K678" s="619"/>
      <c r="L678" s="619"/>
      <c r="M678" s="619"/>
      <c r="N678" s="619"/>
      <c r="O678" s="619"/>
      <c r="P678" s="619"/>
      <c r="Q678" s="619"/>
      <c r="R678" s="619"/>
      <c r="S678" s="619"/>
      <c r="T678" s="619"/>
      <c r="U678" s="619"/>
      <c r="V678" s="619"/>
      <c r="W678" s="619"/>
      <c r="X678" s="619"/>
      <c r="Y678" s="619"/>
      <c r="Z678" s="619"/>
      <c r="AA678" s="619"/>
      <c r="AB678" s="619"/>
      <c r="AC678" s="619"/>
      <c r="AD678" s="619"/>
      <c r="AE678" s="619"/>
      <c r="AF678" s="619"/>
      <c r="AG678" s="619"/>
      <c r="AH678" s="619"/>
      <c r="AI678" s="619"/>
      <c r="AJ678" s="619"/>
      <c r="AK678" s="619"/>
      <c r="AL678" s="619"/>
      <c r="AM678" s="8"/>
    </row>
    <row r="679" spans="1:39" ht="14.25" customHeight="1">
      <c r="A679" s="619"/>
      <c r="B679" s="619"/>
      <c r="C679" s="619"/>
      <c r="D679" s="4"/>
      <c r="E679" s="21"/>
      <c r="F679" s="21"/>
      <c r="G679" s="21"/>
      <c r="H679" s="22"/>
      <c r="I679" s="619"/>
      <c r="J679" s="619"/>
      <c r="K679" s="619"/>
      <c r="L679" s="619"/>
      <c r="M679" s="619"/>
      <c r="N679" s="619"/>
      <c r="O679" s="619"/>
      <c r="P679" s="619"/>
      <c r="Q679" s="619"/>
      <c r="R679" s="619"/>
      <c r="S679" s="619"/>
      <c r="T679" s="619"/>
      <c r="U679" s="619"/>
      <c r="V679" s="619"/>
      <c r="W679" s="619"/>
      <c r="X679" s="619"/>
      <c r="Y679" s="619"/>
      <c r="Z679" s="619"/>
      <c r="AA679" s="619"/>
      <c r="AB679" s="619"/>
      <c r="AC679" s="619"/>
      <c r="AD679" s="619"/>
      <c r="AE679" s="619"/>
      <c r="AF679" s="619"/>
      <c r="AG679" s="619"/>
      <c r="AH679" s="619"/>
      <c r="AI679" s="619"/>
      <c r="AJ679" s="619"/>
      <c r="AK679" s="619"/>
      <c r="AL679" s="619"/>
      <c r="AM679" s="8"/>
    </row>
    <row r="680" spans="1:39" ht="14.25" customHeight="1">
      <c r="A680" s="619"/>
      <c r="B680" s="619"/>
      <c r="C680" s="619"/>
      <c r="D680" s="4"/>
      <c r="E680" s="21"/>
      <c r="F680" s="21"/>
      <c r="G680" s="21"/>
      <c r="H680" s="22"/>
      <c r="I680" s="619"/>
      <c r="J680" s="619"/>
      <c r="K680" s="619"/>
      <c r="L680" s="619"/>
      <c r="M680" s="619"/>
      <c r="N680" s="619"/>
      <c r="O680" s="619"/>
      <c r="P680" s="619"/>
      <c r="Q680" s="619"/>
      <c r="R680" s="619"/>
      <c r="S680" s="619"/>
      <c r="T680" s="619"/>
      <c r="U680" s="619"/>
      <c r="V680" s="619"/>
      <c r="W680" s="619"/>
      <c r="X680" s="619"/>
      <c r="Y680" s="619"/>
      <c r="Z680" s="619"/>
      <c r="AA680" s="619"/>
      <c r="AB680" s="619"/>
      <c r="AC680" s="619"/>
      <c r="AD680" s="619"/>
      <c r="AE680" s="619"/>
      <c r="AF680" s="619"/>
      <c r="AG680" s="619"/>
      <c r="AH680" s="619"/>
      <c r="AI680" s="619"/>
      <c r="AJ680" s="619"/>
      <c r="AK680" s="619"/>
      <c r="AL680" s="619"/>
      <c r="AM680" s="8"/>
    </row>
    <row r="681" spans="1:39" ht="14.25" customHeight="1">
      <c r="A681" s="619"/>
      <c r="B681" s="619"/>
      <c r="C681" s="619"/>
      <c r="D681" s="4"/>
      <c r="E681" s="21"/>
      <c r="F681" s="21"/>
      <c r="G681" s="21"/>
      <c r="H681" s="22"/>
      <c r="I681" s="619"/>
      <c r="J681" s="619"/>
      <c r="K681" s="619"/>
      <c r="L681" s="619"/>
      <c r="M681" s="619"/>
      <c r="N681" s="619"/>
      <c r="O681" s="619"/>
      <c r="P681" s="619"/>
      <c r="Q681" s="619"/>
      <c r="R681" s="619"/>
      <c r="S681" s="619"/>
      <c r="T681" s="619"/>
      <c r="U681" s="619"/>
      <c r="V681" s="619"/>
      <c r="W681" s="619"/>
      <c r="X681" s="619"/>
      <c r="Y681" s="619"/>
      <c r="Z681" s="619"/>
      <c r="AA681" s="619"/>
      <c r="AB681" s="619"/>
      <c r="AC681" s="619"/>
      <c r="AD681" s="619"/>
      <c r="AE681" s="619"/>
      <c r="AF681" s="619"/>
      <c r="AG681" s="619"/>
      <c r="AH681" s="619"/>
      <c r="AI681" s="619"/>
      <c r="AJ681" s="619"/>
      <c r="AK681" s="619"/>
      <c r="AL681" s="619"/>
      <c r="AM681" s="8"/>
    </row>
    <row r="682" spans="1:39" ht="14.25" customHeight="1">
      <c r="A682" s="619"/>
      <c r="B682" s="619"/>
      <c r="C682" s="619"/>
      <c r="D682" s="4"/>
      <c r="E682" s="21"/>
      <c r="F682" s="21"/>
      <c r="G682" s="21"/>
      <c r="H682" s="22"/>
      <c r="I682" s="619"/>
      <c r="J682" s="619"/>
      <c r="K682" s="619"/>
      <c r="L682" s="619"/>
      <c r="M682" s="619"/>
      <c r="N682" s="619"/>
      <c r="O682" s="619"/>
      <c r="P682" s="619"/>
      <c r="Q682" s="619"/>
      <c r="R682" s="619"/>
      <c r="S682" s="619"/>
      <c r="T682" s="619"/>
      <c r="U682" s="619"/>
      <c r="V682" s="619"/>
      <c r="W682" s="619"/>
      <c r="X682" s="619"/>
      <c r="Y682" s="619"/>
      <c r="Z682" s="619"/>
      <c r="AA682" s="619"/>
      <c r="AB682" s="619"/>
      <c r="AC682" s="619"/>
      <c r="AD682" s="619"/>
      <c r="AE682" s="619"/>
      <c r="AF682" s="619"/>
      <c r="AG682" s="619"/>
      <c r="AH682" s="619"/>
      <c r="AI682" s="619"/>
      <c r="AJ682" s="619"/>
      <c r="AK682" s="619"/>
      <c r="AL682" s="619"/>
      <c r="AM682" s="8"/>
    </row>
    <row r="683" spans="1:39" ht="14.25" customHeight="1">
      <c r="A683" s="619"/>
      <c r="B683" s="619"/>
      <c r="C683" s="619"/>
      <c r="D683" s="4"/>
      <c r="E683" s="21"/>
      <c r="F683" s="21"/>
      <c r="G683" s="21"/>
      <c r="H683" s="22"/>
      <c r="I683" s="619"/>
      <c r="J683" s="619"/>
      <c r="K683" s="619"/>
      <c r="L683" s="619"/>
      <c r="M683" s="619"/>
      <c r="N683" s="619"/>
      <c r="O683" s="619"/>
      <c r="P683" s="619"/>
      <c r="Q683" s="619"/>
      <c r="R683" s="619"/>
      <c r="S683" s="619"/>
      <c r="T683" s="619"/>
      <c r="U683" s="619"/>
      <c r="V683" s="619"/>
      <c r="W683" s="619"/>
      <c r="X683" s="619"/>
      <c r="Y683" s="619"/>
      <c r="Z683" s="619"/>
      <c r="AA683" s="619"/>
      <c r="AB683" s="619"/>
      <c r="AC683" s="619"/>
      <c r="AD683" s="619"/>
      <c r="AE683" s="619"/>
      <c r="AF683" s="619"/>
      <c r="AG683" s="619"/>
      <c r="AH683" s="619"/>
      <c r="AI683" s="619"/>
      <c r="AJ683" s="619"/>
      <c r="AK683" s="619"/>
      <c r="AL683" s="619"/>
      <c r="AM683" s="8"/>
    </row>
    <row r="684" spans="1:39" ht="14.25" customHeight="1">
      <c r="A684" s="619"/>
      <c r="B684" s="619"/>
      <c r="C684" s="619"/>
      <c r="D684" s="4"/>
      <c r="E684" s="21"/>
      <c r="F684" s="21"/>
      <c r="G684" s="21"/>
      <c r="H684" s="22"/>
      <c r="I684" s="619"/>
      <c r="J684" s="619"/>
      <c r="K684" s="619"/>
      <c r="L684" s="619"/>
      <c r="M684" s="619"/>
      <c r="N684" s="619"/>
      <c r="O684" s="619"/>
      <c r="P684" s="619"/>
      <c r="Q684" s="619"/>
      <c r="R684" s="619"/>
      <c r="S684" s="619"/>
      <c r="T684" s="619"/>
      <c r="U684" s="619"/>
      <c r="V684" s="619"/>
      <c r="W684" s="619"/>
      <c r="X684" s="619"/>
      <c r="Y684" s="619"/>
      <c r="Z684" s="619"/>
      <c r="AA684" s="619"/>
      <c r="AB684" s="619"/>
      <c r="AC684" s="619"/>
      <c r="AD684" s="619"/>
      <c r="AE684" s="619"/>
      <c r="AF684" s="619"/>
      <c r="AG684" s="619"/>
      <c r="AH684" s="619"/>
      <c r="AI684" s="619"/>
      <c r="AJ684" s="619"/>
      <c r="AK684" s="619"/>
      <c r="AL684" s="619"/>
      <c r="AM684" s="8"/>
    </row>
    <row r="685" spans="1:39" ht="14.25" customHeight="1">
      <c r="A685" s="619"/>
      <c r="B685" s="619"/>
      <c r="C685" s="619"/>
      <c r="D685" s="4"/>
      <c r="E685" s="21"/>
      <c r="F685" s="21"/>
      <c r="G685" s="21"/>
      <c r="H685" s="22"/>
      <c r="I685" s="619"/>
      <c r="J685" s="619"/>
      <c r="K685" s="619"/>
      <c r="L685" s="619"/>
      <c r="M685" s="619"/>
      <c r="N685" s="619"/>
      <c r="O685" s="619"/>
      <c r="P685" s="619"/>
      <c r="Q685" s="619"/>
      <c r="R685" s="619"/>
      <c r="S685" s="619"/>
      <c r="T685" s="619"/>
      <c r="U685" s="619"/>
      <c r="V685" s="619"/>
      <c r="W685" s="619"/>
      <c r="X685" s="619"/>
      <c r="Y685" s="619"/>
      <c r="Z685" s="619"/>
      <c r="AA685" s="619"/>
      <c r="AB685" s="619"/>
      <c r="AC685" s="619"/>
      <c r="AD685" s="619"/>
      <c r="AE685" s="619"/>
      <c r="AF685" s="619"/>
      <c r="AG685" s="619"/>
      <c r="AH685" s="619"/>
      <c r="AI685" s="619"/>
      <c r="AJ685" s="619"/>
      <c r="AK685" s="619"/>
      <c r="AL685" s="619"/>
      <c r="AM685" s="8"/>
    </row>
    <row r="686" spans="1:39" ht="14.25" customHeight="1">
      <c r="A686" s="619"/>
      <c r="B686" s="619"/>
      <c r="C686" s="619"/>
      <c r="D686" s="4"/>
      <c r="E686" s="21"/>
      <c r="F686" s="21"/>
      <c r="G686" s="21"/>
      <c r="H686" s="22"/>
      <c r="I686" s="619"/>
      <c r="J686" s="619"/>
      <c r="K686" s="619"/>
      <c r="L686" s="619"/>
      <c r="M686" s="619"/>
      <c r="N686" s="619"/>
      <c r="O686" s="619"/>
      <c r="P686" s="619"/>
      <c r="Q686" s="619"/>
      <c r="R686" s="619"/>
      <c r="S686" s="619"/>
      <c r="T686" s="619"/>
      <c r="U686" s="619"/>
      <c r="V686" s="619"/>
      <c r="W686" s="619"/>
      <c r="X686" s="619"/>
      <c r="Y686" s="619"/>
      <c r="Z686" s="619"/>
      <c r="AA686" s="619"/>
      <c r="AB686" s="619"/>
      <c r="AC686" s="619"/>
      <c r="AD686" s="619"/>
      <c r="AE686" s="619"/>
      <c r="AF686" s="619"/>
      <c r="AG686" s="619"/>
      <c r="AH686" s="619"/>
      <c r="AI686" s="619"/>
      <c r="AJ686" s="619"/>
      <c r="AK686" s="619"/>
      <c r="AL686" s="619"/>
      <c r="AM686" s="8"/>
    </row>
    <row r="687" spans="1:39" ht="14.25" customHeight="1">
      <c r="A687" s="619"/>
      <c r="B687" s="619"/>
      <c r="C687" s="619"/>
      <c r="D687" s="4"/>
      <c r="E687" s="21"/>
      <c r="F687" s="21"/>
      <c r="G687" s="21"/>
      <c r="H687" s="22"/>
      <c r="I687" s="619"/>
      <c r="J687" s="619"/>
      <c r="K687" s="619"/>
      <c r="L687" s="619"/>
      <c r="M687" s="619"/>
      <c r="N687" s="619"/>
      <c r="O687" s="619"/>
      <c r="P687" s="619"/>
      <c r="Q687" s="619"/>
      <c r="R687" s="619"/>
      <c r="S687" s="619"/>
      <c r="T687" s="619"/>
      <c r="U687" s="619"/>
      <c r="V687" s="619"/>
      <c r="W687" s="619"/>
      <c r="X687" s="619"/>
      <c r="Y687" s="619"/>
      <c r="Z687" s="619"/>
      <c r="AA687" s="619"/>
      <c r="AB687" s="619"/>
      <c r="AC687" s="619"/>
      <c r="AD687" s="619"/>
      <c r="AE687" s="619"/>
      <c r="AF687" s="619"/>
      <c r="AG687" s="619"/>
      <c r="AH687" s="619"/>
      <c r="AI687" s="619"/>
      <c r="AJ687" s="619"/>
      <c r="AK687" s="619"/>
      <c r="AL687" s="619"/>
      <c r="AM687" s="8"/>
    </row>
    <row r="688" spans="1:39" ht="14.25" customHeight="1">
      <c r="A688" s="619"/>
      <c r="B688" s="619"/>
      <c r="C688" s="619"/>
      <c r="D688" s="4"/>
      <c r="E688" s="21"/>
      <c r="F688" s="21"/>
      <c r="G688" s="21"/>
      <c r="H688" s="22"/>
      <c r="I688" s="619"/>
      <c r="J688" s="619"/>
      <c r="K688" s="619"/>
      <c r="L688" s="619"/>
      <c r="M688" s="619"/>
      <c r="N688" s="619"/>
      <c r="O688" s="619"/>
      <c r="P688" s="619"/>
      <c r="Q688" s="619"/>
      <c r="R688" s="619"/>
      <c r="S688" s="619"/>
      <c r="T688" s="619"/>
      <c r="U688" s="619"/>
      <c r="V688" s="619"/>
      <c r="W688" s="619"/>
      <c r="X688" s="619"/>
      <c r="Y688" s="619"/>
      <c r="Z688" s="619"/>
      <c r="AA688" s="619"/>
      <c r="AB688" s="619"/>
      <c r="AC688" s="619"/>
      <c r="AD688" s="619"/>
      <c r="AE688" s="619"/>
      <c r="AF688" s="619"/>
      <c r="AG688" s="619"/>
      <c r="AH688" s="619"/>
      <c r="AI688" s="619"/>
      <c r="AJ688" s="619"/>
      <c r="AK688" s="619"/>
      <c r="AL688" s="619"/>
      <c r="AM688" s="8"/>
    </row>
    <row r="689" spans="1:39" ht="14.25" customHeight="1">
      <c r="A689" s="619"/>
      <c r="B689" s="619"/>
      <c r="C689" s="619"/>
      <c r="D689" s="4"/>
      <c r="E689" s="21"/>
      <c r="F689" s="21"/>
      <c r="G689" s="21"/>
      <c r="H689" s="22"/>
      <c r="I689" s="619"/>
      <c r="J689" s="619"/>
      <c r="K689" s="619"/>
      <c r="L689" s="619"/>
      <c r="M689" s="619"/>
      <c r="N689" s="619"/>
      <c r="O689" s="619"/>
      <c r="P689" s="619"/>
      <c r="Q689" s="619"/>
      <c r="R689" s="619"/>
      <c r="S689" s="619"/>
      <c r="T689" s="619"/>
      <c r="U689" s="619"/>
      <c r="V689" s="619"/>
      <c r="W689" s="619"/>
      <c r="X689" s="619"/>
      <c r="Y689" s="619"/>
      <c r="Z689" s="619"/>
      <c r="AA689" s="619"/>
      <c r="AB689" s="619"/>
      <c r="AC689" s="619"/>
      <c r="AD689" s="619"/>
      <c r="AE689" s="619"/>
      <c r="AF689" s="619"/>
      <c r="AG689" s="619"/>
      <c r="AH689" s="619"/>
      <c r="AI689" s="619"/>
      <c r="AJ689" s="619"/>
      <c r="AK689" s="619"/>
      <c r="AL689" s="619"/>
      <c r="AM689" s="8"/>
    </row>
    <row r="690" spans="1:39" ht="14.25" customHeight="1">
      <c r="A690" s="619"/>
      <c r="B690" s="619"/>
      <c r="C690" s="619"/>
      <c r="D690" s="4"/>
      <c r="E690" s="21"/>
      <c r="F690" s="21"/>
      <c r="G690" s="21"/>
      <c r="H690" s="22"/>
      <c r="I690" s="619"/>
      <c r="J690" s="619"/>
      <c r="K690" s="619"/>
      <c r="L690" s="619"/>
      <c r="M690" s="619"/>
      <c r="N690" s="619"/>
      <c r="O690" s="619"/>
      <c r="P690" s="619"/>
      <c r="Q690" s="619"/>
      <c r="R690" s="619"/>
      <c r="S690" s="619"/>
      <c r="T690" s="619"/>
      <c r="U690" s="619"/>
      <c r="V690" s="619"/>
      <c r="W690" s="619"/>
      <c r="X690" s="619"/>
      <c r="Y690" s="619"/>
      <c r="Z690" s="619"/>
      <c r="AA690" s="619"/>
      <c r="AB690" s="619"/>
      <c r="AC690" s="619"/>
      <c r="AD690" s="619"/>
      <c r="AE690" s="619"/>
      <c r="AF690" s="619"/>
      <c r="AG690" s="619"/>
      <c r="AH690" s="619"/>
      <c r="AI690" s="619"/>
      <c r="AJ690" s="619"/>
      <c r="AK690" s="619"/>
      <c r="AL690" s="619"/>
      <c r="AM690" s="8"/>
    </row>
    <row r="691" spans="1:39" ht="14.25" customHeight="1">
      <c r="A691" s="619"/>
      <c r="B691" s="619"/>
      <c r="C691" s="619"/>
      <c r="D691" s="4"/>
      <c r="E691" s="21"/>
      <c r="F691" s="21"/>
      <c r="G691" s="21"/>
      <c r="H691" s="22"/>
      <c r="I691" s="619"/>
      <c r="J691" s="619"/>
      <c r="K691" s="619"/>
      <c r="L691" s="619"/>
      <c r="M691" s="619"/>
      <c r="N691" s="619"/>
      <c r="O691" s="619"/>
      <c r="P691" s="619"/>
      <c r="Q691" s="619"/>
      <c r="R691" s="619"/>
      <c r="S691" s="619"/>
      <c r="T691" s="619"/>
      <c r="U691" s="619"/>
      <c r="V691" s="619"/>
      <c r="W691" s="619"/>
      <c r="X691" s="619"/>
      <c r="Y691" s="619"/>
      <c r="Z691" s="619"/>
      <c r="AA691" s="619"/>
      <c r="AB691" s="619"/>
      <c r="AC691" s="619"/>
      <c r="AD691" s="619"/>
      <c r="AE691" s="619"/>
      <c r="AF691" s="619"/>
      <c r="AG691" s="619"/>
      <c r="AH691" s="619"/>
      <c r="AI691" s="619"/>
      <c r="AJ691" s="619"/>
      <c r="AK691" s="619"/>
      <c r="AL691" s="619"/>
      <c r="AM691" s="8"/>
    </row>
    <row r="692" spans="1:39" ht="14.25" customHeight="1">
      <c r="A692" s="619"/>
      <c r="B692" s="619"/>
      <c r="C692" s="619"/>
      <c r="D692" s="4"/>
      <c r="E692" s="21"/>
      <c r="F692" s="21"/>
      <c r="G692" s="21"/>
      <c r="H692" s="22"/>
      <c r="I692" s="619"/>
      <c r="J692" s="619"/>
      <c r="K692" s="619"/>
      <c r="L692" s="619"/>
      <c r="M692" s="619"/>
      <c r="N692" s="619"/>
      <c r="O692" s="619"/>
      <c r="P692" s="619"/>
      <c r="Q692" s="619"/>
      <c r="R692" s="619"/>
      <c r="S692" s="619"/>
      <c r="T692" s="619"/>
      <c r="U692" s="619"/>
      <c r="V692" s="619"/>
      <c r="W692" s="619"/>
      <c r="X692" s="619"/>
      <c r="Y692" s="619"/>
      <c r="Z692" s="619"/>
      <c r="AA692" s="619"/>
      <c r="AB692" s="619"/>
      <c r="AC692" s="619"/>
      <c r="AD692" s="619"/>
      <c r="AE692" s="619"/>
      <c r="AF692" s="619"/>
      <c r="AG692" s="619"/>
      <c r="AH692" s="619"/>
      <c r="AI692" s="619"/>
      <c r="AJ692" s="619"/>
      <c r="AK692" s="619"/>
      <c r="AL692" s="619"/>
      <c r="AM692" s="8"/>
    </row>
    <row r="693" spans="1:39" ht="14.25" customHeight="1">
      <c r="A693" s="619"/>
      <c r="B693" s="619"/>
      <c r="C693" s="619"/>
      <c r="D693" s="4"/>
      <c r="E693" s="21"/>
      <c r="F693" s="21"/>
      <c r="G693" s="21"/>
      <c r="H693" s="22"/>
      <c r="I693" s="619"/>
      <c r="J693" s="619"/>
      <c r="K693" s="619"/>
      <c r="L693" s="619"/>
      <c r="M693" s="619"/>
      <c r="N693" s="619"/>
      <c r="O693" s="619"/>
      <c r="P693" s="619"/>
      <c r="Q693" s="619"/>
      <c r="R693" s="619"/>
      <c r="S693" s="619"/>
      <c r="T693" s="619"/>
      <c r="U693" s="619"/>
      <c r="V693" s="619"/>
      <c r="W693" s="619"/>
      <c r="X693" s="619"/>
      <c r="Y693" s="619"/>
      <c r="Z693" s="619"/>
      <c r="AA693" s="619"/>
      <c r="AB693" s="619"/>
      <c r="AC693" s="619"/>
      <c r="AD693" s="619"/>
      <c r="AE693" s="619"/>
      <c r="AF693" s="619"/>
      <c r="AG693" s="619"/>
      <c r="AH693" s="619"/>
      <c r="AI693" s="619"/>
      <c r="AJ693" s="619"/>
      <c r="AK693" s="619"/>
      <c r="AL693" s="619"/>
      <c r="AM693" s="8"/>
    </row>
    <row r="694" spans="1:39" ht="14.25" customHeight="1">
      <c r="A694" s="619"/>
      <c r="B694" s="619"/>
      <c r="C694" s="619"/>
      <c r="D694" s="4"/>
      <c r="E694" s="21"/>
      <c r="F694" s="21"/>
      <c r="G694" s="21"/>
      <c r="H694" s="22"/>
      <c r="I694" s="619"/>
      <c r="J694" s="619"/>
      <c r="K694" s="619"/>
      <c r="L694" s="619"/>
      <c r="M694" s="619"/>
      <c r="N694" s="619"/>
      <c r="O694" s="619"/>
      <c r="P694" s="619"/>
      <c r="Q694" s="619"/>
      <c r="R694" s="619"/>
      <c r="S694" s="619"/>
      <c r="T694" s="619"/>
      <c r="U694" s="619"/>
      <c r="V694" s="619"/>
      <c r="W694" s="619"/>
      <c r="X694" s="619"/>
      <c r="Y694" s="619"/>
      <c r="Z694" s="619"/>
      <c r="AA694" s="619"/>
      <c r="AB694" s="619"/>
      <c r="AC694" s="619"/>
      <c r="AD694" s="619"/>
      <c r="AE694" s="619"/>
      <c r="AF694" s="619"/>
      <c r="AG694" s="619"/>
      <c r="AH694" s="619"/>
      <c r="AI694" s="619"/>
      <c r="AJ694" s="619"/>
      <c r="AK694" s="619"/>
      <c r="AL694" s="619"/>
      <c r="AM694" s="8"/>
    </row>
    <row r="695" spans="1:39" ht="14.25" customHeight="1">
      <c r="A695" s="619"/>
      <c r="B695" s="619"/>
      <c r="C695" s="619"/>
      <c r="D695" s="4"/>
      <c r="E695" s="21"/>
      <c r="F695" s="21"/>
      <c r="G695" s="21"/>
      <c r="H695" s="22"/>
      <c r="I695" s="619"/>
      <c r="J695" s="619"/>
      <c r="K695" s="619"/>
      <c r="L695" s="619"/>
      <c r="M695" s="619"/>
      <c r="N695" s="619"/>
      <c r="O695" s="619"/>
      <c r="P695" s="619"/>
      <c r="Q695" s="619"/>
      <c r="R695" s="619"/>
      <c r="S695" s="619"/>
      <c r="T695" s="619"/>
      <c r="U695" s="619"/>
      <c r="V695" s="619"/>
      <c r="W695" s="619"/>
      <c r="X695" s="619"/>
      <c r="Y695" s="619"/>
      <c r="Z695" s="619"/>
      <c r="AA695" s="619"/>
      <c r="AB695" s="619"/>
      <c r="AC695" s="619"/>
      <c r="AD695" s="619"/>
      <c r="AE695" s="619"/>
      <c r="AF695" s="619"/>
      <c r="AG695" s="619"/>
      <c r="AH695" s="619"/>
      <c r="AI695" s="619"/>
      <c r="AJ695" s="619"/>
      <c r="AK695" s="619"/>
      <c r="AL695" s="619"/>
      <c r="AM695" s="8"/>
    </row>
    <row r="696" spans="1:39" ht="14.25" customHeight="1">
      <c r="A696" s="619"/>
      <c r="B696" s="619"/>
      <c r="C696" s="619"/>
      <c r="D696" s="4"/>
      <c r="E696" s="21"/>
      <c r="F696" s="21"/>
      <c r="G696" s="21"/>
      <c r="H696" s="22"/>
      <c r="I696" s="619"/>
      <c r="J696" s="619"/>
      <c r="K696" s="619"/>
      <c r="L696" s="619"/>
      <c r="M696" s="619"/>
      <c r="N696" s="619"/>
      <c r="O696" s="619"/>
      <c r="P696" s="619"/>
      <c r="Q696" s="619"/>
      <c r="R696" s="619"/>
      <c r="S696" s="619"/>
      <c r="T696" s="619"/>
      <c r="U696" s="619"/>
      <c r="V696" s="619"/>
      <c r="W696" s="619"/>
      <c r="X696" s="619"/>
      <c r="Y696" s="619"/>
      <c r="Z696" s="619"/>
      <c r="AA696" s="619"/>
      <c r="AB696" s="619"/>
      <c r="AC696" s="619"/>
      <c r="AD696" s="619"/>
      <c r="AE696" s="619"/>
      <c r="AF696" s="619"/>
      <c r="AG696" s="619"/>
      <c r="AH696" s="619"/>
      <c r="AI696" s="619"/>
      <c r="AJ696" s="619"/>
      <c r="AK696" s="619"/>
      <c r="AL696" s="619"/>
      <c r="AM696" s="8"/>
    </row>
    <row r="697" spans="1:39" ht="14.25" customHeight="1">
      <c r="A697" s="619"/>
      <c r="B697" s="619"/>
      <c r="C697" s="619"/>
      <c r="D697" s="4"/>
      <c r="E697" s="21"/>
      <c r="F697" s="21"/>
      <c r="G697" s="21"/>
      <c r="H697" s="22"/>
      <c r="I697" s="619"/>
      <c r="J697" s="619"/>
      <c r="K697" s="619"/>
      <c r="L697" s="619"/>
      <c r="M697" s="619"/>
      <c r="N697" s="619"/>
      <c r="O697" s="619"/>
      <c r="P697" s="619"/>
      <c r="Q697" s="619"/>
      <c r="R697" s="619"/>
      <c r="S697" s="619"/>
      <c r="T697" s="619"/>
      <c r="U697" s="619"/>
      <c r="V697" s="619"/>
      <c r="W697" s="619"/>
      <c r="X697" s="619"/>
      <c r="Y697" s="619"/>
      <c r="Z697" s="619"/>
      <c r="AA697" s="619"/>
      <c r="AB697" s="619"/>
      <c r="AC697" s="619"/>
      <c r="AD697" s="619"/>
      <c r="AE697" s="619"/>
      <c r="AF697" s="619"/>
      <c r="AG697" s="619"/>
      <c r="AH697" s="619"/>
      <c r="AI697" s="619"/>
      <c r="AJ697" s="619"/>
      <c r="AK697" s="619"/>
      <c r="AL697" s="619"/>
      <c r="AM697" s="8"/>
    </row>
    <row r="698" spans="1:39" ht="14.25" customHeight="1">
      <c r="A698" s="619"/>
      <c r="B698" s="619"/>
      <c r="C698" s="619"/>
      <c r="D698" s="4"/>
      <c r="E698" s="21"/>
      <c r="F698" s="21"/>
      <c r="G698" s="21"/>
      <c r="H698" s="22"/>
      <c r="I698" s="619"/>
      <c r="J698" s="619"/>
      <c r="K698" s="619"/>
      <c r="L698" s="619"/>
      <c r="M698" s="619"/>
      <c r="N698" s="619"/>
      <c r="O698" s="619"/>
      <c r="P698" s="619"/>
      <c r="Q698" s="619"/>
      <c r="R698" s="619"/>
      <c r="S698" s="619"/>
      <c r="T698" s="619"/>
      <c r="U698" s="619"/>
      <c r="V698" s="619"/>
      <c r="W698" s="619"/>
      <c r="X698" s="619"/>
      <c r="Y698" s="619"/>
      <c r="Z698" s="619"/>
      <c r="AA698" s="619"/>
      <c r="AB698" s="619"/>
      <c r="AC698" s="619"/>
      <c r="AD698" s="619"/>
      <c r="AE698" s="619"/>
      <c r="AF698" s="619"/>
      <c r="AG698" s="619"/>
      <c r="AH698" s="619"/>
      <c r="AI698" s="619"/>
      <c r="AJ698" s="619"/>
      <c r="AK698" s="619"/>
      <c r="AL698" s="619"/>
      <c r="AM698" s="8"/>
    </row>
    <row r="699" spans="1:39" ht="14.25" customHeight="1">
      <c r="A699" s="619"/>
      <c r="B699" s="619"/>
      <c r="C699" s="619"/>
      <c r="D699" s="4"/>
      <c r="E699" s="21"/>
      <c r="F699" s="21"/>
      <c r="G699" s="21"/>
      <c r="H699" s="22"/>
      <c r="I699" s="619"/>
      <c r="J699" s="619"/>
      <c r="K699" s="619"/>
      <c r="L699" s="619"/>
      <c r="M699" s="619"/>
      <c r="N699" s="619"/>
      <c r="O699" s="619"/>
      <c r="P699" s="619"/>
      <c r="Q699" s="619"/>
      <c r="R699" s="619"/>
      <c r="S699" s="619"/>
      <c r="T699" s="619"/>
      <c r="U699" s="619"/>
      <c r="V699" s="619"/>
      <c r="W699" s="619"/>
      <c r="X699" s="619"/>
      <c r="Y699" s="619"/>
      <c r="Z699" s="619"/>
      <c r="AA699" s="619"/>
      <c r="AB699" s="619"/>
      <c r="AC699" s="619"/>
      <c r="AD699" s="619"/>
      <c r="AE699" s="619"/>
      <c r="AF699" s="619"/>
      <c r="AG699" s="619"/>
      <c r="AH699" s="619"/>
      <c r="AI699" s="619"/>
      <c r="AJ699" s="619"/>
      <c r="AK699" s="619"/>
      <c r="AL699" s="619"/>
      <c r="AM699" s="8"/>
    </row>
    <row r="700" spans="1:39" ht="14.25" customHeight="1">
      <c r="A700" s="619"/>
      <c r="B700" s="619"/>
      <c r="C700" s="619"/>
      <c r="D700" s="4"/>
      <c r="E700" s="21"/>
      <c r="F700" s="21"/>
      <c r="G700" s="21"/>
      <c r="H700" s="22"/>
      <c r="I700" s="619"/>
      <c r="J700" s="619"/>
      <c r="K700" s="619"/>
      <c r="L700" s="619"/>
      <c r="M700" s="619"/>
      <c r="N700" s="619"/>
      <c r="O700" s="619"/>
      <c r="P700" s="619"/>
      <c r="Q700" s="619"/>
      <c r="R700" s="619"/>
      <c r="S700" s="619"/>
      <c r="T700" s="619"/>
      <c r="U700" s="619"/>
      <c r="V700" s="619"/>
      <c r="W700" s="619"/>
      <c r="X700" s="619"/>
      <c r="Y700" s="619"/>
      <c r="Z700" s="619"/>
      <c r="AA700" s="619"/>
      <c r="AB700" s="619"/>
      <c r="AC700" s="619"/>
      <c r="AD700" s="619"/>
      <c r="AE700" s="619"/>
      <c r="AF700" s="619"/>
      <c r="AG700" s="619"/>
      <c r="AH700" s="619"/>
      <c r="AI700" s="619"/>
      <c r="AJ700" s="619"/>
      <c r="AK700" s="619"/>
      <c r="AL700" s="619"/>
      <c r="AM700" s="8"/>
    </row>
    <row r="701" spans="1:39" ht="14.25" customHeight="1">
      <c r="A701" s="619"/>
      <c r="B701" s="619"/>
      <c r="C701" s="619"/>
      <c r="D701" s="4"/>
      <c r="E701" s="21"/>
      <c r="F701" s="21"/>
      <c r="G701" s="21"/>
      <c r="H701" s="22"/>
      <c r="I701" s="619"/>
      <c r="J701" s="619"/>
      <c r="K701" s="619"/>
      <c r="L701" s="619"/>
      <c r="M701" s="619"/>
      <c r="N701" s="619"/>
      <c r="O701" s="619"/>
      <c r="P701" s="619"/>
      <c r="Q701" s="619"/>
      <c r="R701" s="619"/>
      <c r="S701" s="619"/>
      <c r="T701" s="619"/>
      <c r="U701" s="619"/>
      <c r="V701" s="619"/>
      <c r="W701" s="619"/>
      <c r="X701" s="619"/>
      <c r="Y701" s="619"/>
      <c r="Z701" s="619"/>
      <c r="AA701" s="619"/>
      <c r="AB701" s="619"/>
      <c r="AC701" s="619"/>
      <c r="AD701" s="619"/>
      <c r="AE701" s="619"/>
      <c r="AF701" s="619"/>
      <c r="AG701" s="619"/>
      <c r="AH701" s="619"/>
      <c r="AI701" s="619"/>
      <c r="AJ701" s="619"/>
      <c r="AK701" s="619"/>
      <c r="AL701" s="619"/>
      <c r="AM701" s="8"/>
    </row>
    <row r="702" spans="1:39" ht="14.25" customHeight="1">
      <c r="A702" s="619"/>
      <c r="B702" s="619"/>
      <c r="C702" s="619"/>
      <c r="D702" s="4"/>
      <c r="E702" s="21"/>
      <c r="F702" s="21"/>
      <c r="G702" s="21"/>
      <c r="H702" s="22"/>
      <c r="I702" s="619"/>
      <c r="J702" s="619"/>
      <c r="K702" s="619"/>
      <c r="L702" s="619"/>
      <c r="M702" s="619"/>
      <c r="N702" s="619"/>
      <c r="O702" s="619"/>
      <c r="P702" s="619"/>
      <c r="Q702" s="619"/>
      <c r="R702" s="619"/>
      <c r="S702" s="619"/>
      <c r="T702" s="619"/>
      <c r="U702" s="619"/>
      <c r="V702" s="619"/>
      <c r="W702" s="619"/>
      <c r="X702" s="619"/>
      <c r="Y702" s="619"/>
      <c r="Z702" s="619"/>
      <c r="AA702" s="619"/>
      <c r="AB702" s="619"/>
      <c r="AC702" s="619"/>
      <c r="AD702" s="619"/>
      <c r="AE702" s="619"/>
      <c r="AF702" s="619"/>
      <c r="AG702" s="619"/>
      <c r="AH702" s="619"/>
      <c r="AI702" s="619"/>
      <c r="AJ702" s="619"/>
      <c r="AK702" s="619"/>
      <c r="AL702" s="619"/>
      <c r="AM702" s="8"/>
    </row>
    <row r="703" spans="1:39" ht="14.25" customHeight="1">
      <c r="A703" s="619"/>
      <c r="B703" s="619"/>
      <c r="C703" s="619"/>
      <c r="D703" s="4"/>
      <c r="E703" s="21"/>
      <c r="F703" s="21"/>
      <c r="G703" s="21"/>
      <c r="H703" s="22"/>
      <c r="I703" s="619"/>
      <c r="J703" s="619"/>
      <c r="K703" s="619"/>
      <c r="L703" s="619"/>
      <c r="M703" s="619"/>
      <c r="N703" s="619"/>
      <c r="O703" s="619"/>
      <c r="P703" s="619"/>
      <c r="Q703" s="619"/>
      <c r="R703" s="619"/>
      <c r="S703" s="619"/>
      <c r="T703" s="619"/>
      <c r="U703" s="619"/>
      <c r="V703" s="619"/>
      <c r="W703" s="619"/>
      <c r="X703" s="619"/>
      <c r="Y703" s="619"/>
      <c r="Z703" s="619"/>
      <c r="AA703" s="619"/>
      <c r="AB703" s="619"/>
      <c r="AC703" s="619"/>
      <c r="AD703" s="619"/>
      <c r="AE703" s="619"/>
      <c r="AF703" s="619"/>
      <c r="AG703" s="619"/>
      <c r="AH703" s="619"/>
      <c r="AI703" s="619"/>
      <c r="AJ703" s="619"/>
      <c r="AK703" s="619"/>
      <c r="AL703" s="619"/>
      <c r="AM703" s="8"/>
    </row>
    <row r="704" spans="1:39" ht="14.25" customHeight="1">
      <c r="A704" s="619"/>
      <c r="B704" s="619"/>
      <c r="C704" s="619"/>
      <c r="D704" s="4"/>
      <c r="E704" s="21"/>
      <c r="F704" s="21"/>
      <c r="G704" s="21"/>
      <c r="H704" s="22"/>
      <c r="I704" s="619"/>
      <c r="J704" s="619"/>
      <c r="K704" s="619"/>
      <c r="L704" s="619"/>
      <c r="M704" s="619"/>
      <c r="N704" s="619"/>
      <c r="O704" s="619"/>
      <c r="P704" s="619"/>
      <c r="Q704" s="619"/>
      <c r="R704" s="619"/>
      <c r="S704" s="619"/>
      <c r="T704" s="619"/>
      <c r="U704" s="619"/>
      <c r="V704" s="619"/>
      <c r="W704" s="619"/>
      <c r="X704" s="619"/>
      <c r="Y704" s="619"/>
      <c r="Z704" s="619"/>
      <c r="AA704" s="619"/>
      <c r="AB704" s="619"/>
      <c r="AC704" s="619"/>
      <c r="AD704" s="619"/>
      <c r="AE704" s="619"/>
      <c r="AF704" s="619"/>
      <c r="AG704" s="619"/>
      <c r="AH704" s="619"/>
      <c r="AI704" s="619"/>
      <c r="AJ704" s="619"/>
      <c r="AK704" s="619"/>
      <c r="AL704" s="619"/>
      <c r="AM704" s="8"/>
    </row>
    <row r="705" spans="1:39" ht="14.25" customHeight="1">
      <c r="A705" s="619"/>
      <c r="B705" s="619"/>
      <c r="C705" s="619"/>
      <c r="D705" s="4"/>
      <c r="E705" s="21"/>
      <c r="F705" s="21"/>
      <c r="G705" s="21"/>
      <c r="H705" s="22"/>
      <c r="I705" s="619"/>
      <c r="J705" s="619"/>
      <c r="K705" s="619"/>
      <c r="L705" s="619"/>
      <c r="M705" s="619"/>
      <c r="N705" s="619"/>
      <c r="O705" s="619"/>
      <c r="P705" s="619"/>
      <c r="Q705" s="619"/>
      <c r="R705" s="619"/>
      <c r="S705" s="619"/>
      <c r="T705" s="619"/>
      <c r="U705" s="619"/>
      <c r="V705" s="619"/>
      <c r="W705" s="619"/>
      <c r="X705" s="619"/>
      <c r="Y705" s="619"/>
      <c r="Z705" s="619"/>
      <c r="AA705" s="619"/>
      <c r="AB705" s="619"/>
      <c r="AC705" s="619"/>
      <c r="AD705" s="619"/>
      <c r="AE705" s="619"/>
      <c r="AF705" s="619"/>
      <c r="AG705" s="619"/>
      <c r="AH705" s="619"/>
      <c r="AI705" s="619"/>
      <c r="AJ705" s="619"/>
      <c r="AK705" s="619"/>
      <c r="AL705" s="619"/>
      <c r="AM705" s="8"/>
    </row>
    <row r="706" spans="1:39" ht="14.25" customHeight="1">
      <c r="A706" s="619"/>
      <c r="B706" s="619"/>
      <c r="C706" s="619"/>
      <c r="D706" s="4"/>
      <c r="E706" s="21"/>
      <c r="F706" s="21"/>
      <c r="G706" s="21"/>
      <c r="H706" s="22"/>
      <c r="I706" s="619"/>
      <c r="J706" s="619"/>
      <c r="K706" s="619"/>
      <c r="L706" s="619"/>
      <c r="M706" s="619"/>
      <c r="N706" s="619"/>
      <c r="O706" s="619"/>
      <c r="P706" s="619"/>
      <c r="Q706" s="619"/>
      <c r="R706" s="619"/>
      <c r="S706" s="619"/>
      <c r="T706" s="619"/>
      <c r="U706" s="619"/>
      <c r="V706" s="619"/>
      <c r="W706" s="619"/>
      <c r="X706" s="619"/>
      <c r="Y706" s="619"/>
      <c r="Z706" s="619"/>
      <c r="AA706" s="619"/>
      <c r="AB706" s="619"/>
      <c r="AC706" s="619"/>
      <c r="AD706" s="619"/>
      <c r="AE706" s="619"/>
      <c r="AF706" s="619"/>
      <c r="AG706" s="619"/>
      <c r="AH706" s="619"/>
      <c r="AI706" s="619"/>
      <c r="AJ706" s="619"/>
      <c r="AK706" s="619"/>
      <c r="AL706" s="619"/>
      <c r="AM706" s="8"/>
    </row>
    <row r="707" spans="1:39" ht="14.25" customHeight="1">
      <c r="A707" s="619"/>
      <c r="B707" s="619"/>
      <c r="C707" s="619"/>
      <c r="D707" s="4"/>
      <c r="E707" s="21"/>
      <c r="F707" s="21"/>
      <c r="G707" s="21"/>
      <c r="H707" s="22"/>
      <c r="I707" s="619"/>
      <c r="J707" s="619"/>
      <c r="K707" s="619"/>
      <c r="L707" s="619"/>
      <c r="M707" s="619"/>
      <c r="N707" s="619"/>
      <c r="O707" s="619"/>
      <c r="P707" s="619"/>
      <c r="Q707" s="619"/>
      <c r="R707" s="619"/>
      <c r="S707" s="619"/>
      <c r="T707" s="619"/>
      <c r="U707" s="619"/>
      <c r="V707" s="619"/>
      <c r="W707" s="619"/>
      <c r="X707" s="619"/>
      <c r="Y707" s="619"/>
      <c r="Z707" s="619"/>
      <c r="AA707" s="619"/>
      <c r="AB707" s="619"/>
      <c r="AC707" s="619"/>
      <c r="AD707" s="619"/>
      <c r="AE707" s="619"/>
      <c r="AF707" s="619"/>
      <c r="AG707" s="619"/>
      <c r="AH707" s="619"/>
      <c r="AI707" s="619"/>
      <c r="AJ707" s="619"/>
      <c r="AK707" s="619"/>
      <c r="AL707" s="619"/>
      <c r="AM707" s="8"/>
    </row>
    <row r="708" spans="1:39" ht="14.25" customHeight="1">
      <c r="A708" s="619"/>
      <c r="B708" s="619"/>
      <c r="C708" s="619"/>
      <c r="D708" s="4"/>
      <c r="E708" s="21"/>
      <c r="F708" s="21"/>
      <c r="G708" s="21"/>
      <c r="H708" s="22"/>
      <c r="I708" s="619"/>
      <c r="J708" s="619"/>
      <c r="K708" s="619"/>
      <c r="L708" s="619"/>
      <c r="M708" s="619"/>
      <c r="N708" s="619"/>
      <c r="O708" s="619"/>
      <c r="P708" s="619"/>
      <c r="Q708" s="619"/>
      <c r="R708" s="619"/>
      <c r="S708" s="619"/>
      <c r="T708" s="619"/>
      <c r="U708" s="619"/>
      <c r="V708" s="619"/>
      <c r="W708" s="619"/>
      <c r="X708" s="619"/>
      <c r="Y708" s="619"/>
      <c r="Z708" s="619"/>
      <c r="AA708" s="619"/>
      <c r="AB708" s="619"/>
      <c r="AC708" s="619"/>
      <c r="AD708" s="619"/>
      <c r="AE708" s="619"/>
      <c r="AF708" s="619"/>
      <c r="AG708" s="619"/>
      <c r="AH708" s="619"/>
      <c r="AI708" s="619"/>
      <c r="AJ708" s="619"/>
      <c r="AK708" s="619"/>
      <c r="AL708" s="619"/>
      <c r="AM708" s="8"/>
    </row>
    <row r="709" spans="1:39" ht="14.25" customHeight="1">
      <c r="A709" s="619"/>
      <c r="B709" s="619"/>
      <c r="C709" s="619"/>
      <c r="D709" s="4"/>
      <c r="E709" s="21"/>
      <c r="F709" s="21"/>
      <c r="G709" s="21"/>
      <c r="H709" s="22"/>
      <c r="I709" s="619"/>
      <c r="J709" s="619"/>
      <c r="K709" s="619"/>
      <c r="L709" s="619"/>
      <c r="M709" s="619"/>
      <c r="N709" s="619"/>
      <c r="O709" s="619"/>
      <c r="P709" s="619"/>
      <c r="Q709" s="619"/>
      <c r="R709" s="619"/>
      <c r="S709" s="619"/>
      <c r="T709" s="619"/>
      <c r="U709" s="619"/>
      <c r="V709" s="619"/>
      <c r="W709" s="619"/>
      <c r="X709" s="619"/>
      <c r="Y709" s="619"/>
      <c r="Z709" s="619"/>
      <c r="AA709" s="619"/>
      <c r="AB709" s="619"/>
      <c r="AC709" s="619"/>
      <c r="AD709" s="619"/>
      <c r="AE709" s="619"/>
      <c r="AF709" s="619"/>
      <c r="AG709" s="619"/>
      <c r="AH709" s="619"/>
      <c r="AI709" s="619"/>
      <c r="AJ709" s="619"/>
      <c r="AK709" s="619"/>
      <c r="AL709" s="619"/>
      <c r="AM709" s="8"/>
    </row>
    <row r="710" spans="1:39" ht="14.25" customHeight="1">
      <c r="A710" s="619"/>
      <c r="B710" s="619"/>
      <c r="C710" s="619"/>
      <c r="D710" s="4"/>
      <c r="E710" s="21"/>
      <c r="F710" s="21"/>
      <c r="G710" s="21"/>
      <c r="H710" s="22"/>
      <c r="I710" s="619"/>
      <c r="J710" s="619"/>
      <c r="K710" s="619"/>
      <c r="L710" s="619"/>
      <c r="M710" s="619"/>
      <c r="N710" s="619"/>
      <c r="O710" s="619"/>
      <c r="P710" s="619"/>
      <c r="Q710" s="619"/>
      <c r="R710" s="619"/>
      <c r="S710" s="619"/>
      <c r="T710" s="619"/>
      <c r="U710" s="619"/>
      <c r="V710" s="619"/>
      <c r="W710" s="619"/>
      <c r="X710" s="619"/>
      <c r="Y710" s="619"/>
      <c r="Z710" s="619"/>
      <c r="AA710" s="619"/>
      <c r="AB710" s="619"/>
      <c r="AC710" s="619"/>
      <c r="AD710" s="619"/>
      <c r="AE710" s="619"/>
      <c r="AF710" s="619"/>
      <c r="AG710" s="619"/>
      <c r="AH710" s="619"/>
      <c r="AI710" s="619"/>
      <c r="AJ710" s="619"/>
      <c r="AK710" s="619"/>
      <c r="AL710" s="619"/>
      <c r="AM710" s="8"/>
    </row>
    <row r="711" spans="1:39" ht="14.25" customHeight="1">
      <c r="A711" s="619"/>
      <c r="B711" s="619"/>
      <c r="C711" s="619"/>
      <c r="D711" s="4"/>
      <c r="E711" s="21"/>
      <c r="F711" s="21"/>
      <c r="G711" s="21"/>
      <c r="H711" s="22"/>
      <c r="I711" s="619"/>
      <c r="J711" s="619"/>
      <c r="K711" s="619"/>
      <c r="L711" s="619"/>
      <c r="M711" s="619"/>
      <c r="N711" s="619"/>
      <c r="O711" s="619"/>
      <c r="P711" s="619"/>
      <c r="Q711" s="619"/>
      <c r="R711" s="619"/>
      <c r="S711" s="619"/>
      <c r="T711" s="619"/>
      <c r="U711" s="619"/>
      <c r="V711" s="619"/>
      <c r="W711" s="619"/>
      <c r="X711" s="619"/>
      <c r="Y711" s="619"/>
      <c r="Z711" s="619"/>
      <c r="AA711" s="619"/>
      <c r="AB711" s="619"/>
      <c r="AC711" s="619"/>
      <c r="AD711" s="619"/>
      <c r="AE711" s="619"/>
      <c r="AF711" s="619"/>
      <c r="AG711" s="619"/>
      <c r="AH711" s="619"/>
      <c r="AI711" s="619"/>
      <c r="AJ711" s="619"/>
      <c r="AK711" s="619"/>
      <c r="AL711" s="619"/>
      <c r="AM711" s="8"/>
    </row>
    <row r="712" spans="1:39" ht="14.25" customHeight="1">
      <c r="A712" s="619"/>
      <c r="B712" s="619"/>
      <c r="C712" s="619"/>
      <c r="D712" s="4"/>
      <c r="E712" s="21"/>
      <c r="F712" s="21"/>
      <c r="G712" s="21"/>
      <c r="H712" s="22"/>
      <c r="I712" s="619"/>
      <c r="J712" s="619"/>
      <c r="K712" s="619"/>
      <c r="L712" s="619"/>
      <c r="M712" s="619"/>
      <c r="N712" s="619"/>
      <c r="O712" s="619"/>
      <c r="P712" s="619"/>
      <c r="Q712" s="619"/>
      <c r="R712" s="619"/>
      <c r="S712" s="619"/>
      <c r="T712" s="619"/>
      <c r="U712" s="619"/>
      <c r="V712" s="619"/>
      <c r="W712" s="619"/>
      <c r="X712" s="619"/>
      <c r="Y712" s="619"/>
      <c r="Z712" s="619"/>
      <c r="AA712" s="619"/>
      <c r="AB712" s="619"/>
      <c r="AC712" s="619"/>
      <c r="AD712" s="619"/>
      <c r="AE712" s="619"/>
      <c r="AF712" s="619"/>
      <c r="AG712" s="619"/>
      <c r="AH712" s="619"/>
      <c r="AI712" s="619"/>
      <c r="AJ712" s="619"/>
      <c r="AK712" s="619"/>
      <c r="AL712" s="619"/>
      <c r="AM712" s="8"/>
    </row>
    <row r="713" spans="1:39" ht="14.25" customHeight="1">
      <c r="A713" s="619"/>
      <c r="B713" s="619"/>
      <c r="C713" s="619"/>
      <c r="D713" s="4"/>
      <c r="E713" s="21"/>
      <c r="F713" s="21"/>
      <c r="G713" s="21"/>
      <c r="H713" s="22"/>
      <c r="I713" s="619"/>
      <c r="J713" s="619"/>
      <c r="K713" s="619"/>
      <c r="L713" s="619"/>
      <c r="M713" s="619"/>
      <c r="N713" s="619"/>
      <c r="O713" s="619"/>
      <c r="P713" s="619"/>
      <c r="Q713" s="619"/>
      <c r="R713" s="619"/>
      <c r="S713" s="619"/>
      <c r="T713" s="619"/>
      <c r="U713" s="619"/>
      <c r="V713" s="619"/>
      <c r="W713" s="619"/>
      <c r="X713" s="619"/>
      <c r="Y713" s="619"/>
      <c r="Z713" s="619"/>
      <c r="AA713" s="619"/>
      <c r="AB713" s="619"/>
      <c r="AC713" s="619"/>
      <c r="AD713" s="619"/>
      <c r="AE713" s="619"/>
      <c r="AF713" s="619"/>
      <c r="AG713" s="619"/>
      <c r="AH713" s="619"/>
      <c r="AI713" s="619"/>
      <c r="AJ713" s="619"/>
      <c r="AK713" s="619"/>
      <c r="AL713" s="619"/>
      <c r="AM713" s="8"/>
    </row>
    <row r="714" spans="1:39" ht="14.25" customHeight="1">
      <c r="A714" s="619"/>
      <c r="B714" s="619"/>
      <c r="C714" s="619"/>
      <c r="D714" s="4"/>
      <c r="E714" s="21"/>
      <c r="F714" s="21"/>
      <c r="G714" s="21"/>
      <c r="H714" s="22"/>
      <c r="I714" s="619"/>
      <c r="J714" s="619"/>
      <c r="K714" s="619"/>
      <c r="L714" s="619"/>
      <c r="M714" s="619"/>
      <c r="N714" s="619"/>
      <c r="O714" s="619"/>
      <c r="P714" s="619"/>
      <c r="Q714" s="619"/>
      <c r="R714" s="619"/>
      <c r="S714" s="619"/>
      <c r="T714" s="619"/>
      <c r="U714" s="619"/>
      <c r="V714" s="619"/>
      <c r="W714" s="619"/>
      <c r="X714" s="619"/>
      <c r="Y714" s="619"/>
      <c r="Z714" s="619"/>
      <c r="AA714" s="619"/>
      <c r="AB714" s="619"/>
      <c r="AC714" s="619"/>
      <c r="AD714" s="619"/>
      <c r="AE714" s="619"/>
      <c r="AF714" s="619"/>
      <c r="AG714" s="619"/>
      <c r="AH714" s="619"/>
      <c r="AI714" s="619"/>
      <c r="AJ714" s="619"/>
      <c r="AK714" s="619"/>
      <c r="AL714" s="619"/>
      <c r="AM714" s="8"/>
    </row>
    <row r="715" spans="1:39" ht="14.25" customHeight="1">
      <c r="A715" s="619"/>
      <c r="B715" s="619"/>
      <c r="C715" s="619"/>
      <c r="D715" s="4"/>
      <c r="E715" s="21"/>
      <c r="F715" s="21"/>
      <c r="G715" s="21"/>
      <c r="H715" s="22"/>
      <c r="I715" s="619"/>
      <c r="J715" s="619"/>
      <c r="K715" s="619"/>
      <c r="L715" s="619"/>
      <c r="M715" s="619"/>
      <c r="N715" s="619"/>
      <c r="O715" s="619"/>
      <c r="P715" s="619"/>
      <c r="Q715" s="619"/>
      <c r="R715" s="619"/>
      <c r="S715" s="619"/>
      <c r="T715" s="619"/>
      <c r="U715" s="619"/>
      <c r="V715" s="619"/>
      <c r="W715" s="619"/>
      <c r="X715" s="619"/>
      <c r="Y715" s="619"/>
      <c r="Z715" s="619"/>
      <c r="AA715" s="619"/>
      <c r="AB715" s="619"/>
      <c r="AC715" s="619"/>
      <c r="AD715" s="619"/>
      <c r="AE715" s="619"/>
      <c r="AF715" s="619"/>
      <c r="AG715" s="619"/>
      <c r="AH715" s="619"/>
      <c r="AI715" s="619"/>
      <c r="AJ715" s="619"/>
      <c r="AK715" s="619"/>
      <c r="AL715" s="619"/>
      <c r="AM715" s="8"/>
    </row>
    <row r="716" spans="1:39" ht="14.25" customHeight="1">
      <c r="A716" s="619"/>
      <c r="B716" s="619"/>
      <c r="C716" s="619"/>
      <c r="D716" s="4"/>
      <c r="E716" s="21"/>
      <c r="F716" s="21"/>
      <c r="G716" s="21"/>
      <c r="H716" s="22"/>
      <c r="I716" s="619"/>
      <c r="J716" s="619"/>
      <c r="K716" s="619"/>
      <c r="L716" s="619"/>
      <c r="M716" s="619"/>
      <c r="N716" s="619"/>
      <c r="O716" s="619"/>
      <c r="P716" s="619"/>
      <c r="Q716" s="619"/>
      <c r="R716" s="619"/>
      <c r="S716" s="619"/>
      <c r="T716" s="619"/>
      <c r="U716" s="619"/>
      <c r="V716" s="619"/>
      <c r="W716" s="619"/>
      <c r="X716" s="619"/>
      <c r="Y716" s="619"/>
      <c r="Z716" s="619"/>
      <c r="AA716" s="619"/>
      <c r="AB716" s="619"/>
      <c r="AC716" s="619"/>
      <c r="AD716" s="619"/>
      <c r="AE716" s="619"/>
      <c r="AF716" s="619"/>
      <c r="AG716" s="619"/>
      <c r="AH716" s="619"/>
      <c r="AI716" s="619"/>
      <c r="AJ716" s="619"/>
      <c r="AK716" s="619"/>
      <c r="AL716" s="619"/>
      <c r="AM716" s="8"/>
    </row>
    <row r="717" spans="1:39" ht="14.25" customHeight="1">
      <c r="A717" s="619"/>
      <c r="B717" s="619"/>
      <c r="C717" s="619"/>
      <c r="D717" s="4"/>
      <c r="E717" s="21"/>
      <c r="F717" s="21"/>
      <c r="G717" s="21"/>
      <c r="H717" s="22"/>
      <c r="I717" s="619"/>
      <c r="J717" s="619"/>
      <c r="K717" s="619"/>
      <c r="L717" s="619"/>
      <c r="M717" s="619"/>
      <c r="N717" s="619"/>
      <c r="O717" s="619"/>
      <c r="P717" s="619"/>
      <c r="Q717" s="619"/>
      <c r="R717" s="619"/>
      <c r="S717" s="619"/>
      <c r="T717" s="619"/>
      <c r="U717" s="619"/>
      <c r="V717" s="619"/>
      <c r="W717" s="619"/>
      <c r="X717" s="619"/>
      <c r="Y717" s="619"/>
      <c r="Z717" s="619"/>
      <c r="AA717" s="619"/>
      <c r="AB717" s="619"/>
      <c r="AC717" s="619"/>
      <c r="AD717" s="619"/>
      <c r="AE717" s="619"/>
      <c r="AF717" s="619"/>
      <c r="AG717" s="619"/>
      <c r="AH717" s="619"/>
      <c r="AI717" s="619"/>
      <c r="AJ717" s="619"/>
      <c r="AK717" s="619"/>
      <c r="AL717" s="619"/>
      <c r="AM717" s="8"/>
    </row>
    <row r="718" spans="1:39" ht="14.25" customHeight="1">
      <c r="A718" s="619"/>
      <c r="B718" s="619"/>
      <c r="C718" s="619"/>
      <c r="D718" s="4"/>
      <c r="E718" s="21"/>
      <c r="F718" s="21"/>
      <c r="G718" s="21"/>
      <c r="H718" s="22"/>
      <c r="I718" s="619"/>
      <c r="J718" s="619"/>
      <c r="K718" s="619"/>
      <c r="L718" s="619"/>
      <c r="M718" s="619"/>
      <c r="N718" s="619"/>
      <c r="O718" s="619"/>
      <c r="P718" s="619"/>
      <c r="Q718" s="619"/>
      <c r="R718" s="619"/>
      <c r="S718" s="619"/>
      <c r="T718" s="619"/>
      <c r="U718" s="619"/>
      <c r="V718" s="619"/>
      <c r="W718" s="619"/>
      <c r="X718" s="619"/>
      <c r="Y718" s="619"/>
      <c r="Z718" s="619"/>
      <c r="AA718" s="619"/>
      <c r="AB718" s="619"/>
      <c r="AC718" s="619"/>
      <c r="AD718" s="619"/>
      <c r="AE718" s="619"/>
      <c r="AF718" s="619"/>
      <c r="AG718" s="619"/>
      <c r="AH718" s="619"/>
      <c r="AI718" s="619"/>
      <c r="AJ718" s="619"/>
      <c r="AK718" s="619"/>
      <c r="AL718" s="619"/>
      <c r="AM718" s="8"/>
    </row>
    <row r="719" spans="1:39" ht="14.25" customHeight="1">
      <c r="A719" s="619"/>
      <c r="B719" s="619"/>
      <c r="C719" s="619"/>
      <c r="D719" s="4"/>
      <c r="E719" s="21"/>
      <c r="F719" s="21"/>
      <c r="G719" s="21"/>
      <c r="H719" s="22"/>
      <c r="I719" s="619"/>
      <c r="J719" s="619"/>
      <c r="K719" s="619"/>
      <c r="L719" s="619"/>
      <c r="M719" s="619"/>
      <c r="N719" s="619"/>
      <c r="O719" s="619"/>
      <c r="P719" s="619"/>
      <c r="Q719" s="619"/>
      <c r="R719" s="619"/>
      <c r="S719" s="619"/>
      <c r="T719" s="619"/>
      <c r="U719" s="619"/>
      <c r="V719" s="619"/>
      <c r="W719" s="619"/>
      <c r="X719" s="619"/>
      <c r="Y719" s="619"/>
      <c r="Z719" s="619"/>
      <c r="AA719" s="619"/>
      <c r="AB719" s="619"/>
      <c r="AC719" s="619"/>
      <c r="AD719" s="619"/>
      <c r="AE719" s="619"/>
      <c r="AF719" s="619"/>
      <c r="AG719" s="619"/>
      <c r="AH719" s="619"/>
      <c r="AI719" s="619"/>
      <c r="AJ719" s="619"/>
      <c r="AK719" s="619"/>
      <c r="AL719" s="619"/>
      <c r="AM719" s="8"/>
    </row>
    <row r="720" spans="1:39" ht="14.25" customHeight="1">
      <c r="A720" s="619"/>
      <c r="B720" s="619"/>
      <c r="C720" s="619"/>
      <c r="D720" s="4"/>
      <c r="E720" s="21"/>
      <c r="F720" s="21"/>
      <c r="G720" s="21"/>
      <c r="H720" s="22"/>
      <c r="I720" s="619"/>
      <c r="J720" s="619"/>
      <c r="K720" s="619"/>
      <c r="L720" s="619"/>
      <c r="M720" s="619"/>
      <c r="N720" s="619"/>
      <c r="O720" s="619"/>
      <c r="P720" s="619"/>
      <c r="Q720" s="619"/>
      <c r="R720" s="619"/>
      <c r="S720" s="619"/>
      <c r="T720" s="619"/>
      <c r="U720" s="619"/>
      <c r="V720" s="619"/>
      <c r="W720" s="619"/>
      <c r="X720" s="619"/>
      <c r="Y720" s="619"/>
      <c r="Z720" s="619"/>
      <c r="AA720" s="619"/>
      <c r="AB720" s="619"/>
      <c r="AC720" s="619"/>
      <c r="AD720" s="619"/>
      <c r="AE720" s="619"/>
      <c r="AF720" s="619"/>
      <c r="AG720" s="619"/>
      <c r="AH720" s="619"/>
      <c r="AI720" s="619"/>
      <c r="AJ720" s="619"/>
      <c r="AK720" s="619"/>
      <c r="AL720" s="619"/>
      <c r="AM720" s="8"/>
    </row>
    <row r="721" spans="1:39" ht="14.25" customHeight="1">
      <c r="A721" s="619"/>
      <c r="B721" s="619"/>
      <c r="C721" s="619"/>
      <c r="D721" s="4"/>
      <c r="E721" s="21"/>
      <c r="F721" s="21"/>
      <c r="G721" s="21"/>
      <c r="H721" s="22"/>
      <c r="I721" s="619"/>
      <c r="J721" s="619"/>
      <c r="K721" s="619"/>
      <c r="L721" s="619"/>
      <c r="M721" s="619"/>
      <c r="N721" s="619"/>
      <c r="O721" s="619"/>
      <c r="P721" s="619"/>
      <c r="Q721" s="619"/>
      <c r="R721" s="619"/>
      <c r="S721" s="619"/>
      <c r="T721" s="619"/>
      <c r="U721" s="619"/>
      <c r="V721" s="619"/>
      <c r="W721" s="619"/>
      <c r="X721" s="619"/>
      <c r="Y721" s="619"/>
      <c r="Z721" s="619"/>
      <c r="AA721" s="619"/>
      <c r="AB721" s="619"/>
      <c r="AC721" s="619"/>
      <c r="AD721" s="619"/>
      <c r="AE721" s="619"/>
      <c r="AF721" s="619"/>
      <c r="AG721" s="619"/>
      <c r="AH721" s="619"/>
      <c r="AI721" s="619"/>
      <c r="AJ721" s="619"/>
      <c r="AK721" s="619"/>
      <c r="AL721" s="619"/>
      <c r="AM721" s="8"/>
    </row>
    <row r="722" spans="1:39" ht="14.25" customHeight="1">
      <c r="A722" s="619"/>
      <c r="B722" s="619"/>
      <c r="C722" s="619"/>
      <c r="D722" s="4"/>
      <c r="E722" s="21"/>
      <c r="F722" s="21"/>
      <c r="G722" s="21"/>
      <c r="H722" s="22"/>
      <c r="I722" s="619"/>
      <c r="J722" s="619"/>
      <c r="K722" s="619"/>
      <c r="L722" s="619"/>
      <c r="M722" s="619"/>
      <c r="N722" s="619"/>
      <c r="O722" s="619"/>
      <c r="P722" s="619"/>
      <c r="Q722" s="619"/>
      <c r="R722" s="619"/>
      <c r="S722" s="619"/>
      <c r="T722" s="619"/>
      <c r="U722" s="619"/>
      <c r="V722" s="619"/>
      <c r="W722" s="619"/>
      <c r="X722" s="619"/>
      <c r="Y722" s="619"/>
      <c r="Z722" s="619"/>
      <c r="AA722" s="619"/>
      <c r="AB722" s="619"/>
      <c r="AC722" s="619"/>
      <c r="AD722" s="619"/>
      <c r="AE722" s="619"/>
      <c r="AF722" s="619"/>
      <c r="AG722" s="619"/>
      <c r="AH722" s="619"/>
      <c r="AI722" s="619"/>
      <c r="AJ722" s="619"/>
      <c r="AK722" s="619"/>
      <c r="AL722" s="619"/>
      <c r="AM722" s="8"/>
    </row>
    <row r="723" spans="1:39" ht="14.25" customHeight="1">
      <c r="A723" s="619"/>
      <c r="B723" s="619"/>
      <c r="C723" s="619"/>
      <c r="D723" s="4"/>
      <c r="E723" s="21"/>
      <c r="F723" s="21"/>
      <c r="G723" s="21"/>
      <c r="H723" s="22"/>
      <c r="I723" s="619"/>
      <c r="J723" s="619"/>
      <c r="K723" s="619"/>
      <c r="L723" s="619"/>
      <c r="M723" s="619"/>
      <c r="N723" s="619"/>
      <c r="O723" s="619"/>
      <c r="P723" s="619"/>
      <c r="Q723" s="619"/>
      <c r="R723" s="619"/>
      <c r="S723" s="619"/>
      <c r="T723" s="619"/>
      <c r="U723" s="619"/>
      <c r="V723" s="619"/>
      <c r="W723" s="619"/>
      <c r="X723" s="619"/>
      <c r="Y723" s="619"/>
      <c r="Z723" s="619"/>
      <c r="AA723" s="619"/>
      <c r="AB723" s="619"/>
      <c r="AC723" s="619"/>
      <c r="AD723" s="619"/>
      <c r="AE723" s="619"/>
      <c r="AF723" s="619"/>
      <c r="AG723" s="619"/>
      <c r="AH723" s="619"/>
      <c r="AI723" s="619"/>
      <c r="AJ723" s="619"/>
      <c r="AK723" s="619"/>
      <c r="AL723" s="619"/>
      <c r="AM723" s="8"/>
    </row>
    <row r="724" spans="1:39" ht="14.25" customHeight="1">
      <c r="A724" s="619"/>
      <c r="B724" s="619"/>
      <c r="C724" s="619"/>
      <c r="D724" s="4"/>
      <c r="E724" s="21"/>
      <c r="F724" s="21"/>
      <c r="G724" s="21"/>
      <c r="H724" s="22"/>
      <c r="I724" s="619"/>
      <c r="J724" s="619"/>
      <c r="K724" s="619"/>
      <c r="L724" s="619"/>
      <c r="M724" s="619"/>
      <c r="N724" s="619"/>
      <c r="O724" s="619"/>
      <c r="P724" s="619"/>
      <c r="Q724" s="619"/>
      <c r="R724" s="619"/>
      <c r="S724" s="619"/>
      <c r="T724" s="619"/>
      <c r="U724" s="619"/>
      <c r="V724" s="619"/>
      <c r="W724" s="619"/>
      <c r="X724" s="619"/>
      <c r="Y724" s="619"/>
      <c r="Z724" s="619"/>
      <c r="AA724" s="619"/>
      <c r="AB724" s="619"/>
      <c r="AC724" s="619"/>
      <c r="AD724" s="619"/>
      <c r="AE724" s="619"/>
      <c r="AF724" s="619"/>
      <c r="AG724" s="619"/>
      <c r="AH724" s="619"/>
      <c r="AI724" s="619"/>
      <c r="AJ724" s="619"/>
      <c r="AK724" s="619"/>
      <c r="AL724" s="619"/>
      <c r="AM724" s="8"/>
    </row>
    <row r="725" spans="1:39" ht="14.25" customHeight="1">
      <c r="A725" s="619"/>
      <c r="B725" s="619"/>
      <c r="C725" s="619"/>
      <c r="D725" s="4"/>
      <c r="E725" s="21"/>
      <c r="F725" s="21"/>
      <c r="G725" s="21"/>
      <c r="H725" s="22"/>
      <c r="I725" s="619"/>
      <c r="J725" s="619"/>
      <c r="K725" s="619"/>
      <c r="L725" s="619"/>
      <c r="M725" s="619"/>
      <c r="N725" s="619"/>
      <c r="O725" s="619"/>
      <c r="P725" s="619"/>
      <c r="Q725" s="619"/>
      <c r="R725" s="619"/>
      <c r="S725" s="619"/>
      <c r="T725" s="619"/>
      <c r="U725" s="619"/>
      <c r="V725" s="619"/>
      <c r="W725" s="619"/>
      <c r="X725" s="619"/>
      <c r="Y725" s="619"/>
      <c r="Z725" s="619"/>
      <c r="AA725" s="619"/>
      <c r="AB725" s="619"/>
      <c r="AC725" s="619"/>
      <c r="AD725" s="619"/>
      <c r="AE725" s="619"/>
      <c r="AF725" s="619"/>
      <c r="AG725" s="619"/>
      <c r="AH725" s="619"/>
      <c r="AI725" s="619"/>
      <c r="AJ725" s="619"/>
      <c r="AK725" s="619"/>
      <c r="AL725" s="619"/>
      <c r="AM725" s="8"/>
    </row>
    <row r="726" spans="1:39" ht="14.25" customHeight="1">
      <c r="A726" s="619"/>
      <c r="B726" s="619"/>
      <c r="C726" s="619"/>
      <c r="D726" s="4"/>
      <c r="E726" s="21"/>
      <c r="F726" s="21"/>
      <c r="G726" s="21"/>
      <c r="H726" s="22"/>
      <c r="I726" s="619"/>
      <c r="J726" s="619"/>
      <c r="K726" s="619"/>
      <c r="L726" s="619"/>
      <c r="M726" s="619"/>
      <c r="N726" s="619"/>
      <c r="O726" s="619"/>
      <c r="P726" s="619"/>
      <c r="Q726" s="619"/>
      <c r="R726" s="619"/>
      <c r="S726" s="619"/>
      <c r="T726" s="619"/>
      <c r="U726" s="619"/>
      <c r="V726" s="619"/>
      <c r="W726" s="619"/>
      <c r="X726" s="619"/>
      <c r="Y726" s="619"/>
      <c r="Z726" s="619"/>
      <c r="AA726" s="619"/>
      <c r="AB726" s="619"/>
      <c r="AC726" s="619"/>
      <c r="AD726" s="619"/>
      <c r="AE726" s="619"/>
      <c r="AF726" s="619"/>
      <c r="AG726" s="619"/>
      <c r="AH726" s="619"/>
      <c r="AI726" s="619"/>
      <c r="AJ726" s="619"/>
      <c r="AK726" s="619"/>
      <c r="AL726" s="619"/>
      <c r="AM726" s="8"/>
    </row>
    <row r="727" spans="1:39" ht="14.25" customHeight="1">
      <c r="A727" s="619"/>
      <c r="B727" s="619"/>
      <c r="C727" s="619"/>
      <c r="D727" s="4"/>
      <c r="E727" s="21"/>
      <c r="F727" s="21"/>
      <c r="G727" s="21"/>
      <c r="H727" s="22"/>
      <c r="I727" s="619"/>
      <c r="J727" s="619"/>
      <c r="K727" s="619"/>
      <c r="L727" s="619"/>
      <c r="M727" s="619"/>
      <c r="N727" s="619"/>
      <c r="O727" s="619"/>
      <c r="P727" s="619"/>
      <c r="Q727" s="619"/>
      <c r="R727" s="619"/>
      <c r="S727" s="619"/>
      <c r="T727" s="619"/>
      <c r="U727" s="619"/>
      <c r="V727" s="619"/>
      <c r="W727" s="619"/>
      <c r="X727" s="619"/>
      <c r="Y727" s="619"/>
      <c r="Z727" s="619"/>
      <c r="AA727" s="619"/>
      <c r="AB727" s="619"/>
      <c r="AC727" s="619"/>
      <c r="AD727" s="619"/>
      <c r="AE727" s="619"/>
      <c r="AF727" s="619"/>
      <c r="AG727" s="619"/>
      <c r="AH727" s="619"/>
      <c r="AI727" s="619"/>
      <c r="AJ727" s="619"/>
      <c r="AK727" s="619"/>
      <c r="AL727" s="619"/>
      <c r="AM727" s="8"/>
    </row>
    <row r="728" spans="1:39" ht="14.25" customHeight="1">
      <c r="A728" s="619"/>
      <c r="B728" s="619"/>
      <c r="C728" s="619"/>
      <c r="D728" s="4"/>
      <c r="E728" s="21"/>
      <c r="F728" s="21"/>
      <c r="G728" s="21"/>
      <c r="H728" s="22"/>
      <c r="I728" s="619"/>
      <c r="J728" s="619"/>
      <c r="K728" s="619"/>
      <c r="L728" s="619"/>
      <c r="M728" s="619"/>
      <c r="N728" s="619"/>
      <c r="O728" s="619"/>
      <c r="P728" s="619"/>
      <c r="Q728" s="619"/>
      <c r="R728" s="619"/>
      <c r="S728" s="619"/>
      <c r="T728" s="619"/>
      <c r="U728" s="619"/>
      <c r="V728" s="619"/>
      <c r="W728" s="619"/>
      <c r="X728" s="619"/>
      <c r="Y728" s="619"/>
      <c r="Z728" s="619"/>
      <c r="AA728" s="619"/>
      <c r="AB728" s="619"/>
      <c r="AC728" s="619"/>
      <c r="AD728" s="619"/>
      <c r="AE728" s="619"/>
      <c r="AF728" s="619"/>
      <c r="AG728" s="619"/>
      <c r="AH728" s="619"/>
      <c r="AI728" s="619"/>
      <c r="AJ728" s="619"/>
      <c r="AK728" s="619"/>
      <c r="AL728" s="619"/>
      <c r="AM728" s="8"/>
    </row>
    <row r="729" spans="1:39" ht="14.25" customHeight="1">
      <c r="A729" s="619"/>
      <c r="B729" s="619"/>
      <c r="C729" s="619"/>
      <c r="D729" s="4"/>
      <c r="E729" s="21"/>
      <c r="F729" s="21"/>
      <c r="G729" s="21"/>
      <c r="H729" s="22"/>
      <c r="I729" s="619"/>
      <c r="J729" s="619"/>
      <c r="K729" s="619"/>
      <c r="L729" s="619"/>
      <c r="M729" s="619"/>
      <c r="N729" s="619"/>
      <c r="O729" s="619"/>
      <c r="P729" s="619"/>
      <c r="Q729" s="619"/>
      <c r="R729" s="619"/>
      <c r="S729" s="619"/>
      <c r="T729" s="619"/>
      <c r="U729" s="619"/>
      <c r="V729" s="619"/>
      <c r="W729" s="619"/>
      <c r="X729" s="619"/>
      <c r="Y729" s="619"/>
      <c r="Z729" s="619"/>
      <c r="AA729" s="619"/>
      <c r="AB729" s="619"/>
      <c r="AC729" s="619"/>
      <c r="AD729" s="619"/>
      <c r="AE729" s="619"/>
      <c r="AF729" s="619"/>
      <c r="AG729" s="619"/>
      <c r="AH729" s="619"/>
      <c r="AI729" s="619"/>
      <c r="AJ729" s="619"/>
      <c r="AK729" s="619"/>
      <c r="AL729" s="619"/>
      <c r="AM729" s="8"/>
    </row>
    <row r="730" spans="1:39" ht="14.25" customHeight="1">
      <c r="A730" s="619"/>
      <c r="B730" s="619"/>
      <c r="C730" s="619"/>
      <c r="D730" s="4"/>
      <c r="E730" s="21"/>
      <c r="F730" s="21"/>
      <c r="G730" s="21"/>
      <c r="H730" s="22"/>
      <c r="I730" s="619"/>
      <c r="J730" s="619"/>
      <c r="K730" s="619"/>
      <c r="L730" s="619"/>
      <c r="M730" s="619"/>
      <c r="N730" s="619"/>
      <c r="O730" s="619"/>
      <c r="P730" s="619"/>
      <c r="Q730" s="619"/>
      <c r="R730" s="619"/>
      <c r="S730" s="619"/>
      <c r="T730" s="619"/>
      <c r="U730" s="619"/>
      <c r="V730" s="619"/>
      <c r="W730" s="619"/>
      <c r="X730" s="619"/>
      <c r="Y730" s="619"/>
      <c r="Z730" s="619"/>
      <c r="AA730" s="619"/>
      <c r="AB730" s="619"/>
      <c r="AC730" s="619"/>
      <c r="AD730" s="619"/>
      <c r="AE730" s="619"/>
      <c r="AF730" s="619"/>
      <c r="AG730" s="619"/>
      <c r="AH730" s="619"/>
      <c r="AI730" s="619"/>
      <c r="AJ730" s="619"/>
      <c r="AK730" s="619"/>
      <c r="AL730" s="619"/>
      <c r="AM730" s="8"/>
    </row>
    <row r="731" spans="1:39" ht="14.25" customHeight="1">
      <c r="A731" s="619"/>
      <c r="B731" s="619"/>
      <c r="C731" s="619"/>
      <c r="D731" s="4"/>
      <c r="E731" s="21"/>
      <c r="F731" s="21"/>
      <c r="G731" s="21"/>
      <c r="H731" s="22"/>
      <c r="I731" s="619"/>
      <c r="J731" s="619"/>
      <c r="K731" s="619"/>
      <c r="L731" s="619"/>
      <c r="M731" s="619"/>
      <c r="N731" s="619"/>
      <c r="O731" s="619"/>
      <c r="P731" s="619"/>
      <c r="Q731" s="619"/>
      <c r="R731" s="619"/>
      <c r="S731" s="619"/>
      <c r="T731" s="619"/>
      <c r="U731" s="619"/>
      <c r="V731" s="619"/>
      <c r="W731" s="619"/>
      <c r="X731" s="619"/>
      <c r="Y731" s="619"/>
      <c r="Z731" s="619"/>
      <c r="AA731" s="619"/>
      <c r="AB731" s="619"/>
      <c r="AC731" s="619"/>
      <c r="AD731" s="619"/>
      <c r="AE731" s="619"/>
      <c r="AF731" s="619"/>
      <c r="AG731" s="619"/>
      <c r="AH731" s="619"/>
      <c r="AI731" s="619"/>
      <c r="AJ731" s="619"/>
      <c r="AK731" s="619"/>
      <c r="AL731" s="619"/>
      <c r="AM731" s="8"/>
    </row>
    <row r="732" spans="1:39" ht="14.25" customHeight="1">
      <c r="A732" s="619"/>
      <c r="B732" s="619"/>
      <c r="C732" s="619"/>
      <c r="D732" s="4"/>
      <c r="E732" s="21"/>
      <c r="F732" s="21"/>
      <c r="G732" s="21"/>
      <c r="H732" s="22"/>
      <c r="I732" s="619"/>
      <c r="J732" s="619"/>
      <c r="K732" s="619"/>
      <c r="L732" s="619"/>
      <c r="M732" s="619"/>
      <c r="N732" s="619"/>
      <c r="O732" s="619"/>
      <c r="P732" s="619"/>
      <c r="Q732" s="619"/>
      <c r="R732" s="619"/>
      <c r="S732" s="619"/>
      <c r="T732" s="619"/>
      <c r="U732" s="619"/>
      <c r="V732" s="619"/>
      <c r="W732" s="619"/>
      <c r="X732" s="619"/>
      <c r="Y732" s="619"/>
      <c r="Z732" s="619"/>
      <c r="AA732" s="619"/>
      <c r="AB732" s="619"/>
      <c r="AC732" s="619"/>
      <c r="AD732" s="619"/>
      <c r="AE732" s="619"/>
      <c r="AF732" s="619"/>
      <c r="AG732" s="619"/>
      <c r="AH732" s="619"/>
      <c r="AI732" s="619"/>
      <c r="AJ732" s="619"/>
      <c r="AK732" s="619"/>
      <c r="AL732" s="619"/>
      <c r="AM732" s="8"/>
    </row>
    <row r="733" spans="1:39" ht="14.25" customHeight="1">
      <c r="A733" s="619"/>
      <c r="B733" s="619"/>
      <c r="C733" s="619"/>
      <c r="D733" s="4"/>
      <c r="E733" s="21"/>
      <c r="F733" s="21"/>
      <c r="G733" s="21"/>
      <c r="H733" s="22"/>
      <c r="I733" s="619"/>
      <c r="J733" s="619"/>
      <c r="K733" s="619"/>
      <c r="L733" s="619"/>
      <c r="M733" s="619"/>
      <c r="N733" s="619"/>
      <c r="O733" s="619"/>
      <c r="P733" s="619"/>
      <c r="Q733" s="619"/>
      <c r="R733" s="619"/>
      <c r="S733" s="619"/>
      <c r="T733" s="619"/>
      <c r="U733" s="619"/>
      <c r="V733" s="619"/>
      <c r="W733" s="619"/>
      <c r="X733" s="619"/>
      <c r="Y733" s="619"/>
      <c r="Z733" s="619"/>
      <c r="AA733" s="619"/>
      <c r="AB733" s="619"/>
      <c r="AC733" s="619"/>
      <c r="AD733" s="619"/>
      <c r="AE733" s="619"/>
      <c r="AF733" s="619"/>
      <c r="AG733" s="619"/>
      <c r="AH733" s="619"/>
      <c r="AI733" s="619"/>
      <c r="AJ733" s="619"/>
      <c r="AK733" s="619"/>
      <c r="AL733" s="619"/>
      <c r="AM733" s="8"/>
    </row>
    <row r="734" spans="1:39" ht="14.25" customHeight="1">
      <c r="A734" s="619"/>
      <c r="B734" s="619"/>
      <c r="C734" s="619"/>
      <c r="D734" s="4"/>
      <c r="E734" s="21"/>
      <c r="F734" s="21"/>
      <c r="G734" s="21"/>
      <c r="H734" s="22"/>
      <c r="I734" s="619"/>
      <c r="J734" s="619"/>
      <c r="K734" s="619"/>
      <c r="L734" s="619"/>
      <c r="M734" s="619"/>
      <c r="N734" s="619"/>
      <c r="O734" s="619"/>
      <c r="P734" s="619"/>
      <c r="Q734" s="619"/>
      <c r="R734" s="619"/>
      <c r="S734" s="619"/>
      <c r="T734" s="619"/>
      <c r="U734" s="619"/>
      <c r="V734" s="619"/>
      <c r="W734" s="619"/>
      <c r="X734" s="619"/>
      <c r="Y734" s="619"/>
      <c r="Z734" s="619"/>
      <c r="AA734" s="619"/>
      <c r="AB734" s="619"/>
      <c r="AC734" s="619"/>
      <c r="AD734" s="619"/>
      <c r="AE734" s="619"/>
      <c r="AF734" s="619"/>
      <c r="AG734" s="619"/>
      <c r="AH734" s="619"/>
      <c r="AI734" s="619"/>
      <c r="AJ734" s="619"/>
      <c r="AK734" s="619"/>
      <c r="AL734" s="619"/>
      <c r="AM734" s="8"/>
    </row>
    <row r="735" spans="1:39" ht="14.25" customHeight="1">
      <c r="A735" s="619"/>
      <c r="B735" s="619"/>
      <c r="C735" s="619"/>
      <c r="D735" s="4"/>
      <c r="E735" s="21"/>
      <c r="F735" s="21"/>
      <c r="G735" s="21"/>
      <c r="H735" s="22"/>
      <c r="I735" s="619"/>
      <c r="J735" s="619"/>
      <c r="K735" s="619"/>
      <c r="L735" s="619"/>
      <c r="M735" s="619"/>
      <c r="N735" s="619"/>
      <c r="O735" s="619"/>
      <c r="P735" s="619"/>
      <c r="Q735" s="619"/>
      <c r="R735" s="619"/>
      <c r="S735" s="619"/>
      <c r="T735" s="619"/>
      <c r="U735" s="619"/>
      <c r="V735" s="619"/>
      <c r="W735" s="619"/>
      <c r="X735" s="619"/>
      <c r="Y735" s="619"/>
      <c r="Z735" s="619"/>
      <c r="AA735" s="619"/>
      <c r="AB735" s="619"/>
      <c r="AC735" s="619"/>
      <c r="AD735" s="619"/>
      <c r="AE735" s="619"/>
      <c r="AF735" s="619"/>
      <c r="AG735" s="619"/>
      <c r="AH735" s="619"/>
      <c r="AI735" s="619"/>
      <c r="AJ735" s="619"/>
      <c r="AK735" s="619"/>
      <c r="AL735" s="619"/>
      <c r="AM735" s="8"/>
    </row>
    <row r="736" spans="1:39" ht="14.25" customHeight="1">
      <c r="A736" s="619"/>
      <c r="B736" s="619"/>
      <c r="C736" s="619"/>
      <c r="D736" s="4"/>
      <c r="E736" s="21"/>
      <c r="F736" s="21"/>
      <c r="G736" s="21"/>
      <c r="H736" s="22"/>
      <c r="I736" s="619"/>
      <c r="J736" s="619"/>
      <c r="K736" s="619"/>
      <c r="L736" s="619"/>
      <c r="M736" s="619"/>
      <c r="N736" s="619"/>
      <c r="O736" s="619"/>
      <c r="P736" s="619"/>
      <c r="Q736" s="619"/>
      <c r="R736" s="619"/>
      <c r="S736" s="619"/>
      <c r="T736" s="619"/>
      <c r="U736" s="619"/>
      <c r="V736" s="619"/>
      <c r="W736" s="619"/>
      <c r="X736" s="619"/>
      <c r="Y736" s="619"/>
      <c r="Z736" s="619"/>
      <c r="AA736" s="619"/>
      <c r="AB736" s="619"/>
      <c r="AC736" s="619"/>
      <c r="AD736" s="619"/>
      <c r="AE736" s="619"/>
      <c r="AF736" s="619"/>
      <c r="AG736" s="619"/>
      <c r="AH736" s="619"/>
      <c r="AI736" s="619"/>
      <c r="AJ736" s="619"/>
      <c r="AK736" s="619"/>
      <c r="AL736" s="619"/>
      <c r="AM736" s="8"/>
    </row>
    <row r="737" spans="1:39" ht="14.25" customHeight="1">
      <c r="A737" s="619"/>
      <c r="B737" s="619"/>
      <c r="C737" s="619"/>
      <c r="D737" s="4"/>
      <c r="E737" s="21"/>
      <c r="F737" s="21"/>
      <c r="G737" s="21"/>
      <c r="H737" s="22"/>
      <c r="I737" s="619"/>
      <c r="J737" s="619"/>
      <c r="K737" s="619"/>
      <c r="L737" s="619"/>
      <c r="M737" s="619"/>
      <c r="N737" s="619"/>
      <c r="O737" s="619"/>
      <c r="P737" s="619"/>
      <c r="Q737" s="619"/>
      <c r="R737" s="619"/>
      <c r="S737" s="619"/>
      <c r="T737" s="619"/>
      <c r="U737" s="619"/>
      <c r="V737" s="619"/>
      <c r="W737" s="619"/>
      <c r="X737" s="619"/>
      <c r="Y737" s="619"/>
      <c r="Z737" s="619"/>
      <c r="AA737" s="619"/>
      <c r="AB737" s="619"/>
      <c r="AC737" s="619"/>
      <c r="AD737" s="619"/>
      <c r="AE737" s="619"/>
      <c r="AF737" s="619"/>
      <c r="AG737" s="619"/>
      <c r="AH737" s="619"/>
      <c r="AI737" s="619"/>
      <c r="AJ737" s="619"/>
      <c r="AK737" s="619"/>
      <c r="AL737" s="619"/>
      <c r="AM737" s="8"/>
    </row>
    <row r="738" spans="1:39" ht="14.25" customHeight="1">
      <c r="A738" s="619"/>
      <c r="B738" s="619"/>
      <c r="C738" s="619"/>
      <c r="D738" s="4"/>
      <c r="E738" s="21"/>
      <c r="F738" s="21"/>
      <c r="G738" s="21"/>
      <c r="H738" s="22"/>
      <c r="I738" s="619"/>
      <c r="J738" s="619"/>
      <c r="K738" s="619"/>
      <c r="L738" s="619"/>
      <c r="M738" s="619"/>
      <c r="N738" s="619"/>
      <c r="O738" s="619"/>
      <c r="P738" s="619"/>
      <c r="Q738" s="619"/>
      <c r="R738" s="619"/>
      <c r="S738" s="619"/>
      <c r="T738" s="619"/>
      <c r="U738" s="619"/>
      <c r="V738" s="619"/>
      <c r="W738" s="619"/>
      <c r="X738" s="619"/>
      <c r="Y738" s="619"/>
      <c r="Z738" s="619"/>
      <c r="AA738" s="619"/>
      <c r="AB738" s="619"/>
      <c r="AC738" s="619"/>
      <c r="AD738" s="619"/>
      <c r="AE738" s="619"/>
      <c r="AF738" s="619"/>
      <c r="AG738" s="619"/>
      <c r="AH738" s="619"/>
      <c r="AI738" s="619"/>
      <c r="AJ738" s="619"/>
      <c r="AK738" s="619"/>
      <c r="AL738" s="619"/>
      <c r="AM738" s="8"/>
    </row>
    <row r="739" spans="1:39" ht="14.25" customHeight="1">
      <c r="A739" s="619"/>
      <c r="B739" s="619"/>
      <c r="C739" s="619"/>
      <c r="D739" s="4"/>
      <c r="E739" s="21"/>
      <c r="F739" s="21"/>
      <c r="G739" s="21"/>
      <c r="H739" s="22"/>
      <c r="I739" s="619"/>
      <c r="J739" s="619"/>
      <c r="K739" s="619"/>
      <c r="L739" s="619"/>
      <c r="M739" s="619"/>
      <c r="N739" s="619"/>
      <c r="O739" s="619"/>
      <c r="P739" s="619"/>
      <c r="Q739" s="619"/>
      <c r="R739" s="619"/>
      <c r="S739" s="619"/>
      <c r="T739" s="619"/>
      <c r="U739" s="619"/>
      <c r="V739" s="619"/>
      <c r="W739" s="619"/>
      <c r="X739" s="619"/>
      <c r="Y739" s="619"/>
      <c r="Z739" s="619"/>
      <c r="AA739" s="619"/>
      <c r="AB739" s="619"/>
      <c r="AC739" s="619"/>
      <c r="AD739" s="619"/>
      <c r="AE739" s="619"/>
      <c r="AF739" s="619"/>
      <c r="AG739" s="619"/>
      <c r="AH739" s="619"/>
      <c r="AI739" s="619"/>
      <c r="AJ739" s="619"/>
      <c r="AK739" s="619"/>
      <c r="AL739" s="619"/>
      <c r="AM739" s="8"/>
    </row>
    <row r="740" spans="1:39" ht="14.25" customHeight="1">
      <c r="A740" s="619"/>
      <c r="B740" s="619"/>
      <c r="C740" s="619"/>
      <c r="D740" s="4"/>
      <c r="E740" s="21"/>
      <c r="F740" s="21"/>
      <c r="G740" s="21"/>
      <c r="H740" s="22"/>
      <c r="I740" s="619"/>
      <c r="J740" s="619"/>
      <c r="K740" s="619"/>
      <c r="L740" s="619"/>
      <c r="M740" s="619"/>
      <c r="N740" s="619"/>
      <c r="O740" s="619"/>
      <c r="P740" s="619"/>
      <c r="Q740" s="619"/>
      <c r="R740" s="619"/>
      <c r="S740" s="619"/>
      <c r="T740" s="619"/>
      <c r="U740" s="619"/>
      <c r="V740" s="619"/>
      <c r="W740" s="619"/>
      <c r="X740" s="619"/>
      <c r="Y740" s="619"/>
      <c r="Z740" s="619"/>
      <c r="AA740" s="619"/>
      <c r="AB740" s="619"/>
      <c r="AC740" s="619"/>
      <c r="AD740" s="619"/>
      <c r="AE740" s="619"/>
      <c r="AF740" s="619"/>
      <c r="AG740" s="619"/>
      <c r="AH740" s="619"/>
      <c r="AI740" s="619"/>
      <c r="AJ740" s="619"/>
      <c r="AK740" s="619"/>
      <c r="AL740" s="619"/>
      <c r="AM740" s="8"/>
    </row>
    <row r="741" spans="1:39" ht="14.25" customHeight="1">
      <c r="A741" s="619"/>
      <c r="B741" s="619"/>
      <c r="C741" s="619"/>
      <c r="D741" s="4"/>
      <c r="E741" s="21"/>
      <c r="F741" s="21"/>
      <c r="G741" s="21"/>
      <c r="H741" s="22"/>
      <c r="I741" s="619"/>
      <c r="J741" s="619"/>
      <c r="K741" s="619"/>
      <c r="L741" s="619"/>
      <c r="M741" s="619"/>
      <c r="N741" s="619"/>
      <c r="O741" s="619"/>
      <c r="P741" s="619"/>
      <c r="Q741" s="619"/>
      <c r="R741" s="619"/>
      <c r="S741" s="619"/>
      <c r="T741" s="619"/>
      <c r="U741" s="619"/>
      <c r="V741" s="619"/>
      <c r="W741" s="619"/>
      <c r="X741" s="619"/>
      <c r="Y741" s="619"/>
      <c r="Z741" s="619"/>
      <c r="AA741" s="619"/>
      <c r="AB741" s="619"/>
      <c r="AC741" s="619"/>
      <c r="AD741" s="619"/>
      <c r="AE741" s="619"/>
      <c r="AF741" s="619"/>
      <c r="AG741" s="619"/>
      <c r="AH741" s="619"/>
      <c r="AI741" s="619"/>
      <c r="AJ741" s="619"/>
      <c r="AK741" s="619"/>
      <c r="AL741" s="619"/>
      <c r="AM741" s="8"/>
    </row>
    <row r="742" spans="1:39" ht="14.25" customHeight="1">
      <c r="A742" s="619"/>
      <c r="B742" s="619"/>
      <c r="C742" s="619"/>
      <c r="D742" s="4"/>
      <c r="E742" s="21"/>
      <c r="F742" s="21"/>
      <c r="G742" s="21"/>
      <c r="H742" s="22"/>
      <c r="I742" s="619"/>
      <c r="J742" s="619"/>
      <c r="K742" s="619"/>
      <c r="L742" s="619"/>
      <c r="M742" s="619"/>
      <c r="N742" s="619"/>
      <c r="O742" s="619"/>
      <c r="P742" s="619"/>
      <c r="Q742" s="619"/>
      <c r="R742" s="619"/>
      <c r="S742" s="619"/>
      <c r="T742" s="619"/>
      <c r="U742" s="619"/>
      <c r="V742" s="619"/>
      <c r="W742" s="619"/>
      <c r="X742" s="619"/>
      <c r="Y742" s="619"/>
      <c r="Z742" s="619"/>
      <c r="AA742" s="619"/>
      <c r="AB742" s="619"/>
      <c r="AC742" s="619"/>
      <c r="AD742" s="619"/>
      <c r="AE742" s="619"/>
      <c r="AF742" s="619"/>
      <c r="AG742" s="619"/>
      <c r="AH742" s="619"/>
      <c r="AI742" s="619"/>
      <c r="AJ742" s="619"/>
      <c r="AK742" s="619"/>
      <c r="AL742" s="619"/>
      <c r="AM742" s="8"/>
    </row>
    <row r="743" spans="1:39" ht="14.25" customHeight="1">
      <c r="A743" s="619"/>
      <c r="B743" s="619"/>
      <c r="C743" s="619"/>
      <c r="D743" s="4"/>
      <c r="E743" s="21"/>
      <c r="F743" s="21"/>
      <c r="G743" s="21"/>
      <c r="H743" s="22"/>
      <c r="I743" s="619"/>
      <c r="J743" s="619"/>
      <c r="K743" s="619"/>
      <c r="L743" s="619"/>
      <c r="M743" s="619"/>
      <c r="N743" s="619"/>
      <c r="O743" s="619"/>
      <c r="P743" s="619"/>
      <c r="Q743" s="619"/>
      <c r="R743" s="619"/>
      <c r="S743" s="619"/>
      <c r="T743" s="619"/>
      <c r="U743" s="619"/>
      <c r="V743" s="619"/>
      <c r="W743" s="619"/>
      <c r="X743" s="619"/>
      <c r="Y743" s="619"/>
      <c r="Z743" s="619"/>
      <c r="AA743" s="619"/>
      <c r="AB743" s="619"/>
      <c r="AC743" s="619"/>
      <c r="AD743" s="619"/>
      <c r="AE743" s="619"/>
      <c r="AF743" s="619"/>
      <c r="AG743" s="619"/>
      <c r="AH743" s="619"/>
      <c r="AI743" s="619"/>
      <c r="AJ743" s="619"/>
      <c r="AK743" s="619"/>
      <c r="AL743" s="619"/>
      <c r="AM743" s="8"/>
    </row>
    <row r="744" spans="1:39" ht="14.25" customHeight="1">
      <c r="A744" s="619"/>
      <c r="B744" s="619"/>
      <c r="C744" s="619"/>
      <c r="D744" s="4"/>
      <c r="E744" s="21"/>
      <c r="F744" s="21"/>
      <c r="G744" s="21"/>
      <c r="H744" s="22"/>
      <c r="I744" s="619"/>
      <c r="J744" s="619"/>
      <c r="K744" s="619"/>
      <c r="L744" s="619"/>
      <c r="M744" s="619"/>
      <c r="N744" s="619"/>
      <c r="O744" s="619"/>
      <c r="P744" s="619"/>
      <c r="Q744" s="619"/>
      <c r="R744" s="619"/>
      <c r="S744" s="619"/>
      <c r="T744" s="619"/>
      <c r="U744" s="619"/>
      <c r="V744" s="619"/>
      <c r="W744" s="619"/>
      <c r="X744" s="619"/>
      <c r="Y744" s="619"/>
      <c r="Z744" s="619"/>
      <c r="AA744" s="619"/>
      <c r="AB744" s="619"/>
      <c r="AC744" s="619"/>
      <c r="AD744" s="619"/>
      <c r="AE744" s="619"/>
      <c r="AF744" s="619"/>
      <c r="AG744" s="619"/>
      <c r="AH744" s="619"/>
      <c r="AI744" s="619"/>
      <c r="AJ744" s="619"/>
      <c r="AK744" s="619"/>
      <c r="AL744" s="619"/>
      <c r="AM744" s="8"/>
    </row>
    <row r="745" spans="1:39" ht="14.25" customHeight="1">
      <c r="A745" s="619"/>
      <c r="B745" s="619"/>
      <c r="C745" s="619"/>
      <c r="D745" s="4"/>
      <c r="E745" s="21"/>
      <c r="F745" s="21"/>
      <c r="G745" s="21"/>
      <c r="H745" s="22"/>
      <c r="I745" s="619"/>
      <c r="J745" s="619"/>
      <c r="K745" s="619"/>
      <c r="L745" s="619"/>
      <c r="M745" s="619"/>
      <c r="N745" s="619"/>
      <c r="O745" s="619"/>
      <c r="P745" s="619"/>
      <c r="Q745" s="619"/>
      <c r="R745" s="619"/>
      <c r="S745" s="619"/>
      <c r="T745" s="619"/>
      <c r="U745" s="619"/>
      <c r="V745" s="619"/>
      <c r="W745" s="619"/>
      <c r="X745" s="619"/>
      <c r="Y745" s="619"/>
      <c r="Z745" s="619"/>
      <c r="AA745" s="619"/>
      <c r="AB745" s="619"/>
      <c r="AC745" s="619"/>
      <c r="AD745" s="619"/>
      <c r="AE745" s="619"/>
      <c r="AF745" s="619"/>
      <c r="AG745" s="619"/>
      <c r="AH745" s="619"/>
      <c r="AI745" s="619"/>
      <c r="AJ745" s="619"/>
      <c r="AK745" s="619"/>
      <c r="AL745" s="619"/>
      <c r="AM745" s="8"/>
    </row>
    <row r="746" spans="1:39" ht="14.25" customHeight="1">
      <c r="A746" s="619"/>
      <c r="B746" s="619"/>
      <c r="C746" s="619"/>
      <c r="D746" s="4"/>
      <c r="E746" s="21"/>
      <c r="F746" s="21"/>
      <c r="G746" s="21"/>
      <c r="H746" s="22"/>
      <c r="I746" s="619"/>
      <c r="J746" s="619"/>
      <c r="K746" s="619"/>
      <c r="L746" s="619"/>
      <c r="M746" s="619"/>
      <c r="N746" s="619"/>
      <c r="O746" s="619"/>
      <c r="P746" s="619"/>
      <c r="Q746" s="619"/>
      <c r="R746" s="619"/>
      <c r="S746" s="619"/>
      <c r="T746" s="619"/>
      <c r="U746" s="619"/>
      <c r="V746" s="619"/>
      <c r="W746" s="619"/>
      <c r="X746" s="619"/>
      <c r="Y746" s="619"/>
      <c r="Z746" s="619"/>
      <c r="AA746" s="619"/>
      <c r="AB746" s="619"/>
      <c r="AC746" s="619"/>
      <c r="AD746" s="619"/>
      <c r="AE746" s="619"/>
      <c r="AF746" s="619"/>
      <c r="AG746" s="619"/>
      <c r="AH746" s="619"/>
      <c r="AI746" s="619"/>
      <c r="AJ746" s="619"/>
      <c r="AK746" s="619"/>
      <c r="AL746" s="619"/>
      <c r="AM746" s="8"/>
    </row>
    <row r="747" spans="1:39" ht="14.25" customHeight="1">
      <c r="A747" s="619"/>
      <c r="B747" s="619"/>
      <c r="C747" s="619"/>
      <c r="D747" s="4"/>
      <c r="E747" s="21"/>
      <c r="F747" s="21"/>
      <c r="G747" s="21"/>
      <c r="H747" s="22"/>
      <c r="I747" s="619"/>
      <c r="J747" s="619"/>
      <c r="K747" s="619"/>
      <c r="L747" s="619"/>
      <c r="M747" s="619"/>
      <c r="N747" s="619"/>
      <c r="O747" s="619"/>
      <c r="P747" s="619"/>
      <c r="Q747" s="619"/>
      <c r="R747" s="619"/>
      <c r="S747" s="619"/>
      <c r="T747" s="619"/>
      <c r="U747" s="619"/>
      <c r="V747" s="619"/>
      <c r="W747" s="619"/>
      <c r="X747" s="619"/>
      <c r="Y747" s="619"/>
      <c r="Z747" s="619"/>
      <c r="AA747" s="619"/>
      <c r="AB747" s="619"/>
      <c r="AC747" s="619"/>
      <c r="AD747" s="619"/>
      <c r="AE747" s="619"/>
      <c r="AF747" s="619"/>
      <c r="AG747" s="619"/>
      <c r="AH747" s="619"/>
      <c r="AI747" s="619"/>
      <c r="AJ747" s="619"/>
      <c r="AK747" s="619"/>
      <c r="AL747" s="619"/>
      <c r="AM747" s="8"/>
    </row>
    <row r="748" spans="1:39" ht="14.25" customHeight="1">
      <c r="A748" s="619"/>
      <c r="B748" s="619"/>
      <c r="C748" s="619"/>
      <c r="D748" s="4"/>
      <c r="E748" s="21"/>
      <c r="F748" s="21"/>
      <c r="G748" s="21"/>
      <c r="H748" s="22"/>
      <c r="I748" s="619"/>
      <c r="J748" s="619"/>
      <c r="K748" s="619"/>
      <c r="L748" s="619"/>
      <c r="M748" s="619"/>
      <c r="N748" s="619"/>
      <c r="O748" s="619"/>
      <c r="P748" s="619"/>
      <c r="Q748" s="619"/>
      <c r="R748" s="619"/>
      <c r="S748" s="619"/>
      <c r="T748" s="619"/>
      <c r="U748" s="619"/>
      <c r="V748" s="619"/>
      <c r="W748" s="619"/>
      <c r="X748" s="619"/>
      <c r="Y748" s="619"/>
      <c r="Z748" s="619"/>
      <c r="AA748" s="619"/>
      <c r="AB748" s="619"/>
      <c r="AC748" s="619"/>
      <c r="AD748" s="619"/>
      <c r="AE748" s="619"/>
      <c r="AF748" s="619"/>
      <c r="AG748" s="619"/>
      <c r="AH748" s="619"/>
      <c r="AI748" s="619"/>
      <c r="AJ748" s="619"/>
      <c r="AK748" s="619"/>
      <c r="AL748" s="619"/>
      <c r="AM748" s="8"/>
    </row>
    <row r="749" spans="1:39" ht="14.25" customHeight="1">
      <c r="A749" s="619"/>
      <c r="B749" s="619"/>
      <c r="C749" s="619"/>
      <c r="D749" s="4"/>
      <c r="E749" s="21"/>
      <c r="F749" s="21"/>
      <c r="G749" s="21"/>
      <c r="H749" s="22"/>
      <c r="I749" s="619"/>
      <c r="J749" s="619"/>
      <c r="K749" s="619"/>
      <c r="L749" s="619"/>
      <c r="M749" s="619"/>
      <c r="N749" s="619"/>
      <c r="O749" s="619"/>
      <c r="P749" s="619"/>
      <c r="Q749" s="619"/>
      <c r="R749" s="619"/>
      <c r="S749" s="619"/>
      <c r="T749" s="619"/>
      <c r="U749" s="619"/>
      <c r="V749" s="619"/>
      <c r="W749" s="619"/>
      <c r="X749" s="619"/>
      <c r="Y749" s="619"/>
      <c r="Z749" s="619"/>
      <c r="AA749" s="619"/>
      <c r="AB749" s="619"/>
      <c r="AC749" s="619"/>
      <c r="AD749" s="619"/>
      <c r="AE749" s="619"/>
      <c r="AF749" s="619"/>
      <c r="AG749" s="619"/>
      <c r="AH749" s="619"/>
      <c r="AI749" s="619"/>
      <c r="AJ749" s="619"/>
      <c r="AK749" s="619"/>
      <c r="AL749" s="619"/>
      <c r="AM749" s="8"/>
    </row>
    <row r="750" spans="1:39" ht="14.25" customHeight="1">
      <c r="A750" s="619"/>
      <c r="B750" s="619"/>
      <c r="C750" s="619"/>
      <c r="D750" s="4"/>
      <c r="E750" s="21"/>
      <c r="F750" s="21"/>
      <c r="G750" s="21"/>
      <c r="H750" s="22"/>
      <c r="I750" s="619"/>
      <c r="J750" s="619"/>
      <c r="K750" s="619"/>
      <c r="L750" s="619"/>
      <c r="M750" s="619"/>
      <c r="N750" s="619"/>
      <c r="O750" s="619"/>
      <c r="P750" s="619"/>
      <c r="Q750" s="619"/>
      <c r="R750" s="619"/>
      <c r="S750" s="619"/>
      <c r="T750" s="619"/>
      <c r="U750" s="619"/>
      <c r="V750" s="619"/>
      <c r="W750" s="619"/>
      <c r="X750" s="619"/>
      <c r="Y750" s="619"/>
      <c r="Z750" s="619"/>
      <c r="AA750" s="619"/>
      <c r="AB750" s="619"/>
      <c r="AC750" s="619"/>
      <c r="AD750" s="619"/>
      <c r="AE750" s="619"/>
      <c r="AF750" s="619"/>
      <c r="AG750" s="619"/>
      <c r="AH750" s="619"/>
      <c r="AI750" s="619"/>
      <c r="AJ750" s="619"/>
      <c r="AK750" s="619"/>
      <c r="AL750" s="619"/>
      <c r="AM750" s="8"/>
    </row>
    <row r="751" spans="1:39" ht="14.25" customHeight="1">
      <c r="A751" s="619"/>
      <c r="B751" s="619"/>
      <c r="C751" s="619"/>
      <c r="D751" s="4"/>
      <c r="E751" s="21"/>
      <c r="F751" s="21"/>
      <c r="G751" s="21"/>
      <c r="H751" s="22"/>
      <c r="I751" s="619"/>
      <c r="J751" s="619"/>
      <c r="K751" s="619"/>
      <c r="L751" s="619"/>
      <c r="M751" s="619"/>
      <c r="N751" s="619"/>
      <c r="O751" s="619"/>
      <c r="P751" s="619"/>
      <c r="Q751" s="619"/>
      <c r="R751" s="619"/>
      <c r="S751" s="619"/>
      <c r="T751" s="619"/>
      <c r="U751" s="619"/>
      <c r="V751" s="619"/>
      <c r="W751" s="619"/>
      <c r="X751" s="619"/>
      <c r="Y751" s="619"/>
      <c r="Z751" s="619"/>
      <c r="AA751" s="619"/>
      <c r="AB751" s="619"/>
      <c r="AC751" s="619"/>
      <c r="AD751" s="619"/>
      <c r="AE751" s="619"/>
      <c r="AF751" s="619"/>
      <c r="AG751" s="619"/>
      <c r="AH751" s="619"/>
      <c r="AI751" s="619"/>
      <c r="AJ751" s="619"/>
      <c r="AK751" s="619"/>
      <c r="AL751" s="619"/>
      <c r="AM751" s="8"/>
    </row>
    <row r="752" spans="1:39" ht="14.25" customHeight="1">
      <c r="A752" s="619"/>
      <c r="B752" s="619"/>
      <c r="C752" s="619"/>
      <c r="D752" s="4"/>
      <c r="E752" s="21"/>
      <c r="F752" s="21"/>
      <c r="G752" s="21"/>
      <c r="H752" s="22"/>
      <c r="I752" s="619"/>
      <c r="J752" s="619"/>
      <c r="K752" s="619"/>
      <c r="L752" s="619"/>
      <c r="M752" s="619"/>
      <c r="N752" s="619"/>
      <c r="O752" s="619"/>
      <c r="P752" s="619"/>
      <c r="Q752" s="619"/>
      <c r="R752" s="619"/>
      <c r="S752" s="619"/>
      <c r="T752" s="619"/>
      <c r="U752" s="619"/>
      <c r="V752" s="619"/>
      <c r="W752" s="619"/>
      <c r="X752" s="619"/>
      <c r="Y752" s="619"/>
      <c r="Z752" s="619"/>
      <c r="AA752" s="619"/>
      <c r="AB752" s="619"/>
      <c r="AC752" s="619"/>
      <c r="AD752" s="619"/>
      <c r="AE752" s="619"/>
      <c r="AF752" s="619"/>
      <c r="AG752" s="619"/>
      <c r="AH752" s="619"/>
      <c r="AI752" s="619"/>
      <c r="AJ752" s="619"/>
      <c r="AK752" s="619"/>
      <c r="AL752" s="619"/>
      <c r="AM752" s="8"/>
    </row>
    <row r="753" spans="1:39" ht="14.25" customHeight="1">
      <c r="A753" s="619"/>
      <c r="B753" s="619"/>
      <c r="C753" s="619"/>
      <c r="D753" s="4"/>
      <c r="E753" s="21"/>
      <c r="F753" s="21"/>
      <c r="G753" s="21"/>
      <c r="H753" s="22"/>
      <c r="I753" s="619"/>
      <c r="J753" s="619"/>
      <c r="K753" s="619"/>
      <c r="L753" s="619"/>
      <c r="M753" s="619"/>
      <c r="N753" s="619"/>
      <c r="O753" s="619"/>
      <c r="P753" s="619"/>
      <c r="Q753" s="619"/>
      <c r="R753" s="619"/>
      <c r="S753" s="619"/>
      <c r="T753" s="619"/>
      <c r="U753" s="619"/>
      <c r="V753" s="619"/>
      <c r="W753" s="619"/>
      <c r="X753" s="619"/>
      <c r="Y753" s="619"/>
      <c r="Z753" s="619"/>
      <c r="AA753" s="619"/>
      <c r="AB753" s="619"/>
      <c r="AC753" s="619"/>
      <c r="AD753" s="619"/>
      <c r="AE753" s="619"/>
      <c r="AF753" s="619"/>
      <c r="AG753" s="619"/>
      <c r="AH753" s="619"/>
      <c r="AI753" s="619"/>
      <c r="AJ753" s="619"/>
      <c r="AK753" s="619"/>
      <c r="AL753" s="619"/>
      <c r="AM753" s="8"/>
    </row>
    <row r="754" spans="1:39" ht="14.25" customHeight="1">
      <c r="A754" s="619"/>
      <c r="B754" s="619"/>
      <c r="C754" s="619"/>
      <c r="D754" s="4"/>
      <c r="E754" s="21"/>
      <c r="F754" s="21"/>
      <c r="G754" s="21"/>
      <c r="H754" s="22"/>
      <c r="I754" s="619"/>
      <c r="J754" s="619"/>
      <c r="K754" s="619"/>
      <c r="L754" s="619"/>
      <c r="M754" s="619"/>
      <c r="N754" s="619"/>
      <c r="O754" s="619"/>
      <c r="P754" s="619"/>
      <c r="Q754" s="619"/>
      <c r="R754" s="619"/>
      <c r="S754" s="619"/>
      <c r="T754" s="619"/>
      <c r="U754" s="619"/>
      <c r="V754" s="619"/>
      <c r="W754" s="619"/>
      <c r="X754" s="619"/>
      <c r="Y754" s="619"/>
      <c r="Z754" s="619"/>
      <c r="AA754" s="619"/>
      <c r="AB754" s="619"/>
      <c r="AC754" s="619"/>
      <c r="AD754" s="619"/>
      <c r="AE754" s="619"/>
      <c r="AF754" s="619"/>
      <c r="AG754" s="619"/>
      <c r="AH754" s="619"/>
      <c r="AI754" s="619"/>
      <c r="AJ754" s="619"/>
      <c r="AK754" s="619"/>
      <c r="AL754" s="619"/>
      <c r="AM754" s="8"/>
    </row>
    <row r="755" spans="1:39" ht="14.25" customHeight="1">
      <c r="A755" s="619"/>
      <c r="B755" s="619"/>
      <c r="C755" s="619"/>
      <c r="D755" s="4"/>
      <c r="E755" s="21"/>
      <c r="F755" s="21"/>
      <c r="G755" s="21"/>
      <c r="H755" s="22"/>
      <c r="I755" s="619"/>
      <c r="J755" s="619"/>
      <c r="K755" s="619"/>
      <c r="L755" s="619"/>
      <c r="M755" s="619"/>
      <c r="N755" s="619"/>
      <c r="O755" s="619"/>
      <c r="P755" s="619"/>
      <c r="Q755" s="619"/>
      <c r="R755" s="619"/>
      <c r="S755" s="619"/>
      <c r="T755" s="619"/>
      <c r="U755" s="619"/>
      <c r="V755" s="619"/>
      <c r="W755" s="619"/>
      <c r="X755" s="619"/>
      <c r="Y755" s="619"/>
      <c r="Z755" s="619"/>
      <c r="AA755" s="619"/>
      <c r="AB755" s="619"/>
      <c r="AC755" s="619"/>
      <c r="AD755" s="619"/>
      <c r="AE755" s="619"/>
      <c r="AF755" s="619"/>
      <c r="AG755" s="619"/>
      <c r="AH755" s="619"/>
      <c r="AI755" s="619"/>
      <c r="AJ755" s="619"/>
      <c r="AK755" s="619"/>
      <c r="AL755" s="619"/>
      <c r="AM755" s="8"/>
    </row>
    <row r="756" spans="1:39" ht="14.25" customHeight="1">
      <c r="A756" s="619"/>
      <c r="B756" s="619"/>
      <c r="C756" s="619"/>
      <c r="D756" s="4"/>
      <c r="E756" s="21"/>
      <c r="F756" s="21"/>
      <c r="G756" s="21"/>
      <c r="H756" s="22"/>
      <c r="I756" s="619"/>
      <c r="J756" s="619"/>
      <c r="K756" s="619"/>
      <c r="L756" s="619"/>
      <c r="M756" s="619"/>
      <c r="N756" s="619"/>
      <c r="O756" s="619"/>
      <c r="P756" s="619"/>
      <c r="Q756" s="619"/>
      <c r="R756" s="619"/>
      <c r="S756" s="619"/>
      <c r="T756" s="619"/>
      <c r="U756" s="619"/>
      <c r="V756" s="619"/>
      <c r="W756" s="619"/>
      <c r="X756" s="619"/>
      <c r="Y756" s="619"/>
      <c r="Z756" s="619"/>
      <c r="AA756" s="619"/>
      <c r="AB756" s="619"/>
      <c r="AC756" s="619"/>
      <c r="AD756" s="619"/>
      <c r="AE756" s="619"/>
      <c r="AF756" s="619"/>
      <c r="AG756" s="619"/>
      <c r="AH756" s="619"/>
      <c r="AI756" s="619"/>
      <c r="AJ756" s="619"/>
      <c r="AK756" s="619"/>
      <c r="AL756" s="619"/>
      <c r="AM756" s="8"/>
    </row>
    <row r="757" spans="1:39" ht="14.25" customHeight="1">
      <c r="A757" s="619"/>
      <c r="B757" s="619"/>
      <c r="C757" s="619"/>
      <c r="D757" s="4"/>
      <c r="E757" s="21"/>
      <c r="F757" s="21"/>
      <c r="G757" s="21"/>
      <c r="H757" s="22"/>
      <c r="I757" s="619"/>
      <c r="J757" s="619"/>
      <c r="K757" s="619"/>
      <c r="L757" s="619"/>
      <c r="M757" s="619"/>
      <c r="N757" s="619"/>
      <c r="O757" s="619"/>
      <c r="P757" s="619"/>
      <c r="Q757" s="619"/>
      <c r="R757" s="619"/>
      <c r="S757" s="619"/>
      <c r="T757" s="619"/>
      <c r="U757" s="619"/>
      <c r="V757" s="619"/>
      <c r="W757" s="619"/>
      <c r="X757" s="619"/>
      <c r="Y757" s="619"/>
      <c r="Z757" s="619"/>
      <c r="AA757" s="619"/>
      <c r="AB757" s="619"/>
      <c r="AC757" s="619"/>
      <c r="AD757" s="619"/>
      <c r="AE757" s="619"/>
      <c r="AF757" s="619"/>
      <c r="AG757" s="619"/>
      <c r="AH757" s="619"/>
      <c r="AI757" s="619"/>
      <c r="AJ757" s="619"/>
      <c r="AK757" s="619"/>
      <c r="AL757" s="619"/>
      <c r="AM757" s="8"/>
    </row>
    <row r="758" spans="1:39" ht="14.25" customHeight="1">
      <c r="A758" s="619"/>
      <c r="B758" s="619"/>
      <c r="C758" s="619"/>
      <c r="D758" s="4"/>
      <c r="E758" s="21"/>
      <c r="F758" s="21"/>
      <c r="G758" s="21"/>
      <c r="H758" s="22"/>
      <c r="I758" s="619"/>
      <c r="J758" s="619"/>
      <c r="K758" s="619"/>
      <c r="L758" s="619"/>
      <c r="M758" s="619"/>
      <c r="N758" s="619"/>
      <c r="O758" s="619"/>
      <c r="P758" s="619"/>
      <c r="Q758" s="619"/>
      <c r="R758" s="619"/>
      <c r="S758" s="619"/>
      <c r="T758" s="619"/>
      <c r="U758" s="619"/>
      <c r="V758" s="619"/>
      <c r="W758" s="619"/>
      <c r="X758" s="619"/>
      <c r="Y758" s="619"/>
      <c r="Z758" s="619"/>
      <c r="AA758" s="619"/>
      <c r="AB758" s="619"/>
      <c r="AC758" s="619"/>
      <c r="AD758" s="619"/>
      <c r="AE758" s="619"/>
      <c r="AF758" s="619"/>
      <c r="AG758" s="619"/>
      <c r="AH758" s="619"/>
      <c r="AI758" s="619"/>
      <c r="AJ758" s="619"/>
      <c r="AK758" s="619"/>
      <c r="AL758" s="619"/>
      <c r="AM758" s="8"/>
    </row>
    <row r="759" spans="1:39" ht="14.25" customHeight="1">
      <c r="A759" s="619"/>
      <c r="B759" s="619"/>
      <c r="C759" s="619"/>
      <c r="D759" s="4"/>
      <c r="E759" s="21"/>
      <c r="F759" s="21"/>
      <c r="G759" s="21"/>
      <c r="H759" s="22"/>
      <c r="I759" s="619"/>
      <c r="J759" s="619"/>
      <c r="K759" s="619"/>
      <c r="L759" s="619"/>
      <c r="M759" s="619"/>
      <c r="N759" s="619"/>
      <c r="O759" s="619"/>
      <c r="P759" s="619"/>
      <c r="Q759" s="619"/>
      <c r="R759" s="619"/>
      <c r="S759" s="619"/>
      <c r="T759" s="619"/>
      <c r="U759" s="619"/>
      <c r="V759" s="619"/>
      <c r="W759" s="619"/>
      <c r="X759" s="619"/>
      <c r="Y759" s="619"/>
      <c r="Z759" s="619"/>
      <c r="AA759" s="619"/>
      <c r="AB759" s="619"/>
      <c r="AC759" s="619"/>
      <c r="AD759" s="619"/>
      <c r="AE759" s="619"/>
      <c r="AF759" s="619"/>
      <c r="AG759" s="619"/>
      <c r="AH759" s="619"/>
      <c r="AI759" s="619"/>
      <c r="AJ759" s="619"/>
      <c r="AK759" s="619"/>
      <c r="AL759" s="619"/>
      <c r="AM759" s="8"/>
    </row>
    <row r="760" spans="1:39" ht="14.25" customHeight="1">
      <c r="A760" s="619"/>
      <c r="B760" s="619"/>
      <c r="C760" s="619"/>
      <c r="D760" s="4"/>
      <c r="E760" s="21"/>
      <c r="F760" s="21"/>
      <c r="G760" s="21"/>
      <c r="H760" s="22"/>
      <c r="I760" s="619"/>
      <c r="J760" s="619"/>
      <c r="K760" s="619"/>
      <c r="L760" s="619"/>
      <c r="M760" s="619"/>
      <c r="N760" s="619"/>
      <c r="O760" s="619"/>
      <c r="P760" s="619"/>
      <c r="Q760" s="619"/>
      <c r="R760" s="619"/>
      <c r="S760" s="619"/>
      <c r="T760" s="619"/>
      <c r="U760" s="619"/>
      <c r="V760" s="619"/>
      <c r="W760" s="619"/>
      <c r="X760" s="619"/>
      <c r="Y760" s="619"/>
      <c r="Z760" s="619"/>
      <c r="AA760" s="619"/>
      <c r="AB760" s="619"/>
      <c r="AC760" s="619"/>
      <c r="AD760" s="619"/>
      <c r="AE760" s="619"/>
      <c r="AF760" s="619"/>
      <c r="AG760" s="619"/>
      <c r="AH760" s="619"/>
      <c r="AI760" s="619"/>
      <c r="AJ760" s="619"/>
      <c r="AK760" s="619"/>
      <c r="AL760" s="619"/>
      <c r="AM760" s="8"/>
    </row>
    <row r="761" spans="1:39" ht="14.25" customHeight="1">
      <c r="A761" s="619"/>
      <c r="B761" s="619"/>
      <c r="C761" s="619"/>
      <c r="D761" s="4"/>
      <c r="E761" s="21"/>
      <c r="F761" s="21"/>
      <c r="G761" s="21"/>
      <c r="H761" s="22"/>
      <c r="I761" s="619"/>
      <c r="J761" s="619"/>
      <c r="K761" s="619"/>
      <c r="L761" s="619"/>
      <c r="M761" s="619"/>
      <c r="N761" s="619"/>
      <c r="O761" s="619"/>
      <c r="P761" s="619"/>
      <c r="Q761" s="619"/>
      <c r="R761" s="619"/>
      <c r="S761" s="619"/>
      <c r="T761" s="619"/>
      <c r="U761" s="619"/>
      <c r="V761" s="619"/>
      <c r="W761" s="619"/>
      <c r="X761" s="619"/>
      <c r="Y761" s="619"/>
      <c r="Z761" s="619"/>
      <c r="AA761" s="619"/>
      <c r="AB761" s="619"/>
      <c r="AC761" s="619"/>
      <c r="AD761" s="619"/>
      <c r="AE761" s="619"/>
      <c r="AF761" s="619"/>
      <c r="AG761" s="619"/>
      <c r="AH761" s="619"/>
      <c r="AI761" s="619"/>
      <c r="AJ761" s="619"/>
      <c r="AK761" s="619"/>
      <c r="AL761" s="619"/>
      <c r="AM761" s="8"/>
    </row>
    <row r="762" spans="1:39" ht="14.25" customHeight="1">
      <c r="A762" s="619"/>
      <c r="B762" s="619"/>
      <c r="C762" s="619"/>
      <c r="D762" s="4"/>
      <c r="E762" s="21"/>
      <c r="F762" s="21"/>
      <c r="G762" s="21"/>
      <c r="H762" s="22"/>
      <c r="I762" s="619"/>
      <c r="J762" s="619"/>
      <c r="K762" s="619"/>
      <c r="L762" s="619"/>
      <c r="M762" s="619"/>
      <c r="N762" s="619"/>
      <c r="O762" s="619"/>
      <c r="P762" s="619"/>
      <c r="Q762" s="619"/>
      <c r="R762" s="619"/>
      <c r="S762" s="619"/>
      <c r="T762" s="619"/>
      <c r="U762" s="619"/>
      <c r="V762" s="619"/>
      <c r="W762" s="619"/>
      <c r="X762" s="619"/>
      <c r="Y762" s="619"/>
      <c r="Z762" s="619"/>
      <c r="AA762" s="619"/>
      <c r="AB762" s="619"/>
      <c r="AC762" s="619"/>
      <c r="AD762" s="619"/>
      <c r="AE762" s="619"/>
      <c r="AF762" s="619"/>
      <c r="AG762" s="619"/>
      <c r="AH762" s="619"/>
      <c r="AI762" s="619"/>
      <c r="AJ762" s="619"/>
      <c r="AK762" s="619"/>
      <c r="AL762" s="619"/>
      <c r="AM762" s="8"/>
    </row>
    <row r="763" spans="1:39" ht="14.25" customHeight="1">
      <c r="A763" s="619"/>
      <c r="B763" s="619"/>
      <c r="C763" s="619"/>
      <c r="D763" s="4"/>
      <c r="E763" s="21"/>
      <c r="F763" s="21"/>
      <c r="G763" s="21"/>
      <c r="H763" s="22"/>
      <c r="I763" s="619"/>
      <c r="J763" s="619"/>
      <c r="K763" s="619"/>
      <c r="L763" s="619"/>
      <c r="M763" s="619"/>
      <c r="N763" s="619"/>
      <c r="O763" s="619"/>
      <c r="P763" s="619"/>
      <c r="Q763" s="619"/>
      <c r="R763" s="619"/>
      <c r="S763" s="619"/>
      <c r="T763" s="619"/>
      <c r="U763" s="619"/>
      <c r="V763" s="619"/>
      <c r="W763" s="619"/>
      <c r="X763" s="619"/>
      <c r="Y763" s="619"/>
      <c r="Z763" s="619"/>
      <c r="AA763" s="619"/>
      <c r="AB763" s="619"/>
      <c r="AC763" s="619"/>
      <c r="AD763" s="619"/>
      <c r="AE763" s="619"/>
      <c r="AF763" s="619"/>
      <c r="AG763" s="619"/>
      <c r="AH763" s="619"/>
      <c r="AI763" s="619"/>
      <c r="AJ763" s="619"/>
      <c r="AK763" s="619"/>
      <c r="AL763" s="619"/>
      <c r="AM763" s="8"/>
    </row>
    <row r="764" spans="1:39" ht="14.25" customHeight="1">
      <c r="A764" s="619"/>
      <c r="B764" s="619"/>
      <c r="C764" s="619"/>
      <c r="D764" s="4"/>
      <c r="E764" s="21"/>
      <c r="F764" s="21"/>
      <c r="G764" s="21"/>
      <c r="H764" s="22"/>
      <c r="I764" s="619"/>
      <c r="J764" s="619"/>
      <c r="K764" s="619"/>
      <c r="L764" s="619"/>
      <c r="M764" s="619"/>
      <c r="N764" s="619"/>
      <c r="O764" s="619"/>
      <c r="P764" s="619"/>
      <c r="Q764" s="619"/>
      <c r="R764" s="619"/>
      <c r="S764" s="619"/>
      <c r="T764" s="619"/>
      <c r="U764" s="619"/>
      <c r="V764" s="619"/>
      <c r="W764" s="619"/>
      <c r="X764" s="619"/>
      <c r="Y764" s="619"/>
      <c r="Z764" s="619"/>
      <c r="AA764" s="619"/>
      <c r="AB764" s="619"/>
      <c r="AC764" s="619"/>
      <c r="AD764" s="619"/>
      <c r="AE764" s="619"/>
      <c r="AF764" s="619"/>
      <c r="AG764" s="619"/>
      <c r="AH764" s="619"/>
      <c r="AI764" s="619"/>
      <c r="AJ764" s="619"/>
      <c r="AK764" s="619"/>
      <c r="AL764" s="619"/>
      <c r="AM764" s="8"/>
    </row>
    <row r="765" spans="1:39" ht="14.25" customHeight="1">
      <c r="A765" s="619"/>
      <c r="B765" s="619"/>
      <c r="C765" s="619"/>
      <c r="D765" s="4"/>
      <c r="E765" s="21"/>
      <c r="F765" s="21"/>
      <c r="G765" s="21"/>
      <c r="H765" s="22"/>
      <c r="I765" s="619"/>
      <c r="J765" s="619"/>
      <c r="K765" s="619"/>
      <c r="L765" s="619"/>
      <c r="M765" s="619"/>
      <c r="N765" s="619"/>
      <c r="O765" s="619"/>
      <c r="P765" s="619"/>
      <c r="Q765" s="619"/>
      <c r="R765" s="619"/>
      <c r="S765" s="619"/>
      <c r="T765" s="619"/>
      <c r="U765" s="619"/>
      <c r="V765" s="619"/>
      <c r="W765" s="619"/>
      <c r="X765" s="619"/>
      <c r="Y765" s="619"/>
      <c r="Z765" s="619"/>
      <c r="AA765" s="619"/>
      <c r="AB765" s="619"/>
      <c r="AC765" s="619"/>
      <c r="AD765" s="619"/>
      <c r="AE765" s="619"/>
      <c r="AF765" s="619"/>
      <c r="AG765" s="619"/>
      <c r="AH765" s="619"/>
      <c r="AI765" s="619"/>
      <c r="AJ765" s="619"/>
      <c r="AK765" s="619"/>
      <c r="AL765" s="619"/>
      <c r="AM765" s="8"/>
    </row>
    <row r="766" spans="1:39" ht="14.25" customHeight="1">
      <c r="A766" s="619"/>
      <c r="B766" s="619"/>
      <c r="C766" s="619"/>
      <c r="D766" s="4"/>
      <c r="E766" s="21"/>
      <c r="F766" s="21"/>
      <c r="G766" s="21"/>
      <c r="H766" s="22"/>
      <c r="I766" s="619"/>
      <c r="J766" s="619"/>
      <c r="K766" s="619"/>
      <c r="L766" s="619"/>
      <c r="M766" s="619"/>
      <c r="N766" s="619"/>
      <c r="O766" s="619"/>
      <c r="P766" s="619"/>
      <c r="Q766" s="619"/>
      <c r="R766" s="619"/>
      <c r="S766" s="619"/>
      <c r="T766" s="619"/>
      <c r="U766" s="619"/>
      <c r="V766" s="619"/>
      <c r="W766" s="619"/>
      <c r="X766" s="619"/>
      <c r="Y766" s="619"/>
      <c r="Z766" s="619"/>
      <c r="AA766" s="619"/>
      <c r="AB766" s="619"/>
      <c r="AC766" s="619"/>
      <c r="AD766" s="619"/>
      <c r="AE766" s="619"/>
      <c r="AF766" s="619"/>
      <c r="AG766" s="619"/>
      <c r="AH766" s="619"/>
      <c r="AI766" s="619"/>
      <c r="AJ766" s="619"/>
      <c r="AK766" s="619"/>
      <c r="AL766" s="619"/>
      <c r="AM766" s="8"/>
    </row>
    <row r="767" spans="1:39" ht="14.25" customHeight="1">
      <c r="A767" s="619"/>
      <c r="B767" s="619"/>
      <c r="C767" s="619"/>
      <c r="D767" s="4"/>
      <c r="E767" s="21"/>
      <c r="F767" s="21"/>
      <c r="G767" s="21"/>
      <c r="H767" s="22"/>
      <c r="I767" s="619"/>
      <c r="J767" s="619"/>
      <c r="K767" s="619"/>
      <c r="L767" s="619"/>
      <c r="M767" s="619"/>
      <c r="N767" s="619"/>
      <c r="O767" s="619"/>
      <c r="P767" s="619"/>
      <c r="Q767" s="619"/>
      <c r="R767" s="619"/>
      <c r="S767" s="619"/>
      <c r="T767" s="619"/>
      <c r="U767" s="619"/>
      <c r="V767" s="619"/>
      <c r="W767" s="619"/>
      <c r="X767" s="619"/>
      <c r="Y767" s="619"/>
      <c r="Z767" s="619"/>
      <c r="AA767" s="619"/>
      <c r="AB767" s="619"/>
      <c r="AC767" s="619"/>
      <c r="AD767" s="619"/>
      <c r="AE767" s="619"/>
      <c r="AF767" s="619"/>
      <c r="AG767" s="619"/>
      <c r="AH767" s="619"/>
      <c r="AI767" s="619"/>
      <c r="AJ767" s="619"/>
      <c r="AK767" s="619"/>
      <c r="AL767" s="619"/>
      <c r="AM767" s="8"/>
    </row>
    <row r="768" spans="1:39" ht="14.25" customHeight="1">
      <c r="A768" s="619"/>
      <c r="B768" s="619"/>
      <c r="C768" s="619"/>
      <c r="D768" s="4"/>
      <c r="E768" s="21"/>
      <c r="F768" s="21"/>
      <c r="G768" s="21"/>
      <c r="H768" s="22"/>
      <c r="I768" s="619"/>
      <c r="J768" s="619"/>
      <c r="K768" s="619"/>
      <c r="L768" s="619"/>
      <c r="M768" s="619"/>
      <c r="N768" s="619"/>
      <c r="O768" s="619"/>
      <c r="P768" s="619"/>
      <c r="Q768" s="619"/>
      <c r="R768" s="619"/>
      <c r="S768" s="619"/>
      <c r="T768" s="619"/>
      <c r="U768" s="619"/>
      <c r="V768" s="619"/>
      <c r="W768" s="619"/>
      <c r="X768" s="619"/>
      <c r="Y768" s="619"/>
      <c r="Z768" s="619"/>
      <c r="AA768" s="619"/>
      <c r="AB768" s="619"/>
      <c r="AC768" s="619"/>
      <c r="AD768" s="619"/>
      <c r="AE768" s="619"/>
      <c r="AF768" s="619"/>
      <c r="AG768" s="619"/>
      <c r="AH768" s="619"/>
      <c r="AI768" s="619"/>
      <c r="AJ768" s="619"/>
      <c r="AK768" s="619"/>
      <c r="AL768" s="619"/>
      <c r="AM768" s="8"/>
    </row>
    <row r="769" spans="1:39" ht="14.25" customHeight="1">
      <c r="A769" s="619"/>
      <c r="B769" s="619"/>
      <c r="C769" s="619"/>
      <c r="D769" s="4"/>
      <c r="E769" s="21"/>
      <c r="F769" s="21"/>
      <c r="G769" s="21"/>
      <c r="H769" s="22"/>
      <c r="I769" s="619"/>
      <c r="J769" s="619"/>
      <c r="K769" s="619"/>
      <c r="L769" s="619"/>
      <c r="M769" s="619"/>
      <c r="N769" s="619"/>
      <c r="O769" s="619"/>
      <c r="P769" s="619"/>
      <c r="Q769" s="619"/>
      <c r="R769" s="619"/>
      <c r="S769" s="619"/>
      <c r="T769" s="619"/>
      <c r="U769" s="619"/>
      <c r="V769" s="619"/>
      <c r="W769" s="619"/>
      <c r="X769" s="619"/>
      <c r="Y769" s="619"/>
      <c r="Z769" s="619"/>
      <c r="AA769" s="619"/>
      <c r="AB769" s="619"/>
      <c r="AC769" s="619"/>
      <c r="AD769" s="619"/>
      <c r="AE769" s="619"/>
      <c r="AF769" s="619"/>
      <c r="AG769" s="619"/>
      <c r="AH769" s="619"/>
      <c r="AI769" s="619"/>
      <c r="AJ769" s="619"/>
      <c r="AK769" s="619"/>
      <c r="AL769" s="619"/>
      <c r="AM769" s="8"/>
    </row>
    <row r="770" spans="1:39" ht="14.25" customHeight="1">
      <c r="A770" s="619"/>
      <c r="B770" s="619"/>
      <c r="C770" s="619"/>
      <c r="D770" s="4"/>
      <c r="E770" s="21"/>
      <c r="F770" s="21"/>
      <c r="G770" s="21"/>
      <c r="H770" s="22"/>
      <c r="I770" s="619"/>
      <c r="J770" s="619"/>
      <c r="K770" s="619"/>
      <c r="L770" s="619"/>
      <c r="M770" s="619"/>
      <c r="N770" s="619"/>
      <c r="O770" s="619"/>
      <c r="P770" s="619"/>
      <c r="Q770" s="619"/>
      <c r="R770" s="619"/>
      <c r="S770" s="619"/>
      <c r="T770" s="619"/>
      <c r="U770" s="619"/>
      <c r="V770" s="619"/>
      <c r="W770" s="619"/>
      <c r="X770" s="619"/>
      <c r="Y770" s="619"/>
      <c r="Z770" s="619"/>
      <c r="AA770" s="619"/>
      <c r="AB770" s="619"/>
      <c r="AC770" s="619"/>
      <c r="AD770" s="619"/>
      <c r="AE770" s="619"/>
      <c r="AF770" s="619"/>
      <c r="AG770" s="619"/>
      <c r="AH770" s="619"/>
      <c r="AI770" s="619"/>
      <c r="AJ770" s="619"/>
      <c r="AK770" s="619"/>
      <c r="AL770" s="619"/>
      <c r="AM770" s="8"/>
    </row>
    <row r="771" spans="1:39" ht="14.25" customHeight="1">
      <c r="A771" s="619"/>
      <c r="B771" s="619"/>
      <c r="C771" s="619"/>
      <c r="D771" s="4"/>
      <c r="E771" s="21"/>
      <c r="F771" s="21"/>
      <c r="G771" s="21"/>
      <c r="H771" s="22"/>
      <c r="I771" s="619"/>
      <c r="J771" s="619"/>
      <c r="K771" s="619"/>
      <c r="L771" s="619"/>
      <c r="M771" s="619"/>
      <c r="N771" s="619"/>
      <c r="O771" s="619"/>
      <c r="P771" s="619"/>
      <c r="Q771" s="619"/>
      <c r="R771" s="619"/>
      <c r="S771" s="619"/>
      <c r="T771" s="619"/>
      <c r="U771" s="619"/>
      <c r="V771" s="619"/>
      <c r="W771" s="619"/>
      <c r="X771" s="619"/>
      <c r="Y771" s="619"/>
      <c r="Z771" s="619"/>
      <c r="AA771" s="619"/>
      <c r="AB771" s="619"/>
      <c r="AC771" s="619"/>
      <c r="AD771" s="619"/>
      <c r="AE771" s="619"/>
      <c r="AF771" s="619"/>
      <c r="AG771" s="619"/>
      <c r="AH771" s="619"/>
      <c r="AI771" s="619"/>
      <c r="AJ771" s="619"/>
      <c r="AK771" s="619"/>
      <c r="AL771" s="619"/>
      <c r="AM771" s="8"/>
    </row>
    <row r="772" spans="1:39" ht="14.25" customHeight="1">
      <c r="A772" s="619"/>
      <c r="B772" s="619"/>
      <c r="C772" s="619"/>
      <c r="D772" s="4"/>
      <c r="E772" s="21"/>
      <c r="F772" s="21"/>
      <c r="G772" s="21"/>
      <c r="H772" s="22"/>
      <c r="I772" s="619"/>
      <c r="J772" s="619"/>
      <c r="K772" s="619"/>
      <c r="L772" s="619"/>
      <c r="M772" s="619"/>
      <c r="N772" s="619"/>
      <c r="O772" s="619"/>
      <c r="P772" s="619"/>
      <c r="Q772" s="619"/>
      <c r="R772" s="619"/>
      <c r="S772" s="619"/>
      <c r="T772" s="619"/>
      <c r="U772" s="619"/>
      <c r="V772" s="619"/>
      <c r="W772" s="619"/>
      <c r="X772" s="619"/>
      <c r="Y772" s="619"/>
      <c r="Z772" s="619"/>
      <c r="AA772" s="619"/>
      <c r="AB772" s="619"/>
      <c r="AC772" s="619"/>
      <c r="AD772" s="619"/>
      <c r="AE772" s="619"/>
      <c r="AF772" s="619"/>
      <c r="AG772" s="619"/>
      <c r="AH772" s="619"/>
      <c r="AI772" s="619"/>
      <c r="AJ772" s="619"/>
      <c r="AK772" s="619"/>
      <c r="AL772" s="619"/>
      <c r="AM772" s="8"/>
    </row>
    <row r="773" spans="1:39" ht="14.25" customHeight="1">
      <c r="A773" s="619"/>
      <c r="B773" s="619"/>
      <c r="C773" s="619"/>
      <c r="D773" s="4"/>
      <c r="E773" s="21"/>
      <c r="F773" s="21"/>
      <c r="G773" s="21"/>
      <c r="H773" s="22"/>
      <c r="I773" s="619"/>
      <c r="J773" s="619"/>
      <c r="K773" s="619"/>
      <c r="L773" s="619"/>
      <c r="M773" s="619"/>
      <c r="N773" s="619"/>
      <c r="O773" s="619"/>
      <c r="P773" s="619"/>
      <c r="Q773" s="619"/>
      <c r="R773" s="619"/>
      <c r="S773" s="619"/>
      <c r="T773" s="619"/>
      <c r="U773" s="619"/>
      <c r="V773" s="619"/>
      <c r="W773" s="619"/>
      <c r="X773" s="619"/>
      <c r="Y773" s="619"/>
      <c r="Z773" s="619"/>
      <c r="AA773" s="619"/>
      <c r="AB773" s="619"/>
      <c r="AC773" s="619"/>
      <c r="AD773" s="619"/>
      <c r="AE773" s="619"/>
      <c r="AF773" s="619"/>
      <c r="AG773" s="619"/>
      <c r="AH773" s="619"/>
      <c r="AI773" s="619"/>
      <c r="AJ773" s="619"/>
      <c r="AK773" s="619"/>
      <c r="AL773" s="619"/>
      <c r="AM773" s="8"/>
    </row>
    <row r="774" spans="1:39" ht="14.25" customHeight="1">
      <c r="A774" s="619"/>
      <c r="B774" s="619"/>
      <c r="C774" s="619"/>
      <c r="D774" s="4"/>
      <c r="E774" s="21"/>
      <c r="F774" s="21"/>
      <c r="G774" s="21"/>
      <c r="H774" s="22"/>
      <c r="I774" s="619"/>
      <c r="J774" s="619"/>
      <c r="K774" s="619"/>
      <c r="L774" s="619"/>
      <c r="M774" s="619"/>
      <c r="N774" s="619"/>
      <c r="O774" s="619"/>
      <c r="P774" s="619"/>
      <c r="Q774" s="619"/>
      <c r="R774" s="619"/>
      <c r="S774" s="619"/>
      <c r="T774" s="619"/>
      <c r="U774" s="619"/>
      <c r="V774" s="619"/>
      <c r="W774" s="619"/>
      <c r="X774" s="619"/>
      <c r="Y774" s="619"/>
      <c r="Z774" s="619"/>
      <c r="AA774" s="619"/>
      <c r="AB774" s="619"/>
      <c r="AC774" s="619"/>
      <c r="AD774" s="619"/>
      <c r="AE774" s="619"/>
      <c r="AF774" s="619"/>
      <c r="AG774" s="619"/>
      <c r="AH774" s="619"/>
      <c r="AI774" s="619"/>
      <c r="AJ774" s="619"/>
      <c r="AK774" s="619"/>
      <c r="AL774" s="619"/>
      <c r="AM774" s="8"/>
    </row>
    <row r="775" spans="1:39" ht="14.25" customHeight="1">
      <c r="A775" s="619"/>
      <c r="B775" s="619"/>
      <c r="C775" s="619"/>
      <c r="D775" s="4"/>
      <c r="E775" s="21"/>
      <c r="F775" s="21"/>
      <c r="G775" s="21"/>
      <c r="H775" s="22"/>
      <c r="I775" s="619"/>
      <c r="J775" s="619"/>
      <c r="K775" s="619"/>
      <c r="L775" s="619"/>
      <c r="M775" s="619"/>
      <c r="N775" s="619"/>
      <c r="O775" s="619"/>
      <c r="P775" s="619"/>
      <c r="Q775" s="619"/>
      <c r="R775" s="619"/>
      <c r="S775" s="619"/>
      <c r="T775" s="619"/>
      <c r="U775" s="619"/>
      <c r="V775" s="619"/>
      <c r="W775" s="619"/>
      <c r="X775" s="619"/>
      <c r="Y775" s="619"/>
      <c r="Z775" s="619"/>
      <c r="AA775" s="619"/>
      <c r="AB775" s="619"/>
      <c r="AC775" s="619"/>
      <c r="AD775" s="619"/>
      <c r="AE775" s="619"/>
      <c r="AF775" s="619"/>
      <c r="AG775" s="619"/>
      <c r="AH775" s="619"/>
      <c r="AI775" s="619"/>
      <c r="AJ775" s="619"/>
      <c r="AK775" s="619"/>
      <c r="AL775" s="619"/>
      <c r="AM775" s="8"/>
    </row>
    <row r="776" spans="1:39" ht="14.25" customHeight="1">
      <c r="A776" s="619"/>
      <c r="B776" s="619"/>
      <c r="C776" s="619"/>
      <c r="D776" s="4"/>
      <c r="E776" s="21"/>
      <c r="F776" s="21"/>
      <c r="G776" s="21"/>
      <c r="H776" s="22"/>
      <c r="I776" s="619"/>
      <c r="J776" s="619"/>
      <c r="K776" s="619"/>
      <c r="L776" s="619"/>
      <c r="M776" s="619"/>
      <c r="N776" s="619"/>
      <c r="O776" s="619"/>
      <c r="P776" s="619"/>
      <c r="Q776" s="619"/>
      <c r="R776" s="619"/>
      <c r="S776" s="619"/>
      <c r="T776" s="619"/>
      <c r="U776" s="619"/>
      <c r="V776" s="619"/>
      <c r="W776" s="619"/>
      <c r="X776" s="619"/>
      <c r="Y776" s="619"/>
      <c r="Z776" s="619"/>
      <c r="AA776" s="619"/>
      <c r="AB776" s="619"/>
      <c r="AC776" s="619"/>
      <c r="AD776" s="619"/>
      <c r="AE776" s="619"/>
      <c r="AF776" s="619"/>
      <c r="AG776" s="619"/>
      <c r="AH776" s="619"/>
      <c r="AI776" s="619"/>
      <c r="AJ776" s="619"/>
      <c r="AK776" s="619"/>
      <c r="AL776" s="619"/>
      <c r="AM776" s="8"/>
    </row>
    <row r="777" spans="1:39" ht="14.25" customHeight="1">
      <c r="A777" s="619"/>
      <c r="B777" s="619"/>
      <c r="C777" s="619"/>
      <c r="D777" s="4"/>
      <c r="E777" s="21"/>
      <c r="F777" s="21"/>
      <c r="G777" s="21"/>
      <c r="H777" s="22"/>
      <c r="I777" s="619"/>
      <c r="J777" s="619"/>
      <c r="K777" s="619"/>
      <c r="L777" s="619"/>
      <c r="M777" s="619"/>
      <c r="N777" s="619"/>
      <c r="O777" s="619"/>
      <c r="P777" s="619"/>
      <c r="Q777" s="619"/>
      <c r="R777" s="619"/>
      <c r="S777" s="619"/>
      <c r="T777" s="619"/>
      <c r="U777" s="619"/>
      <c r="V777" s="619"/>
      <c r="W777" s="619"/>
      <c r="X777" s="619"/>
      <c r="Y777" s="619"/>
      <c r="Z777" s="619"/>
      <c r="AA777" s="619"/>
      <c r="AB777" s="619"/>
      <c r="AC777" s="619"/>
      <c r="AD777" s="619"/>
      <c r="AE777" s="619"/>
      <c r="AF777" s="619"/>
      <c r="AG777" s="619"/>
      <c r="AH777" s="619"/>
      <c r="AI777" s="619"/>
      <c r="AJ777" s="619"/>
      <c r="AK777" s="619"/>
      <c r="AL777" s="619"/>
      <c r="AM777" s="8"/>
    </row>
    <row r="778" spans="1:39" ht="14.25" customHeight="1">
      <c r="A778" s="619"/>
      <c r="B778" s="619"/>
      <c r="C778" s="619"/>
      <c r="D778" s="4"/>
      <c r="E778" s="21"/>
      <c r="F778" s="21"/>
      <c r="G778" s="21"/>
      <c r="H778" s="22"/>
      <c r="I778" s="619"/>
      <c r="J778" s="619"/>
      <c r="K778" s="619"/>
      <c r="L778" s="619"/>
      <c r="M778" s="619"/>
      <c r="N778" s="619"/>
      <c r="O778" s="619"/>
      <c r="P778" s="619"/>
      <c r="Q778" s="619"/>
      <c r="R778" s="619"/>
      <c r="S778" s="619"/>
      <c r="T778" s="619"/>
      <c r="U778" s="619"/>
      <c r="V778" s="619"/>
      <c r="W778" s="619"/>
      <c r="X778" s="619"/>
      <c r="Y778" s="619"/>
      <c r="Z778" s="619"/>
      <c r="AA778" s="619"/>
      <c r="AB778" s="619"/>
      <c r="AC778" s="619"/>
      <c r="AD778" s="619"/>
      <c r="AE778" s="619"/>
      <c r="AF778" s="619"/>
      <c r="AG778" s="619"/>
      <c r="AH778" s="619"/>
      <c r="AI778" s="619"/>
      <c r="AJ778" s="619"/>
      <c r="AK778" s="619"/>
      <c r="AL778" s="619"/>
      <c r="AM778" s="8"/>
    </row>
    <row r="779" spans="1:39" ht="14.25" customHeight="1">
      <c r="A779" s="619"/>
      <c r="B779" s="619"/>
      <c r="C779" s="619"/>
      <c r="D779" s="4"/>
      <c r="E779" s="21"/>
      <c r="F779" s="21"/>
      <c r="G779" s="21"/>
      <c r="H779" s="22"/>
      <c r="I779" s="619"/>
      <c r="J779" s="619"/>
      <c r="K779" s="619"/>
      <c r="L779" s="619"/>
      <c r="M779" s="619"/>
      <c r="N779" s="619"/>
      <c r="O779" s="619"/>
      <c r="P779" s="619"/>
      <c r="Q779" s="619"/>
      <c r="R779" s="619"/>
      <c r="S779" s="619"/>
      <c r="T779" s="619"/>
      <c r="U779" s="619"/>
      <c r="V779" s="619"/>
      <c r="W779" s="619"/>
      <c r="X779" s="619"/>
      <c r="Y779" s="619"/>
      <c r="Z779" s="619"/>
      <c r="AA779" s="619"/>
      <c r="AB779" s="619"/>
      <c r="AC779" s="619"/>
      <c r="AD779" s="619"/>
      <c r="AE779" s="619"/>
      <c r="AF779" s="619"/>
      <c r="AG779" s="619"/>
      <c r="AH779" s="619"/>
      <c r="AI779" s="619"/>
      <c r="AJ779" s="619"/>
      <c r="AK779" s="619"/>
      <c r="AL779" s="619"/>
      <c r="AM779" s="8"/>
    </row>
    <row r="780" spans="1:39" ht="14.25" customHeight="1">
      <c r="A780" s="619"/>
      <c r="B780" s="619"/>
      <c r="C780" s="619"/>
      <c r="D780" s="4"/>
      <c r="E780" s="21"/>
      <c r="F780" s="21"/>
      <c r="G780" s="21"/>
      <c r="H780" s="22"/>
      <c r="I780" s="619"/>
      <c r="J780" s="619"/>
      <c r="K780" s="619"/>
      <c r="L780" s="619"/>
      <c r="M780" s="619"/>
      <c r="N780" s="619"/>
      <c r="O780" s="619"/>
      <c r="P780" s="619"/>
      <c r="Q780" s="619"/>
      <c r="R780" s="619"/>
      <c r="S780" s="619"/>
      <c r="T780" s="619"/>
      <c r="U780" s="619"/>
      <c r="V780" s="619"/>
      <c r="W780" s="619"/>
      <c r="X780" s="619"/>
      <c r="Y780" s="619"/>
      <c r="Z780" s="619"/>
      <c r="AA780" s="619"/>
      <c r="AB780" s="619"/>
      <c r="AC780" s="619"/>
      <c r="AD780" s="619"/>
      <c r="AE780" s="619"/>
      <c r="AF780" s="619"/>
      <c r="AG780" s="619"/>
      <c r="AH780" s="619"/>
      <c r="AI780" s="619"/>
      <c r="AJ780" s="619"/>
      <c r="AK780" s="619"/>
      <c r="AL780" s="619"/>
      <c r="AM780" s="8"/>
    </row>
    <row r="781" spans="1:39" ht="14.25" customHeight="1">
      <c r="A781" s="619"/>
      <c r="B781" s="619"/>
      <c r="C781" s="619"/>
      <c r="D781" s="4"/>
      <c r="E781" s="21"/>
      <c r="F781" s="21"/>
      <c r="G781" s="21"/>
      <c r="H781" s="22"/>
      <c r="I781" s="619"/>
      <c r="J781" s="619"/>
      <c r="K781" s="619"/>
      <c r="L781" s="619"/>
      <c r="M781" s="619"/>
      <c r="N781" s="619"/>
      <c r="O781" s="619"/>
      <c r="P781" s="619"/>
      <c r="Q781" s="619"/>
      <c r="R781" s="619"/>
      <c r="S781" s="619"/>
      <c r="T781" s="619"/>
      <c r="U781" s="619"/>
      <c r="V781" s="619"/>
      <c r="W781" s="619"/>
      <c r="X781" s="619"/>
      <c r="Y781" s="619"/>
      <c r="Z781" s="619"/>
      <c r="AA781" s="619"/>
      <c r="AB781" s="619"/>
      <c r="AC781" s="619"/>
      <c r="AD781" s="619"/>
      <c r="AE781" s="619"/>
      <c r="AF781" s="619"/>
      <c r="AG781" s="619"/>
      <c r="AH781" s="619"/>
      <c r="AI781" s="619"/>
      <c r="AJ781" s="619"/>
      <c r="AK781" s="619"/>
      <c r="AL781" s="619"/>
      <c r="AM781" s="8"/>
    </row>
    <row r="782" spans="1:39" ht="14.25" customHeight="1">
      <c r="A782" s="619"/>
      <c r="B782" s="619"/>
      <c r="C782" s="619"/>
      <c r="D782" s="4"/>
      <c r="E782" s="21"/>
      <c r="F782" s="21"/>
      <c r="G782" s="21"/>
      <c r="H782" s="22"/>
      <c r="I782" s="619"/>
      <c r="J782" s="619"/>
      <c r="K782" s="619"/>
      <c r="L782" s="619"/>
      <c r="M782" s="619"/>
      <c r="N782" s="619"/>
      <c r="O782" s="619"/>
      <c r="P782" s="619"/>
      <c r="Q782" s="619"/>
      <c r="R782" s="619"/>
      <c r="S782" s="619"/>
      <c r="T782" s="619"/>
      <c r="U782" s="619"/>
      <c r="V782" s="619"/>
      <c r="W782" s="619"/>
      <c r="X782" s="619"/>
      <c r="Y782" s="619"/>
      <c r="Z782" s="619"/>
      <c r="AA782" s="619"/>
      <c r="AB782" s="619"/>
      <c r="AC782" s="619"/>
      <c r="AD782" s="619"/>
      <c r="AE782" s="619"/>
      <c r="AF782" s="619"/>
      <c r="AG782" s="619"/>
      <c r="AH782" s="619"/>
      <c r="AI782" s="619"/>
      <c r="AJ782" s="619"/>
      <c r="AK782" s="619"/>
      <c r="AL782" s="619"/>
      <c r="AM782" s="8"/>
    </row>
    <row r="783" spans="1:39" ht="14.25" customHeight="1">
      <c r="A783" s="619"/>
      <c r="B783" s="619"/>
      <c r="C783" s="619"/>
      <c r="D783" s="4"/>
      <c r="E783" s="21"/>
      <c r="F783" s="21"/>
      <c r="G783" s="21"/>
      <c r="H783" s="22"/>
      <c r="I783" s="619"/>
      <c r="J783" s="619"/>
      <c r="K783" s="619"/>
      <c r="L783" s="619"/>
      <c r="M783" s="619"/>
      <c r="N783" s="619"/>
      <c r="O783" s="619"/>
      <c r="P783" s="619"/>
      <c r="Q783" s="619"/>
      <c r="R783" s="619"/>
      <c r="S783" s="619"/>
      <c r="T783" s="619"/>
      <c r="U783" s="619"/>
      <c r="V783" s="619"/>
      <c r="W783" s="619"/>
      <c r="X783" s="619"/>
      <c r="Y783" s="619"/>
      <c r="Z783" s="619"/>
      <c r="AA783" s="619"/>
      <c r="AB783" s="619"/>
      <c r="AC783" s="619"/>
      <c r="AD783" s="619"/>
      <c r="AE783" s="619"/>
      <c r="AF783" s="619"/>
      <c r="AG783" s="619"/>
      <c r="AH783" s="619"/>
      <c r="AI783" s="619"/>
      <c r="AJ783" s="619"/>
      <c r="AK783" s="619"/>
      <c r="AL783" s="619"/>
      <c r="AM783" s="8"/>
    </row>
    <row r="784" spans="1:39" ht="14.25" customHeight="1">
      <c r="A784" s="619"/>
      <c r="B784" s="619"/>
      <c r="C784" s="619"/>
      <c r="D784" s="4"/>
      <c r="E784" s="21"/>
      <c r="F784" s="21"/>
      <c r="G784" s="21"/>
      <c r="H784" s="22"/>
      <c r="I784" s="619"/>
      <c r="J784" s="619"/>
      <c r="K784" s="619"/>
      <c r="L784" s="619"/>
      <c r="M784" s="619"/>
      <c r="N784" s="619"/>
      <c r="O784" s="619"/>
      <c r="P784" s="619"/>
      <c r="Q784" s="619"/>
      <c r="R784" s="619"/>
      <c r="S784" s="619"/>
      <c r="T784" s="619"/>
      <c r="U784" s="619"/>
      <c r="V784" s="619"/>
      <c r="W784" s="619"/>
      <c r="X784" s="619"/>
      <c r="Y784" s="619"/>
      <c r="Z784" s="619"/>
      <c r="AA784" s="619"/>
      <c r="AB784" s="619"/>
      <c r="AC784" s="619"/>
      <c r="AD784" s="619"/>
      <c r="AE784" s="619"/>
      <c r="AF784" s="619"/>
      <c r="AG784" s="619"/>
      <c r="AH784" s="619"/>
      <c r="AI784" s="619"/>
      <c r="AJ784" s="619"/>
      <c r="AK784" s="619"/>
      <c r="AL784" s="619"/>
      <c r="AM784" s="8"/>
    </row>
    <row r="785" spans="1:39" ht="14.25" customHeight="1">
      <c r="A785" s="619"/>
      <c r="B785" s="619"/>
      <c r="C785" s="619"/>
      <c r="D785" s="4"/>
      <c r="E785" s="21"/>
      <c r="F785" s="21"/>
      <c r="G785" s="21"/>
      <c r="H785" s="22"/>
      <c r="I785" s="619"/>
      <c r="J785" s="619"/>
      <c r="K785" s="619"/>
      <c r="L785" s="619"/>
      <c r="M785" s="619"/>
      <c r="N785" s="619"/>
      <c r="O785" s="619"/>
      <c r="P785" s="619"/>
      <c r="Q785" s="619"/>
      <c r="R785" s="619"/>
      <c r="S785" s="619"/>
      <c r="T785" s="619"/>
      <c r="U785" s="619"/>
      <c r="V785" s="619"/>
      <c r="W785" s="619"/>
      <c r="X785" s="619"/>
      <c r="Y785" s="619"/>
      <c r="Z785" s="619"/>
      <c r="AA785" s="619"/>
      <c r="AB785" s="619"/>
      <c r="AC785" s="619"/>
      <c r="AD785" s="619"/>
      <c r="AE785" s="619"/>
      <c r="AF785" s="619"/>
      <c r="AG785" s="619"/>
      <c r="AH785" s="619"/>
      <c r="AI785" s="619"/>
      <c r="AJ785" s="619"/>
      <c r="AK785" s="619"/>
      <c r="AL785" s="619"/>
      <c r="AM785" s="8"/>
    </row>
    <row r="786" spans="1:39" ht="14.25" customHeight="1">
      <c r="A786" s="619"/>
      <c r="B786" s="619"/>
      <c r="C786" s="619"/>
      <c r="D786" s="4"/>
      <c r="E786" s="21"/>
      <c r="F786" s="21"/>
      <c r="G786" s="21"/>
      <c r="H786" s="22"/>
      <c r="I786" s="619"/>
      <c r="J786" s="619"/>
      <c r="K786" s="619"/>
      <c r="L786" s="619"/>
      <c r="M786" s="619"/>
      <c r="N786" s="619"/>
      <c r="O786" s="619"/>
      <c r="P786" s="619"/>
      <c r="Q786" s="619"/>
      <c r="R786" s="619"/>
      <c r="S786" s="619"/>
      <c r="T786" s="619"/>
      <c r="U786" s="619"/>
      <c r="V786" s="619"/>
      <c r="W786" s="619"/>
      <c r="X786" s="619"/>
      <c r="Y786" s="619"/>
      <c r="Z786" s="619"/>
      <c r="AA786" s="619"/>
      <c r="AB786" s="619"/>
      <c r="AC786" s="619"/>
      <c r="AD786" s="619"/>
      <c r="AE786" s="619"/>
      <c r="AF786" s="619"/>
      <c r="AG786" s="619"/>
      <c r="AH786" s="619"/>
      <c r="AI786" s="619"/>
      <c r="AJ786" s="619"/>
      <c r="AK786" s="619"/>
      <c r="AL786" s="619"/>
      <c r="AM786" s="8"/>
    </row>
    <row r="787" spans="1:39" ht="14.25" customHeight="1">
      <c r="A787" s="619"/>
      <c r="B787" s="619"/>
      <c r="C787" s="619"/>
      <c r="D787" s="4"/>
      <c r="E787" s="21"/>
      <c r="F787" s="21"/>
      <c r="G787" s="21"/>
      <c r="H787" s="22"/>
      <c r="I787" s="619"/>
      <c r="J787" s="619"/>
      <c r="K787" s="619"/>
      <c r="L787" s="619"/>
      <c r="M787" s="619"/>
      <c r="N787" s="619"/>
      <c r="O787" s="619"/>
      <c r="P787" s="619"/>
      <c r="Q787" s="619"/>
      <c r="R787" s="619"/>
      <c r="S787" s="619"/>
      <c r="T787" s="619"/>
      <c r="U787" s="619"/>
      <c r="V787" s="619"/>
      <c r="W787" s="619"/>
      <c r="X787" s="619"/>
      <c r="Y787" s="619"/>
      <c r="Z787" s="619"/>
      <c r="AA787" s="619"/>
      <c r="AB787" s="619"/>
      <c r="AC787" s="619"/>
      <c r="AD787" s="619"/>
      <c r="AE787" s="619"/>
      <c r="AF787" s="619"/>
      <c r="AG787" s="619"/>
      <c r="AH787" s="619"/>
      <c r="AI787" s="619"/>
      <c r="AJ787" s="619"/>
      <c r="AK787" s="619"/>
      <c r="AL787" s="619"/>
      <c r="AM787" s="8"/>
    </row>
    <row r="788" spans="1:39" ht="14.25" customHeight="1">
      <c r="A788" s="619"/>
      <c r="B788" s="619"/>
      <c r="C788" s="619"/>
      <c r="D788" s="4"/>
      <c r="E788" s="21"/>
      <c r="F788" s="21"/>
      <c r="G788" s="21"/>
      <c r="H788" s="22"/>
      <c r="I788" s="619"/>
      <c r="J788" s="619"/>
      <c r="K788" s="619"/>
      <c r="L788" s="619"/>
      <c r="M788" s="619"/>
      <c r="N788" s="619"/>
      <c r="O788" s="619"/>
      <c r="P788" s="619"/>
      <c r="Q788" s="619"/>
      <c r="R788" s="619"/>
      <c r="S788" s="619"/>
      <c r="T788" s="619"/>
      <c r="U788" s="619"/>
      <c r="V788" s="619"/>
      <c r="W788" s="619"/>
      <c r="X788" s="619"/>
      <c r="Y788" s="619"/>
      <c r="Z788" s="619"/>
      <c r="AA788" s="619"/>
      <c r="AB788" s="619"/>
      <c r="AC788" s="619"/>
      <c r="AD788" s="619"/>
      <c r="AE788" s="619"/>
      <c r="AF788" s="619"/>
      <c r="AG788" s="619"/>
      <c r="AH788" s="619"/>
      <c r="AI788" s="619"/>
      <c r="AJ788" s="619"/>
      <c r="AK788" s="619"/>
      <c r="AL788" s="619"/>
      <c r="AM788" s="8"/>
    </row>
    <row r="789" spans="1:39" ht="14.25" customHeight="1">
      <c r="A789" s="619"/>
      <c r="B789" s="619"/>
      <c r="C789" s="619"/>
      <c r="D789" s="4"/>
      <c r="E789" s="21"/>
      <c r="F789" s="21"/>
      <c r="G789" s="21"/>
      <c r="H789" s="22"/>
      <c r="I789" s="619"/>
      <c r="J789" s="619"/>
      <c r="K789" s="619"/>
      <c r="L789" s="619"/>
      <c r="M789" s="619"/>
      <c r="N789" s="619"/>
      <c r="O789" s="619"/>
      <c r="P789" s="619"/>
      <c r="Q789" s="619"/>
      <c r="R789" s="619"/>
      <c r="S789" s="619"/>
      <c r="T789" s="619"/>
      <c r="U789" s="619"/>
      <c r="V789" s="619"/>
      <c r="W789" s="619"/>
      <c r="X789" s="619"/>
      <c r="Y789" s="619"/>
      <c r="Z789" s="619"/>
      <c r="AA789" s="619"/>
      <c r="AB789" s="619"/>
      <c r="AC789" s="619"/>
      <c r="AD789" s="619"/>
      <c r="AE789" s="619"/>
      <c r="AF789" s="619"/>
      <c r="AG789" s="619"/>
      <c r="AH789" s="619"/>
      <c r="AI789" s="619"/>
      <c r="AJ789" s="619"/>
      <c r="AK789" s="619"/>
      <c r="AL789" s="619"/>
      <c r="AM789" s="8"/>
    </row>
    <row r="790" spans="1:39" ht="14.25" customHeight="1">
      <c r="A790" s="619"/>
      <c r="B790" s="619"/>
      <c r="C790" s="619"/>
      <c r="D790" s="4"/>
      <c r="E790" s="21"/>
      <c r="F790" s="21"/>
      <c r="G790" s="21"/>
      <c r="H790" s="22"/>
      <c r="I790" s="619"/>
      <c r="J790" s="619"/>
      <c r="K790" s="619"/>
      <c r="L790" s="619"/>
      <c r="M790" s="619"/>
      <c r="N790" s="619"/>
      <c r="O790" s="619"/>
      <c r="P790" s="619"/>
      <c r="Q790" s="619"/>
      <c r="R790" s="619"/>
      <c r="S790" s="619"/>
      <c r="T790" s="619"/>
      <c r="U790" s="619"/>
      <c r="V790" s="619"/>
      <c r="W790" s="619"/>
      <c r="X790" s="619"/>
      <c r="Y790" s="619"/>
      <c r="Z790" s="619"/>
      <c r="AA790" s="619"/>
      <c r="AB790" s="619"/>
      <c r="AC790" s="619"/>
      <c r="AD790" s="619"/>
      <c r="AE790" s="619"/>
      <c r="AF790" s="619"/>
      <c r="AG790" s="619"/>
      <c r="AH790" s="619"/>
      <c r="AI790" s="619"/>
      <c r="AJ790" s="619"/>
      <c r="AK790" s="619"/>
      <c r="AL790" s="619"/>
      <c r="AM790" s="8"/>
    </row>
    <row r="791" spans="1:39" ht="14.25" customHeight="1">
      <c r="A791" s="619"/>
      <c r="B791" s="619"/>
      <c r="C791" s="619"/>
      <c r="D791" s="4"/>
      <c r="E791" s="21"/>
      <c r="F791" s="21"/>
      <c r="G791" s="21"/>
      <c r="H791" s="22"/>
      <c r="I791" s="619"/>
      <c r="J791" s="619"/>
      <c r="K791" s="619"/>
      <c r="L791" s="619"/>
      <c r="M791" s="619"/>
      <c r="N791" s="619"/>
      <c r="O791" s="619"/>
      <c r="P791" s="619"/>
      <c r="Q791" s="619"/>
      <c r="R791" s="619"/>
      <c r="S791" s="619"/>
      <c r="T791" s="619"/>
      <c r="U791" s="619"/>
      <c r="V791" s="619"/>
      <c r="W791" s="619"/>
      <c r="X791" s="619"/>
      <c r="Y791" s="619"/>
      <c r="Z791" s="619"/>
      <c r="AA791" s="619"/>
      <c r="AB791" s="619"/>
      <c r="AC791" s="619"/>
      <c r="AD791" s="619"/>
      <c r="AE791" s="619"/>
      <c r="AF791" s="619"/>
      <c r="AG791" s="619"/>
      <c r="AH791" s="619"/>
      <c r="AI791" s="619"/>
      <c r="AJ791" s="619"/>
      <c r="AK791" s="619"/>
      <c r="AL791" s="619"/>
      <c r="AM791" s="8"/>
    </row>
    <row r="792" spans="1:39" ht="14.25" customHeight="1">
      <c r="A792" s="619"/>
      <c r="B792" s="619"/>
      <c r="C792" s="619"/>
      <c r="D792" s="4"/>
      <c r="E792" s="21"/>
      <c r="F792" s="21"/>
      <c r="G792" s="21"/>
      <c r="H792" s="22"/>
      <c r="I792" s="619"/>
      <c r="J792" s="619"/>
      <c r="K792" s="619"/>
      <c r="L792" s="619"/>
      <c r="M792" s="619"/>
      <c r="N792" s="619"/>
      <c r="O792" s="619"/>
      <c r="P792" s="619"/>
      <c r="Q792" s="619"/>
      <c r="R792" s="619"/>
      <c r="S792" s="619"/>
      <c r="T792" s="619"/>
      <c r="U792" s="619"/>
      <c r="V792" s="619"/>
      <c r="W792" s="619"/>
      <c r="X792" s="619"/>
      <c r="Y792" s="619"/>
      <c r="Z792" s="619"/>
      <c r="AA792" s="619"/>
      <c r="AB792" s="619"/>
      <c r="AC792" s="619"/>
      <c r="AD792" s="619"/>
      <c r="AE792" s="619"/>
      <c r="AF792" s="619"/>
      <c r="AG792" s="619"/>
      <c r="AH792" s="619"/>
      <c r="AI792" s="619"/>
      <c r="AJ792" s="619"/>
      <c r="AK792" s="619"/>
      <c r="AL792" s="619"/>
      <c r="AM792" s="8"/>
    </row>
    <row r="793" spans="1:39" ht="14.25" customHeight="1">
      <c r="A793" s="619"/>
      <c r="B793" s="619"/>
      <c r="C793" s="619"/>
      <c r="D793" s="4"/>
      <c r="E793" s="21"/>
      <c r="F793" s="21"/>
      <c r="G793" s="21"/>
      <c r="H793" s="22"/>
      <c r="I793" s="619"/>
      <c r="J793" s="619"/>
      <c r="K793" s="619"/>
      <c r="L793" s="619"/>
      <c r="M793" s="619"/>
      <c r="N793" s="619"/>
      <c r="O793" s="619"/>
      <c r="P793" s="619"/>
      <c r="Q793" s="619"/>
      <c r="R793" s="619"/>
      <c r="S793" s="619"/>
      <c r="T793" s="619"/>
      <c r="U793" s="619"/>
      <c r="V793" s="619"/>
      <c r="W793" s="619"/>
      <c r="X793" s="619"/>
      <c r="Y793" s="619"/>
      <c r="Z793" s="619"/>
      <c r="AA793" s="619"/>
      <c r="AB793" s="619"/>
      <c r="AC793" s="619"/>
      <c r="AD793" s="619"/>
      <c r="AE793" s="619"/>
      <c r="AF793" s="619"/>
      <c r="AG793" s="619"/>
      <c r="AH793" s="619"/>
      <c r="AI793" s="619"/>
      <c r="AJ793" s="619"/>
      <c r="AK793" s="619"/>
      <c r="AL793" s="619"/>
      <c r="AM793" s="8"/>
    </row>
    <row r="794" spans="1:39" ht="14.25" customHeight="1">
      <c r="A794" s="619"/>
      <c r="B794" s="619"/>
      <c r="C794" s="619"/>
      <c r="D794" s="4"/>
      <c r="E794" s="21"/>
      <c r="F794" s="21"/>
      <c r="G794" s="21"/>
      <c r="H794" s="22"/>
      <c r="I794" s="619"/>
      <c r="J794" s="619"/>
      <c r="K794" s="619"/>
      <c r="L794" s="619"/>
      <c r="M794" s="619"/>
      <c r="N794" s="619"/>
      <c r="O794" s="619"/>
      <c r="P794" s="619"/>
      <c r="Q794" s="619"/>
      <c r="R794" s="619"/>
      <c r="S794" s="619"/>
      <c r="T794" s="619"/>
      <c r="U794" s="619"/>
      <c r="V794" s="619"/>
      <c r="W794" s="619"/>
      <c r="X794" s="619"/>
      <c r="Y794" s="619"/>
      <c r="Z794" s="619"/>
      <c r="AA794" s="619"/>
      <c r="AB794" s="619"/>
      <c r="AC794" s="619"/>
      <c r="AD794" s="619"/>
      <c r="AE794" s="619"/>
      <c r="AF794" s="619"/>
      <c r="AG794" s="619"/>
      <c r="AH794" s="619"/>
      <c r="AI794" s="619"/>
      <c r="AJ794" s="619"/>
      <c r="AK794" s="619"/>
      <c r="AL794" s="619"/>
      <c r="AM794" s="8"/>
    </row>
    <row r="795" spans="1:39" ht="14.25" customHeight="1">
      <c r="A795" s="619"/>
      <c r="B795" s="619"/>
      <c r="C795" s="619"/>
      <c r="D795" s="4"/>
      <c r="E795" s="21"/>
      <c r="F795" s="21"/>
      <c r="G795" s="21"/>
      <c r="H795" s="22"/>
      <c r="I795" s="619"/>
      <c r="J795" s="619"/>
      <c r="K795" s="619"/>
      <c r="L795" s="619"/>
      <c r="M795" s="619"/>
      <c r="N795" s="619"/>
      <c r="O795" s="619"/>
      <c r="P795" s="619"/>
      <c r="Q795" s="619"/>
      <c r="R795" s="619"/>
      <c r="S795" s="619"/>
      <c r="T795" s="619"/>
      <c r="U795" s="619"/>
      <c r="V795" s="619"/>
      <c r="W795" s="619"/>
      <c r="X795" s="619"/>
      <c r="Y795" s="619"/>
      <c r="Z795" s="619"/>
      <c r="AA795" s="619"/>
      <c r="AB795" s="619"/>
      <c r="AC795" s="619"/>
      <c r="AD795" s="619"/>
      <c r="AE795" s="619"/>
      <c r="AF795" s="619"/>
      <c r="AG795" s="619"/>
      <c r="AH795" s="619"/>
      <c r="AI795" s="619"/>
      <c r="AJ795" s="619"/>
      <c r="AK795" s="619"/>
      <c r="AL795" s="619"/>
      <c r="AM795" s="8"/>
    </row>
    <row r="796" spans="1:39" ht="14.25" customHeight="1">
      <c r="A796" s="619"/>
      <c r="B796" s="619"/>
      <c r="C796" s="619"/>
      <c r="D796" s="4"/>
      <c r="E796" s="21"/>
      <c r="F796" s="21"/>
      <c r="G796" s="21"/>
      <c r="H796" s="22"/>
      <c r="I796" s="619"/>
      <c r="J796" s="619"/>
      <c r="K796" s="619"/>
      <c r="L796" s="619"/>
      <c r="M796" s="619"/>
      <c r="N796" s="619"/>
      <c r="O796" s="619"/>
      <c r="P796" s="619"/>
      <c r="Q796" s="619"/>
      <c r="R796" s="619"/>
      <c r="S796" s="619"/>
      <c r="T796" s="619"/>
      <c r="U796" s="619"/>
      <c r="V796" s="619"/>
      <c r="W796" s="619"/>
      <c r="X796" s="619"/>
      <c r="Y796" s="619"/>
      <c r="Z796" s="619"/>
      <c r="AA796" s="619"/>
      <c r="AB796" s="619"/>
      <c r="AC796" s="619"/>
      <c r="AD796" s="619"/>
      <c r="AE796" s="619"/>
      <c r="AF796" s="619"/>
      <c r="AG796" s="619"/>
      <c r="AH796" s="619"/>
      <c r="AI796" s="619"/>
      <c r="AJ796" s="619"/>
      <c r="AK796" s="619"/>
      <c r="AL796" s="619"/>
      <c r="AM796" s="8"/>
    </row>
    <row r="797" spans="1:39" ht="15.75" customHeight="1">
      <c r="A797" s="1"/>
      <c r="B797" s="1"/>
      <c r="C797" s="1"/>
      <c r="D797" s="1"/>
      <c r="E797" s="50"/>
      <c r="F797" s="50"/>
      <c r="G797" s="50"/>
      <c r="H797" s="5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8"/>
    </row>
    <row r="798" spans="1:39" ht="15.75" customHeight="1">
      <c r="A798" s="1"/>
      <c r="B798" s="1"/>
      <c r="C798" s="1"/>
      <c r="D798" s="1"/>
      <c r="E798" s="50"/>
      <c r="F798" s="50"/>
      <c r="G798" s="50"/>
      <c r="H798" s="5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8"/>
    </row>
    <row r="799" spans="1:39" ht="15.75" customHeight="1">
      <c r="A799" s="1"/>
      <c r="B799" s="1"/>
      <c r="C799" s="1"/>
      <c r="D799" s="1"/>
      <c r="E799" s="50"/>
      <c r="F799" s="50"/>
      <c r="G799" s="50"/>
      <c r="H799" s="5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8"/>
    </row>
    <row r="800" spans="1:39" ht="15.75" customHeight="1">
      <c r="A800" s="1"/>
      <c r="B800" s="1"/>
      <c r="C800" s="1"/>
      <c r="D800" s="1"/>
      <c r="E800" s="50"/>
      <c r="F800" s="50"/>
      <c r="G800" s="50"/>
      <c r="H800" s="5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8"/>
    </row>
    <row r="801" spans="1:39" ht="15.75" customHeight="1">
      <c r="A801" s="1"/>
      <c r="B801" s="1"/>
      <c r="C801" s="1"/>
      <c r="D801" s="1"/>
      <c r="E801" s="50"/>
      <c r="F801" s="50"/>
      <c r="G801" s="50"/>
      <c r="H801" s="5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8"/>
    </row>
    <row r="802" spans="1:39" ht="15.75" customHeight="1">
      <c r="A802" s="1"/>
      <c r="B802" s="1"/>
      <c r="C802" s="1"/>
      <c r="D802" s="1"/>
      <c r="E802" s="50"/>
      <c r="F802" s="50"/>
      <c r="G802" s="50"/>
      <c r="H802" s="5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8"/>
    </row>
    <row r="803" spans="1:39" ht="15.75" customHeight="1">
      <c r="A803" s="1"/>
      <c r="B803" s="1"/>
      <c r="C803" s="1"/>
      <c r="D803" s="1"/>
      <c r="E803" s="50"/>
      <c r="F803" s="50"/>
      <c r="G803" s="50"/>
      <c r="H803" s="5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8"/>
    </row>
    <row r="804" spans="1:39" ht="15.75" customHeight="1">
      <c r="A804" s="1"/>
      <c r="B804" s="1"/>
      <c r="C804" s="1"/>
      <c r="D804" s="1"/>
      <c r="E804" s="50"/>
      <c r="F804" s="50"/>
      <c r="G804" s="50"/>
      <c r="H804" s="5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8"/>
    </row>
    <row r="805" spans="1:39" ht="15.75" customHeight="1">
      <c r="A805" s="1"/>
      <c r="B805" s="1"/>
      <c r="C805" s="1"/>
      <c r="D805" s="1"/>
      <c r="E805" s="50"/>
      <c r="F805" s="50"/>
      <c r="G805" s="50"/>
      <c r="H805" s="5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8"/>
    </row>
    <row r="806" spans="1:39" ht="15.75" customHeight="1">
      <c r="A806" s="1"/>
      <c r="B806" s="1"/>
      <c r="C806" s="1"/>
      <c r="D806" s="1"/>
      <c r="E806" s="50"/>
      <c r="F806" s="50"/>
      <c r="G806" s="50"/>
      <c r="H806" s="5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8"/>
    </row>
    <row r="807" spans="1:39" ht="15.75" customHeight="1">
      <c r="A807" s="1"/>
      <c r="B807" s="1"/>
      <c r="C807" s="1"/>
      <c r="D807" s="1"/>
      <c r="E807" s="50"/>
      <c r="F807" s="50"/>
      <c r="G807" s="50"/>
      <c r="H807" s="5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8"/>
    </row>
    <row r="808" spans="1:39" ht="15.75" customHeight="1">
      <c r="A808" s="1"/>
      <c r="B808" s="1"/>
      <c r="C808" s="1"/>
      <c r="D808" s="1"/>
      <c r="E808" s="50"/>
      <c r="F808" s="50"/>
      <c r="G808" s="50"/>
      <c r="H808" s="5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8"/>
    </row>
    <row r="809" spans="1:39" ht="15.75" customHeight="1">
      <c r="A809" s="1"/>
      <c r="B809" s="1"/>
      <c r="C809" s="1"/>
      <c r="D809" s="1"/>
      <c r="E809" s="50"/>
      <c r="F809" s="50"/>
      <c r="G809" s="50"/>
      <c r="H809" s="5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8"/>
    </row>
    <row r="810" spans="1:39" ht="15.75" customHeight="1">
      <c r="A810" s="1"/>
      <c r="B810" s="1"/>
      <c r="C810" s="1"/>
      <c r="D810" s="1"/>
      <c r="E810" s="50"/>
      <c r="F810" s="50"/>
      <c r="G810" s="50"/>
      <c r="H810" s="5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8"/>
    </row>
    <row r="811" spans="1:39" ht="15.75" customHeight="1">
      <c r="A811" s="1"/>
      <c r="B811" s="1"/>
      <c r="C811" s="1"/>
      <c r="D811" s="1"/>
      <c r="E811" s="50"/>
      <c r="F811" s="50"/>
      <c r="G811" s="50"/>
      <c r="H811" s="5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8"/>
    </row>
    <row r="812" spans="1:39" ht="15.75" customHeight="1">
      <c r="A812" s="1"/>
      <c r="B812" s="1"/>
      <c r="C812" s="1"/>
      <c r="D812" s="1"/>
      <c r="E812" s="50"/>
      <c r="F812" s="50"/>
      <c r="G812" s="50"/>
      <c r="H812" s="5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8"/>
    </row>
    <row r="813" spans="1:39" ht="15.75" customHeight="1">
      <c r="A813" s="1"/>
      <c r="B813" s="1"/>
      <c r="C813" s="1"/>
      <c r="D813" s="1"/>
      <c r="E813" s="50"/>
      <c r="F813" s="50"/>
      <c r="G813" s="50"/>
      <c r="H813" s="5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8"/>
    </row>
    <row r="814" spans="1:39" ht="15.75" customHeight="1">
      <c r="A814" s="1"/>
      <c r="B814" s="1"/>
      <c r="C814" s="1"/>
      <c r="D814" s="1"/>
      <c r="E814" s="50"/>
      <c r="F814" s="50"/>
      <c r="G814" s="50"/>
      <c r="H814" s="5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8"/>
    </row>
    <row r="815" spans="1:39" ht="15.75" customHeight="1">
      <c r="A815" s="1"/>
      <c r="B815" s="1"/>
      <c r="C815" s="1"/>
      <c r="D815" s="1"/>
      <c r="E815" s="50"/>
      <c r="F815" s="50"/>
      <c r="G815" s="50"/>
      <c r="H815" s="5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8"/>
    </row>
    <row r="816" spans="1:39" ht="15.75" customHeight="1">
      <c r="A816" s="1"/>
      <c r="B816" s="1"/>
      <c r="C816" s="1"/>
      <c r="D816" s="1"/>
      <c r="E816" s="50"/>
      <c r="F816" s="50"/>
      <c r="G816" s="50"/>
      <c r="H816" s="5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8"/>
    </row>
    <row r="817" spans="1:39" ht="15.75" customHeight="1">
      <c r="A817" s="1"/>
      <c r="B817" s="1"/>
      <c r="C817" s="1"/>
      <c r="D817" s="1"/>
      <c r="E817" s="50"/>
      <c r="F817" s="50"/>
      <c r="G817" s="50"/>
      <c r="H817" s="5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8"/>
    </row>
    <row r="818" spans="1:39" ht="15.75" customHeight="1">
      <c r="A818" s="1"/>
      <c r="B818" s="1"/>
      <c r="C818" s="1"/>
      <c r="D818" s="1"/>
      <c r="E818" s="50"/>
      <c r="F818" s="50"/>
      <c r="G818" s="50"/>
      <c r="H818" s="5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8"/>
    </row>
    <row r="819" spans="1:39" ht="15.75" customHeight="1">
      <c r="A819" s="1"/>
      <c r="B819" s="1"/>
      <c r="C819" s="1"/>
      <c r="D819" s="1"/>
      <c r="E819" s="50"/>
      <c r="F819" s="50"/>
      <c r="G819" s="50"/>
      <c r="H819" s="5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8"/>
    </row>
    <row r="820" spans="1:39" ht="15.75" customHeight="1">
      <c r="A820" s="1"/>
      <c r="B820" s="1"/>
      <c r="C820" s="1"/>
      <c r="D820" s="1"/>
      <c r="E820" s="50"/>
      <c r="F820" s="50"/>
      <c r="G820" s="50"/>
      <c r="H820" s="5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8"/>
    </row>
    <row r="821" spans="1:39" ht="15.75" customHeight="1">
      <c r="A821" s="1"/>
      <c r="B821" s="1"/>
      <c r="C821" s="1"/>
      <c r="D821" s="1"/>
      <c r="E821" s="50"/>
      <c r="F821" s="50"/>
      <c r="G821" s="50"/>
      <c r="H821" s="5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8"/>
    </row>
    <row r="822" spans="1:39" ht="15.75" customHeight="1">
      <c r="A822" s="1"/>
      <c r="B822" s="1"/>
      <c r="C822" s="1"/>
      <c r="D822" s="1"/>
      <c r="E822" s="50"/>
      <c r="F822" s="50"/>
      <c r="G822" s="50"/>
      <c r="H822" s="5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8"/>
    </row>
    <row r="823" spans="1:39" ht="15.75" customHeight="1">
      <c r="A823" s="1"/>
      <c r="B823" s="1"/>
      <c r="C823" s="1"/>
      <c r="D823" s="1"/>
      <c r="E823" s="50"/>
      <c r="F823" s="50"/>
      <c r="G823" s="50"/>
      <c r="H823" s="5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8"/>
    </row>
    <row r="824" spans="1:39" ht="15.75" customHeight="1">
      <c r="A824" s="1"/>
      <c r="B824" s="1"/>
      <c r="C824" s="1"/>
      <c r="D824" s="1"/>
      <c r="E824" s="50"/>
      <c r="F824" s="50"/>
      <c r="G824" s="50"/>
      <c r="H824" s="5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8"/>
    </row>
    <row r="825" spans="1:39" ht="15.75" customHeight="1">
      <c r="A825" s="1"/>
      <c r="B825" s="1"/>
      <c r="C825" s="1"/>
      <c r="D825" s="1"/>
      <c r="E825" s="50"/>
      <c r="F825" s="50"/>
      <c r="G825" s="50"/>
      <c r="H825" s="5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8"/>
    </row>
    <row r="826" spans="1:39" ht="15.75" customHeight="1">
      <c r="A826" s="1"/>
      <c r="B826" s="1"/>
      <c r="C826" s="1"/>
      <c r="D826" s="1"/>
      <c r="E826" s="50"/>
      <c r="F826" s="50"/>
      <c r="G826" s="50"/>
      <c r="H826" s="5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8"/>
    </row>
    <row r="827" spans="1:39" ht="15.75" customHeight="1">
      <c r="A827" s="1"/>
      <c r="B827" s="1"/>
      <c r="C827" s="1"/>
      <c r="D827" s="1"/>
      <c r="E827" s="50"/>
      <c r="F827" s="50"/>
      <c r="G827" s="50"/>
      <c r="H827" s="5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8"/>
    </row>
    <row r="828" spans="1:39" ht="15.75" customHeight="1">
      <c r="A828" s="1"/>
      <c r="B828" s="1"/>
      <c r="C828" s="1"/>
      <c r="D828" s="1"/>
      <c r="E828" s="50"/>
      <c r="F828" s="50"/>
      <c r="G828" s="50"/>
      <c r="H828" s="5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8"/>
    </row>
    <row r="829" spans="1:39" ht="15.75" customHeight="1">
      <c r="A829" s="1"/>
      <c r="B829" s="1"/>
      <c r="C829" s="1"/>
      <c r="D829" s="1"/>
      <c r="E829" s="50"/>
      <c r="F829" s="50"/>
      <c r="G829" s="50"/>
      <c r="H829" s="5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8"/>
    </row>
    <row r="830" spans="1:39" ht="15.75" customHeight="1">
      <c r="A830" s="1"/>
      <c r="B830" s="1"/>
      <c r="C830" s="1"/>
      <c r="D830" s="1"/>
      <c r="E830" s="50"/>
      <c r="F830" s="50"/>
      <c r="G830" s="50"/>
      <c r="H830" s="5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8"/>
    </row>
    <row r="831" spans="1:39" ht="15.75" customHeight="1">
      <c r="A831" s="1"/>
      <c r="B831" s="1"/>
      <c r="C831" s="1"/>
      <c r="D831" s="1"/>
      <c r="E831" s="50"/>
      <c r="F831" s="50"/>
      <c r="G831" s="50"/>
      <c r="H831" s="5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8"/>
    </row>
    <row r="832" spans="1:39" ht="15.75" customHeight="1">
      <c r="A832" s="1"/>
      <c r="B832" s="1"/>
      <c r="C832" s="1"/>
      <c r="D832" s="1"/>
      <c r="E832" s="50"/>
      <c r="F832" s="50"/>
      <c r="G832" s="50"/>
      <c r="H832" s="5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8"/>
    </row>
    <row r="833" spans="1:39" ht="15.75" customHeight="1">
      <c r="A833" s="1"/>
      <c r="B833" s="1"/>
      <c r="C833" s="1"/>
      <c r="D833" s="1"/>
      <c r="E833" s="50"/>
      <c r="F833" s="50"/>
      <c r="G833" s="50"/>
      <c r="H833" s="5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8"/>
    </row>
    <row r="834" spans="1:39" ht="15.75" customHeight="1">
      <c r="A834" s="1"/>
      <c r="B834" s="1"/>
      <c r="C834" s="1"/>
      <c r="D834" s="1"/>
      <c r="E834" s="50"/>
      <c r="F834" s="50"/>
      <c r="G834" s="50"/>
      <c r="H834" s="5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8"/>
    </row>
    <row r="835" spans="1:39" ht="15.75" customHeight="1">
      <c r="A835" s="1"/>
      <c r="B835" s="1"/>
      <c r="C835" s="1"/>
      <c r="D835" s="1"/>
      <c r="E835" s="50"/>
      <c r="F835" s="50"/>
      <c r="G835" s="50"/>
      <c r="H835" s="5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8"/>
    </row>
    <row r="836" spans="1:39" ht="15.75" customHeight="1">
      <c r="A836" s="1"/>
      <c r="B836" s="1"/>
      <c r="C836" s="1"/>
      <c r="D836" s="1"/>
      <c r="E836" s="50"/>
      <c r="F836" s="50"/>
      <c r="G836" s="50"/>
      <c r="H836" s="5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8"/>
    </row>
    <row r="837" spans="1:39" ht="15.75" customHeight="1">
      <c r="A837" s="1"/>
      <c r="B837" s="1"/>
      <c r="C837" s="1"/>
      <c r="D837" s="1"/>
      <c r="E837" s="50"/>
      <c r="F837" s="50"/>
      <c r="G837" s="50"/>
      <c r="H837" s="5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8"/>
    </row>
    <row r="838" spans="1:39" ht="15.75" customHeight="1">
      <c r="A838" s="1"/>
      <c r="B838" s="1"/>
      <c r="C838" s="1"/>
      <c r="D838" s="1"/>
      <c r="E838" s="50"/>
      <c r="F838" s="50"/>
      <c r="G838" s="50"/>
      <c r="H838" s="5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8"/>
    </row>
    <row r="839" spans="1:39" ht="15.75" customHeight="1">
      <c r="A839" s="1"/>
      <c r="B839" s="1"/>
      <c r="C839" s="1"/>
      <c r="D839" s="1"/>
      <c r="E839" s="50"/>
      <c r="F839" s="50"/>
      <c r="G839" s="50"/>
      <c r="H839" s="5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8"/>
    </row>
    <row r="840" spans="1:39" ht="15.75" customHeight="1">
      <c r="A840" s="1"/>
      <c r="B840" s="1"/>
      <c r="C840" s="1"/>
      <c r="D840" s="1"/>
      <c r="E840" s="50"/>
      <c r="F840" s="50"/>
      <c r="G840" s="50"/>
      <c r="H840" s="5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8"/>
    </row>
    <row r="841" spans="1:39" ht="15.75" customHeight="1">
      <c r="A841" s="1"/>
      <c r="B841" s="1"/>
      <c r="C841" s="1"/>
      <c r="D841" s="1"/>
      <c r="E841" s="50"/>
      <c r="F841" s="50"/>
      <c r="G841" s="50"/>
      <c r="H841" s="5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8"/>
    </row>
    <row r="842" spans="1:39" ht="15.75" customHeight="1">
      <c r="A842" s="1"/>
      <c r="B842" s="1"/>
      <c r="C842" s="1"/>
      <c r="D842" s="1"/>
      <c r="E842" s="50"/>
      <c r="F842" s="50"/>
      <c r="G842" s="50"/>
      <c r="H842" s="5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8"/>
    </row>
    <row r="843" spans="1:39" ht="15.75" customHeight="1">
      <c r="A843" s="1"/>
      <c r="B843" s="1"/>
      <c r="C843" s="1"/>
      <c r="D843" s="1"/>
      <c r="E843" s="50"/>
      <c r="F843" s="50"/>
      <c r="G843" s="50"/>
      <c r="H843" s="5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8"/>
    </row>
    <row r="844" spans="1:39" ht="15.75" customHeight="1">
      <c r="A844" s="1"/>
      <c r="B844" s="1"/>
      <c r="C844" s="1"/>
      <c r="D844" s="1"/>
      <c r="E844" s="50"/>
      <c r="F844" s="50"/>
      <c r="G844" s="50"/>
      <c r="H844" s="5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8"/>
    </row>
    <row r="845" spans="1:39" ht="15.75" customHeight="1">
      <c r="A845" s="1"/>
      <c r="B845" s="1"/>
      <c r="C845" s="1"/>
      <c r="D845" s="1"/>
      <c r="E845" s="50"/>
      <c r="F845" s="50"/>
      <c r="G845" s="50"/>
      <c r="H845" s="5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8"/>
    </row>
    <row r="846" spans="1:39" ht="15.75" customHeight="1">
      <c r="A846" s="1"/>
      <c r="B846" s="1"/>
      <c r="C846" s="1"/>
      <c r="D846" s="1"/>
      <c r="E846" s="50"/>
      <c r="F846" s="50"/>
      <c r="G846" s="50"/>
      <c r="H846" s="5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8"/>
    </row>
    <row r="847" spans="1:39" ht="15.75" customHeight="1">
      <c r="A847" s="1"/>
      <c r="B847" s="1"/>
      <c r="C847" s="1"/>
      <c r="D847" s="1"/>
      <c r="E847" s="50"/>
      <c r="F847" s="50"/>
      <c r="G847" s="50"/>
      <c r="H847" s="5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8"/>
    </row>
    <row r="848" spans="1:39" ht="15.75" customHeight="1">
      <c r="A848" s="1"/>
      <c r="B848" s="1"/>
      <c r="C848" s="1"/>
      <c r="D848" s="1"/>
      <c r="E848" s="50"/>
      <c r="F848" s="50"/>
      <c r="G848" s="50"/>
      <c r="H848" s="5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8"/>
    </row>
    <row r="849" spans="1:39" ht="15.75" customHeight="1">
      <c r="A849" s="1"/>
      <c r="B849" s="1"/>
      <c r="C849" s="1"/>
      <c r="D849" s="1"/>
      <c r="E849" s="50"/>
      <c r="F849" s="50"/>
      <c r="G849" s="50"/>
      <c r="H849" s="5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8"/>
    </row>
    <row r="850" spans="1:39" ht="15.75" customHeight="1">
      <c r="A850" s="1"/>
      <c r="B850" s="1"/>
      <c r="C850" s="1"/>
      <c r="D850" s="1"/>
      <c r="E850" s="50"/>
      <c r="F850" s="50"/>
      <c r="G850" s="50"/>
      <c r="H850" s="5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8"/>
    </row>
    <row r="851" spans="1:39" ht="15.75" customHeight="1">
      <c r="A851" s="1"/>
      <c r="B851" s="1"/>
      <c r="C851" s="1"/>
      <c r="D851" s="1"/>
      <c r="E851" s="50"/>
      <c r="F851" s="50"/>
      <c r="G851" s="50"/>
      <c r="H851" s="5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8"/>
    </row>
    <row r="852" spans="1:39" ht="15.75" customHeight="1">
      <c r="A852" s="1"/>
      <c r="B852" s="1"/>
      <c r="C852" s="1"/>
      <c r="D852" s="1"/>
      <c r="E852" s="50"/>
      <c r="F852" s="50"/>
      <c r="G852" s="50"/>
      <c r="H852" s="5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8"/>
    </row>
    <row r="853" spans="1:39" ht="15.75" customHeight="1">
      <c r="A853" s="1"/>
      <c r="B853" s="1"/>
      <c r="C853" s="1"/>
      <c r="D853" s="1"/>
      <c r="E853" s="50"/>
      <c r="F853" s="50"/>
      <c r="G853" s="50"/>
      <c r="H853" s="5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8"/>
    </row>
    <row r="854" spans="1:39" ht="15.75" customHeight="1">
      <c r="A854" s="1"/>
      <c r="B854" s="1"/>
      <c r="C854" s="1"/>
      <c r="D854" s="1"/>
      <c r="E854" s="50"/>
      <c r="F854" s="50"/>
      <c r="G854" s="50"/>
      <c r="H854" s="5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8"/>
    </row>
    <row r="855" spans="1:39" ht="15.75" customHeight="1">
      <c r="A855" s="1"/>
      <c r="B855" s="1"/>
      <c r="C855" s="1"/>
      <c r="D855" s="1"/>
      <c r="E855" s="50"/>
      <c r="F855" s="50"/>
      <c r="G855" s="50"/>
      <c r="H855" s="5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8"/>
    </row>
    <row r="856" spans="1:39" ht="15.75" customHeight="1">
      <c r="A856" s="1"/>
      <c r="B856" s="1"/>
      <c r="C856" s="1"/>
      <c r="D856" s="1"/>
      <c r="E856" s="50"/>
      <c r="F856" s="50"/>
      <c r="G856" s="50"/>
      <c r="H856" s="5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8"/>
    </row>
    <row r="857" spans="1:39" ht="15.75" customHeight="1">
      <c r="A857" s="1"/>
      <c r="B857" s="1"/>
      <c r="C857" s="1"/>
      <c r="D857" s="1"/>
      <c r="E857" s="50"/>
      <c r="F857" s="50"/>
      <c r="G857" s="50"/>
      <c r="H857" s="5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8"/>
    </row>
    <row r="858" spans="1:39" ht="15.75" customHeight="1">
      <c r="A858" s="1"/>
      <c r="B858" s="1"/>
      <c r="C858" s="1"/>
      <c r="D858" s="1"/>
      <c r="E858" s="50"/>
      <c r="F858" s="50"/>
      <c r="G858" s="50"/>
      <c r="H858" s="5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8"/>
    </row>
    <row r="859" spans="1:39" ht="15.75" customHeight="1">
      <c r="A859" s="1"/>
      <c r="B859" s="1"/>
      <c r="C859" s="1"/>
      <c r="D859" s="1"/>
      <c r="E859" s="50"/>
      <c r="F859" s="50"/>
      <c r="G859" s="50"/>
      <c r="H859" s="5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8"/>
    </row>
    <row r="860" spans="1:39" ht="15.75" customHeight="1">
      <c r="A860" s="1"/>
      <c r="B860" s="1"/>
      <c r="C860" s="1"/>
      <c r="D860" s="1"/>
      <c r="E860" s="50"/>
      <c r="F860" s="50"/>
      <c r="G860" s="50"/>
      <c r="H860" s="5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8"/>
    </row>
    <row r="861" spans="1:39" ht="15.75" customHeight="1">
      <c r="A861" s="1"/>
      <c r="B861" s="1"/>
      <c r="C861" s="1"/>
      <c r="D861" s="1"/>
      <c r="E861" s="50"/>
      <c r="F861" s="50"/>
      <c r="G861" s="50"/>
      <c r="H861" s="5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8"/>
    </row>
    <row r="862" spans="1:39" ht="15.75" customHeight="1">
      <c r="A862" s="1"/>
      <c r="B862" s="1"/>
      <c r="C862" s="1"/>
      <c r="D862" s="1"/>
      <c r="E862" s="50"/>
      <c r="F862" s="50"/>
      <c r="G862" s="50"/>
      <c r="H862" s="5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8"/>
    </row>
    <row r="863" spans="1:39" ht="15.75" customHeight="1">
      <c r="A863" s="1"/>
      <c r="B863" s="1"/>
      <c r="C863" s="1"/>
      <c r="D863" s="1"/>
      <c r="E863" s="50"/>
      <c r="F863" s="50"/>
      <c r="G863" s="50"/>
      <c r="H863" s="5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8"/>
    </row>
    <row r="864" spans="1:39" ht="15.75" customHeight="1">
      <c r="A864" s="1"/>
      <c r="B864" s="1"/>
      <c r="C864" s="1"/>
      <c r="D864" s="1"/>
      <c r="E864" s="50"/>
      <c r="F864" s="50"/>
      <c r="G864" s="50"/>
      <c r="H864" s="5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8"/>
    </row>
    <row r="865" spans="1:39" ht="15.75" customHeight="1">
      <c r="A865" s="1"/>
      <c r="B865" s="1"/>
      <c r="C865" s="1"/>
      <c r="D865" s="1"/>
      <c r="E865" s="50"/>
      <c r="F865" s="50"/>
      <c r="G865" s="50"/>
      <c r="H865" s="5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8"/>
    </row>
    <row r="866" spans="1:39" ht="15.75" customHeight="1">
      <c r="A866" s="1"/>
      <c r="B866" s="1"/>
      <c r="C866" s="1"/>
      <c r="D866" s="1"/>
      <c r="E866" s="50"/>
      <c r="F866" s="50"/>
      <c r="G866" s="50"/>
      <c r="H866" s="5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8"/>
    </row>
    <row r="867" spans="1:39" ht="15.75" customHeight="1">
      <c r="A867" s="1"/>
      <c r="B867" s="1"/>
      <c r="C867" s="1"/>
      <c r="D867" s="1"/>
      <c r="E867" s="50"/>
      <c r="F867" s="50"/>
      <c r="G867" s="50"/>
      <c r="H867" s="5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8"/>
    </row>
    <row r="868" spans="1:39" ht="15.75" customHeight="1">
      <c r="A868" s="1"/>
      <c r="B868" s="1"/>
      <c r="C868" s="1"/>
      <c r="D868" s="1"/>
      <c r="E868" s="50"/>
      <c r="F868" s="50"/>
      <c r="G868" s="50"/>
      <c r="H868" s="5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8"/>
    </row>
    <row r="869" spans="1:39" ht="15.75" customHeight="1">
      <c r="A869" s="1"/>
      <c r="B869" s="1"/>
      <c r="C869" s="1"/>
      <c r="D869" s="1"/>
      <c r="E869" s="50"/>
      <c r="F869" s="50"/>
      <c r="G869" s="50"/>
      <c r="H869" s="5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8"/>
    </row>
    <row r="870" spans="1:39" ht="15.75" customHeight="1">
      <c r="A870" s="1"/>
      <c r="B870" s="1"/>
      <c r="C870" s="1"/>
      <c r="D870" s="1"/>
      <c r="E870" s="50"/>
      <c r="F870" s="50"/>
      <c r="G870" s="50"/>
      <c r="H870" s="5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8"/>
    </row>
    <row r="871" spans="1:39" ht="15.75" customHeight="1">
      <c r="A871" s="1"/>
      <c r="B871" s="1"/>
      <c r="C871" s="1"/>
      <c r="D871" s="1"/>
      <c r="E871" s="50"/>
      <c r="F871" s="50"/>
      <c r="G871" s="50"/>
      <c r="H871" s="5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8"/>
    </row>
    <row r="872" spans="1:39" ht="15.75" customHeight="1">
      <c r="A872" s="1"/>
      <c r="B872" s="1"/>
      <c r="C872" s="1"/>
      <c r="D872" s="1"/>
      <c r="E872" s="50"/>
      <c r="F872" s="50"/>
      <c r="G872" s="50"/>
      <c r="H872" s="5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8"/>
    </row>
    <row r="873" spans="1:39" ht="15.75" customHeight="1">
      <c r="A873" s="1"/>
      <c r="B873" s="1"/>
      <c r="C873" s="1"/>
      <c r="D873" s="1"/>
      <c r="E873" s="50"/>
      <c r="F873" s="50"/>
      <c r="G873" s="50"/>
      <c r="H873" s="5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8"/>
    </row>
    <row r="874" spans="1:39" ht="15.75" customHeight="1">
      <c r="A874" s="1"/>
      <c r="B874" s="1"/>
      <c r="C874" s="1"/>
      <c r="D874" s="1"/>
      <c r="E874" s="50"/>
      <c r="F874" s="50"/>
      <c r="G874" s="50"/>
      <c r="H874" s="5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8"/>
    </row>
    <row r="875" spans="1:39" ht="15.75" customHeight="1">
      <c r="A875" s="1"/>
      <c r="B875" s="1"/>
      <c r="C875" s="1"/>
      <c r="D875" s="1"/>
      <c r="E875" s="50"/>
      <c r="F875" s="50"/>
      <c r="G875" s="50"/>
      <c r="H875" s="5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8"/>
    </row>
    <row r="876" spans="1:39" ht="15.75" customHeight="1">
      <c r="A876" s="1"/>
      <c r="B876" s="1"/>
      <c r="C876" s="1"/>
      <c r="D876" s="1"/>
      <c r="E876" s="50"/>
      <c r="F876" s="50"/>
      <c r="G876" s="50"/>
      <c r="H876" s="5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8"/>
    </row>
    <row r="877" spans="1:39" ht="15.75" customHeight="1">
      <c r="A877" s="1"/>
      <c r="B877" s="1"/>
      <c r="C877" s="1"/>
      <c r="D877" s="1"/>
      <c r="E877" s="50"/>
      <c r="F877" s="50"/>
      <c r="G877" s="50"/>
      <c r="H877" s="5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8"/>
    </row>
    <row r="878" spans="1:39" ht="15.75" customHeight="1">
      <c r="A878" s="1"/>
      <c r="B878" s="1"/>
      <c r="C878" s="1"/>
      <c r="D878" s="1"/>
      <c r="E878" s="50"/>
      <c r="F878" s="50"/>
      <c r="G878" s="50"/>
      <c r="H878" s="5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8"/>
    </row>
    <row r="879" spans="1:39" ht="15.75" customHeight="1">
      <c r="A879" s="1"/>
      <c r="B879" s="1"/>
      <c r="C879" s="1"/>
      <c r="D879" s="1"/>
      <c r="E879" s="50"/>
      <c r="F879" s="50"/>
      <c r="G879" s="50"/>
      <c r="H879" s="5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8"/>
    </row>
    <row r="880" spans="1:39" ht="15.75" customHeight="1">
      <c r="A880" s="1"/>
      <c r="B880" s="1"/>
      <c r="C880" s="1"/>
      <c r="D880" s="1"/>
      <c r="E880" s="50"/>
      <c r="F880" s="50"/>
      <c r="G880" s="50"/>
      <c r="H880" s="5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8"/>
    </row>
    <row r="881" spans="1:39" ht="15.75" customHeight="1">
      <c r="A881" s="1"/>
      <c r="B881" s="1"/>
      <c r="C881" s="1"/>
      <c r="D881" s="1"/>
      <c r="E881" s="50"/>
      <c r="F881" s="50"/>
      <c r="G881" s="50"/>
      <c r="H881" s="5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8"/>
    </row>
    <row r="882" spans="1:39" ht="15.75" customHeight="1">
      <c r="A882" s="1"/>
      <c r="B882" s="1"/>
      <c r="C882" s="1"/>
      <c r="D882" s="1"/>
      <c r="E882" s="50"/>
      <c r="F882" s="50"/>
      <c r="G882" s="50"/>
      <c r="H882" s="5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8"/>
    </row>
    <row r="883" spans="1:39" ht="15.75" customHeight="1">
      <c r="A883" s="1"/>
      <c r="B883" s="1"/>
      <c r="C883" s="1"/>
      <c r="D883" s="1"/>
      <c r="E883" s="50"/>
      <c r="F883" s="50"/>
      <c r="G883" s="50"/>
      <c r="H883" s="5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8"/>
    </row>
    <row r="884" spans="1:39" ht="15.75" customHeight="1">
      <c r="A884" s="1"/>
      <c r="B884" s="1"/>
      <c r="C884" s="1"/>
      <c r="D884" s="1"/>
      <c r="E884" s="50"/>
      <c r="F884" s="50"/>
      <c r="G884" s="50"/>
      <c r="H884" s="5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8"/>
    </row>
    <row r="885" spans="1:39" ht="15.75" customHeight="1">
      <c r="A885" s="1"/>
      <c r="B885" s="1"/>
      <c r="C885" s="1"/>
      <c r="D885" s="1"/>
      <c r="E885" s="50"/>
      <c r="F885" s="50"/>
      <c r="G885" s="50"/>
      <c r="H885" s="5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8"/>
    </row>
    <row r="886" spans="1:39" ht="15.75" customHeight="1">
      <c r="A886" s="1"/>
      <c r="B886" s="1"/>
      <c r="C886" s="1"/>
      <c r="D886" s="1"/>
      <c r="E886" s="50"/>
      <c r="F886" s="50"/>
      <c r="G886" s="50"/>
      <c r="H886" s="5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8"/>
    </row>
    <row r="887" spans="1:39" ht="15.75" customHeight="1">
      <c r="A887" s="1"/>
      <c r="B887" s="1"/>
      <c r="C887" s="1"/>
      <c r="D887" s="1"/>
      <c r="E887" s="50"/>
      <c r="F887" s="50"/>
      <c r="G887" s="50"/>
      <c r="H887" s="5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8"/>
    </row>
    <row r="888" spans="1:39" ht="15.75" customHeight="1">
      <c r="A888" s="1"/>
      <c r="B888" s="1"/>
      <c r="C888" s="1"/>
      <c r="D888" s="1"/>
      <c r="E888" s="50"/>
      <c r="F888" s="50"/>
      <c r="G888" s="50"/>
      <c r="H888" s="5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8"/>
    </row>
    <row r="889" spans="1:39" ht="15.75" customHeight="1">
      <c r="A889" s="1"/>
      <c r="B889" s="1"/>
      <c r="C889" s="1"/>
      <c r="D889" s="1"/>
      <c r="E889" s="50"/>
      <c r="F889" s="50"/>
      <c r="G889" s="50"/>
      <c r="H889" s="5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8"/>
    </row>
    <row r="890" spans="1:39" ht="15.75" customHeight="1">
      <c r="A890" s="1"/>
      <c r="B890" s="1"/>
      <c r="C890" s="1"/>
      <c r="D890" s="1"/>
      <c r="E890" s="50"/>
      <c r="F890" s="50"/>
      <c r="G890" s="50"/>
      <c r="H890" s="5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8"/>
    </row>
    <row r="891" spans="1:39" ht="15.75" customHeight="1">
      <c r="A891" s="1"/>
      <c r="B891" s="1"/>
      <c r="C891" s="1"/>
      <c r="D891" s="1"/>
      <c r="E891" s="50"/>
      <c r="F891" s="50"/>
      <c r="G891" s="50"/>
      <c r="H891" s="5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8"/>
    </row>
    <row r="892" spans="1:39" ht="15.75" customHeight="1">
      <c r="A892" s="1"/>
      <c r="B892" s="1"/>
      <c r="C892" s="1"/>
      <c r="D892" s="1"/>
      <c r="E892" s="50"/>
      <c r="F892" s="50"/>
      <c r="G892" s="50"/>
      <c r="H892" s="5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8"/>
    </row>
    <row r="893" spans="1:39" ht="15.75" customHeight="1">
      <c r="A893" s="1"/>
      <c r="B893" s="1"/>
      <c r="C893" s="1"/>
      <c r="D893" s="1"/>
      <c r="E893" s="50"/>
      <c r="F893" s="50"/>
      <c r="G893" s="50"/>
      <c r="H893" s="5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8"/>
    </row>
    <row r="894" spans="1:39" ht="15.75" customHeight="1">
      <c r="A894" s="1"/>
      <c r="B894" s="1"/>
      <c r="C894" s="1"/>
      <c r="D894" s="1"/>
      <c r="E894" s="50"/>
      <c r="F894" s="50"/>
      <c r="G894" s="50"/>
      <c r="H894" s="5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8"/>
    </row>
    <row r="895" spans="1:39" ht="15.75" customHeight="1">
      <c r="A895" s="1"/>
      <c r="B895" s="1"/>
      <c r="C895" s="1"/>
      <c r="D895" s="1"/>
      <c r="E895" s="50"/>
      <c r="F895" s="50"/>
      <c r="G895" s="50"/>
      <c r="H895" s="5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8"/>
    </row>
    <row r="896" spans="1:39" ht="15.75" customHeight="1">
      <c r="A896" s="1"/>
      <c r="B896" s="1"/>
      <c r="C896" s="1"/>
      <c r="D896" s="1"/>
      <c r="E896" s="50"/>
      <c r="F896" s="50"/>
      <c r="G896" s="50"/>
      <c r="H896" s="5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8"/>
    </row>
    <row r="897" spans="1:39" ht="15.75" customHeight="1">
      <c r="A897" s="1"/>
      <c r="B897" s="1"/>
      <c r="C897" s="1"/>
      <c r="D897" s="1"/>
      <c r="E897" s="50"/>
      <c r="F897" s="50"/>
      <c r="G897" s="50"/>
      <c r="H897" s="5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8"/>
    </row>
    <row r="898" spans="1:39" ht="15.75" customHeight="1">
      <c r="A898" s="1"/>
      <c r="B898" s="1"/>
      <c r="C898" s="1"/>
      <c r="D898" s="1"/>
      <c r="E898" s="50"/>
      <c r="F898" s="50"/>
      <c r="G898" s="50"/>
      <c r="H898" s="5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8"/>
    </row>
    <row r="899" spans="1:39" ht="15.75" customHeight="1">
      <c r="A899" s="1"/>
      <c r="B899" s="1"/>
      <c r="C899" s="1"/>
      <c r="D899" s="1"/>
      <c r="E899" s="50"/>
      <c r="F899" s="50"/>
      <c r="G899" s="50"/>
      <c r="H899" s="5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8"/>
    </row>
    <row r="900" spans="1:39" ht="15.75" customHeight="1">
      <c r="A900" s="1"/>
      <c r="B900" s="1"/>
      <c r="C900" s="1"/>
      <c r="D900" s="1"/>
      <c r="E900" s="50"/>
      <c r="F900" s="50"/>
      <c r="G900" s="50"/>
      <c r="H900" s="5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8"/>
    </row>
    <row r="901" spans="1:39" ht="15.75" customHeight="1">
      <c r="A901" s="1"/>
      <c r="B901" s="1"/>
      <c r="C901" s="1"/>
      <c r="D901" s="1"/>
      <c r="E901" s="50"/>
      <c r="F901" s="50"/>
      <c r="G901" s="50"/>
      <c r="H901" s="5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8"/>
    </row>
    <row r="902" spans="1:39" ht="15.75" customHeight="1">
      <c r="A902" s="1"/>
      <c r="B902" s="1"/>
      <c r="C902" s="1"/>
      <c r="D902" s="1"/>
      <c r="E902" s="50"/>
      <c r="F902" s="50"/>
      <c r="G902" s="50"/>
      <c r="H902" s="5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8"/>
    </row>
    <row r="903" spans="1:39" ht="15.75" customHeight="1">
      <c r="A903" s="1"/>
      <c r="B903" s="1"/>
      <c r="C903" s="1"/>
      <c r="D903" s="1"/>
      <c r="E903" s="50"/>
      <c r="F903" s="50"/>
      <c r="G903" s="50"/>
      <c r="H903" s="5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8"/>
    </row>
    <row r="904" spans="1:39" ht="15.75" customHeight="1">
      <c r="A904" s="1"/>
      <c r="B904" s="1"/>
      <c r="C904" s="1"/>
      <c r="D904" s="1"/>
      <c r="E904" s="50"/>
      <c r="F904" s="50"/>
      <c r="G904" s="50"/>
      <c r="H904" s="5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8"/>
    </row>
    <row r="905" spans="1:39" ht="15.75" customHeight="1">
      <c r="A905" s="1"/>
      <c r="B905" s="1"/>
      <c r="C905" s="1"/>
      <c r="D905" s="1"/>
      <c r="E905" s="50"/>
      <c r="F905" s="50"/>
      <c r="G905" s="50"/>
      <c r="H905" s="5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8"/>
    </row>
    <row r="906" spans="1:39" ht="15.75" customHeight="1">
      <c r="A906" s="1"/>
      <c r="B906" s="1"/>
      <c r="C906" s="1"/>
      <c r="D906" s="1"/>
      <c r="E906" s="50"/>
      <c r="F906" s="50"/>
      <c r="G906" s="50"/>
      <c r="H906" s="5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8"/>
    </row>
    <row r="907" spans="1:39" ht="15.75" customHeight="1">
      <c r="A907" s="1"/>
      <c r="B907" s="1"/>
      <c r="C907" s="1"/>
      <c r="D907" s="1"/>
      <c r="E907" s="50"/>
      <c r="F907" s="50"/>
      <c r="G907" s="50"/>
      <c r="H907" s="5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8"/>
    </row>
    <row r="908" spans="1:39" ht="15.75" customHeight="1">
      <c r="A908" s="1"/>
      <c r="B908" s="1"/>
      <c r="C908" s="1"/>
      <c r="D908" s="1"/>
      <c r="E908" s="50"/>
      <c r="F908" s="50"/>
      <c r="G908" s="50"/>
      <c r="H908" s="5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8"/>
    </row>
    <row r="909" spans="1:39" ht="15.75" customHeight="1">
      <c r="A909" s="1"/>
      <c r="B909" s="1"/>
      <c r="C909" s="1"/>
      <c r="D909" s="1"/>
      <c r="E909" s="50"/>
      <c r="F909" s="50"/>
      <c r="G909" s="50"/>
      <c r="H909" s="5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8"/>
    </row>
    <row r="910" spans="1:39" ht="15.75" customHeight="1">
      <c r="A910" s="1"/>
      <c r="B910" s="1"/>
      <c r="C910" s="1"/>
      <c r="D910" s="1"/>
      <c r="E910" s="50"/>
      <c r="F910" s="50"/>
      <c r="G910" s="50"/>
      <c r="H910" s="5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8"/>
    </row>
    <row r="911" spans="1:39" ht="15.75" customHeight="1">
      <c r="A911" s="1"/>
      <c r="B911" s="1"/>
      <c r="C911" s="1"/>
      <c r="D911" s="1"/>
      <c r="E911" s="50"/>
      <c r="F911" s="50"/>
      <c r="G911" s="50"/>
      <c r="H911" s="5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8"/>
    </row>
    <row r="912" spans="1:39" ht="15.75" customHeight="1">
      <c r="A912" s="1"/>
      <c r="B912" s="1"/>
      <c r="C912" s="1"/>
      <c r="D912" s="1"/>
      <c r="E912" s="50"/>
      <c r="F912" s="50"/>
      <c r="G912" s="50"/>
      <c r="H912" s="5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8"/>
    </row>
    <row r="913" spans="1:39" ht="15.75" customHeight="1">
      <c r="A913" s="1"/>
      <c r="B913" s="1"/>
      <c r="C913" s="1"/>
      <c r="D913" s="1"/>
      <c r="E913" s="50"/>
      <c r="F913" s="50"/>
      <c r="G913" s="50"/>
      <c r="H913" s="5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8"/>
    </row>
    <row r="914" spans="1:39" ht="15.75" customHeight="1">
      <c r="A914" s="1"/>
      <c r="B914" s="1"/>
      <c r="C914" s="1"/>
      <c r="D914" s="1"/>
      <c r="E914" s="50"/>
      <c r="F914" s="50"/>
      <c r="G914" s="50"/>
      <c r="H914" s="5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8"/>
    </row>
    <row r="915" spans="1:39" ht="15.75" customHeight="1">
      <c r="A915" s="1"/>
      <c r="B915" s="1"/>
      <c r="C915" s="1"/>
      <c r="D915" s="1"/>
      <c r="E915" s="50"/>
      <c r="F915" s="50"/>
      <c r="G915" s="50"/>
      <c r="H915" s="5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8"/>
    </row>
    <row r="916" spans="1:39" ht="15.75" customHeight="1">
      <c r="A916" s="1"/>
      <c r="B916" s="1"/>
      <c r="C916" s="1"/>
      <c r="D916" s="1"/>
      <c r="E916" s="50"/>
      <c r="F916" s="50"/>
      <c r="G916" s="50"/>
      <c r="H916" s="5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8"/>
    </row>
    <row r="917" spans="1:39" ht="15.75" customHeight="1">
      <c r="A917" s="1"/>
      <c r="B917" s="1"/>
      <c r="C917" s="1"/>
      <c r="D917" s="1"/>
      <c r="E917" s="50"/>
      <c r="F917" s="50"/>
      <c r="G917" s="50"/>
      <c r="H917" s="5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8"/>
    </row>
    <row r="918" spans="1:39" ht="15.75" customHeight="1">
      <c r="A918" s="1"/>
      <c r="B918" s="1"/>
      <c r="C918" s="1"/>
      <c r="D918" s="1"/>
      <c r="E918" s="50"/>
      <c r="F918" s="50"/>
      <c r="G918" s="50"/>
      <c r="H918" s="5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8"/>
    </row>
    <row r="919" spans="1:39" ht="15.75" customHeight="1">
      <c r="A919" s="1"/>
      <c r="B919" s="1"/>
      <c r="C919" s="1"/>
      <c r="D919" s="1"/>
      <c r="E919" s="50"/>
      <c r="F919" s="50"/>
      <c r="G919" s="50"/>
      <c r="H919" s="5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8"/>
    </row>
    <row r="920" spans="1:39" ht="15.75" customHeight="1">
      <c r="A920" s="1"/>
      <c r="B920" s="1"/>
      <c r="C920" s="1"/>
      <c r="D920" s="1"/>
      <c r="E920" s="50"/>
      <c r="F920" s="50"/>
      <c r="G920" s="50"/>
      <c r="H920" s="5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8"/>
    </row>
    <row r="921" spans="1:39" ht="15.75" customHeight="1">
      <c r="A921" s="1"/>
      <c r="B921" s="1"/>
      <c r="C921" s="1"/>
      <c r="D921" s="1"/>
      <c r="E921" s="50"/>
      <c r="F921" s="50"/>
      <c r="G921" s="50"/>
      <c r="H921" s="5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8"/>
    </row>
    <row r="922" spans="1:39" ht="15.75" customHeight="1">
      <c r="A922" s="1"/>
      <c r="B922" s="1"/>
      <c r="C922" s="1"/>
      <c r="D922" s="1"/>
      <c r="E922" s="50"/>
      <c r="F922" s="50"/>
      <c r="G922" s="50"/>
      <c r="H922" s="5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8"/>
    </row>
    <row r="923" spans="1:39" ht="15.75" customHeight="1">
      <c r="A923" s="1"/>
      <c r="B923" s="1"/>
      <c r="C923" s="1"/>
      <c r="D923" s="1"/>
      <c r="E923" s="50"/>
      <c r="F923" s="50"/>
      <c r="G923" s="50"/>
      <c r="H923" s="5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8"/>
    </row>
    <row r="924" spans="1:39" ht="15.75" customHeight="1">
      <c r="A924" s="1"/>
      <c r="B924" s="1"/>
      <c r="C924" s="1"/>
      <c r="D924" s="1"/>
      <c r="E924" s="50"/>
      <c r="F924" s="50"/>
      <c r="G924" s="50"/>
      <c r="H924" s="5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8"/>
    </row>
    <row r="925" spans="1:39" ht="15.75" customHeight="1">
      <c r="A925" s="1"/>
      <c r="B925" s="1"/>
      <c r="C925" s="1"/>
      <c r="D925" s="1"/>
      <c r="E925" s="50"/>
      <c r="F925" s="50"/>
      <c r="G925" s="50"/>
      <c r="H925" s="5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8"/>
    </row>
    <row r="926" spans="1:39" ht="15.75" customHeight="1">
      <c r="A926" s="1"/>
      <c r="B926" s="1"/>
      <c r="C926" s="1"/>
      <c r="D926" s="1"/>
      <c r="E926" s="50"/>
      <c r="F926" s="50"/>
      <c r="G926" s="50"/>
      <c r="H926" s="5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8"/>
    </row>
    <row r="927" spans="1:39" ht="15.75" customHeight="1">
      <c r="A927" s="1"/>
      <c r="B927" s="1"/>
      <c r="C927" s="1"/>
      <c r="D927" s="1"/>
      <c r="E927" s="50"/>
      <c r="F927" s="50"/>
      <c r="G927" s="50"/>
      <c r="H927" s="5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8"/>
    </row>
    <row r="928" spans="1:39" ht="15.75" customHeight="1">
      <c r="A928" s="1"/>
      <c r="B928" s="1"/>
      <c r="C928" s="1"/>
      <c r="D928" s="1"/>
      <c r="E928" s="50"/>
      <c r="F928" s="50"/>
      <c r="G928" s="50"/>
      <c r="H928" s="5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8"/>
    </row>
    <row r="929" spans="1:39" ht="15.75" customHeight="1">
      <c r="A929" s="1"/>
      <c r="B929" s="1"/>
      <c r="C929" s="1"/>
      <c r="D929" s="1"/>
      <c r="E929" s="50"/>
      <c r="F929" s="50"/>
      <c r="G929" s="50"/>
      <c r="H929" s="5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8"/>
    </row>
    <row r="930" spans="1:39" ht="15.75" customHeight="1">
      <c r="A930" s="1"/>
      <c r="B930" s="1"/>
      <c r="C930" s="1"/>
      <c r="D930" s="1"/>
      <c r="E930" s="50"/>
      <c r="F930" s="50"/>
      <c r="G930" s="50"/>
      <c r="H930" s="5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8"/>
    </row>
    <row r="931" spans="1:39" ht="15.75" customHeight="1">
      <c r="A931" s="1"/>
      <c r="B931" s="1"/>
      <c r="C931" s="1"/>
      <c r="D931" s="1"/>
      <c r="E931" s="50"/>
      <c r="F931" s="50"/>
      <c r="G931" s="50"/>
      <c r="H931" s="5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8"/>
    </row>
    <row r="932" spans="1:39" ht="15.75" customHeight="1">
      <c r="A932" s="1"/>
      <c r="B932" s="1"/>
      <c r="C932" s="1"/>
      <c r="D932" s="1"/>
      <c r="E932" s="50"/>
      <c r="F932" s="50"/>
      <c r="G932" s="50"/>
      <c r="H932" s="5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8"/>
    </row>
    <row r="933" spans="1:39" ht="15.75" customHeight="1">
      <c r="A933" s="1"/>
      <c r="B933" s="1"/>
      <c r="C933" s="1"/>
      <c r="D933" s="1"/>
      <c r="E933" s="50"/>
      <c r="F933" s="50"/>
      <c r="G933" s="50"/>
      <c r="H933" s="5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8"/>
    </row>
    <row r="934" spans="1:39" ht="15.75" customHeight="1">
      <c r="A934" s="1"/>
      <c r="B934" s="1"/>
      <c r="C934" s="1"/>
      <c r="D934" s="1"/>
      <c r="E934" s="50"/>
      <c r="F934" s="50"/>
      <c r="G934" s="50"/>
      <c r="H934" s="5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8"/>
    </row>
    <row r="935" spans="1:39" ht="15.75" customHeight="1">
      <c r="A935" s="1"/>
      <c r="B935" s="1"/>
      <c r="C935" s="1"/>
      <c r="D935" s="1"/>
      <c r="E935" s="50"/>
      <c r="F935" s="50"/>
      <c r="G935" s="50"/>
      <c r="H935" s="5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8"/>
    </row>
    <row r="936" spans="1:39" ht="15.75" customHeight="1">
      <c r="A936" s="1"/>
      <c r="B936" s="1"/>
      <c r="C936" s="1"/>
      <c r="D936" s="1"/>
      <c r="E936" s="50"/>
      <c r="F936" s="50"/>
      <c r="G936" s="50"/>
      <c r="H936" s="5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8"/>
    </row>
    <row r="937" spans="1:39" ht="15.75" customHeight="1">
      <c r="A937" s="1"/>
      <c r="B937" s="1"/>
      <c r="C937" s="1"/>
      <c r="D937" s="1"/>
      <c r="E937" s="50"/>
      <c r="F937" s="50"/>
      <c r="G937" s="50"/>
      <c r="H937" s="5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8"/>
    </row>
    <row r="938" spans="1:39" ht="15.75" customHeight="1">
      <c r="A938" s="1"/>
      <c r="B938" s="1"/>
      <c r="C938" s="1"/>
      <c r="D938" s="1"/>
      <c r="E938" s="50"/>
      <c r="F938" s="50"/>
      <c r="G938" s="50"/>
      <c r="H938" s="5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8"/>
    </row>
    <row r="939" spans="1:39" ht="15.75" customHeight="1">
      <c r="A939" s="1"/>
      <c r="B939" s="1"/>
      <c r="C939" s="1"/>
      <c r="D939" s="1"/>
      <c r="E939" s="50"/>
      <c r="F939" s="50"/>
      <c r="G939" s="50"/>
      <c r="H939" s="5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8"/>
    </row>
    <row r="940" spans="1:39" ht="15.75" customHeight="1">
      <c r="A940" s="1"/>
      <c r="B940" s="1"/>
      <c r="C940" s="1"/>
      <c r="D940" s="1"/>
      <c r="E940" s="50"/>
      <c r="F940" s="50"/>
      <c r="G940" s="50"/>
      <c r="H940" s="5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8"/>
    </row>
    <row r="941" spans="1:39" ht="15.75" customHeight="1">
      <c r="A941" s="1"/>
      <c r="B941" s="1"/>
      <c r="C941" s="1"/>
      <c r="D941" s="1"/>
      <c r="E941" s="50"/>
      <c r="F941" s="50"/>
      <c r="G941" s="50"/>
      <c r="H941" s="5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8"/>
    </row>
    <row r="942" spans="1:39" ht="15.75" customHeight="1">
      <c r="A942" s="1"/>
      <c r="B942" s="1"/>
      <c r="C942" s="1"/>
      <c r="D942" s="1"/>
      <c r="E942" s="50"/>
      <c r="F942" s="50"/>
      <c r="G942" s="50"/>
      <c r="H942" s="5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8"/>
    </row>
    <row r="943" spans="1:39" ht="15.75" customHeight="1">
      <c r="A943" s="1"/>
      <c r="B943" s="1"/>
      <c r="C943" s="1"/>
      <c r="D943" s="1"/>
      <c r="E943" s="50"/>
      <c r="F943" s="50"/>
      <c r="G943" s="50"/>
      <c r="H943" s="5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8"/>
    </row>
    <row r="944" spans="1:39" ht="15.75" customHeight="1">
      <c r="A944" s="1"/>
      <c r="B944" s="1"/>
      <c r="C944" s="1"/>
      <c r="D944" s="1"/>
      <c r="E944" s="50"/>
      <c r="F944" s="50"/>
      <c r="G944" s="50"/>
      <c r="H944" s="5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8"/>
    </row>
    <row r="945" spans="1:39" ht="15.75" customHeight="1">
      <c r="A945" s="1"/>
      <c r="B945" s="1"/>
      <c r="C945" s="1"/>
      <c r="D945" s="1"/>
      <c r="E945" s="50"/>
      <c r="F945" s="50"/>
      <c r="G945" s="50"/>
      <c r="H945" s="5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8"/>
    </row>
    <row r="946" spans="1:39" ht="15.75" customHeight="1">
      <c r="A946" s="1"/>
      <c r="B946" s="1"/>
      <c r="C946" s="1"/>
      <c r="D946" s="1"/>
      <c r="E946" s="50"/>
      <c r="F946" s="50"/>
      <c r="G946" s="50"/>
      <c r="H946" s="5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8"/>
    </row>
    <row r="947" spans="1:39" ht="15.75" customHeight="1">
      <c r="A947" s="1"/>
      <c r="B947" s="1"/>
      <c r="C947" s="1"/>
      <c r="D947" s="1"/>
      <c r="E947" s="50"/>
      <c r="F947" s="50"/>
      <c r="G947" s="50"/>
      <c r="H947" s="5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8"/>
    </row>
    <row r="948" spans="1:39" ht="15.75" customHeight="1">
      <c r="A948" s="1"/>
      <c r="B948" s="1"/>
      <c r="C948" s="1"/>
      <c r="D948" s="1"/>
      <c r="E948" s="50"/>
      <c r="F948" s="50"/>
      <c r="G948" s="50"/>
      <c r="H948" s="5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8"/>
    </row>
    <row r="949" spans="1:39" ht="15.75" customHeight="1">
      <c r="A949" s="1"/>
      <c r="B949" s="1"/>
      <c r="C949" s="1"/>
      <c r="D949" s="1"/>
      <c r="E949" s="50"/>
      <c r="F949" s="50"/>
      <c r="G949" s="50"/>
      <c r="H949" s="5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8"/>
    </row>
    <row r="950" spans="1:39" ht="15.75" customHeight="1">
      <c r="A950" s="1"/>
      <c r="B950" s="1"/>
      <c r="C950" s="1"/>
      <c r="D950" s="1"/>
      <c r="E950" s="50"/>
      <c r="F950" s="50"/>
      <c r="G950" s="50"/>
      <c r="H950" s="5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8"/>
    </row>
    <row r="951" spans="1:39" ht="15.75" customHeight="1">
      <c r="A951" s="1"/>
      <c r="B951" s="1"/>
      <c r="C951" s="1"/>
      <c r="D951" s="1"/>
      <c r="E951" s="50"/>
      <c r="F951" s="50"/>
      <c r="G951" s="50"/>
      <c r="H951" s="5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8"/>
    </row>
    <row r="952" spans="1:39" ht="15.75" customHeight="1">
      <c r="A952" s="1"/>
      <c r="B952" s="1"/>
      <c r="C952" s="1"/>
      <c r="D952" s="1"/>
      <c r="E952" s="50"/>
      <c r="F952" s="50"/>
      <c r="G952" s="50"/>
      <c r="H952" s="5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8"/>
    </row>
    <row r="953" spans="1:39" ht="15.75" customHeight="1">
      <c r="A953" s="1"/>
      <c r="B953" s="1"/>
      <c r="C953" s="1"/>
      <c r="D953" s="1"/>
      <c r="E953" s="50"/>
      <c r="F953" s="50"/>
      <c r="G953" s="50"/>
      <c r="H953" s="5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8"/>
    </row>
    <row r="954" spans="1:39" ht="15.75" customHeight="1">
      <c r="A954" s="1"/>
      <c r="B954" s="1"/>
      <c r="C954" s="1"/>
      <c r="D954" s="1"/>
      <c r="E954" s="50"/>
      <c r="F954" s="50"/>
      <c r="G954" s="50"/>
      <c r="H954" s="5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8"/>
    </row>
    <row r="955" spans="1:39" ht="15.75" customHeight="1">
      <c r="A955" s="1"/>
      <c r="B955" s="1"/>
      <c r="C955" s="1"/>
      <c r="D955" s="1"/>
      <c r="E955" s="50"/>
      <c r="F955" s="50"/>
      <c r="G955" s="50"/>
      <c r="H955" s="5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8"/>
    </row>
    <row r="956" spans="1:39" ht="15.75" customHeight="1">
      <c r="A956" s="1"/>
      <c r="B956" s="1"/>
      <c r="C956" s="1"/>
      <c r="D956" s="1"/>
      <c r="E956" s="50"/>
      <c r="F956" s="50"/>
      <c r="G956" s="50"/>
      <c r="H956" s="5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8"/>
    </row>
    <row r="957" spans="1:39" ht="15.75" customHeight="1">
      <c r="A957" s="1"/>
      <c r="B957" s="1"/>
      <c r="C957" s="1"/>
      <c r="D957" s="1"/>
      <c r="E957" s="50"/>
      <c r="F957" s="50"/>
      <c r="G957" s="50"/>
      <c r="H957" s="5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8"/>
    </row>
    <row r="958" spans="1:39" ht="15.75" customHeight="1">
      <c r="A958" s="1"/>
      <c r="B958" s="1"/>
      <c r="C958" s="1"/>
      <c r="D958" s="1"/>
      <c r="E958" s="50"/>
      <c r="F958" s="50"/>
      <c r="G958" s="50"/>
      <c r="H958" s="5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8"/>
    </row>
    <row r="959" spans="1:39" ht="15.75" customHeight="1">
      <c r="A959" s="1"/>
      <c r="B959" s="1"/>
      <c r="C959" s="1"/>
      <c r="D959" s="1"/>
      <c r="E959" s="50"/>
      <c r="F959" s="50"/>
      <c r="G959" s="50"/>
      <c r="H959" s="5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8"/>
    </row>
    <row r="960" spans="1:39" ht="15.75" customHeight="1">
      <c r="A960" s="1"/>
      <c r="B960" s="1"/>
      <c r="C960" s="1"/>
      <c r="D960" s="1"/>
      <c r="E960" s="50"/>
      <c r="F960" s="50"/>
      <c r="G960" s="50"/>
      <c r="H960" s="5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8"/>
    </row>
    <row r="961" spans="1:39" ht="15.75" customHeight="1">
      <c r="A961" s="1"/>
      <c r="B961" s="1"/>
      <c r="C961" s="1"/>
      <c r="D961" s="1"/>
      <c r="E961" s="50"/>
      <c r="F961" s="50"/>
      <c r="G961" s="50"/>
      <c r="H961" s="5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8"/>
    </row>
    <row r="962" spans="1:39" ht="15.75" customHeight="1">
      <c r="A962" s="1"/>
      <c r="B962" s="1"/>
      <c r="C962" s="1"/>
      <c r="D962" s="1"/>
      <c r="E962" s="50"/>
      <c r="F962" s="50"/>
      <c r="G962" s="50"/>
      <c r="H962" s="5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8"/>
    </row>
    <row r="963" spans="1:39" ht="15.75" customHeight="1">
      <c r="A963" s="1"/>
      <c r="B963" s="1"/>
      <c r="C963" s="1"/>
      <c r="D963" s="1"/>
      <c r="E963" s="50"/>
      <c r="F963" s="50"/>
      <c r="G963" s="50"/>
      <c r="H963" s="5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8"/>
    </row>
    <row r="964" spans="1:39" ht="15.75" customHeight="1">
      <c r="A964" s="1"/>
      <c r="B964" s="1"/>
      <c r="C964" s="1"/>
      <c r="D964" s="1"/>
      <c r="E964" s="50"/>
      <c r="F964" s="50"/>
      <c r="G964" s="50"/>
      <c r="H964" s="5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8"/>
    </row>
    <row r="965" spans="1:39" ht="15.75" customHeight="1">
      <c r="A965" s="1"/>
      <c r="B965" s="1"/>
      <c r="C965" s="1"/>
      <c r="D965" s="1"/>
      <c r="E965" s="50"/>
      <c r="F965" s="50"/>
      <c r="G965" s="50"/>
      <c r="H965" s="5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8"/>
    </row>
    <row r="966" spans="1:39" ht="15.75" customHeight="1">
      <c r="A966" s="1"/>
      <c r="B966" s="1"/>
      <c r="C966" s="1"/>
      <c r="D966" s="1"/>
      <c r="E966" s="50"/>
      <c r="F966" s="50"/>
      <c r="G966" s="50"/>
      <c r="H966" s="5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8"/>
    </row>
    <row r="967" spans="1:39" ht="15.75" customHeight="1">
      <c r="A967" s="1"/>
      <c r="B967" s="1"/>
      <c r="C967" s="1"/>
      <c r="D967" s="1"/>
      <c r="E967" s="50"/>
      <c r="F967" s="50"/>
      <c r="G967" s="50"/>
      <c r="H967" s="5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8"/>
    </row>
    <row r="968" spans="1:39" ht="15.75" customHeight="1">
      <c r="A968" s="1"/>
      <c r="B968" s="1"/>
      <c r="C968" s="1"/>
      <c r="D968" s="1"/>
      <c r="E968" s="50"/>
      <c r="F968" s="50"/>
      <c r="G968" s="50"/>
      <c r="H968" s="5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8"/>
    </row>
    <row r="969" spans="1:39" ht="15.75" customHeight="1">
      <c r="A969" s="1"/>
      <c r="B969" s="1"/>
      <c r="C969" s="1"/>
      <c r="D969" s="1"/>
      <c r="E969" s="50"/>
      <c r="F969" s="50"/>
      <c r="G969" s="50"/>
      <c r="H969" s="5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8"/>
    </row>
    <row r="970" spans="1:39" ht="15.75" customHeight="1">
      <c r="A970" s="1"/>
      <c r="B970" s="1"/>
      <c r="C970" s="1"/>
      <c r="D970" s="1"/>
      <c r="E970" s="50"/>
      <c r="F970" s="50"/>
      <c r="G970" s="50"/>
      <c r="H970" s="5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8"/>
    </row>
    <row r="971" spans="1:39" ht="15.75" customHeight="1">
      <c r="A971" s="1"/>
      <c r="B971" s="1"/>
      <c r="C971" s="1"/>
      <c r="D971" s="1"/>
      <c r="E971" s="50"/>
      <c r="F971" s="50"/>
      <c r="G971" s="50"/>
      <c r="H971" s="5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8"/>
    </row>
    <row r="972" spans="1:39" ht="15.75" customHeight="1">
      <c r="A972" s="1"/>
      <c r="B972" s="1"/>
      <c r="C972" s="1"/>
      <c r="D972" s="1"/>
      <c r="E972" s="50"/>
      <c r="F972" s="50"/>
      <c r="G972" s="50"/>
      <c r="H972" s="5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8"/>
    </row>
    <row r="973" spans="1:39" ht="15.75" customHeight="1">
      <c r="A973" s="1"/>
      <c r="B973" s="1"/>
      <c r="C973" s="1"/>
      <c r="D973" s="1"/>
      <c r="E973" s="50"/>
      <c r="F973" s="50"/>
      <c r="G973" s="50"/>
      <c r="H973" s="5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8"/>
    </row>
    <row r="974" spans="1:39" ht="15.75" customHeight="1">
      <c r="A974" s="1"/>
      <c r="B974" s="1"/>
      <c r="C974" s="1"/>
      <c r="D974" s="1"/>
      <c r="E974" s="50"/>
      <c r="F974" s="50"/>
      <c r="G974" s="50"/>
      <c r="H974" s="5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8"/>
    </row>
    <row r="975" spans="1:39" ht="15.75" customHeight="1">
      <c r="A975" s="1"/>
      <c r="B975" s="1"/>
      <c r="C975" s="1"/>
      <c r="D975" s="1"/>
      <c r="E975" s="50"/>
      <c r="F975" s="50"/>
      <c r="G975" s="50"/>
      <c r="H975" s="5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8"/>
    </row>
    <row r="976" spans="1:39" ht="15.75" customHeight="1">
      <c r="A976" s="1"/>
      <c r="B976" s="1"/>
      <c r="C976" s="1"/>
      <c r="D976" s="1"/>
      <c r="E976" s="50"/>
      <c r="F976" s="50"/>
      <c r="G976" s="50"/>
      <c r="H976" s="5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8"/>
    </row>
    <row r="977" spans="1:39" ht="15.75" customHeight="1">
      <c r="A977" s="1"/>
      <c r="B977" s="1"/>
      <c r="C977" s="1"/>
      <c r="D977" s="1"/>
      <c r="E977" s="50"/>
      <c r="F977" s="50"/>
      <c r="G977" s="50"/>
      <c r="H977" s="5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8"/>
    </row>
    <row r="978" spans="1:39" ht="15.75" customHeight="1">
      <c r="A978" s="1"/>
      <c r="B978" s="1"/>
      <c r="C978" s="1"/>
      <c r="D978" s="1"/>
      <c r="E978" s="50"/>
      <c r="F978" s="50"/>
      <c r="G978" s="50"/>
      <c r="H978" s="5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8"/>
    </row>
    <row r="979" spans="1:39" ht="15.75" customHeight="1">
      <c r="A979" s="1"/>
      <c r="B979" s="1"/>
      <c r="C979" s="1"/>
      <c r="D979" s="1"/>
      <c r="E979" s="50"/>
      <c r="F979" s="50"/>
      <c r="G979" s="50"/>
      <c r="H979" s="5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8"/>
    </row>
    <row r="980" spans="1:39" ht="15.75" customHeight="1">
      <c r="A980" s="1"/>
      <c r="B980" s="1"/>
      <c r="C980" s="1"/>
      <c r="D980" s="1"/>
      <c r="E980" s="50"/>
      <c r="F980" s="50"/>
      <c r="G980" s="50"/>
      <c r="H980" s="5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8"/>
    </row>
    <row r="981" spans="1:39" ht="15.75" customHeight="1">
      <c r="A981" s="1"/>
      <c r="B981" s="1"/>
      <c r="C981" s="1"/>
      <c r="D981" s="1"/>
      <c r="E981" s="50"/>
      <c r="F981" s="50"/>
      <c r="G981" s="50"/>
      <c r="H981" s="5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8"/>
    </row>
    <row r="982" spans="1:39" ht="15.75" customHeight="1">
      <c r="A982" s="1"/>
      <c r="B982" s="1"/>
      <c r="C982" s="1"/>
      <c r="D982" s="1"/>
      <c r="E982" s="50"/>
      <c r="F982" s="50"/>
      <c r="G982" s="50"/>
      <c r="H982" s="5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8"/>
    </row>
    <row r="983" spans="1:39" ht="15.75" customHeight="1">
      <c r="A983" s="1"/>
      <c r="B983" s="1"/>
      <c r="C983" s="1"/>
      <c r="D983" s="1"/>
      <c r="E983" s="50"/>
      <c r="F983" s="50"/>
      <c r="G983" s="50"/>
      <c r="H983" s="5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8"/>
    </row>
    <row r="984" spans="1:39" ht="15.75" customHeight="1">
      <c r="A984" s="1"/>
      <c r="B984" s="1"/>
      <c r="C984" s="1"/>
      <c r="D984" s="1"/>
      <c r="E984" s="50"/>
      <c r="F984" s="50"/>
      <c r="G984" s="50"/>
      <c r="H984" s="5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8"/>
    </row>
    <row r="985" spans="1:39" ht="15.75" customHeight="1">
      <c r="A985" s="1"/>
      <c r="B985" s="1"/>
      <c r="C985" s="1"/>
      <c r="D985" s="1"/>
      <c r="E985" s="50"/>
      <c r="F985" s="50"/>
      <c r="G985" s="50"/>
      <c r="H985" s="5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8"/>
    </row>
    <row r="986" spans="1:39" ht="15.75" customHeight="1">
      <c r="A986" s="1"/>
      <c r="B986" s="1"/>
      <c r="C986" s="1"/>
      <c r="D986" s="1"/>
      <c r="E986" s="50"/>
      <c r="F986" s="50"/>
      <c r="G986" s="50"/>
      <c r="H986" s="5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8"/>
    </row>
    <row r="987" spans="1:39" ht="15.75" customHeight="1">
      <c r="A987" s="1"/>
      <c r="B987" s="1"/>
      <c r="C987" s="1"/>
      <c r="D987" s="1"/>
      <c r="E987" s="50"/>
      <c r="F987" s="50"/>
      <c r="G987" s="50"/>
      <c r="H987" s="5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8"/>
    </row>
    <row r="988" spans="1:39" ht="15.75" customHeight="1">
      <c r="A988" s="1"/>
      <c r="B988" s="1"/>
      <c r="C988" s="1"/>
      <c r="D988" s="1"/>
      <c r="E988" s="50"/>
      <c r="F988" s="50"/>
      <c r="G988" s="50"/>
      <c r="H988" s="5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8"/>
    </row>
    <row r="989" spans="1:39" ht="15.75" customHeight="1">
      <c r="A989" s="1"/>
      <c r="B989" s="1"/>
      <c r="C989" s="1"/>
      <c r="D989" s="1"/>
      <c r="E989" s="50"/>
      <c r="F989" s="50"/>
      <c r="G989" s="50"/>
      <c r="H989" s="5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8"/>
    </row>
    <row r="990" spans="1:39" ht="15.75" customHeight="1">
      <c r="A990" s="1"/>
      <c r="B990" s="1"/>
      <c r="C990" s="1"/>
      <c r="D990" s="1"/>
      <c r="E990" s="50"/>
      <c r="F990" s="50"/>
      <c r="G990" s="50"/>
      <c r="H990" s="5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8"/>
    </row>
    <row r="991" spans="1:39" ht="15.75" customHeight="1">
      <c r="A991" s="1"/>
      <c r="B991" s="1"/>
      <c r="C991" s="1"/>
      <c r="D991" s="1"/>
      <c r="E991" s="50"/>
      <c r="F991" s="50"/>
      <c r="G991" s="50"/>
      <c r="H991" s="5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8"/>
    </row>
    <row r="992" spans="1:39" ht="15.75" customHeight="1">
      <c r="A992" s="1"/>
      <c r="B992" s="1"/>
      <c r="C992" s="1"/>
      <c r="D992" s="1"/>
      <c r="E992" s="50"/>
      <c r="F992" s="50"/>
      <c r="G992" s="50"/>
      <c r="H992" s="5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8"/>
    </row>
    <row r="993" spans="1:39" ht="15.75" customHeight="1">
      <c r="A993" s="1"/>
      <c r="B993" s="1"/>
      <c r="C993" s="1"/>
      <c r="D993" s="1"/>
      <c r="E993" s="50"/>
      <c r="F993" s="50"/>
      <c r="G993" s="50"/>
      <c r="H993" s="5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8"/>
    </row>
    <row r="994" spans="1:39" ht="15.75" customHeight="1">
      <c r="A994" s="1"/>
      <c r="B994" s="1"/>
      <c r="C994" s="1"/>
      <c r="D994" s="1"/>
      <c r="E994" s="50"/>
      <c r="F994" s="50"/>
      <c r="G994" s="50"/>
      <c r="H994" s="5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8"/>
    </row>
    <row r="995" spans="1:39" ht="15.75" customHeight="1">
      <c r="A995" s="1"/>
      <c r="B995" s="1"/>
      <c r="C995" s="1"/>
      <c r="D995" s="1"/>
      <c r="E995" s="50"/>
      <c r="F995" s="50"/>
      <c r="G995" s="50"/>
      <c r="H995" s="5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8"/>
    </row>
    <row r="996" spans="1:39" ht="15.75" customHeight="1">
      <c r="A996" s="1"/>
      <c r="B996" s="1"/>
      <c r="C996" s="1"/>
      <c r="D996" s="1"/>
      <c r="E996" s="50"/>
      <c r="F996" s="50"/>
      <c r="G996" s="50"/>
      <c r="H996" s="5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8"/>
    </row>
    <row r="997" spans="1:39" ht="15.75" customHeight="1">
      <c r="A997" s="1"/>
      <c r="B997" s="1"/>
      <c r="C997" s="1"/>
      <c r="D997" s="1"/>
      <c r="E997" s="50"/>
      <c r="F997" s="50"/>
      <c r="G997" s="50"/>
      <c r="H997" s="5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8"/>
    </row>
    <row r="998" spans="1:39" ht="15.75" customHeight="1">
      <c r="A998" s="1"/>
      <c r="B998" s="1"/>
      <c r="C998" s="1"/>
      <c r="D998" s="1"/>
      <c r="E998" s="50"/>
      <c r="F998" s="50"/>
      <c r="G998" s="50"/>
      <c r="H998" s="5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8"/>
    </row>
    <row r="999" spans="1:39" ht="15.75" customHeight="1">
      <c r="A999" s="1"/>
      <c r="B999" s="1"/>
      <c r="C999" s="1"/>
      <c r="D999" s="1"/>
      <c r="E999" s="50"/>
      <c r="F999" s="50"/>
      <c r="G999" s="50"/>
      <c r="H999" s="5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8"/>
    </row>
    <row r="1000" spans="1:39" ht="15.75" customHeight="1">
      <c r="A1000" s="1"/>
      <c r="B1000" s="1"/>
      <c r="C1000" s="1"/>
      <c r="D1000" s="1"/>
      <c r="E1000" s="50"/>
      <c r="F1000" s="50"/>
      <c r="G1000" s="50"/>
      <c r="H1000" s="5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8"/>
    </row>
    <row r="1001" spans="1:39" ht="15.75" customHeight="1">
      <c r="A1001" s="1"/>
      <c r="B1001" s="1"/>
      <c r="C1001" s="1"/>
      <c r="D1001" s="1"/>
      <c r="E1001" s="50"/>
      <c r="F1001" s="50"/>
      <c r="G1001" s="50"/>
      <c r="H1001" s="5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8"/>
    </row>
    <row r="1002" spans="1:39" ht="15.75" customHeight="1">
      <c r="A1002" s="1"/>
      <c r="B1002" s="1"/>
      <c r="C1002" s="1"/>
      <c r="D1002" s="1"/>
      <c r="E1002" s="50"/>
      <c r="F1002" s="50"/>
      <c r="G1002" s="50"/>
      <c r="H1002" s="5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8"/>
    </row>
    <row r="1003" spans="1:39" ht="15.75" customHeight="1">
      <c r="A1003" s="1"/>
      <c r="B1003" s="1"/>
      <c r="C1003" s="1"/>
      <c r="D1003" s="1"/>
      <c r="E1003" s="50"/>
      <c r="F1003" s="50"/>
      <c r="G1003" s="50"/>
      <c r="H1003" s="5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8"/>
    </row>
    <row r="1004" spans="1:39" ht="15.75" customHeight="1">
      <c r="A1004" s="1"/>
      <c r="B1004" s="1"/>
      <c r="C1004" s="1"/>
      <c r="D1004" s="1"/>
      <c r="E1004" s="50"/>
      <c r="F1004" s="50"/>
      <c r="G1004" s="50"/>
      <c r="H1004" s="5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8"/>
    </row>
    <row r="1005" spans="1:39" ht="15.75" customHeight="1">
      <c r="A1005" s="1"/>
      <c r="B1005" s="1"/>
      <c r="C1005" s="1"/>
      <c r="D1005" s="1"/>
      <c r="E1005" s="50"/>
      <c r="F1005" s="50"/>
      <c r="G1005" s="50"/>
      <c r="H1005" s="5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8"/>
    </row>
    <row r="1006" spans="1:39" ht="15.75" customHeight="1">
      <c r="A1006" s="1"/>
      <c r="B1006" s="1"/>
      <c r="C1006" s="1"/>
      <c r="D1006" s="1"/>
      <c r="E1006" s="50"/>
      <c r="F1006" s="50"/>
      <c r="G1006" s="50"/>
      <c r="H1006" s="5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8"/>
    </row>
    <row r="1007" spans="1:39" ht="15.75" customHeight="1">
      <c r="A1007" s="1"/>
      <c r="B1007" s="1"/>
      <c r="C1007" s="1"/>
      <c r="D1007" s="1"/>
      <c r="E1007" s="50"/>
      <c r="F1007" s="50"/>
      <c r="G1007" s="50"/>
      <c r="H1007" s="5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8"/>
    </row>
    <row r="1008" spans="1:39" ht="15.75" customHeight="1">
      <c r="A1008" s="1"/>
      <c r="B1008" s="1"/>
      <c r="C1008" s="1"/>
      <c r="D1008" s="1"/>
      <c r="E1008" s="50"/>
      <c r="F1008" s="50"/>
      <c r="G1008" s="50"/>
      <c r="H1008" s="5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8"/>
    </row>
    <row r="1009" spans="1:39" ht="15.75" customHeight="1">
      <c r="A1009" s="1"/>
      <c r="B1009" s="1"/>
      <c r="C1009" s="1"/>
      <c r="D1009" s="1"/>
      <c r="E1009" s="50"/>
      <c r="F1009" s="50"/>
      <c r="G1009" s="50"/>
      <c r="H1009" s="5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8"/>
    </row>
    <row r="1010" spans="1:39" ht="15.75" customHeight="1">
      <c r="A1010" s="1"/>
      <c r="B1010" s="1"/>
      <c r="C1010" s="1"/>
      <c r="D1010" s="1"/>
      <c r="E1010" s="50"/>
      <c r="F1010" s="50"/>
      <c r="G1010" s="50"/>
      <c r="H1010" s="5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8"/>
    </row>
    <row r="1011" spans="1:39" ht="15.75" customHeight="1">
      <c r="A1011" s="1"/>
      <c r="B1011" s="1"/>
      <c r="C1011" s="1"/>
      <c r="D1011" s="1"/>
      <c r="E1011" s="50"/>
      <c r="F1011" s="50"/>
      <c r="G1011" s="50"/>
      <c r="H1011" s="5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8"/>
    </row>
    <row r="1012" spans="1:39" ht="15.75" customHeight="1">
      <c r="A1012" s="1"/>
      <c r="B1012" s="1"/>
      <c r="C1012" s="1"/>
      <c r="D1012" s="1"/>
      <c r="E1012" s="50"/>
      <c r="F1012" s="50"/>
      <c r="G1012" s="50"/>
      <c r="H1012" s="5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8"/>
    </row>
    <row r="1013" spans="1:39" ht="15.75" customHeight="1">
      <c r="A1013" s="1"/>
      <c r="B1013" s="1"/>
      <c r="C1013" s="1"/>
      <c r="D1013" s="1"/>
      <c r="E1013" s="50"/>
      <c r="F1013" s="50"/>
      <c r="G1013" s="50"/>
      <c r="H1013" s="5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8"/>
    </row>
    <row r="1014" spans="1:39" ht="15.75" customHeight="1">
      <c r="A1014" s="1"/>
      <c r="B1014" s="1"/>
      <c r="C1014" s="1"/>
      <c r="D1014" s="1"/>
      <c r="E1014" s="50"/>
      <c r="F1014" s="50"/>
      <c r="G1014" s="50"/>
      <c r="H1014" s="5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8"/>
    </row>
    <row r="1015" spans="1:39" ht="15.75" customHeight="1">
      <c r="A1015" s="1"/>
      <c r="B1015" s="1"/>
      <c r="C1015" s="1"/>
      <c r="D1015" s="1"/>
      <c r="E1015" s="50"/>
      <c r="F1015" s="50"/>
      <c r="G1015" s="50"/>
      <c r="H1015" s="5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8"/>
    </row>
    <row r="1016" spans="1:39" ht="15.75" customHeight="1">
      <c r="A1016" s="1"/>
      <c r="B1016" s="1"/>
      <c r="C1016" s="1"/>
      <c r="D1016" s="1"/>
      <c r="E1016" s="50"/>
      <c r="F1016" s="50"/>
      <c r="G1016" s="50"/>
      <c r="H1016" s="5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8"/>
    </row>
    <row r="1017" spans="1:39" ht="15.75" customHeight="1">
      <c r="A1017" s="1"/>
      <c r="B1017" s="1"/>
      <c r="C1017" s="1"/>
      <c r="D1017" s="1"/>
      <c r="E1017" s="50"/>
      <c r="F1017" s="50"/>
      <c r="G1017" s="50"/>
      <c r="H1017" s="5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8"/>
    </row>
    <row r="1018" spans="1:39" ht="15.75" customHeight="1">
      <c r="A1018" s="1"/>
      <c r="B1018" s="1"/>
      <c r="C1018" s="1"/>
      <c r="D1018" s="1"/>
      <c r="E1018" s="50"/>
      <c r="F1018" s="50"/>
      <c r="G1018" s="50"/>
      <c r="H1018" s="5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8"/>
    </row>
    <row r="1019" spans="1:39" ht="15.75" customHeight="1">
      <c r="A1019" s="1"/>
      <c r="B1019" s="1"/>
      <c r="C1019" s="1"/>
      <c r="D1019" s="1"/>
      <c r="E1019" s="50"/>
      <c r="F1019" s="50"/>
      <c r="G1019" s="50"/>
      <c r="H1019" s="5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8"/>
    </row>
    <row r="1020" spans="1:39" ht="15.75" customHeight="1">
      <c r="A1020" s="1"/>
      <c r="B1020" s="1"/>
      <c r="C1020" s="1"/>
      <c r="D1020" s="1"/>
      <c r="E1020" s="50"/>
      <c r="F1020" s="50"/>
      <c r="G1020" s="50"/>
      <c r="H1020" s="5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8"/>
    </row>
    <row r="1021" spans="1:39" ht="15.75" customHeight="1">
      <c r="A1021" s="1"/>
      <c r="B1021" s="1"/>
      <c r="C1021" s="1"/>
      <c r="D1021" s="1"/>
      <c r="E1021" s="50"/>
      <c r="F1021" s="50"/>
      <c r="G1021" s="50"/>
      <c r="H1021" s="5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8"/>
    </row>
    <row r="1022" spans="1:39" ht="15.75" customHeight="1">
      <c r="A1022" s="1"/>
      <c r="B1022" s="1"/>
      <c r="C1022" s="1"/>
      <c r="D1022" s="1"/>
      <c r="E1022" s="50"/>
      <c r="F1022" s="50"/>
      <c r="G1022" s="50"/>
      <c r="H1022" s="5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8"/>
    </row>
    <row r="1023" spans="1:39" ht="15.75" customHeight="1">
      <c r="A1023" s="1"/>
      <c r="B1023" s="1"/>
      <c r="C1023" s="1"/>
      <c r="D1023" s="1"/>
      <c r="E1023" s="50"/>
      <c r="F1023" s="50"/>
      <c r="G1023" s="50"/>
      <c r="H1023" s="5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8"/>
    </row>
    <row r="1024" spans="1:39" ht="15.75" customHeight="1">
      <c r="A1024" s="1"/>
      <c r="B1024" s="1"/>
      <c r="C1024" s="1"/>
      <c r="D1024" s="1"/>
      <c r="E1024" s="50"/>
      <c r="F1024" s="50"/>
      <c r="G1024" s="50"/>
      <c r="H1024" s="5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8"/>
    </row>
    <row r="1025" spans="1:39" ht="15.75" customHeight="1">
      <c r="A1025" s="1"/>
      <c r="B1025" s="1"/>
      <c r="C1025" s="1"/>
      <c r="D1025" s="1"/>
      <c r="E1025" s="50"/>
      <c r="F1025" s="50"/>
      <c r="G1025" s="50"/>
      <c r="H1025" s="5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8"/>
    </row>
    <row r="1026" spans="1:39" ht="15.75" customHeight="1">
      <c r="A1026" s="1"/>
      <c r="B1026" s="1"/>
      <c r="C1026" s="1"/>
      <c r="D1026" s="1"/>
      <c r="E1026" s="50"/>
      <c r="F1026" s="50"/>
      <c r="G1026" s="50"/>
      <c r="H1026" s="5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8"/>
    </row>
    <row r="1027" spans="1:39" ht="15.75" customHeight="1">
      <c r="A1027" s="1"/>
      <c r="B1027" s="1"/>
      <c r="C1027" s="1"/>
      <c r="D1027" s="1"/>
      <c r="E1027" s="50"/>
      <c r="F1027" s="50"/>
      <c r="G1027" s="50"/>
      <c r="H1027" s="5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8"/>
    </row>
    <row r="1028" spans="1:39" ht="15.75" customHeight="1">
      <c r="A1028" s="1"/>
      <c r="B1028" s="1"/>
      <c r="C1028" s="1"/>
      <c r="D1028" s="1"/>
      <c r="E1028" s="50"/>
      <c r="F1028" s="50"/>
      <c r="G1028" s="50"/>
      <c r="H1028" s="5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8"/>
    </row>
    <row r="1029" spans="1:39" ht="15.75" customHeight="1">
      <c r="A1029" s="1"/>
      <c r="B1029" s="1"/>
      <c r="C1029" s="1"/>
      <c r="D1029" s="1"/>
      <c r="E1029" s="50"/>
      <c r="F1029" s="50"/>
      <c r="G1029" s="50"/>
      <c r="H1029" s="5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8"/>
    </row>
    <row r="1030" spans="1:39" ht="15.75" customHeight="1">
      <c r="A1030" s="1"/>
      <c r="B1030" s="1"/>
      <c r="C1030" s="1"/>
      <c r="D1030" s="1"/>
      <c r="E1030" s="50"/>
      <c r="F1030" s="50"/>
      <c r="G1030" s="50"/>
      <c r="H1030" s="5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8"/>
    </row>
    <row r="1031" spans="1:39" ht="15.75" customHeight="1">
      <c r="A1031" s="1"/>
      <c r="B1031" s="1"/>
      <c r="C1031" s="1"/>
      <c r="D1031" s="1"/>
      <c r="E1031" s="50"/>
      <c r="F1031" s="50"/>
      <c r="G1031" s="50"/>
      <c r="H1031" s="5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8"/>
    </row>
    <row r="1032" spans="1:39" ht="15.75" customHeight="1">
      <c r="A1032" s="1"/>
      <c r="B1032" s="1"/>
      <c r="C1032" s="1"/>
      <c r="D1032" s="1"/>
      <c r="E1032" s="50"/>
      <c r="F1032" s="50"/>
      <c r="G1032" s="50"/>
      <c r="H1032" s="5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8"/>
    </row>
    <row r="1033" spans="1:39" ht="15.75" customHeight="1">
      <c r="A1033" s="1"/>
      <c r="B1033" s="1"/>
      <c r="C1033" s="1"/>
      <c r="D1033" s="1"/>
      <c r="E1033" s="50"/>
      <c r="F1033" s="50"/>
      <c r="G1033" s="50"/>
      <c r="H1033" s="5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8"/>
    </row>
    <row r="1034" spans="1:39" ht="15.75" customHeight="1">
      <c r="A1034" s="1"/>
      <c r="B1034" s="1"/>
      <c r="C1034" s="1"/>
      <c r="D1034" s="1"/>
      <c r="E1034" s="50"/>
      <c r="F1034" s="50"/>
      <c r="G1034" s="50"/>
      <c r="H1034" s="5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8"/>
    </row>
    <row r="1035" spans="1:39" ht="15.75" customHeight="1">
      <c r="A1035" s="1"/>
      <c r="B1035" s="1"/>
      <c r="C1035" s="1"/>
      <c r="D1035" s="1"/>
      <c r="E1035" s="50"/>
      <c r="F1035" s="50"/>
      <c r="G1035" s="50"/>
      <c r="H1035" s="5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8"/>
    </row>
    <row r="1036" spans="1:39" ht="15.75" customHeight="1">
      <c r="A1036" s="1"/>
      <c r="B1036" s="1"/>
      <c r="C1036" s="1"/>
      <c r="D1036" s="1"/>
      <c r="E1036" s="50"/>
      <c r="F1036" s="50"/>
      <c r="G1036" s="50"/>
      <c r="H1036" s="5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8"/>
    </row>
    <row r="1037" spans="1:39" ht="15.75" customHeight="1">
      <c r="A1037" s="1"/>
      <c r="B1037" s="1"/>
      <c r="C1037" s="1"/>
      <c r="D1037" s="1"/>
      <c r="E1037" s="50"/>
      <c r="F1037" s="50"/>
      <c r="G1037" s="50"/>
      <c r="H1037" s="5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8"/>
    </row>
    <row r="1038" spans="1:39" ht="15.75" customHeight="1">
      <c r="A1038" s="1"/>
      <c r="B1038" s="1"/>
      <c r="C1038" s="1"/>
      <c r="D1038" s="1"/>
      <c r="E1038" s="50"/>
      <c r="F1038" s="50"/>
      <c r="G1038" s="50"/>
      <c r="H1038" s="5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8"/>
    </row>
    <row r="1039" spans="1:39" ht="15.75" customHeight="1">
      <c r="A1039" s="1"/>
      <c r="B1039" s="1"/>
      <c r="C1039" s="1"/>
      <c r="D1039" s="1"/>
      <c r="E1039" s="50"/>
      <c r="F1039" s="50"/>
      <c r="G1039" s="50"/>
      <c r="H1039" s="5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8"/>
    </row>
    <row r="1040" spans="1:39" ht="15.75" customHeight="1">
      <c r="A1040" s="1"/>
      <c r="B1040" s="1"/>
      <c r="C1040" s="1"/>
      <c r="D1040" s="1"/>
      <c r="E1040" s="50"/>
      <c r="F1040" s="50"/>
      <c r="G1040" s="50"/>
      <c r="H1040" s="5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8"/>
    </row>
    <row r="1041" spans="1:39" ht="15.75" customHeight="1">
      <c r="A1041" s="1"/>
      <c r="B1041" s="1"/>
      <c r="C1041" s="1"/>
      <c r="D1041" s="1"/>
      <c r="E1041" s="50"/>
      <c r="F1041" s="50"/>
      <c r="G1041" s="50"/>
      <c r="H1041" s="5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8"/>
    </row>
    <row r="1042" spans="1:39" ht="15.75" customHeight="1">
      <c r="A1042" s="1"/>
      <c r="B1042" s="1"/>
      <c r="C1042" s="1"/>
      <c r="D1042" s="1"/>
      <c r="E1042" s="50"/>
      <c r="F1042" s="50"/>
      <c r="G1042" s="50"/>
      <c r="H1042" s="5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8"/>
    </row>
    <row r="1043" spans="1:39" ht="15.75" customHeight="1">
      <c r="A1043" s="1"/>
      <c r="B1043" s="1"/>
      <c r="C1043" s="1"/>
      <c r="D1043" s="1"/>
      <c r="E1043" s="50"/>
      <c r="F1043" s="50"/>
      <c r="G1043" s="50"/>
      <c r="H1043" s="5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8"/>
    </row>
    <row r="1044" spans="1:39" ht="15.75" customHeight="1">
      <c r="A1044" s="1"/>
      <c r="B1044" s="1"/>
      <c r="C1044" s="1"/>
      <c r="D1044" s="1"/>
      <c r="E1044" s="50"/>
      <c r="F1044" s="50"/>
      <c r="G1044" s="50"/>
      <c r="H1044" s="5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8"/>
    </row>
    <row r="1045" spans="1:39" ht="15.75" customHeight="1">
      <c r="A1045" s="1"/>
      <c r="B1045" s="1"/>
      <c r="C1045" s="1"/>
      <c r="D1045" s="1"/>
      <c r="E1045" s="50"/>
      <c r="F1045" s="50"/>
      <c r="G1045" s="50"/>
      <c r="H1045" s="5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8"/>
    </row>
    <row r="1046" spans="1:39" ht="15.75" customHeight="1">
      <c r="A1046" s="1"/>
      <c r="B1046" s="1"/>
      <c r="C1046" s="1"/>
      <c r="D1046" s="1"/>
      <c r="E1046" s="50"/>
      <c r="F1046" s="50"/>
      <c r="G1046" s="50"/>
      <c r="H1046" s="5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8"/>
    </row>
    <row r="1047" spans="1:39" ht="15.75" customHeight="1">
      <c r="A1047" s="1"/>
      <c r="B1047" s="1"/>
      <c r="C1047" s="1"/>
      <c r="D1047" s="1"/>
      <c r="E1047" s="50"/>
      <c r="F1047" s="50"/>
      <c r="G1047" s="50"/>
      <c r="H1047" s="5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8"/>
    </row>
    <row r="1048" spans="1:39" ht="15.75" customHeight="1">
      <c r="A1048" s="1"/>
      <c r="B1048" s="1"/>
      <c r="C1048" s="1"/>
      <c r="D1048" s="1"/>
      <c r="E1048" s="50"/>
      <c r="F1048" s="50"/>
      <c r="G1048" s="50"/>
      <c r="H1048" s="5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8"/>
    </row>
    <row r="1049" spans="1:39" ht="15.75" customHeight="1">
      <c r="A1049" s="1"/>
      <c r="B1049" s="1"/>
      <c r="C1049" s="1"/>
      <c r="D1049" s="1"/>
      <c r="E1049" s="50"/>
      <c r="F1049" s="50"/>
      <c r="G1049" s="50"/>
      <c r="H1049" s="5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8"/>
    </row>
    <row r="1050" spans="1:39" ht="15.75" customHeight="1">
      <c r="A1050" s="1"/>
      <c r="B1050" s="1"/>
      <c r="C1050" s="1"/>
      <c r="D1050" s="1"/>
      <c r="E1050" s="50"/>
      <c r="F1050" s="50"/>
      <c r="G1050" s="50"/>
      <c r="H1050" s="5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8"/>
    </row>
    <row r="1051" spans="1:39" ht="15.75" customHeight="1">
      <c r="A1051" s="1"/>
      <c r="B1051" s="1"/>
      <c r="C1051" s="1"/>
      <c r="D1051" s="1"/>
      <c r="E1051" s="50"/>
      <c r="F1051" s="50"/>
      <c r="G1051" s="50"/>
      <c r="H1051" s="5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8"/>
    </row>
    <row r="1052" spans="1:39" ht="15.75" customHeight="1">
      <c r="A1052" s="1"/>
      <c r="B1052" s="1"/>
      <c r="C1052" s="1"/>
      <c r="D1052" s="1"/>
      <c r="E1052" s="50"/>
      <c r="F1052" s="50"/>
      <c r="G1052" s="50"/>
      <c r="H1052" s="5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8"/>
    </row>
    <row r="1053" spans="1:39" ht="15.75" customHeight="1">
      <c r="A1053" s="1"/>
      <c r="B1053" s="1"/>
      <c r="C1053" s="1"/>
      <c r="D1053" s="1"/>
      <c r="E1053" s="50"/>
      <c r="F1053" s="50"/>
      <c r="G1053" s="50"/>
      <c r="H1053" s="5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8"/>
    </row>
    <row r="1054" spans="1:39" ht="15.75" customHeight="1">
      <c r="A1054" s="1"/>
      <c r="B1054" s="1"/>
      <c r="C1054" s="1"/>
      <c r="D1054" s="1"/>
      <c r="E1054" s="50"/>
      <c r="F1054" s="50"/>
      <c r="G1054" s="50"/>
      <c r="H1054" s="5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8"/>
    </row>
    <row r="1055" spans="1:39" ht="15.75" customHeight="1">
      <c r="A1055" s="1"/>
      <c r="B1055" s="1"/>
      <c r="C1055" s="1"/>
      <c r="D1055" s="1"/>
      <c r="E1055" s="50"/>
      <c r="F1055" s="50"/>
      <c r="G1055" s="50"/>
      <c r="H1055" s="5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8"/>
    </row>
    <row r="1056" spans="1:39" ht="15.75" customHeight="1">
      <c r="A1056" s="1"/>
      <c r="B1056" s="1"/>
      <c r="C1056" s="1"/>
      <c r="D1056" s="1"/>
      <c r="E1056" s="50"/>
      <c r="F1056" s="50"/>
      <c r="G1056" s="50"/>
      <c r="H1056" s="5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8"/>
    </row>
    <row r="1057" spans="1:39" ht="15.75" customHeight="1">
      <c r="A1057" s="1"/>
      <c r="B1057" s="1"/>
      <c r="C1057" s="1"/>
      <c r="D1057" s="1"/>
      <c r="E1057" s="50"/>
      <c r="F1057" s="50"/>
      <c r="G1057" s="50"/>
      <c r="H1057" s="5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8"/>
    </row>
    <row r="1058" spans="1:39" ht="15.75" customHeight="1">
      <c r="A1058" s="1"/>
      <c r="B1058" s="1"/>
      <c r="C1058" s="1"/>
      <c r="D1058" s="1"/>
      <c r="E1058" s="50"/>
      <c r="F1058" s="50"/>
      <c r="G1058" s="50"/>
      <c r="H1058" s="5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8"/>
    </row>
    <row r="1059" spans="1:39" ht="15.75" customHeight="1">
      <c r="A1059" s="1"/>
      <c r="B1059" s="1"/>
      <c r="C1059" s="1"/>
      <c r="D1059" s="1"/>
      <c r="E1059" s="50"/>
      <c r="F1059" s="50"/>
      <c r="G1059" s="50"/>
      <c r="H1059" s="5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8"/>
    </row>
    <row r="1060" spans="1:39" ht="15.75" customHeight="1">
      <c r="A1060" s="1"/>
      <c r="B1060" s="1"/>
      <c r="C1060" s="1"/>
      <c r="D1060" s="1"/>
      <c r="E1060" s="50"/>
      <c r="F1060" s="50"/>
      <c r="G1060" s="50"/>
      <c r="H1060" s="5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8"/>
    </row>
    <row r="1061" spans="1:39" ht="15.75" customHeight="1">
      <c r="A1061" s="1"/>
      <c r="B1061" s="1"/>
      <c r="C1061" s="1"/>
      <c r="D1061" s="1"/>
      <c r="E1061" s="50"/>
      <c r="F1061" s="50"/>
      <c r="G1061" s="50"/>
      <c r="H1061" s="5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8"/>
    </row>
    <row r="1062" spans="1:39" ht="15.75" customHeight="1">
      <c r="A1062" s="1"/>
      <c r="B1062" s="1"/>
      <c r="C1062" s="1"/>
      <c r="D1062" s="1"/>
      <c r="E1062" s="50"/>
      <c r="F1062" s="50"/>
      <c r="G1062" s="50"/>
      <c r="H1062" s="5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8"/>
    </row>
    <row r="1063" spans="1:39" ht="15.75" customHeight="1">
      <c r="A1063" s="1"/>
      <c r="B1063" s="1"/>
      <c r="C1063" s="1"/>
      <c r="D1063" s="1"/>
      <c r="E1063" s="50"/>
      <c r="F1063" s="50"/>
      <c r="G1063" s="50"/>
      <c r="H1063" s="5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8"/>
    </row>
    <row r="1064" spans="1:39" ht="15.75" customHeight="1">
      <c r="A1064" s="1"/>
      <c r="B1064" s="1"/>
      <c r="C1064" s="1"/>
      <c r="D1064" s="1"/>
      <c r="E1064" s="50"/>
      <c r="F1064" s="50"/>
      <c r="G1064" s="50"/>
      <c r="H1064" s="5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8"/>
    </row>
    <row r="1065" spans="1:39" ht="15.75" customHeight="1">
      <c r="A1065" s="1"/>
      <c r="B1065" s="1"/>
      <c r="C1065" s="1"/>
      <c r="D1065" s="1"/>
      <c r="E1065" s="50"/>
      <c r="F1065" s="50"/>
      <c r="G1065" s="50"/>
      <c r="H1065" s="5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8"/>
    </row>
    <row r="1066" spans="1:39" ht="15.75" customHeight="1">
      <c r="A1066" s="1"/>
      <c r="B1066" s="1"/>
      <c r="C1066" s="1"/>
      <c r="D1066" s="1"/>
      <c r="E1066" s="50"/>
      <c r="F1066" s="50"/>
      <c r="G1066" s="50"/>
      <c r="H1066" s="5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8"/>
    </row>
    <row r="1067" spans="1:39" ht="15.75" customHeight="1">
      <c r="A1067" s="1"/>
      <c r="B1067" s="1"/>
      <c r="C1067" s="1"/>
      <c r="D1067" s="1"/>
      <c r="E1067" s="50"/>
      <c r="F1067" s="50"/>
      <c r="G1067" s="50"/>
      <c r="H1067" s="5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8"/>
    </row>
    <row r="1068" spans="1:39" ht="15.75" customHeight="1">
      <c r="A1068" s="1"/>
      <c r="B1068" s="1"/>
      <c r="C1068" s="1"/>
      <c r="D1068" s="1"/>
      <c r="E1068" s="50"/>
      <c r="F1068" s="50"/>
      <c r="G1068" s="50"/>
      <c r="H1068" s="5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8"/>
    </row>
    <row r="1069" spans="1:39" ht="15.75" customHeight="1">
      <c r="A1069" s="1"/>
      <c r="B1069" s="1"/>
      <c r="C1069" s="1"/>
      <c r="D1069" s="1"/>
      <c r="E1069" s="50"/>
      <c r="F1069" s="50"/>
      <c r="G1069" s="50"/>
      <c r="H1069" s="5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8"/>
    </row>
    <row r="1070" spans="1:39" ht="15.75" customHeight="1">
      <c r="A1070" s="1"/>
      <c r="B1070" s="1"/>
      <c r="C1070" s="1"/>
      <c r="D1070" s="1"/>
      <c r="E1070" s="50"/>
      <c r="F1070" s="50"/>
      <c r="G1070" s="50"/>
      <c r="H1070" s="5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8"/>
    </row>
    <row r="1071" spans="1:39" ht="15.75" customHeight="1">
      <c r="A1071" s="1"/>
      <c r="B1071" s="1"/>
      <c r="C1071" s="1"/>
      <c r="D1071" s="1"/>
      <c r="E1071" s="50"/>
      <c r="F1071" s="50"/>
      <c r="G1071" s="50"/>
      <c r="H1071" s="5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8"/>
    </row>
    <row r="1072" spans="1:39" ht="15.75" customHeight="1">
      <c r="A1072" s="1"/>
      <c r="B1072" s="1"/>
      <c r="C1072" s="1"/>
      <c r="D1072" s="1"/>
      <c r="E1072" s="50"/>
      <c r="F1072" s="50"/>
      <c r="G1072" s="50"/>
      <c r="H1072" s="5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8"/>
    </row>
    <row r="1073" spans="1:39" ht="15.75" customHeight="1">
      <c r="A1073" s="1"/>
      <c r="B1073" s="1"/>
      <c r="C1073" s="1"/>
      <c r="D1073" s="1"/>
      <c r="E1073" s="50"/>
      <c r="F1073" s="50"/>
      <c r="G1073" s="50"/>
      <c r="H1073" s="5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8"/>
    </row>
    <row r="1074" spans="1:39" ht="15.75" customHeight="1">
      <c r="A1074" s="1"/>
      <c r="B1074" s="1"/>
      <c r="C1074" s="1"/>
      <c r="D1074" s="1"/>
      <c r="E1074" s="50"/>
      <c r="F1074" s="50"/>
      <c r="G1074" s="50"/>
      <c r="H1074" s="5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8"/>
    </row>
    <row r="1075" spans="1:39" ht="15.75" customHeight="1">
      <c r="A1075" s="1"/>
      <c r="B1075" s="1"/>
      <c r="C1075" s="1"/>
      <c r="D1075" s="1"/>
      <c r="E1075" s="50"/>
      <c r="F1075" s="50"/>
      <c r="G1075" s="50"/>
      <c r="H1075" s="5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8"/>
    </row>
    <row r="1076" spans="1:39" ht="15.75" customHeight="1">
      <c r="A1076" s="1"/>
      <c r="B1076" s="1"/>
      <c r="C1076" s="1"/>
      <c r="D1076" s="1"/>
      <c r="E1076" s="50"/>
      <c r="F1076" s="50"/>
      <c r="G1076" s="50"/>
      <c r="H1076" s="5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8"/>
    </row>
    <row r="1077" spans="1:39" ht="15.75" customHeight="1">
      <c r="A1077" s="1"/>
      <c r="B1077" s="1"/>
      <c r="C1077" s="1"/>
      <c r="D1077" s="1"/>
      <c r="E1077" s="50"/>
      <c r="F1077" s="50"/>
      <c r="G1077" s="50"/>
      <c r="H1077" s="5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8"/>
    </row>
    <row r="1078" spans="1:39" ht="15.75" customHeight="1">
      <c r="A1078" s="1"/>
      <c r="B1078" s="1"/>
      <c r="C1078" s="1"/>
      <c r="D1078" s="1"/>
      <c r="E1078" s="50"/>
      <c r="F1078" s="50"/>
      <c r="G1078" s="50"/>
      <c r="H1078" s="5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8"/>
    </row>
    <row r="1079" spans="1:39" ht="15.75" customHeight="1">
      <c r="A1079" s="1"/>
      <c r="B1079" s="1"/>
      <c r="C1079" s="1"/>
      <c r="D1079" s="1"/>
      <c r="E1079" s="50"/>
      <c r="F1079" s="50"/>
      <c r="G1079" s="50"/>
      <c r="H1079" s="5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8"/>
    </row>
    <row r="1080" spans="1:39" ht="15.75" customHeight="1">
      <c r="A1080" s="1"/>
      <c r="B1080" s="1"/>
      <c r="C1080" s="1"/>
      <c r="D1080" s="1"/>
      <c r="E1080" s="50"/>
      <c r="F1080" s="50"/>
      <c r="G1080" s="50"/>
      <c r="H1080" s="5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8"/>
    </row>
    <row r="1081" spans="1:39" ht="15.75" customHeight="1">
      <c r="A1081" s="1"/>
      <c r="B1081" s="1"/>
      <c r="C1081" s="1"/>
      <c r="D1081" s="1"/>
      <c r="E1081" s="50"/>
      <c r="F1081" s="50"/>
      <c r="G1081" s="50"/>
      <c r="H1081" s="5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8"/>
    </row>
    <row r="1082" spans="1:39" ht="15.75" customHeight="1">
      <c r="A1082" s="1"/>
      <c r="B1082" s="1"/>
      <c r="C1082" s="1"/>
      <c r="D1082" s="1"/>
      <c r="E1082" s="50"/>
      <c r="F1082" s="50"/>
      <c r="G1082" s="50"/>
      <c r="H1082" s="5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8"/>
    </row>
    <row r="1083" spans="1:39" ht="15.75" customHeight="1">
      <c r="A1083" s="1"/>
      <c r="B1083" s="1"/>
      <c r="C1083" s="1"/>
      <c r="D1083" s="1"/>
      <c r="E1083" s="50"/>
      <c r="F1083" s="50"/>
      <c r="G1083" s="50"/>
      <c r="H1083" s="5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8"/>
    </row>
    <row r="1084" spans="1:39" ht="15.75" customHeight="1">
      <c r="A1084" s="1"/>
      <c r="B1084" s="1"/>
      <c r="C1084" s="1"/>
      <c r="D1084" s="1"/>
      <c r="E1084" s="50"/>
      <c r="F1084" s="50"/>
      <c r="G1084" s="50"/>
      <c r="H1084" s="5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8"/>
    </row>
    <row r="1085" spans="1:39" ht="15.75" customHeight="1">
      <c r="A1085" s="1"/>
      <c r="B1085" s="1"/>
      <c r="C1085" s="1"/>
      <c r="D1085" s="1"/>
      <c r="E1085" s="50"/>
      <c r="F1085" s="50"/>
      <c r="G1085" s="50"/>
      <c r="H1085" s="5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8"/>
    </row>
    <row r="1086" spans="1:39" ht="15.75" customHeight="1">
      <c r="A1086" s="1"/>
      <c r="B1086" s="1"/>
      <c r="C1086" s="1"/>
      <c r="D1086" s="1"/>
      <c r="E1086" s="50"/>
      <c r="F1086" s="50"/>
      <c r="G1086" s="50"/>
      <c r="H1086" s="5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8"/>
    </row>
    <row r="1087" spans="1:39" ht="15.75" customHeight="1">
      <c r="A1087" s="1"/>
      <c r="B1087" s="1"/>
      <c r="C1087" s="1"/>
      <c r="D1087" s="1"/>
      <c r="E1087" s="50"/>
      <c r="F1087" s="50"/>
      <c r="G1087" s="50"/>
      <c r="H1087" s="5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8"/>
    </row>
    <row r="1088" spans="1:39" ht="15.75" customHeight="1">
      <c r="A1088" s="1"/>
      <c r="B1088" s="1"/>
      <c r="C1088" s="1"/>
      <c r="D1088" s="1"/>
      <c r="E1088" s="50"/>
      <c r="F1088" s="50"/>
      <c r="G1088" s="50"/>
      <c r="H1088" s="5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8"/>
    </row>
    <row r="1089" spans="1:39" ht="15.75" customHeight="1">
      <c r="A1089" s="1"/>
      <c r="B1089" s="1"/>
      <c r="C1089" s="1"/>
      <c r="D1089" s="1"/>
      <c r="E1089" s="50"/>
      <c r="F1089" s="50"/>
      <c r="G1089" s="50"/>
      <c r="H1089" s="5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8"/>
    </row>
    <row r="1090" spans="1:39" ht="15.75" customHeight="1">
      <c r="A1090" s="1"/>
      <c r="B1090" s="1"/>
      <c r="C1090" s="1"/>
      <c r="D1090" s="1"/>
      <c r="E1090" s="50"/>
      <c r="F1090" s="50"/>
      <c r="G1090" s="50"/>
      <c r="H1090" s="5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8"/>
    </row>
    <row r="1091" spans="1:39" ht="15.75" customHeight="1">
      <c r="A1091" s="1"/>
      <c r="B1091" s="1"/>
      <c r="C1091" s="1"/>
      <c r="D1091" s="1"/>
      <c r="E1091" s="50"/>
      <c r="F1091" s="50"/>
      <c r="G1091" s="50"/>
      <c r="H1091" s="5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8"/>
    </row>
    <row r="1092" spans="1:39" ht="15.75" customHeight="1">
      <c r="A1092" s="1"/>
      <c r="B1092" s="1"/>
      <c r="C1092" s="1"/>
      <c r="D1092" s="1"/>
      <c r="E1092" s="50"/>
      <c r="F1092" s="50"/>
      <c r="G1092" s="50"/>
      <c r="H1092" s="5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8"/>
    </row>
    <row r="1093" spans="1:39" ht="15.75" customHeight="1">
      <c r="A1093" s="1"/>
      <c r="B1093" s="1"/>
      <c r="C1093" s="1"/>
      <c r="D1093" s="1"/>
      <c r="E1093" s="50"/>
      <c r="F1093" s="50"/>
      <c r="G1093" s="50"/>
      <c r="H1093" s="5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8"/>
    </row>
    <row r="1094" spans="1:39" ht="15.75" customHeight="1">
      <c r="A1094" s="1"/>
      <c r="B1094" s="1"/>
      <c r="C1094" s="1"/>
      <c r="D1094" s="1"/>
      <c r="E1094" s="50"/>
      <c r="F1094" s="50"/>
      <c r="G1094" s="50"/>
      <c r="H1094" s="5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8"/>
    </row>
    <row r="1095" spans="1:39" ht="15.75" customHeight="1">
      <c r="A1095" s="1"/>
      <c r="B1095" s="1"/>
      <c r="C1095" s="1"/>
      <c r="D1095" s="1"/>
      <c r="E1095" s="50"/>
      <c r="F1095" s="50"/>
      <c r="G1095" s="50"/>
      <c r="H1095" s="5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8"/>
    </row>
    <row r="1096" spans="1:39" ht="15.75" customHeight="1">
      <c r="A1096" s="1"/>
      <c r="B1096" s="1"/>
      <c r="C1096" s="1"/>
      <c r="D1096" s="1"/>
      <c r="E1096" s="50"/>
      <c r="F1096" s="50"/>
      <c r="G1096" s="50"/>
      <c r="H1096" s="5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8"/>
    </row>
    <row r="1097" spans="1:39" ht="15.75" customHeight="1">
      <c r="A1097" s="1"/>
      <c r="B1097" s="1"/>
      <c r="C1097" s="1"/>
      <c r="D1097" s="1"/>
      <c r="E1097" s="50"/>
      <c r="F1097" s="50"/>
      <c r="G1097" s="50"/>
      <c r="H1097" s="5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8"/>
    </row>
    <row r="1098" spans="1:39" ht="15.75" customHeight="1">
      <c r="A1098" s="1"/>
      <c r="B1098" s="1"/>
      <c r="C1098" s="1"/>
      <c r="D1098" s="1"/>
      <c r="E1098" s="50"/>
      <c r="F1098" s="50"/>
      <c r="G1098" s="50"/>
      <c r="H1098" s="5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8"/>
    </row>
    <row r="1099" spans="1:39" ht="15.75" customHeight="1">
      <c r="A1099" s="1"/>
      <c r="B1099" s="1"/>
      <c r="C1099" s="1"/>
      <c r="D1099" s="1"/>
      <c r="E1099" s="50"/>
      <c r="F1099" s="50"/>
      <c r="G1099" s="50"/>
      <c r="H1099" s="5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8"/>
    </row>
    <row r="1100" spans="1:39" ht="15.75" customHeight="1">
      <c r="A1100" s="1"/>
      <c r="B1100" s="1"/>
      <c r="C1100" s="1"/>
      <c r="D1100" s="1"/>
      <c r="E1100" s="50"/>
      <c r="F1100" s="50"/>
      <c r="G1100" s="50"/>
      <c r="H1100" s="5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8"/>
    </row>
    <row r="1101" spans="1:39" ht="15.75" customHeight="1">
      <c r="A1101" s="1"/>
      <c r="B1101" s="1"/>
      <c r="C1101" s="1"/>
      <c r="D1101" s="1"/>
      <c r="E1101" s="50"/>
      <c r="F1101" s="50"/>
      <c r="G1101" s="50"/>
      <c r="H1101" s="5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8"/>
    </row>
    <row r="1102" spans="1:39" ht="15.75" customHeight="1">
      <c r="A1102" s="1"/>
      <c r="B1102" s="1"/>
      <c r="C1102" s="1"/>
      <c r="D1102" s="1"/>
      <c r="E1102" s="50"/>
      <c r="F1102" s="50"/>
      <c r="G1102" s="50"/>
      <c r="H1102" s="5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8"/>
    </row>
    <row r="1103" spans="1:39" ht="15.75" customHeight="1">
      <c r="A1103" s="1"/>
      <c r="B1103" s="1"/>
      <c r="C1103" s="1"/>
      <c r="D1103" s="1"/>
      <c r="E1103" s="50"/>
      <c r="F1103" s="50"/>
      <c r="G1103" s="50"/>
      <c r="H1103" s="5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8"/>
    </row>
    <row r="1104" spans="1:39" ht="15.75" customHeight="1">
      <c r="A1104" s="1"/>
      <c r="B1104" s="1"/>
      <c r="C1104" s="1"/>
      <c r="D1104" s="1"/>
      <c r="E1104" s="50"/>
      <c r="F1104" s="50"/>
      <c r="G1104" s="50"/>
      <c r="H1104" s="5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8"/>
    </row>
    <row r="1105" spans="1:39" ht="15.75" customHeight="1">
      <c r="A1105" s="1"/>
      <c r="B1105" s="1"/>
      <c r="C1105" s="1"/>
      <c r="D1105" s="1"/>
      <c r="E1105" s="50"/>
      <c r="F1105" s="50"/>
      <c r="G1105" s="50"/>
      <c r="H1105" s="5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8"/>
    </row>
    <row r="1106" spans="1:39" ht="15.75" customHeight="1">
      <c r="A1106" s="1"/>
      <c r="B1106" s="1"/>
      <c r="C1106" s="1"/>
      <c r="D1106" s="1"/>
      <c r="E1106" s="50"/>
      <c r="F1106" s="50"/>
      <c r="G1106" s="50"/>
      <c r="H1106" s="5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8"/>
    </row>
    <row r="1107" spans="1:39" ht="15.75" customHeight="1">
      <c r="A1107" s="1"/>
      <c r="B1107" s="1"/>
      <c r="C1107" s="1"/>
      <c r="D1107" s="1"/>
      <c r="E1107" s="50"/>
      <c r="F1107" s="50"/>
      <c r="G1107" s="50"/>
      <c r="H1107" s="5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8"/>
    </row>
    <row r="1108" spans="1:39" ht="15.75" customHeight="1">
      <c r="A1108" s="1"/>
      <c r="B1108" s="1"/>
      <c r="C1108" s="1"/>
      <c r="D1108" s="1"/>
      <c r="E1108" s="50"/>
      <c r="F1108" s="50"/>
      <c r="G1108" s="50"/>
      <c r="H1108" s="5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8"/>
    </row>
    <row r="1109" spans="1:39" ht="15.75" customHeight="1">
      <c r="A1109" s="1"/>
      <c r="B1109" s="1"/>
      <c r="C1109" s="1"/>
      <c r="D1109" s="1"/>
      <c r="E1109" s="50"/>
      <c r="F1109" s="50"/>
      <c r="G1109" s="50"/>
      <c r="H1109" s="5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8"/>
    </row>
    <row r="1110" spans="1:39" ht="15.75" customHeight="1">
      <c r="A1110" s="1"/>
      <c r="B1110" s="1"/>
      <c r="C1110" s="1"/>
      <c r="D1110" s="1"/>
      <c r="E1110" s="50"/>
      <c r="F1110" s="50"/>
      <c r="G1110" s="50"/>
      <c r="H1110" s="5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8"/>
    </row>
    <row r="1111" spans="1:39" ht="15.75" customHeight="1">
      <c r="A1111" s="1"/>
      <c r="B1111" s="1"/>
      <c r="C1111" s="1"/>
      <c r="D1111" s="1"/>
      <c r="E1111" s="50"/>
      <c r="F1111" s="50"/>
      <c r="G1111" s="50"/>
      <c r="H1111" s="5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8"/>
    </row>
    <row r="1112" spans="1:39" ht="15.75" customHeight="1">
      <c r="A1112" s="1"/>
      <c r="B1112" s="1"/>
      <c r="C1112" s="1"/>
      <c r="D1112" s="1"/>
      <c r="E1112" s="50"/>
      <c r="F1112" s="50"/>
      <c r="G1112" s="50"/>
      <c r="H1112" s="5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8"/>
    </row>
    <row r="1113" spans="1:39" ht="15.75" customHeight="1">
      <c r="A1113" s="1"/>
      <c r="B1113" s="1"/>
      <c r="C1113" s="1"/>
      <c r="D1113" s="1"/>
      <c r="E1113" s="50"/>
      <c r="F1113" s="50"/>
      <c r="G1113" s="50"/>
      <c r="H1113" s="5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8"/>
    </row>
    <row r="1114" spans="1:39" ht="15.75" customHeight="1">
      <c r="A1114" s="1"/>
      <c r="B1114" s="1"/>
      <c r="C1114" s="1"/>
      <c r="D1114" s="1"/>
      <c r="E1114" s="50"/>
      <c r="F1114" s="50"/>
      <c r="G1114" s="50"/>
      <c r="H1114" s="5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8"/>
    </row>
    <row r="1115" spans="1:39" ht="15.75" customHeight="1">
      <c r="A1115" s="1"/>
      <c r="B1115" s="1"/>
      <c r="C1115" s="1"/>
      <c r="D1115" s="1"/>
      <c r="E1115" s="50"/>
      <c r="F1115" s="50"/>
      <c r="G1115" s="50"/>
      <c r="H1115" s="5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8"/>
    </row>
    <row r="1116" spans="1:39" ht="15.75" customHeight="1">
      <c r="A1116" s="1"/>
      <c r="B1116" s="1"/>
      <c r="C1116" s="1"/>
      <c r="D1116" s="1"/>
      <c r="E1116" s="50"/>
      <c r="F1116" s="50"/>
      <c r="G1116" s="50"/>
      <c r="H1116" s="5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8"/>
    </row>
    <row r="1117" spans="1:39" ht="15.75" customHeight="1">
      <c r="A1117" s="1"/>
      <c r="B1117" s="1"/>
      <c r="C1117" s="1"/>
      <c r="D1117" s="1"/>
      <c r="E1117" s="50"/>
      <c r="F1117" s="50"/>
      <c r="G1117" s="50"/>
      <c r="H1117" s="5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8"/>
    </row>
    <row r="1118" spans="1:39" ht="15.75" customHeight="1">
      <c r="A1118" s="1"/>
      <c r="B1118" s="1"/>
      <c r="C1118" s="1"/>
      <c r="D1118" s="1"/>
      <c r="E1118" s="50"/>
      <c r="F1118" s="50"/>
      <c r="G1118" s="50"/>
      <c r="H1118" s="5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8"/>
    </row>
    <row r="1119" spans="1:39" ht="15.75" customHeight="1">
      <c r="A1119" s="1"/>
      <c r="B1119" s="1"/>
      <c r="C1119" s="1"/>
      <c r="D1119" s="1"/>
      <c r="E1119" s="50"/>
      <c r="F1119" s="50"/>
      <c r="G1119" s="50"/>
      <c r="H1119" s="5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8"/>
    </row>
    <row r="1120" spans="1:39" ht="15.75" customHeight="1">
      <c r="A1120" s="1"/>
      <c r="B1120" s="1"/>
      <c r="C1120" s="1"/>
      <c r="D1120" s="1"/>
      <c r="E1120" s="50"/>
      <c r="F1120" s="50"/>
      <c r="G1120" s="50"/>
      <c r="H1120" s="5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8"/>
    </row>
    <row r="1121" spans="1:39" ht="15.75" customHeight="1">
      <c r="A1121" s="1"/>
      <c r="B1121" s="1"/>
      <c r="C1121" s="1"/>
      <c r="D1121" s="1"/>
      <c r="E1121" s="50"/>
      <c r="F1121" s="50"/>
      <c r="G1121" s="50"/>
      <c r="H1121" s="5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8"/>
    </row>
    <row r="1122" spans="1:39" ht="15.75" customHeight="1">
      <c r="A1122" s="1"/>
      <c r="B1122" s="1"/>
      <c r="C1122" s="1"/>
      <c r="D1122" s="1"/>
      <c r="E1122" s="50"/>
      <c r="F1122" s="50"/>
      <c r="G1122" s="50"/>
      <c r="H1122" s="5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8"/>
    </row>
    <row r="1123" spans="1:39" ht="15.75" customHeight="1">
      <c r="A1123" s="1"/>
      <c r="B1123" s="1"/>
      <c r="C1123" s="1"/>
      <c r="D1123" s="1"/>
      <c r="E1123" s="50"/>
      <c r="F1123" s="50"/>
      <c r="G1123" s="50"/>
      <c r="H1123" s="5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8"/>
    </row>
    <row r="1124" spans="1:39" ht="15.75" customHeight="1">
      <c r="A1124" s="1"/>
      <c r="B1124" s="1"/>
      <c r="C1124" s="1"/>
      <c r="D1124" s="1"/>
      <c r="E1124" s="50"/>
      <c r="F1124" s="50"/>
      <c r="G1124" s="50"/>
      <c r="H1124" s="5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8"/>
    </row>
    <row r="1125" spans="1:39" ht="15.75" customHeight="1">
      <c r="A1125" s="1"/>
      <c r="B1125" s="1"/>
      <c r="C1125" s="1"/>
      <c r="D1125" s="1"/>
      <c r="E1125" s="50"/>
      <c r="F1125" s="50"/>
      <c r="G1125" s="50"/>
      <c r="H1125" s="5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8"/>
    </row>
    <row r="1126" spans="1:39" ht="15.75" customHeight="1">
      <c r="A1126" s="1"/>
      <c r="B1126" s="1"/>
      <c r="C1126" s="1"/>
      <c r="D1126" s="1"/>
      <c r="E1126" s="50"/>
      <c r="F1126" s="50"/>
      <c r="G1126" s="50"/>
      <c r="H1126" s="5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8"/>
    </row>
    <row r="1127" spans="1:39" ht="15.75" customHeight="1">
      <c r="A1127" s="1"/>
      <c r="B1127" s="1"/>
      <c r="C1127" s="1"/>
      <c r="D1127" s="1"/>
      <c r="E1127" s="50"/>
      <c r="F1127" s="50"/>
      <c r="G1127" s="50"/>
      <c r="H1127" s="5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8"/>
    </row>
    <row r="1128" spans="1:39" ht="15.75" customHeight="1">
      <c r="A1128" s="1"/>
      <c r="B1128" s="1"/>
      <c r="C1128" s="1"/>
      <c r="D1128" s="1"/>
      <c r="E1128" s="50"/>
      <c r="F1128" s="50"/>
      <c r="G1128" s="50"/>
      <c r="H1128" s="5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8"/>
    </row>
    <row r="1129" spans="1:39" ht="15.75" customHeight="1">
      <c r="A1129" s="1"/>
      <c r="B1129" s="1"/>
      <c r="C1129" s="1"/>
      <c r="D1129" s="1"/>
      <c r="E1129" s="50"/>
      <c r="F1129" s="50"/>
      <c r="G1129" s="50"/>
      <c r="H1129" s="5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8"/>
    </row>
    <row r="1130" spans="1:39" ht="15.75" customHeight="1">
      <c r="A1130" s="1"/>
      <c r="B1130" s="1"/>
      <c r="C1130" s="1"/>
      <c r="D1130" s="1"/>
      <c r="E1130" s="50"/>
      <c r="F1130" s="50"/>
      <c r="G1130" s="50"/>
      <c r="H1130" s="5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8"/>
    </row>
    <row r="1131" spans="1:39" ht="15.75" customHeight="1">
      <c r="A1131" s="1"/>
      <c r="B1131" s="1"/>
      <c r="C1131" s="1"/>
      <c r="D1131" s="1"/>
      <c r="E1131" s="50"/>
      <c r="F1131" s="50"/>
      <c r="G1131" s="50"/>
      <c r="H1131" s="5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8"/>
    </row>
    <row r="1132" spans="1:39" ht="15.75" customHeight="1">
      <c r="A1132" s="1"/>
      <c r="B1132" s="1"/>
      <c r="C1132" s="1"/>
      <c r="D1132" s="1"/>
      <c r="E1132" s="50"/>
      <c r="F1132" s="50"/>
      <c r="G1132" s="50"/>
      <c r="H1132" s="5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8"/>
    </row>
    <row r="1133" spans="1:39" ht="15.75" customHeight="1">
      <c r="A1133" s="1"/>
      <c r="B1133" s="1"/>
      <c r="C1133" s="1"/>
      <c r="D1133" s="1"/>
      <c r="E1133" s="50"/>
      <c r="F1133" s="50"/>
      <c r="G1133" s="50"/>
      <c r="H1133" s="5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8"/>
    </row>
    <row r="1134" spans="1:39" ht="15.75" customHeight="1">
      <c r="A1134" s="1"/>
      <c r="B1134" s="1"/>
      <c r="C1134" s="1"/>
      <c r="D1134" s="1"/>
      <c r="E1134" s="50"/>
      <c r="F1134" s="50"/>
      <c r="G1134" s="50"/>
      <c r="H1134" s="5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8"/>
    </row>
    <row r="1135" spans="1:39" ht="15.75" customHeight="1">
      <c r="A1135" s="1"/>
      <c r="B1135" s="1"/>
      <c r="C1135" s="1"/>
      <c r="D1135" s="1"/>
      <c r="E1135" s="50"/>
      <c r="F1135" s="50"/>
      <c r="G1135" s="50"/>
      <c r="H1135" s="5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8"/>
    </row>
    <row r="1136" spans="1:39" ht="15.75" customHeight="1">
      <c r="A1136" s="1"/>
      <c r="B1136" s="1"/>
      <c r="C1136" s="1"/>
      <c r="D1136" s="1"/>
      <c r="E1136" s="50"/>
      <c r="F1136" s="50"/>
      <c r="G1136" s="50"/>
      <c r="H1136" s="5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8"/>
    </row>
    <row r="1137" spans="1:39" ht="15.75" customHeight="1">
      <c r="A1137" s="1"/>
      <c r="B1137" s="1"/>
      <c r="C1137" s="1"/>
      <c r="D1137" s="1"/>
      <c r="E1137" s="50"/>
      <c r="F1137" s="50"/>
      <c r="G1137" s="50"/>
      <c r="H1137" s="5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8"/>
    </row>
    <row r="1138" spans="1:39" ht="15.75" customHeight="1">
      <c r="A1138" s="1"/>
      <c r="B1138" s="1"/>
      <c r="C1138" s="1"/>
      <c r="D1138" s="1"/>
      <c r="E1138" s="50"/>
      <c r="F1138" s="50"/>
      <c r="G1138" s="50"/>
      <c r="H1138" s="5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8"/>
    </row>
    <row r="1139" spans="1:39" ht="15.75" customHeight="1">
      <c r="A1139" s="1"/>
      <c r="B1139" s="1"/>
      <c r="C1139" s="1"/>
      <c r="D1139" s="1"/>
      <c r="E1139" s="50"/>
      <c r="F1139" s="50"/>
      <c r="G1139" s="50"/>
      <c r="H1139" s="5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8"/>
    </row>
    <row r="1140" spans="1:39" ht="15.75" customHeight="1">
      <c r="A1140" s="1"/>
      <c r="B1140" s="1"/>
      <c r="C1140" s="1"/>
      <c r="D1140" s="1"/>
      <c r="E1140" s="50"/>
      <c r="F1140" s="50"/>
      <c r="G1140" s="50"/>
      <c r="H1140" s="5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8"/>
    </row>
    <row r="1141" spans="1:39" ht="15.75" customHeight="1">
      <c r="A1141" s="1"/>
      <c r="B1141" s="1"/>
      <c r="C1141" s="1"/>
      <c r="D1141" s="1"/>
      <c r="E1141" s="50"/>
      <c r="F1141" s="50"/>
      <c r="G1141" s="50"/>
      <c r="H1141" s="5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8"/>
    </row>
    <row r="1142" spans="1:39" ht="15.75" customHeight="1">
      <c r="A1142" s="1"/>
      <c r="B1142" s="1"/>
      <c r="C1142" s="1"/>
      <c r="D1142" s="1"/>
      <c r="E1142" s="50"/>
      <c r="F1142" s="50"/>
      <c r="G1142" s="50"/>
      <c r="H1142" s="5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8"/>
    </row>
    <row r="1143" spans="1:39" ht="15.75" customHeight="1">
      <c r="A1143" s="1"/>
      <c r="B1143" s="1"/>
      <c r="C1143" s="1"/>
      <c r="D1143" s="1"/>
      <c r="E1143" s="50"/>
      <c r="F1143" s="50"/>
      <c r="G1143" s="50"/>
      <c r="H1143" s="5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8"/>
    </row>
    <row r="1144" spans="1:39" ht="15.75" customHeight="1">
      <c r="A1144" s="1"/>
      <c r="B1144" s="1"/>
      <c r="C1144" s="1"/>
      <c r="D1144" s="1"/>
      <c r="E1144" s="50"/>
      <c r="F1144" s="50"/>
      <c r="G1144" s="50"/>
      <c r="H1144" s="5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8"/>
    </row>
    <row r="1145" spans="1:39" ht="15.75" customHeight="1">
      <c r="A1145" s="1"/>
      <c r="B1145" s="1"/>
      <c r="C1145" s="1"/>
      <c r="D1145" s="1"/>
      <c r="E1145" s="50"/>
      <c r="F1145" s="50"/>
      <c r="G1145" s="50"/>
      <c r="H1145" s="5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8"/>
    </row>
    <row r="1146" spans="1:39" ht="15.75" customHeight="1">
      <c r="A1146" s="1"/>
      <c r="B1146" s="1"/>
      <c r="C1146" s="1"/>
      <c r="D1146" s="1"/>
      <c r="E1146" s="50"/>
      <c r="F1146" s="50"/>
      <c r="G1146" s="50"/>
      <c r="H1146" s="5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8"/>
    </row>
    <row r="1147" spans="1:39" ht="15.75" customHeight="1">
      <c r="A1147" s="1"/>
      <c r="B1147" s="1"/>
      <c r="C1147" s="1"/>
      <c r="D1147" s="1"/>
      <c r="E1147" s="50"/>
      <c r="F1147" s="50"/>
      <c r="G1147" s="50"/>
      <c r="H1147" s="5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8"/>
    </row>
    <row r="1148" spans="1:39" ht="15.75" customHeight="1">
      <c r="A1148" s="1"/>
      <c r="B1148" s="1"/>
      <c r="C1148" s="1"/>
      <c r="D1148" s="1"/>
      <c r="E1148" s="50"/>
      <c r="F1148" s="50"/>
      <c r="G1148" s="50"/>
      <c r="H1148" s="5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8"/>
    </row>
    <row r="1149" spans="1:39" ht="15.75" customHeight="1">
      <c r="A1149" s="1"/>
      <c r="B1149" s="1"/>
      <c r="C1149" s="1"/>
      <c r="D1149" s="1"/>
      <c r="E1149" s="50"/>
      <c r="F1149" s="50"/>
      <c r="G1149" s="50"/>
      <c r="H1149" s="5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8"/>
    </row>
    <row r="1150" spans="1:39" ht="15.75" customHeight="1">
      <c r="A1150" s="1"/>
      <c r="B1150" s="1"/>
      <c r="C1150" s="1"/>
      <c r="D1150" s="1"/>
      <c r="E1150" s="50"/>
      <c r="F1150" s="50"/>
      <c r="G1150" s="50"/>
      <c r="H1150" s="5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8"/>
    </row>
    <row r="1151" spans="1:39" ht="15.75" customHeight="1">
      <c r="A1151" s="1"/>
      <c r="B1151" s="1"/>
      <c r="C1151" s="1"/>
      <c r="D1151" s="1"/>
      <c r="E1151" s="50"/>
      <c r="F1151" s="50"/>
      <c r="G1151" s="50"/>
      <c r="H1151" s="5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8"/>
    </row>
    <row r="1152" spans="1:39" ht="15.75" customHeight="1">
      <c r="A1152" s="1"/>
      <c r="B1152" s="1"/>
      <c r="C1152" s="1"/>
      <c r="D1152" s="1"/>
      <c r="E1152" s="50"/>
      <c r="F1152" s="50"/>
      <c r="G1152" s="50"/>
      <c r="H1152" s="5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8"/>
    </row>
    <row r="1153" spans="1:39" ht="15.75" customHeight="1">
      <c r="A1153" s="1"/>
      <c r="B1153" s="1"/>
      <c r="C1153" s="1"/>
      <c r="D1153" s="1"/>
      <c r="E1153" s="50"/>
      <c r="F1153" s="50"/>
      <c r="G1153" s="50"/>
      <c r="H1153" s="5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8"/>
    </row>
    <row r="1154" spans="1:39" ht="15.75" customHeight="1">
      <c r="A1154" s="1"/>
      <c r="B1154" s="1"/>
      <c r="C1154" s="1"/>
      <c r="D1154" s="1"/>
      <c r="E1154" s="50"/>
      <c r="F1154" s="50"/>
      <c r="G1154" s="50"/>
      <c r="H1154" s="5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8"/>
    </row>
    <row r="1155" spans="1:39" ht="15.75" customHeight="1">
      <c r="A1155" s="1"/>
      <c r="B1155" s="1"/>
      <c r="C1155" s="1"/>
      <c r="D1155" s="1"/>
      <c r="E1155" s="50"/>
      <c r="F1155" s="50"/>
      <c r="G1155" s="50"/>
      <c r="H1155" s="5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8"/>
    </row>
    <row r="1156" spans="1:39" ht="15.75" customHeight="1">
      <c r="A1156" s="1"/>
      <c r="B1156" s="1"/>
      <c r="C1156" s="1"/>
      <c r="D1156" s="1"/>
      <c r="E1156" s="50"/>
      <c r="F1156" s="50"/>
      <c r="G1156" s="50"/>
      <c r="H1156" s="5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8"/>
    </row>
    <row r="1157" spans="1:39" ht="15.75" customHeight="1">
      <c r="A1157" s="1"/>
      <c r="B1157" s="1"/>
      <c r="C1157" s="1"/>
      <c r="D1157" s="1"/>
      <c r="E1157" s="50"/>
      <c r="F1157" s="50"/>
      <c r="G1157" s="50"/>
      <c r="H1157" s="5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8"/>
    </row>
    <row r="1158" spans="1:39" ht="15.75" customHeight="1">
      <c r="A1158" s="1"/>
      <c r="B1158" s="1"/>
      <c r="C1158" s="1"/>
      <c r="D1158" s="1"/>
      <c r="E1158" s="50"/>
      <c r="F1158" s="50"/>
      <c r="G1158" s="50"/>
      <c r="H1158" s="5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8"/>
    </row>
    <row r="1159" spans="1:39" ht="15.75" customHeight="1">
      <c r="A1159" s="1"/>
      <c r="B1159" s="1"/>
      <c r="C1159" s="1"/>
      <c r="D1159" s="1"/>
      <c r="E1159" s="50"/>
      <c r="F1159" s="50"/>
      <c r="G1159" s="50"/>
      <c r="H1159" s="5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8"/>
    </row>
    <row r="1160" spans="1:39" ht="15.75" customHeight="1">
      <c r="A1160" s="1"/>
      <c r="B1160" s="1"/>
      <c r="C1160" s="1"/>
      <c r="D1160" s="1"/>
      <c r="E1160" s="50"/>
      <c r="F1160" s="50"/>
      <c r="G1160" s="50"/>
      <c r="H1160" s="5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8"/>
    </row>
    <row r="1161" spans="1:39" ht="15.75" customHeight="1">
      <c r="A1161" s="1"/>
      <c r="B1161" s="1"/>
      <c r="C1161" s="1"/>
      <c r="D1161" s="1"/>
      <c r="E1161" s="50"/>
      <c r="F1161" s="50"/>
      <c r="G1161" s="50"/>
      <c r="H1161" s="5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8"/>
    </row>
    <row r="1162" spans="1:39" ht="15.75" customHeight="1">
      <c r="A1162" s="1"/>
      <c r="B1162" s="1"/>
      <c r="C1162" s="1"/>
      <c r="D1162" s="1"/>
      <c r="E1162" s="50"/>
      <c r="F1162" s="50"/>
      <c r="G1162" s="50"/>
      <c r="H1162" s="5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8"/>
    </row>
    <row r="1163" spans="1:39" ht="15.75" customHeight="1">
      <c r="A1163" s="1"/>
      <c r="B1163" s="1"/>
      <c r="C1163" s="1"/>
      <c r="D1163" s="1"/>
      <c r="E1163" s="50"/>
      <c r="F1163" s="50"/>
      <c r="G1163" s="50"/>
      <c r="H1163" s="5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8"/>
    </row>
    <row r="1164" spans="1:39" ht="15.75" customHeight="1">
      <c r="A1164" s="1"/>
      <c r="B1164" s="1"/>
      <c r="C1164" s="1"/>
      <c r="D1164" s="1"/>
      <c r="E1164" s="50"/>
      <c r="F1164" s="50"/>
      <c r="G1164" s="50"/>
      <c r="H1164" s="5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8"/>
    </row>
    <row r="1165" spans="1:39" ht="15.75" customHeight="1">
      <c r="A1165" s="1"/>
      <c r="B1165" s="1"/>
      <c r="C1165" s="1"/>
      <c r="D1165" s="1"/>
      <c r="E1165" s="50"/>
      <c r="F1165" s="50"/>
      <c r="G1165" s="50"/>
      <c r="H1165" s="5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8"/>
    </row>
    <row r="1166" spans="1:39" ht="15.75" customHeight="1">
      <c r="A1166" s="1"/>
      <c r="B1166" s="1"/>
      <c r="C1166" s="1"/>
      <c r="D1166" s="1"/>
      <c r="E1166" s="50"/>
      <c r="F1166" s="50"/>
      <c r="G1166" s="50"/>
      <c r="H1166" s="5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8"/>
    </row>
    <row r="1167" spans="1:39" ht="15.75" customHeight="1">
      <c r="A1167" s="1"/>
      <c r="B1167" s="1"/>
      <c r="C1167" s="1"/>
      <c r="D1167" s="1"/>
      <c r="E1167" s="50"/>
      <c r="F1167" s="50"/>
      <c r="G1167" s="50"/>
      <c r="H1167" s="5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8"/>
    </row>
    <row r="1168" spans="1:39" ht="15.75" customHeight="1">
      <c r="A1168" s="1"/>
      <c r="B1168" s="1"/>
      <c r="C1168" s="1"/>
      <c r="D1168" s="1"/>
      <c r="E1168" s="50"/>
      <c r="F1168" s="50"/>
      <c r="G1168" s="50"/>
      <c r="H1168" s="5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8"/>
    </row>
    <row r="1169" spans="1:39" ht="15.75" customHeight="1">
      <c r="A1169" s="1"/>
      <c r="B1169" s="1"/>
      <c r="C1169" s="1"/>
      <c r="D1169" s="1"/>
      <c r="E1169" s="50"/>
      <c r="F1169" s="50"/>
      <c r="G1169" s="50"/>
      <c r="H1169" s="5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8"/>
    </row>
    <row r="1170" spans="1:39" ht="15.75" customHeight="1">
      <c r="A1170" s="1"/>
      <c r="B1170" s="1"/>
      <c r="C1170" s="1"/>
      <c r="D1170" s="1"/>
      <c r="E1170" s="50"/>
      <c r="F1170" s="50"/>
      <c r="G1170" s="50"/>
      <c r="H1170" s="5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8"/>
    </row>
    <row r="1171" spans="1:39" ht="15.75" customHeight="1">
      <c r="A1171" s="1"/>
      <c r="B1171" s="1"/>
      <c r="C1171" s="1"/>
      <c r="D1171" s="1"/>
      <c r="E1171" s="50"/>
      <c r="F1171" s="50"/>
      <c r="G1171" s="50"/>
      <c r="H1171" s="5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8"/>
    </row>
    <row r="1172" spans="1:39" ht="15.75" customHeight="1">
      <c r="A1172" s="1"/>
      <c r="B1172" s="1"/>
      <c r="C1172" s="1"/>
      <c r="D1172" s="1"/>
      <c r="E1172" s="50"/>
      <c r="F1172" s="50"/>
      <c r="G1172" s="50"/>
      <c r="H1172" s="5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8"/>
    </row>
    <row r="1173" spans="1:39" ht="15.75" customHeight="1">
      <c r="A1173" s="1"/>
      <c r="B1173" s="1"/>
      <c r="C1173" s="1"/>
      <c r="D1173" s="1"/>
      <c r="E1173" s="50"/>
      <c r="F1173" s="50"/>
      <c r="G1173" s="50"/>
      <c r="H1173" s="5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8"/>
    </row>
    <row r="1174" spans="1:39" ht="15.75" customHeight="1">
      <c r="A1174" s="1"/>
      <c r="B1174" s="1"/>
      <c r="C1174" s="1"/>
      <c r="D1174" s="1"/>
      <c r="E1174" s="50"/>
      <c r="F1174" s="50"/>
      <c r="G1174" s="50"/>
      <c r="H1174" s="5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8"/>
    </row>
    <row r="1175" spans="1:39" ht="15.75" customHeight="1">
      <c r="A1175" s="1"/>
      <c r="B1175" s="1"/>
      <c r="C1175" s="1"/>
      <c r="D1175" s="1"/>
      <c r="E1175" s="50"/>
      <c r="F1175" s="50"/>
      <c r="G1175" s="50"/>
      <c r="H1175" s="5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8"/>
    </row>
    <row r="1176" spans="1:39" ht="15.75" customHeight="1">
      <c r="A1176" s="1"/>
      <c r="B1176" s="1"/>
      <c r="C1176" s="1"/>
      <c r="D1176" s="1"/>
      <c r="E1176" s="50"/>
      <c r="F1176" s="50"/>
      <c r="G1176" s="50"/>
      <c r="H1176" s="5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8"/>
    </row>
    <row r="1177" spans="1:39" ht="15.75" customHeight="1">
      <c r="A1177" s="1"/>
      <c r="B1177" s="1"/>
      <c r="C1177" s="1"/>
      <c r="D1177" s="1"/>
      <c r="E1177" s="50"/>
      <c r="F1177" s="50"/>
      <c r="G1177" s="50"/>
      <c r="H1177" s="5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8"/>
    </row>
    <row r="1178" spans="1:39" ht="15.75" customHeight="1">
      <c r="A1178" s="1"/>
      <c r="B1178" s="1"/>
      <c r="C1178" s="1"/>
      <c r="D1178" s="1"/>
      <c r="E1178" s="50"/>
      <c r="F1178" s="50"/>
      <c r="G1178" s="50"/>
      <c r="H1178" s="5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8"/>
    </row>
    <row r="1179" spans="1:39" ht="15.75" customHeight="1">
      <c r="A1179" s="1"/>
      <c r="B1179" s="1"/>
      <c r="C1179" s="1"/>
      <c r="D1179" s="1"/>
      <c r="E1179" s="50"/>
      <c r="F1179" s="50"/>
      <c r="G1179" s="50"/>
      <c r="H1179" s="5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8"/>
    </row>
    <row r="1180" spans="1:39" ht="15.75" customHeight="1">
      <c r="A1180" s="1"/>
      <c r="B1180" s="1"/>
      <c r="C1180" s="1"/>
      <c r="D1180" s="1"/>
      <c r="E1180" s="50"/>
      <c r="F1180" s="50"/>
      <c r="G1180" s="50"/>
      <c r="H1180" s="5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8"/>
    </row>
    <row r="1181" spans="1:39" ht="15.75" customHeight="1">
      <c r="A1181" s="1"/>
      <c r="B1181" s="1"/>
      <c r="C1181" s="1"/>
      <c r="D1181" s="1"/>
      <c r="E1181" s="50"/>
      <c r="F1181" s="50"/>
      <c r="G1181" s="50"/>
      <c r="H1181" s="5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8"/>
    </row>
    <row r="1182" spans="1:39" ht="15.75" customHeight="1">
      <c r="A1182" s="1"/>
      <c r="B1182" s="1"/>
      <c r="C1182" s="1"/>
      <c r="D1182" s="1"/>
      <c r="E1182" s="50"/>
      <c r="F1182" s="50"/>
      <c r="G1182" s="50"/>
      <c r="H1182" s="5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8"/>
    </row>
    <row r="1183" spans="1:39" ht="15.75" customHeight="1">
      <c r="A1183" s="1"/>
      <c r="B1183" s="1"/>
      <c r="C1183" s="1"/>
      <c r="D1183" s="1"/>
      <c r="E1183" s="50"/>
      <c r="F1183" s="50"/>
      <c r="G1183" s="50"/>
      <c r="H1183" s="5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8"/>
    </row>
    <row r="1184" spans="1:39" ht="15.75" customHeight="1">
      <c r="A1184" s="1"/>
      <c r="B1184" s="1"/>
      <c r="C1184" s="1"/>
      <c r="D1184" s="1"/>
      <c r="E1184" s="50"/>
      <c r="F1184" s="50"/>
      <c r="G1184" s="50"/>
      <c r="H1184" s="5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8"/>
    </row>
    <row r="1185" spans="1:39" ht="15.75" customHeight="1">
      <c r="A1185" s="1"/>
      <c r="B1185" s="1"/>
      <c r="C1185" s="1"/>
      <c r="D1185" s="1"/>
      <c r="E1185" s="50"/>
      <c r="F1185" s="50"/>
      <c r="G1185" s="50"/>
      <c r="H1185" s="5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8"/>
    </row>
    <row r="1186" spans="1:39" ht="15.75" customHeight="1">
      <c r="A1186" s="1"/>
      <c r="B1186" s="1"/>
      <c r="C1186" s="1"/>
      <c r="D1186" s="1"/>
      <c r="E1186" s="50"/>
      <c r="F1186" s="50"/>
      <c r="G1186" s="50"/>
      <c r="H1186" s="5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8"/>
    </row>
    <row r="1187" spans="1:39" ht="15.75" customHeight="1">
      <c r="A1187" s="1"/>
      <c r="B1187" s="1"/>
      <c r="C1187" s="1"/>
      <c r="D1187" s="1"/>
      <c r="E1187" s="50"/>
      <c r="F1187" s="50"/>
      <c r="G1187" s="50"/>
      <c r="H1187" s="5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8"/>
    </row>
    <row r="1188" spans="1:39" ht="15.75" customHeight="1">
      <c r="A1188" s="1"/>
      <c r="B1188" s="1"/>
      <c r="C1188" s="1"/>
      <c r="D1188" s="1"/>
      <c r="E1188" s="50"/>
      <c r="F1188" s="50"/>
      <c r="G1188" s="50"/>
      <c r="H1188" s="5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8"/>
    </row>
    <row r="1189" spans="1:39" ht="15.75" customHeight="1">
      <c r="A1189" s="1"/>
      <c r="B1189" s="1"/>
      <c r="C1189" s="1"/>
      <c r="D1189" s="1"/>
      <c r="E1189" s="50"/>
      <c r="F1189" s="50"/>
      <c r="G1189" s="50"/>
      <c r="H1189" s="5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8"/>
    </row>
    <row r="1190" spans="1:39" ht="15.75" customHeight="1">
      <c r="A1190" s="1"/>
      <c r="B1190" s="1"/>
      <c r="C1190" s="1"/>
      <c r="D1190" s="1"/>
      <c r="E1190" s="50"/>
      <c r="F1190" s="50"/>
      <c r="G1190" s="50"/>
      <c r="H1190" s="5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8"/>
    </row>
    <row r="1191" spans="1:39" ht="15.75" customHeight="1">
      <c r="A1191" s="1"/>
      <c r="B1191" s="1"/>
      <c r="C1191" s="1"/>
      <c r="D1191" s="1"/>
      <c r="E1191" s="50"/>
      <c r="F1191" s="50"/>
      <c r="G1191" s="50"/>
      <c r="H1191" s="5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8"/>
    </row>
    <row r="1192" spans="1:39" ht="15.75" customHeight="1">
      <c r="A1192" s="1"/>
      <c r="B1192" s="1"/>
      <c r="C1192" s="1"/>
      <c r="D1192" s="1"/>
      <c r="E1192" s="50"/>
      <c r="F1192" s="50"/>
      <c r="G1192" s="50"/>
      <c r="H1192" s="5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8"/>
    </row>
    <row r="1193" spans="1:39" ht="15.75" customHeight="1">
      <c r="A1193" s="1"/>
      <c r="B1193" s="1"/>
      <c r="C1193" s="1"/>
      <c r="D1193" s="1"/>
      <c r="E1193" s="50"/>
      <c r="F1193" s="50"/>
      <c r="G1193" s="50"/>
      <c r="H1193" s="5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8"/>
    </row>
    <row r="1194" spans="1:39" ht="15.75" customHeight="1">
      <c r="A1194" s="1"/>
      <c r="B1194" s="1"/>
      <c r="C1194" s="1"/>
      <c r="D1194" s="1"/>
      <c r="E1194" s="50"/>
      <c r="F1194" s="50"/>
      <c r="G1194" s="50"/>
      <c r="H1194" s="5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8"/>
    </row>
    <row r="1195" spans="1:39" ht="15.75" customHeight="1">
      <c r="A1195" s="1"/>
      <c r="B1195" s="1"/>
      <c r="C1195" s="1"/>
      <c r="D1195" s="1"/>
      <c r="E1195" s="50"/>
      <c r="F1195" s="50"/>
      <c r="G1195" s="50"/>
      <c r="H1195" s="5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8"/>
    </row>
    <row r="1196" spans="1:39" ht="15.75" customHeight="1">
      <c r="A1196" s="1"/>
      <c r="B1196" s="1"/>
      <c r="C1196" s="1"/>
      <c r="D1196" s="1"/>
      <c r="E1196" s="50"/>
      <c r="F1196" s="50"/>
      <c r="G1196" s="50"/>
      <c r="H1196" s="5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8"/>
    </row>
    <row r="1197" spans="1:39" ht="15.75" customHeight="1">
      <c r="A1197" s="1"/>
      <c r="B1197" s="1"/>
      <c r="C1197" s="1"/>
      <c r="D1197" s="1"/>
      <c r="E1197" s="50"/>
      <c r="F1197" s="50"/>
      <c r="G1197" s="50"/>
      <c r="H1197" s="5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8"/>
    </row>
    <row r="1198" spans="1:39" ht="15.75" customHeight="1">
      <c r="A1198" s="1"/>
      <c r="B1198" s="1"/>
      <c r="C1198" s="1"/>
      <c r="D1198" s="1"/>
      <c r="E1198" s="50"/>
      <c r="F1198" s="50"/>
      <c r="G1198" s="50"/>
      <c r="H1198" s="5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8"/>
    </row>
    <row r="1199" spans="1:39" ht="15.75" customHeight="1">
      <c r="A1199" s="1"/>
      <c r="B1199" s="1"/>
      <c r="C1199" s="1"/>
      <c r="D1199" s="1"/>
      <c r="E1199" s="50"/>
      <c r="F1199" s="50"/>
      <c r="G1199" s="50"/>
      <c r="H1199" s="5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8"/>
    </row>
    <row r="1200" spans="1:39" ht="15.75" customHeight="1">
      <c r="A1200" s="1"/>
      <c r="B1200" s="1"/>
      <c r="C1200" s="1"/>
      <c r="D1200" s="1"/>
      <c r="E1200" s="50"/>
      <c r="F1200" s="50"/>
      <c r="G1200" s="50"/>
      <c r="H1200" s="5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8"/>
    </row>
    <row r="1201" spans="1:39" ht="15.75" customHeight="1">
      <c r="A1201" s="1"/>
      <c r="B1201" s="1"/>
      <c r="C1201" s="1"/>
      <c r="D1201" s="1"/>
      <c r="E1201" s="50"/>
      <c r="F1201" s="50"/>
      <c r="G1201" s="50"/>
      <c r="H1201" s="5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8"/>
    </row>
    <row r="1202" spans="1:39" ht="15.75" customHeight="1">
      <c r="A1202" s="1"/>
      <c r="B1202" s="1"/>
      <c r="C1202" s="1"/>
      <c r="D1202" s="1"/>
      <c r="E1202" s="50"/>
      <c r="F1202" s="50"/>
      <c r="G1202" s="50"/>
      <c r="H1202" s="5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8"/>
    </row>
    <row r="1203" spans="1:39" ht="15.75" customHeight="1">
      <c r="A1203" s="1"/>
      <c r="B1203" s="1"/>
      <c r="C1203" s="1"/>
      <c r="D1203" s="1"/>
      <c r="E1203" s="50"/>
      <c r="F1203" s="50"/>
      <c r="G1203" s="50"/>
      <c r="H1203" s="5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8"/>
    </row>
    <row r="1204" spans="1:39" ht="15.75" customHeight="1">
      <c r="A1204" s="1"/>
      <c r="B1204" s="1"/>
      <c r="C1204" s="1"/>
      <c r="D1204" s="1"/>
      <c r="E1204" s="50"/>
      <c r="F1204" s="50"/>
      <c r="G1204" s="50"/>
      <c r="H1204" s="5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8"/>
    </row>
    <row r="1205" spans="1:39" ht="15.75" customHeight="1">
      <c r="A1205" s="1"/>
      <c r="B1205" s="1"/>
      <c r="C1205" s="1"/>
      <c r="D1205" s="1"/>
      <c r="E1205" s="50"/>
      <c r="F1205" s="50"/>
      <c r="G1205" s="50"/>
      <c r="H1205" s="5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8"/>
    </row>
    <row r="1206" spans="1:39" ht="15.75" customHeight="1">
      <c r="A1206" s="1"/>
      <c r="B1206" s="1"/>
      <c r="C1206" s="1"/>
      <c r="D1206" s="1"/>
      <c r="E1206" s="50"/>
      <c r="F1206" s="50"/>
      <c r="G1206" s="50"/>
      <c r="H1206" s="5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8"/>
    </row>
    <row r="1207" spans="1:39" ht="15.75" customHeight="1">
      <c r="A1207" s="1"/>
      <c r="B1207" s="1"/>
      <c r="C1207" s="1"/>
      <c r="D1207" s="1"/>
      <c r="E1207" s="50"/>
      <c r="F1207" s="50"/>
      <c r="G1207" s="50"/>
      <c r="H1207" s="5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8"/>
    </row>
    <row r="1208" spans="1:39" ht="15.75" customHeight="1">
      <c r="A1208" s="1"/>
      <c r="B1208" s="1"/>
      <c r="C1208" s="1"/>
      <c r="D1208" s="1"/>
      <c r="E1208" s="50"/>
      <c r="F1208" s="50"/>
      <c r="G1208" s="50"/>
      <c r="H1208" s="5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8"/>
    </row>
    <row r="1209" spans="1:39" ht="15.75" customHeight="1">
      <c r="A1209" s="1"/>
      <c r="B1209" s="1"/>
      <c r="C1209" s="1"/>
      <c r="D1209" s="1"/>
      <c r="E1209" s="50"/>
      <c r="F1209" s="50"/>
      <c r="G1209" s="50"/>
      <c r="H1209" s="5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8"/>
    </row>
    <row r="1210" spans="1:39" ht="15.75" customHeight="1">
      <c r="A1210" s="1"/>
      <c r="B1210" s="1"/>
      <c r="C1210" s="1"/>
      <c r="D1210" s="1"/>
      <c r="E1210" s="50"/>
      <c r="F1210" s="50"/>
      <c r="G1210" s="50"/>
      <c r="H1210" s="5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8"/>
    </row>
    <row r="1211" spans="1:39" ht="15.75" customHeight="1">
      <c r="A1211" s="1"/>
      <c r="B1211" s="1"/>
      <c r="C1211" s="1"/>
      <c r="D1211" s="1"/>
      <c r="E1211" s="50"/>
      <c r="F1211" s="50"/>
      <c r="G1211" s="50"/>
      <c r="H1211" s="5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8"/>
    </row>
    <row r="1212" spans="1:39" ht="15.75" customHeight="1">
      <c r="A1212" s="1"/>
      <c r="B1212" s="1"/>
      <c r="C1212" s="1"/>
      <c r="D1212" s="1"/>
      <c r="E1212" s="50"/>
      <c r="F1212" s="50"/>
      <c r="G1212" s="50"/>
      <c r="H1212" s="5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8"/>
    </row>
    <row r="1213" spans="1:39" ht="15.75" customHeight="1">
      <c r="A1213" s="1"/>
      <c r="B1213" s="1"/>
      <c r="C1213" s="1"/>
      <c r="D1213" s="1"/>
      <c r="E1213" s="50"/>
      <c r="F1213" s="50"/>
      <c r="G1213" s="50"/>
      <c r="H1213" s="5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8"/>
    </row>
    <row r="1214" spans="1:39" ht="15.75" customHeight="1">
      <c r="A1214" s="1"/>
      <c r="B1214" s="1"/>
      <c r="C1214" s="1"/>
      <c r="D1214" s="1"/>
      <c r="E1214" s="50"/>
      <c r="F1214" s="50"/>
      <c r="G1214" s="50"/>
      <c r="H1214" s="5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8"/>
    </row>
    <row r="1215" spans="1:39" ht="15.75" customHeight="1">
      <c r="A1215" s="1"/>
      <c r="B1215" s="1"/>
      <c r="C1215" s="1"/>
      <c r="D1215" s="1"/>
      <c r="E1215" s="50"/>
      <c r="F1215" s="50"/>
      <c r="G1215" s="50"/>
      <c r="H1215" s="5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8"/>
    </row>
    <row r="1216" spans="1:39" ht="15.75" customHeight="1">
      <c r="A1216" s="1"/>
      <c r="B1216" s="1"/>
      <c r="C1216" s="1"/>
      <c r="D1216" s="1"/>
      <c r="E1216" s="50"/>
      <c r="F1216" s="50"/>
      <c r="G1216" s="50"/>
      <c r="H1216" s="5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8"/>
    </row>
    <row r="1217" spans="1:39" ht="15.75" customHeight="1">
      <c r="A1217" s="1"/>
      <c r="B1217" s="1"/>
      <c r="C1217" s="1"/>
      <c r="D1217" s="1"/>
      <c r="E1217" s="50"/>
      <c r="F1217" s="50"/>
      <c r="G1217" s="50"/>
      <c r="H1217" s="5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8"/>
    </row>
    <row r="1218" spans="1:39" ht="15.75" customHeight="1">
      <c r="A1218" s="1"/>
      <c r="B1218" s="1"/>
      <c r="C1218" s="1"/>
      <c r="D1218" s="1"/>
      <c r="E1218" s="50"/>
      <c r="F1218" s="50"/>
      <c r="G1218" s="50"/>
      <c r="H1218" s="5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8"/>
    </row>
    <row r="1219" spans="1:39" ht="15.75" customHeight="1">
      <c r="A1219" s="1"/>
      <c r="B1219" s="1"/>
      <c r="C1219" s="1"/>
      <c r="D1219" s="1"/>
      <c r="E1219" s="50"/>
      <c r="F1219" s="50"/>
      <c r="G1219" s="50"/>
      <c r="H1219" s="5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8"/>
    </row>
    <row r="1220" spans="1:39" ht="15.75" customHeight="1">
      <c r="A1220" s="1"/>
      <c r="B1220" s="1"/>
      <c r="C1220" s="1"/>
      <c r="D1220" s="1"/>
      <c r="E1220" s="50"/>
      <c r="F1220" s="50"/>
      <c r="G1220" s="50"/>
      <c r="H1220" s="5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8"/>
    </row>
    <row r="1221" spans="1:39" ht="15.75" customHeight="1">
      <c r="A1221" s="1"/>
      <c r="B1221" s="1"/>
      <c r="C1221" s="1"/>
      <c r="D1221" s="1"/>
      <c r="E1221" s="50"/>
      <c r="F1221" s="50"/>
      <c r="G1221" s="50"/>
      <c r="H1221" s="5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8"/>
    </row>
    <row r="1222" spans="1:39" ht="15.75" customHeight="1">
      <c r="A1222" s="1"/>
      <c r="B1222" s="1"/>
      <c r="C1222" s="1"/>
      <c r="D1222" s="1"/>
      <c r="E1222" s="50"/>
      <c r="F1222" s="50"/>
      <c r="G1222" s="50"/>
      <c r="H1222" s="5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8"/>
    </row>
    <row r="1223" spans="1:39" ht="15.75" customHeight="1">
      <c r="A1223" s="1"/>
      <c r="B1223" s="1"/>
      <c r="C1223" s="1"/>
      <c r="D1223" s="1"/>
      <c r="E1223" s="50"/>
      <c r="F1223" s="50"/>
      <c r="G1223" s="50"/>
      <c r="H1223" s="5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8"/>
    </row>
    <row r="1224" spans="1:39" ht="15.75" customHeight="1">
      <c r="A1224" s="1"/>
      <c r="B1224" s="1"/>
      <c r="C1224" s="1"/>
      <c r="D1224" s="1"/>
      <c r="E1224" s="50"/>
      <c r="F1224" s="50"/>
      <c r="G1224" s="50"/>
      <c r="H1224" s="5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8"/>
    </row>
    <row r="1225" spans="1:39" ht="15.75" customHeight="1">
      <c r="A1225" s="1"/>
      <c r="B1225" s="1"/>
      <c r="C1225" s="1"/>
      <c r="D1225" s="1"/>
      <c r="E1225" s="50"/>
      <c r="F1225" s="50"/>
      <c r="G1225" s="50"/>
      <c r="H1225" s="5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8"/>
    </row>
    <row r="1226" spans="1:39" ht="15.75" customHeight="1">
      <c r="A1226" s="1"/>
      <c r="B1226" s="1"/>
      <c r="C1226" s="1"/>
      <c r="D1226" s="1"/>
      <c r="E1226" s="50"/>
      <c r="F1226" s="50"/>
      <c r="G1226" s="50"/>
      <c r="H1226" s="5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8"/>
    </row>
    <row r="1227" spans="1:39" ht="15.75" customHeight="1">
      <c r="A1227" s="1"/>
      <c r="B1227" s="1"/>
      <c r="C1227" s="1"/>
      <c r="D1227" s="1"/>
      <c r="E1227" s="50"/>
      <c r="F1227" s="50"/>
      <c r="G1227" s="50"/>
      <c r="H1227" s="5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8"/>
    </row>
    <row r="1228" spans="1:39" ht="15.75" customHeight="1">
      <c r="A1228" s="1"/>
      <c r="B1228" s="1"/>
      <c r="C1228" s="1"/>
      <c r="D1228" s="1"/>
      <c r="E1228" s="50"/>
      <c r="F1228" s="50"/>
      <c r="G1228" s="50"/>
      <c r="H1228" s="5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8"/>
    </row>
    <row r="1229" spans="1:39" ht="15.75" customHeight="1">
      <c r="A1229" s="1"/>
      <c r="B1229" s="1"/>
      <c r="C1229" s="1"/>
      <c r="D1229" s="1"/>
      <c r="E1229" s="50"/>
      <c r="F1229" s="50"/>
      <c r="G1229" s="50"/>
      <c r="H1229" s="5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8"/>
    </row>
    <row r="1230" spans="1:39" ht="15.75" customHeight="1">
      <c r="A1230" s="1"/>
      <c r="B1230" s="1"/>
      <c r="C1230" s="1"/>
      <c r="D1230" s="1"/>
      <c r="E1230" s="50"/>
      <c r="F1230" s="50"/>
      <c r="G1230" s="50"/>
      <c r="H1230" s="5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8"/>
    </row>
    <row r="1231" spans="1:39" ht="15.75" customHeight="1">
      <c r="A1231" s="1"/>
      <c r="B1231" s="1"/>
      <c r="C1231" s="1"/>
      <c r="D1231" s="1"/>
      <c r="E1231" s="50"/>
      <c r="F1231" s="50"/>
      <c r="G1231" s="50"/>
      <c r="H1231" s="5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8"/>
    </row>
    <row r="1232" spans="1:39" ht="15.75" customHeight="1">
      <c r="A1232" s="1"/>
      <c r="B1232" s="1"/>
      <c r="C1232" s="1"/>
      <c r="D1232" s="1"/>
      <c r="E1232" s="50"/>
      <c r="F1232" s="50"/>
      <c r="G1232" s="50"/>
      <c r="H1232" s="5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8"/>
    </row>
    <row r="1233" spans="1:39" ht="15.75" customHeight="1">
      <c r="A1233" s="1"/>
      <c r="B1233" s="1"/>
      <c r="C1233" s="1"/>
      <c r="D1233" s="1"/>
      <c r="E1233" s="50"/>
      <c r="F1233" s="50"/>
      <c r="G1233" s="50"/>
      <c r="H1233" s="5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8"/>
    </row>
    <row r="1234" spans="1:39" ht="15.75" customHeight="1">
      <c r="A1234" s="1"/>
      <c r="B1234" s="1"/>
      <c r="C1234" s="1"/>
      <c r="D1234" s="1"/>
      <c r="E1234" s="50"/>
      <c r="F1234" s="50"/>
      <c r="G1234" s="50"/>
      <c r="H1234" s="5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8"/>
    </row>
    <row r="1235" spans="1:39" ht="15.75" customHeight="1">
      <c r="A1235" s="1"/>
      <c r="B1235" s="1"/>
      <c r="C1235" s="1"/>
      <c r="D1235" s="1"/>
      <c r="E1235" s="50"/>
      <c r="F1235" s="50"/>
      <c r="G1235" s="50"/>
      <c r="H1235" s="5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8"/>
    </row>
    <row r="1236" spans="1:39" ht="15.75" customHeight="1">
      <c r="A1236" s="1"/>
      <c r="B1236" s="1"/>
      <c r="C1236" s="1"/>
      <c r="D1236" s="1"/>
      <c r="E1236" s="50"/>
      <c r="F1236" s="50"/>
      <c r="G1236" s="50"/>
      <c r="H1236" s="5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8"/>
    </row>
    <row r="1237" spans="1:39" ht="15.75" customHeight="1">
      <c r="A1237" s="1"/>
      <c r="B1237" s="1"/>
      <c r="C1237" s="1"/>
      <c r="D1237" s="1"/>
      <c r="E1237" s="50"/>
      <c r="F1237" s="50"/>
      <c r="G1237" s="50"/>
      <c r="H1237" s="5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8"/>
    </row>
    <row r="1238" spans="1:39" ht="15.75" customHeight="1">
      <c r="A1238" s="1"/>
      <c r="B1238" s="1"/>
      <c r="C1238" s="1"/>
      <c r="D1238" s="1"/>
      <c r="E1238" s="50"/>
      <c r="F1238" s="50"/>
      <c r="G1238" s="50"/>
      <c r="H1238" s="5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8"/>
    </row>
    <row r="1239" spans="1:39" ht="15.75" customHeight="1">
      <c r="A1239" s="1"/>
      <c r="B1239" s="1"/>
      <c r="C1239" s="1"/>
      <c r="D1239" s="1"/>
      <c r="E1239" s="50"/>
      <c r="F1239" s="50"/>
      <c r="G1239" s="50"/>
      <c r="H1239" s="5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8"/>
    </row>
    <row r="1240" spans="1:39" ht="15.75" customHeight="1">
      <c r="A1240" s="1"/>
      <c r="B1240" s="1"/>
      <c r="C1240" s="1"/>
      <c r="D1240" s="1"/>
      <c r="E1240" s="50"/>
      <c r="F1240" s="50"/>
      <c r="G1240" s="50"/>
      <c r="H1240" s="5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8"/>
    </row>
    <row r="1241" spans="1:39" ht="15.75" customHeight="1">
      <c r="A1241" s="1"/>
      <c r="B1241" s="1"/>
      <c r="C1241" s="1"/>
      <c r="D1241" s="1"/>
      <c r="E1241" s="50"/>
      <c r="F1241" s="50"/>
      <c r="G1241" s="50"/>
      <c r="H1241" s="5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8"/>
    </row>
    <row r="1242" spans="1:39" ht="15.75" customHeight="1">
      <c r="A1242" s="1"/>
      <c r="B1242" s="1"/>
      <c r="C1242" s="1"/>
      <c r="D1242" s="1"/>
      <c r="E1242" s="50"/>
      <c r="F1242" s="50"/>
      <c r="G1242" s="50"/>
      <c r="H1242" s="5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8"/>
    </row>
    <row r="1243" spans="1:39" ht="15.75" customHeight="1">
      <c r="A1243" s="1"/>
      <c r="B1243" s="1"/>
      <c r="C1243" s="1"/>
      <c r="D1243" s="1"/>
      <c r="E1243" s="50"/>
      <c r="F1243" s="50"/>
      <c r="G1243" s="50"/>
      <c r="H1243" s="5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8"/>
    </row>
    <row r="1244" spans="1:39" ht="15.75" customHeight="1">
      <c r="A1244" s="1"/>
      <c r="B1244" s="1"/>
      <c r="C1244" s="1"/>
      <c r="D1244" s="1"/>
      <c r="E1244" s="50"/>
      <c r="F1244" s="50"/>
      <c r="G1244" s="50"/>
      <c r="H1244" s="5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8"/>
    </row>
    <row r="1245" spans="1:39" ht="15.75" customHeight="1">
      <c r="A1245" s="1"/>
      <c r="B1245" s="1"/>
      <c r="C1245" s="1"/>
      <c r="D1245" s="1"/>
      <c r="E1245" s="50"/>
      <c r="F1245" s="50"/>
      <c r="G1245" s="50"/>
      <c r="H1245" s="5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8"/>
    </row>
    <row r="1246" spans="1:39" ht="15.75" customHeight="1">
      <c r="A1246" s="1"/>
      <c r="B1246" s="1"/>
      <c r="C1246" s="1"/>
      <c r="D1246" s="1"/>
      <c r="E1246" s="50"/>
      <c r="F1246" s="50"/>
      <c r="G1246" s="50"/>
      <c r="H1246" s="5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8"/>
    </row>
    <row r="1247" spans="1:39" ht="15.75" customHeight="1">
      <c r="A1247" s="1"/>
      <c r="B1247" s="1"/>
      <c r="C1247" s="1"/>
      <c r="D1247" s="1"/>
      <c r="E1247" s="50"/>
      <c r="F1247" s="50"/>
      <c r="G1247" s="50"/>
      <c r="H1247" s="5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8"/>
    </row>
    <row r="1248" spans="1:39" ht="15.75" customHeight="1">
      <c r="A1248" s="1"/>
      <c r="B1248" s="1"/>
      <c r="C1248" s="1"/>
      <c r="D1248" s="1"/>
      <c r="E1248" s="50"/>
      <c r="F1248" s="50"/>
      <c r="G1248" s="50"/>
      <c r="H1248" s="5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8"/>
    </row>
    <row r="1249" spans="1:39" ht="15.75" customHeight="1">
      <c r="A1249" s="1"/>
      <c r="B1249" s="1"/>
      <c r="C1249" s="1"/>
      <c r="D1249" s="1"/>
      <c r="E1249" s="50"/>
      <c r="F1249" s="50"/>
      <c r="G1249" s="50"/>
      <c r="H1249" s="5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8"/>
    </row>
    <row r="1250" spans="1:39" ht="15.75" customHeight="1">
      <c r="A1250" s="1"/>
      <c r="B1250" s="1"/>
      <c r="C1250" s="1"/>
      <c r="D1250" s="1"/>
      <c r="E1250" s="50"/>
      <c r="F1250" s="50"/>
      <c r="G1250" s="50"/>
      <c r="H1250" s="5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8"/>
    </row>
    <row r="1251" spans="1:39" ht="15.75" customHeight="1">
      <c r="A1251" s="1"/>
      <c r="B1251" s="1"/>
      <c r="C1251" s="1"/>
      <c r="D1251" s="1"/>
      <c r="E1251" s="50"/>
      <c r="F1251" s="50"/>
      <c r="G1251" s="50"/>
      <c r="H1251" s="5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8"/>
    </row>
    <row r="1252" spans="1:39" ht="15.75" customHeight="1">
      <c r="A1252" s="1"/>
      <c r="B1252" s="1"/>
      <c r="C1252" s="1"/>
      <c r="D1252" s="1"/>
      <c r="E1252" s="50"/>
      <c r="F1252" s="50"/>
      <c r="G1252" s="50"/>
      <c r="H1252" s="5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8"/>
    </row>
    <row r="1253" spans="1:39" ht="15.75" customHeight="1">
      <c r="A1253" s="1"/>
      <c r="B1253" s="1"/>
      <c r="C1253" s="1"/>
      <c r="D1253" s="1"/>
      <c r="E1253" s="50"/>
      <c r="F1253" s="50"/>
      <c r="G1253" s="50"/>
      <c r="H1253" s="5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8"/>
    </row>
    <row r="1254" spans="1:39" ht="15.75" customHeight="1">
      <c r="A1254" s="1"/>
      <c r="B1254" s="1"/>
      <c r="C1254" s="1"/>
      <c r="D1254" s="1"/>
      <c r="E1254" s="50"/>
      <c r="F1254" s="50"/>
      <c r="G1254" s="50"/>
      <c r="H1254" s="5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8"/>
    </row>
    <row r="1255" spans="1:39" ht="15.75" customHeight="1">
      <c r="A1255" s="1"/>
      <c r="B1255" s="1"/>
      <c r="C1255" s="1"/>
      <c r="D1255" s="1"/>
      <c r="E1255" s="50"/>
      <c r="F1255" s="50"/>
      <c r="G1255" s="50"/>
      <c r="H1255" s="5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8"/>
    </row>
    <row r="1256" spans="1:39" ht="15.75" customHeight="1">
      <c r="A1256" s="1"/>
      <c r="B1256" s="1"/>
      <c r="C1256" s="1"/>
      <c r="D1256" s="1"/>
      <c r="E1256" s="50"/>
      <c r="F1256" s="50"/>
      <c r="G1256" s="50"/>
      <c r="H1256" s="5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8"/>
    </row>
    <row r="1257" spans="1:39" ht="15.75" customHeight="1">
      <c r="A1257" s="1"/>
      <c r="B1257" s="1"/>
      <c r="C1257" s="1"/>
      <c r="D1257" s="1"/>
      <c r="E1257" s="50"/>
      <c r="F1257" s="50"/>
      <c r="G1257" s="50"/>
      <c r="H1257" s="5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8"/>
    </row>
    <row r="1258" spans="1:39" ht="15.75" customHeight="1">
      <c r="A1258" s="1"/>
      <c r="B1258" s="1"/>
      <c r="C1258" s="1"/>
      <c r="D1258" s="1"/>
      <c r="E1258" s="50"/>
      <c r="F1258" s="50"/>
      <c r="G1258" s="50"/>
      <c r="H1258" s="5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8"/>
    </row>
    <row r="1259" spans="1:39" ht="15.75" customHeight="1">
      <c r="A1259" s="1"/>
      <c r="B1259" s="1"/>
      <c r="C1259" s="1"/>
      <c r="D1259" s="1"/>
      <c r="E1259" s="50"/>
      <c r="F1259" s="50"/>
      <c r="G1259" s="50"/>
      <c r="H1259" s="5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8"/>
    </row>
    <row r="1260" spans="1:39" ht="15.75" customHeight="1">
      <c r="A1260" s="1"/>
      <c r="B1260" s="1"/>
      <c r="C1260" s="1"/>
      <c r="D1260" s="1"/>
      <c r="E1260" s="50"/>
      <c r="F1260" s="50"/>
      <c r="G1260" s="50"/>
      <c r="H1260" s="5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8"/>
    </row>
    <row r="1261" spans="1:39" ht="15.75" customHeight="1">
      <c r="A1261" s="1"/>
      <c r="B1261" s="1"/>
      <c r="C1261" s="1"/>
      <c r="D1261" s="1"/>
      <c r="E1261" s="50"/>
      <c r="F1261" s="50"/>
      <c r="G1261" s="50"/>
      <c r="H1261" s="5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8"/>
    </row>
    <row r="1262" spans="1:39" ht="15.75" customHeight="1">
      <c r="A1262" s="1"/>
      <c r="B1262" s="1"/>
      <c r="C1262" s="1"/>
      <c r="D1262" s="1"/>
      <c r="E1262" s="50"/>
      <c r="F1262" s="50"/>
      <c r="G1262" s="50"/>
      <c r="H1262" s="5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8"/>
    </row>
    <row r="1263" spans="1:39" ht="15.75" customHeight="1">
      <c r="A1263" s="1"/>
      <c r="B1263" s="1"/>
      <c r="C1263" s="1"/>
      <c r="D1263" s="1"/>
      <c r="E1263" s="50"/>
      <c r="F1263" s="50"/>
      <c r="G1263" s="50"/>
      <c r="H1263" s="5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8"/>
    </row>
    <row r="1264" spans="1:39" ht="15.75" customHeight="1">
      <c r="A1264" s="1"/>
      <c r="B1264" s="1"/>
      <c r="C1264" s="1"/>
      <c r="D1264" s="1"/>
      <c r="E1264" s="50"/>
      <c r="F1264" s="50"/>
      <c r="G1264" s="50"/>
      <c r="H1264" s="5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8"/>
    </row>
    <row r="1265" spans="1:39" ht="15.75" customHeight="1">
      <c r="A1265" s="1"/>
      <c r="B1265" s="1"/>
      <c r="C1265" s="1"/>
      <c r="D1265" s="1"/>
      <c r="E1265" s="50"/>
      <c r="F1265" s="50"/>
      <c r="G1265" s="50"/>
      <c r="H1265" s="5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8"/>
    </row>
    <row r="1266" spans="1:39" ht="15.75" customHeight="1">
      <c r="A1266" s="1"/>
      <c r="B1266" s="1"/>
      <c r="C1266" s="1"/>
      <c r="D1266" s="1"/>
      <c r="E1266" s="50"/>
      <c r="F1266" s="50"/>
      <c r="G1266" s="50"/>
      <c r="H1266" s="5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8"/>
    </row>
    <row r="1267" spans="1:39" ht="15.75" customHeight="1">
      <c r="A1267" s="1"/>
      <c r="B1267" s="1"/>
      <c r="C1267" s="1"/>
      <c r="D1267" s="1"/>
      <c r="E1267" s="50"/>
      <c r="F1267" s="50"/>
      <c r="G1267" s="50"/>
      <c r="H1267" s="5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8"/>
    </row>
    <row r="1268" spans="1:39" ht="15.75" customHeight="1">
      <c r="A1268" s="1"/>
      <c r="B1268" s="1"/>
      <c r="C1268" s="1"/>
      <c r="D1268" s="1"/>
      <c r="E1268" s="50"/>
      <c r="F1268" s="50"/>
      <c r="G1268" s="50"/>
      <c r="H1268" s="5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8"/>
    </row>
    <row r="1269" spans="1:39" ht="15.75" customHeight="1">
      <c r="A1269" s="1"/>
      <c r="B1269" s="1"/>
      <c r="C1269" s="1"/>
      <c r="D1269" s="1"/>
      <c r="E1269" s="50"/>
      <c r="F1269" s="50"/>
      <c r="G1269" s="50"/>
      <c r="H1269" s="5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8"/>
    </row>
    <row r="1270" spans="1:39" ht="15.75" customHeight="1">
      <c r="A1270" s="1"/>
      <c r="B1270" s="1"/>
      <c r="C1270" s="1"/>
      <c r="D1270" s="1"/>
      <c r="E1270" s="50"/>
      <c r="F1270" s="50"/>
      <c r="G1270" s="50"/>
      <c r="H1270" s="5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8"/>
    </row>
    <row r="1271" spans="1:39" ht="15.75" customHeight="1">
      <c r="A1271" s="1"/>
      <c r="B1271" s="1"/>
      <c r="C1271" s="1"/>
      <c r="D1271" s="1"/>
      <c r="E1271" s="50"/>
      <c r="F1271" s="50"/>
      <c r="G1271" s="50"/>
      <c r="H1271" s="5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8"/>
    </row>
    <row r="1272" spans="1:39" ht="15.75" customHeight="1">
      <c r="A1272" s="1"/>
      <c r="B1272" s="1"/>
      <c r="C1272" s="1"/>
      <c r="D1272" s="1"/>
      <c r="E1272" s="50"/>
      <c r="F1272" s="50"/>
      <c r="G1272" s="50"/>
      <c r="H1272" s="5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8"/>
    </row>
    <row r="1273" spans="1:39" ht="15.75" customHeight="1">
      <c r="A1273" s="1"/>
      <c r="B1273" s="1"/>
      <c r="C1273" s="1"/>
      <c r="D1273" s="1"/>
      <c r="E1273" s="50"/>
      <c r="F1273" s="50"/>
      <c r="G1273" s="50"/>
      <c r="H1273" s="5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8"/>
    </row>
    <row r="1274" spans="1:39" ht="15.75" customHeight="1">
      <c r="A1274" s="1"/>
      <c r="B1274" s="1"/>
      <c r="C1274" s="1"/>
      <c r="D1274" s="1"/>
      <c r="E1274" s="50"/>
      <c r="F1274" s="50"/>
      <c r="G1274" s="50"/>
      <c r="H1274" s="5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8"/>
    </row>
    <row r="1275" spans="1:39" ht="15.75" customHeight="1">
      <c r="A1275" s="1"/>
      <c r="B1275" s="1"/>
      <c r="C1275" s="1"/>
      <c r="D1275" s="1"/>
      <c r="E1275" s="50"/>
      <c r="F1275" s="50"/>
      <c r="G1275" s="50"/>
      <c r="H1275" s="5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8"/>
    </row>
    <row r="1276" spans="1:39" ht="15.75" customHeight="1">
      <c r="A1276" s="1"/>
      <c r="B1276" s="1"/>
      <c r="C1276" s="1"/>
      <c r="D1276" s="1"/>
      <c r="E1276" s="50"/>
      <c r="F1276" s="50"/>
      <c r="G1276" s="50"/>
      <c r="H1276" s="5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8"/>
    </row>
    <row r="1277" spans="1:39" ht="15.75" customHeight="1">
      <c r="A1277" s="1"/>
      <c r="B1277" s="1"/>
      <c r="C1277" s="1"/>
      <c r="D1277" s="1"/>
      <c r="E1277" s="50"/>
      <c r="F1277" s="50"/>
      <c r="G1277" s="50"/>
      <c r="H1277" s="5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8"/>
    </row>
    <row r="1278" spans="1:39" ht="15.75" customHeight="1">
      <c r="A1278" s="1"/>
      <c r="B1278" s="1"/>
      <c r="C1278" s="1"/>
      <c r="D1278" s="1"/>
      <c r="E1278" s="50"/>
      <c r="F1278" s="50"/>
      <c r="G1278" s="50"/>
      <c r="H1278" s="5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8"/>
    </row>
    <row r="1279" spans="1:39" ht="15.75" customHeight="1">
      <c r="A1279" s="1"/>
      <c r="B1279" s="1"/>
      <c r="C1279" s="1"/>
      <c r="D1279" s="1"/>
      <c r="E1279" s="50"/>
      <c r="F1279" s="50"/>
      <c r="G1279" s="50"/>
      <c r="H1279" s="5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8"/>
    </row>
    <row r="1280" spans="1:39" ht="15.75" customHeight="1">
      <c r="A1280" s="1"/>
      <c r="B1280" s="1"/>
      <c r="C1280" s="1"/>
      <c r="D1280" s="1"/>
      <c r="E1280" s="50"/>
      <c r="F1280" s="50"/>
      <c r="G1280" s="50"/>
      <c r="H1280" s="5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8"/>
    </row>
  </sheetData>
  <mergeCells count="7">
    <mergeCell ref="I477:M477"/>
    <mergeCell ref="B491:B501"/>
    <mergeCell ref="B1:H1"/>
    <mergeCell ref="E103:I103"/>
    <mergeCell ref="E178:E190"/>
    <mergeCell ref="F229:G229"/>
    <mergeCell ref="B431:B458"/>
  </mergeCells>
  <hyperlinks>
    <hyperlink ref="D103" location="Google_Sheet_Link_1571033540" display="Nueva capacidad proyectada en los actuales planes de expansión" xr:uid="{00000000-0004-0000-0200-000000000000}"/>
    <hyperlink ref="D177" location="Google_Sheet_Link_784270939" display="**Pérdida de capacidad  (relacionado a la vida útil remanente)" xr:uid="{00000000-0004-0000-0200-000001000000}"/>
    <hyperlink ref="D244" location="Google_Sheet_Link_784270939" display="**Distribuida eólica [GW]" xr:uid="{00000000-0004-0000-0200-000002000000}"/>
    <hyperlink ref="K601" r:id="rId1" display="https://biblioteca.olade.org/opac-tmpl/Documentos/old0380.pdf" xr:uid="{00000000-0004-0000-0200-000003000000}"/>
    <hyperlink ref="M604" r:id="rId2" display="https://biblioteca.olade.org/opac-tmpl/Documentos/old0380.pdf" xr:uid="{00000000-0004-0000-0200-000004000000}"/>
    <hyperlink ref="K605" r:id="rId3" display="https://biblioteca.olade.org/opac-tmpl/Documentos/old0380.pdf" xr:uid="{00000000-0004-0000-0200-000005000000}"/>
  </hyperlinks>
  <pageMargins left="0.7" right="0.7" top="0.75" bottom="0.75" header="0" footer="0"/>
  <pageSetup orientation="landscape"/>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998"/>
  <sheetViews>
    <sheetView workbookViewId="0"/>
  </sheetViews>
  <sheetFormatPr defaultColWidth="12.6640625" defaultRowHeight="15" customHeight="1"/>
  <cols>
    <col min="1" max="1" width="7.44140625" customWidth="1"/>
    <col min="2" max="2" width="2.44140625" customWidth="1"/>
    <col min="3" max="3" width="22.6640625" customWidth="1"/>
    <col min="4" max="4" width="65.21875" customWidth="1"/>
    <col min="5" max="5" width="16.77734375" customWidth="1"/>
    <col min="6" max="7" width="15.44140625" customWidth="1"/>
    <col min="8" max="8" width="20.21875" customWidth="1"/>
    <col min="9" max="9" width="15.44140625" customWidth="1"/>
    <col min="10" max="37" width="12.44140625" customWidth="1"/>
    <col min="38" max="38" width="14" customWidth="1"/>
  </cols>
  <sheetData>
    <row r="1" spans="1:38" ht="14.25" customHeight="1">
      <c r="A1" s="619"/>
      <c r="B1" s="52"/>
      <c r="C1" s="373"/>
      <c r="D1" s="621" t="s">
        <v>6</v>
      </c>
      <c r="E1" s="374">
        <v>2018</v>
      </c>
      <c r="F1" s="374">
        <v>2019</v>
      </c>
      <c r="G1" s="374">
        <v>2020</v>
      </c>
      <c r="H1" s="373">
        <v>2021</v>
      </c>
      <c r="I1" s="373">
        <v>2022</v>
      </c>
      <c r="J1" s="373">
        <v>2023</v>
      </c>
      <c r="K1" s="373">
        <v>2024</v>
      </c>
      <c r="L1" s="373">
        <v>2025</v>
      </c>
      <c r="M1" s="373">
        <v>2026</v>
      </c>
      <c r="N1" s="373">
        <v>2027</v>
      </c>
      <c r="O1" s="373">
        <v>2028</v>
      </c>
      <c r="P1" s="373">
        <v>2029</v>
      </c>
      <c r="Q1" s="373">
        <v>2030</v>
      </c>
      <c r="R1" s="373">
        <v>2031</v>
      </c>
      <c r="S1" s="373">
        <v>2032</v>
      </c>
      <c r="T1" s="373">
        <v>2033</v>
      </c>
      <c r="U1" s="373">
        <v>2034</v>
      </c>
      <c r="V1" s="373">
        <v>2035</v>
      </c>
      <c r="W1" s="373">
        <v>2036</v>
      </c>
      <c r="X1" s="373">
        <v>2037</v>
      </c>
      <c r="Y1" s="373">
        <v>2038</v>
      </c>
      <c r="Z1" s="373">
        <v>2039</v>
      </c>
      <c r="AA1" s="373">
        <v>2040</v>
      </c>
      <c r="AB1" s="373">
        <v>2041</v>
      </c>
      <c r="AC1" s="373">
        <v>2042</v>
      </c>
      <c r="AD1" s="373">
        <v>2043</v>
      </c>
      <c r="AE1" s="373">
        <v>2044</v>
      </c>
      <c r="AF1" s="373">
        <v>2045</v>
      </c>
      <c r="AG1" s="373">
        <v>2046</v>
      </c>
      <c r="AH1" s="373">
        <v>2047</v>
      </c>
      <c r="AI1" s="373">
        <v>2048</v>
      </c>
      <c r="AJ1" s="373">
        <v>2049</v>
      </c>
      <c r="AK1" s="373">
        <v>2050</v>
      </c>
      <c r="AL1" s="53"/>
    </row>
    <row r="2" spans="1:38" ht="16.5" customHeight="1">
      <c r="A2" s="1"/>
      <c r="B2" s="1"/>
      <c r="C2" s="1"/>
      <c r="D2" s="54"/>
      <c r="E2" s="54"/>
      <c r="F2" s="54"/>
      <c r="G2" s="54"/>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25" customHeight="1">
      <c r="A3" s="619"/>
      <c r="B3" s="23"/>
      <c r="C3" s="249"/>
      <c r="D3" s="250"/>
      <c r="E3" s="250"/>
      <c r="F3" s="250"/>
      <c r="G3" s="250"/>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375"/>
    </row>
    <row r="4" spans="1:38" ht="14.25" customHeight="1">
      <c r="A4" s="619"/>
      <c r="B4" s="253"/>
      <c r="C4" s="258"/>
      <c r="D4" s="255" t="s">
        <v>129</v>
      </c>
      <c r="E4" s="259"/>
      <c r="F4" s="259"/>
      <c r="G4" s="259"/>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c r="AI4" s="376"/>
      <c r="AJ4" s="376"/>
      <c r="AK4" s="376"/>
      <c r="AL4" s="377"/>
    </row>
    <row r="5" spans="1:38" ht="14.25" customHeight="1">
      <c r="A5" s="619"/>
      <c r="B5" s="253"/>
      <c r="C5" s="258"/>
      <c r="D5" s="378"/>
      <c r="E5" s="378"/>
      <c r="F5" s="259"/>
      <c r="G5" s="259"/>
      <c r="H5" s="259"/>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76"/>
      <c r="AJ5" s="376"/>
      <c r="AK5" s="376"/>
      <c r="AL5" s="377"/>
    </row>
    <row r="6" spans="1:38" ht="14.25" customHeight="1">
      <c r="A6" s="619"/>
      <c r="B6" s="253"/>
      <c r="C6" s="258"/>
      <c r="D6" s="281" t="s">
        <v>377</v>
      </c>
      <c r="E6" s="376"/>
      <c r="F6" s="376"/>
      <c r="G6" s="376"/>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76"/>
      <c r="AH6" s="376"/>
      <c r="AI6" s="376"/>
      <c r="AJ6" s="376"/>
      <c r="AK6" s="376"/>
      <c r="AL6" s="377"/>
    </row>
    <row r="7" spans="1:38" ht="14.25" customHeight="1">
      <c r="A7" s="619"/>
      <c r="B7" s="253"/>
      <c r="C7" s="258"/>
      <c r="D7" s="281" t="s">
        <v>185</v>
      </c>
      <c r="E7" s="332">
        <f>Electricidad!E6</f>
        <v>0.14430000000000001</v>
      </c>
      <c r="F7" s="332">
        <f>Electricidad!F6</f>
        <v>0.14430000000000001</v>
      </c>
      <c r="G7" s="332">
        <f>Electricidad!G6</f>
        <v>0.14430000000000001</v>
      </c>
      <c r="H7" s="332">
        <f>Electricidad!H6</f>
        <v>0.14430000000000001</v>
      </c>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6"/>
      <c r="AL7" s="377"/>
    </row>
    <row r="8" spans="1:38" ht="14.25" customHeight="1">
      <c r="A8" s="619"/>
      <c r="B8" s="253"/>
      <c r="C8" s="258"/>
      <c r="D8" s="281" t="s">
        <v>219</v>
      </c>
      <c r="E8" s="256">
        <f>Electricidad!E9</f>
        <v>1.6500000000000001E-2</v>
      </c>
      <c r="F8" s="256">
        <f>Electricidad!F9</f>
        <v>1.6500000000000001E-2</v>
      </c>
      <c r="G8" s="256">
        <f>Electricidad!G9</f>
        <v>1.6500000000000001E-2</v>
      </c>
      <c r="H8" s="256">
        <f>Electricidad!H9</f>
        <v>1.6500000000000001E-2</v>
      </c>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376"/>
      <c r="AK8" s="376"/>
      <c r="AL8" s="377"/>
    </row>
    <row r="9" spans="1:38" ht="14.25" customHeight="1">
      <c r="A9" s="619"/>
      <c r="B9" s="253"/>
      <c r="C9" s="258"/>
      <c r="D9" s="281" t="s">
        <v>164</v>
      </c>
      <c r="E9" s="277">
        <f t="shared" ref="E9:H9" si="0">SUM(E10:E15)</f>
        <v>1.7332000000000001</v>
      </c>
      <c r="F9" s="277">
        <f t="shared" si="0"/>
        <v>1.7332000000000001</v>
      </c>
      <c r="G9" s="277">
        <f t="shared" si="0"/>
        <v>1.7332000000000001</v>
      </c>
      <c r="H9" s="277">
        <f t="shared" si="0"/>
        <v>1.7332000000000001</v>
      </c>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76"/>
      <c r="AH9" s="376"/>
      <c r="AI9" s="376"/>
      <c r="AJ9" s="376"/>
      <c r="AK9" s="376"/>
      <c r="AL9" s="377"/>
    </row>
    <row r="10" spans="1:38" ht="14.25" customHeight="1">
      <c r="A10" s="619"/>
      <c r="B10" s="253"/>
      <c r="C10" s="258"/>
      <c r="D10" s="259" t="s">
        <v>166</v>
      </c>
      <c r="E10" s="277">
        <f>Electricidad!E33</f>
        <v>4.2200000000000001E-2</v>
      </c>
      <c r="F10" s="277">
        <f>Electricidad!F33</f>
        <v>4.2200000000000001E-2</v>
      </c>
      <c r="G10" s="277">
        <f>Electricidad!G33</f>
        <v>4.2200000000000001E-2</v>
      </c>
      <c r="H10" s="277">
        <f>Electricidad!H33</f>
        <v>4.2200000000000001E-2</v>
      </c>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76"/>
      <c r="AH10" s="376"/>
      <c r="AI10" s="376"/>
      <c r="AJ10" s="376"/>
      <c r="AK10" s="376"/>
      <c r="AL10" s="377"/>
    </row>
    <row r="11" spans="1:38" ht="14.25" customHeight="1">
      <c r="A11" s="619"/>
      <c r="B11" s="253"/>
      <c r="C11" s="258"/>
      <c r="D11" s="259" t="s">
        <v>168</v>
      </c>
      <c r="E11" s="277">
        <f>Electricidad!E34</f>
        <v>0.21299999999999999</v>
      </c>
      <c r="F11" s="277">
        <f>Electricidad!F34</f>
        <v>0.21299999999999999</v>
      </c>
      <c r="G11" s="277">
        <f>Electricidad!G34</f>
        <v>0.21299999999999999</v>
      </c>
      <c r="H11" s="277">
        <f>Electricidad!H34</f>
        <v>0.21299999999999999</v>
      </c>
      <c r="I11" s="376"/>
      <c r="J11" s="376"/>
      <c r="K11" s="376"/>
      <c r="L11" s="376"/>
      <c r="M11" s="376"/>
      <c r="N11" s="376"/>
      <c r="O11" s="376"/>
      <c r="P11" s="376"/>
      <c r="Q11" s="376"/>
      <c r="R11" s="376"/>
      <c r="S11" s="376"/>
      <c r="T11" s="376"/>
      <c r="U11" s="376"/>
      <c r="V11" s="376"/>
      <c r="W11" s="376"/>
      <c r="X11" s="376"/>
      <c r="Y11" s="376"/>
      <c r="Z11" s="376"/>
      <c r="AA11" s="376"/>
      <c r="AB11" s="376"/>
      <c r="AC11" s="376"/>
      <c r="AD11" s="376"/>
      <c r="AE11" s="376"/>
      <c r="AF11" s="376"/>
      <c r="AG11" s="376"/>
      <c r="AH11" s="376"/>
      <c r="AI11" s="376"/>
      <c r="AJ11" s="376"/>
      <c r="AK11" s="376"/>
      <c r="AL11" s="377"/>
    </row>
    <row r="12" spans="1:38" ht="14.25" customHeight="1">
      <c r="A12" s="619"/>
      <c r="B12" s="253"/>
      <c r="C12" s="258"/>
      <c r="D12" s="259" t="s">
        <v>170</v>
      </c>
      <c r="E12" s="277">
        <f>Electricidad!E35</f>
        <v>0</v>
      </c>
      <c r="F12" s="277">
        <f>Electricidad!F35</f>
        <v>0</v>
      </c>
      <c r="G12" s="277">
        <f>Electricidad!G35</f>
        <v>0</v>
      </c>
      <c r="H12" s="277">
        <f>Electricidad!H35</f>
        <v>0</v>
      </c>
      <c r="I12" s="376"/>
      <c r="J12" s="376"/>
      <c r="K12" s="376"/>
      <c r="L12" s="376"/>
      <c r="M12" s="376"/>
      <c r="N12" s="376"/>
      <c r="O12" s="376"/>
      <c r="P12" s="376"/>
      <c r="Q12" s="376"/>
      <c r="R12" s="376"/>
      <c r="S12" s="376"/>
      <c r="T12" s="376"/>
      <c r="U12" s="376"/>
      <c r="V12" s="376"/>
      <c r="W12" s="376"/>
      <c r="X12" s="376"/>
      <c r="Y12" s="376"/>
      <c r="Z12" s="376"/>
      <c r="AA12" s="376"/>
      <c r="AB12" s="376"/>
      <c r="AC12" s="376"/>
      <c r="AD12" s="376"/>
      <c r="AE12" s="376"/>
      <c r="AF12" s="376"/>
      <c r="AG12" s="376"/>
      <c r="AH12" s="376"/>
      <c r="AI12" s="376"/>
      <c r="AJ12" s="376"/>
      <c r="AK12" s="376"/>
      <c r="AL12" s="377"/>
    </row>
    <row r="13" spans="1:38" ht="14.25" customHeight="1">
      <c r="A13" s="619"/>
      <c r="B13" s="253"/>
      <c r="C13" s="258"/>
      <c r="D13" s="259" t="s">
        <v>172</v>
      </c>
      <c r="E13" s="277">
        <f>Electricidad!E36</f>
        <v>0</v>
      </c>
      <c r="F13" s="277">
        <f>Electricidad!F36</f>
        <v>0</v>
      </c>
      <c r="G13" s="277">
        <f>Electricidad!G36</f>
        <v>0</v>
      </c>
      <c r="H13" s="277">
        <f>Electricidad!H36</f>
        <v>0</v>
      </c>
      <c r="I13" s="376"/>
      <c r="J13" s="376"/>
      <c r="K13" s="376"/>
      <c r="L13" s="376"/>
      <c r="M13" s="376"/>
      <c r="N13" s="376"/>
      <c r="O13" s="376"/>
      <c r="P13" s="376"/>
      <c r="Q13" s="376"/>
      <c r="R13" s="376"/>
      <c r="S13" s="376"/>
      <c r="T13" s="376"/>
      <c r="U13" s="376"/>
      <c r="V13" s="376"/>
      <c r="W13" s="376"/>
      <c r="X13" s="376"/>
      <c r="Y13" s="376"/>
      <c r="Z13" s="376"/>
      <c r="AA13" s="376"/>
      <c r="AB13" s="376"/>
      <c r="AC13" s="376"/>
      <c r="AD13" s="376"/>
      <c r="AE13" s="376"/>
      <c r="AF13" s="376"/>
      <c r="AG13" s="376"/>
      <c r="AH13" s="376"/>
      <c r="AI13" s="376"/>
      <c r="AJ13" s="376"/>
      <c r="AK13" s="376"/>
      <c r="AL13" s="377"/>
    </row>
    <row r="14" spans="1:38" ht="14.25" customHeight="1">
      <c r="A14" s="619"/>
      <c r="B14" s="253"/>
      <c r="C14" s="258"/>
      <c r="D14" s="259" t="s">
        <v>174</v>
      </c>
      <c r="E14" s="277">
        <f>Electricidad!E37</f>
        <v>0.40300000000000002</v>
      </c>
      <c r="F14" s="277">
        <f>Electricidad!F37</f>
        <v>0.40300000000000002</v>
      </c>
      <c r="G14" s="277">
        <f>Electricidad!G37</f>
        <v>0.40300000000000002</v>
      </c>
      <c r="H14" s="277">
        <f>Electricidad!H37</f>
        <v>0.40300000000000002</v>
      </c>
      <c r="I14" s="376"/>
      <c r="J14" s="376"/>
      <c r="K14" s="376"/>
      <c r="L14" s="376"/>
      <c r="M14" s="376"/>
      <c r="N14" s="376"/>
      <c r="O14" s="376"/>
      <c r="P14" s="376"/>
      <c r="Q14" s="376"/>
      <c r="R14" s="376"/>
      <c r="S14" s="376"/>
      <c r="T14" s="376"/>
      <c r="U14" s="376"/>
      <c r="V14" s="376"/>
      <c r="W14" s="376"/>
      <c r="X14" s="376"/>
      <c r="Y14" s="376"/>
      <c r="Z14" s="376"/>
      <c r="AA14" s="376"/>
      <c r="AB14" s="376"/>
      <c r="AC14" s="376"/>
      <c r="AD14" s="376"/>
      <c r="AE14" s="376"/>
      <c r="AF14" s="376"/>
      <c r="AG14" s="376"/>
      <c r="AH14" s="376"/>
      <c r="AI14" s="376"/>
      <c r="AJ14" s="376"/>
      <c r="AK14" s="376"/>
      <c r="AL14" s="377"/>
    </row>
    <row r="15" spans="1:38" ht="14.25" customHeight="1">
      <c r="A15" s="619"/>
      <c r="B15" s="253"/>
      <c r="C15" s="258"/>
      <c r="D15" s="259" t="s">
        <v>176</v>
      </c>
      <c r="E15" s="277">
        <f>Electricidad!E38</f>
        <v>1.075</v>
      </c>
      <c r="F15" s="277">
        <f>Electricidad!F38</f>
        <v>1.075</v>
      </c>
      <c r="G15" s="277">
        <f>Electricidad!G38</f>
        <v>1.075</v>
      </c>
      <c r="H15" s="277">
        <f>Electricidad!H38</f>
        <v>1.075</v>
      </c>
      <c r="I15" s="376"/>
      <c r="J15" s="376"/>
      <c r="K15" s="376"/>
      <c r="L15" s="376"/>
      <c r="M15" s="376"/>
      <c r="N15" s="376"/>
      <c r="O15" s="376"/>
      <c r="P15" s="376"/>
      <c r="Q15" s="376"/>
      <c r="R15" s="376"/>
      <c r="S15" s="376"/>
      <c r="T15" s="376"/>
      <c r="U15" s="376"/>
      <c r="V15" s="376"/>
      <c r="W15" s="376"/>
      <c r="X15" s="376"/>
      <c r="Y15" s="376"/>
      <c r="Z15" s="376"/>
      <c r="AA15" s="376"/>
      <c r="AB15" s="376"/>
      <c r="AC15" s="376"/>
      <c r="AD15" s="376"/>
      <c r="AE15" s="376"/>
      <c r="AF15" s="376"/>
      <c r="AG15" s="376"/>
      <c r="AH15" s="376"/>
      <c r="AI15" s="376"/>
      <c r="AJ15" s="376"/>
      <c r="AK15" s="376"/>
      <c r="AL15" s="377"/>
    </row>
    <row r="16" spans="1:38" ht="14.25" customHeight="1">
      <c r="A16" s="619"/>
      <c r="B16" s="253"/>
      <c r="C16" s="258"/>
      <c r="D16" s="281" t="s">
        <v>177</v>
      </c>
      <c r="E16" s="277">
        <f t="shared" ref="E16:H16" si="1">SUM(E17:E22)</f>
        <v>3.3271439899999997</v>
      </c>
      <c r="F16" s="277">
        <f t="shared" si="1"/>
        <v>3.3371439899999999</v>
      </c>
      <c r="G16" s="277">
        <f t="shared" si="1"/>
        <v>3.3594859899999996</v>
      </c>
      <c r="H16" s="277">
        <f t="shared" si="1"/>
        <v>3.3675859900000003</v>
      </c>
      <c r="I16" s="376"/>
      <c r="J16" s="376"/>
      <c r="K16" s="376"/>
      <c r="L16" s="376"/>
      <c r="M16" s="376"/>
      <c r="N16" s="376"/>
      <c r="O16" s="376"/>
      <c r="P16" s="376"/>
      <c r="Q16" s="376"/>
      <c r="R16" s="376"/>
      <c r="S16" s="376"/>
      <c r="T16" s="376"/>
      <c r="U16" s="376"/>
      <c r="V16" s="376"/>
      <c r="W16" s="376"/>
      <c r="X16" s="376"/>
      <c r="Y16" s="376"/>
      <c r="Z16" s="376"/>
      <c r="AA16" s="376"/>
      <c r="AB16" s="376"/>
      <c r="AC16" s="376"/>
      <c r="AD16" s="376"/>
      <c r="AE16" s="376"/>
      <c r="AF16" s="376"/>
      <c r="AG16" s="376"/>
      <c r="AH16" s="376"/>
      <c r="AI16" s="376"/>
      <c r="AJ16" s="376"/>
      <c r="AK16" s="376"/>
      <c r="AL16" s="377"/>
    </row>
    <row r="17" spans="1:38" ht="14.25" customHeight="1">
      <c r="A17" s="619"/>
      <c r="B17" s="253"/>
      <c r="C17" s="258"/>
      <c r="D17" s="259" t="s">
        <v>166</v>
      </c>
      <c r="E17" s="277">
        <f>Electricidad!E40</f>
        <v>5.4393999999999998E-2</v>
      </c>
      <c r="F17" s="277">
        <f>Electricidad!F40</f>
        <v>5.4393999999999991E-2</v>
      </c>
      <c r="G17" s="277">
        <f>Electricidad!G40</f>
        <v>6.4539999999999986E-2</v>
      </c>
      <c r="H17" s="277">
        <f>Electricidad!H40</f>
        <v>6.4539999999999986E-2</v>
      </c>
      <c r="I17" s="376"/>
      <c r="J17" s="376"/>
      <c r="K17" s="376"/>
      <c r="L17" s="376"/>
      <c r="M17" s="376"/>
      <c r="N17" s="376"/>
      <c r="O17" s="376"/>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7"/>
    </row>
    <row r="18" spans="1:38" ht="14.25" customHeight="1">
      <c r="A18" s="619"/>
      <c r="B18" s="253"/>
      <c r="C18" s="258"/>
      <c r="D18" s="259" t="s">
        <v>168</v>
      </c>
      <c r="E18" s="277">
        <f>Electricidad!E41</f>
        <v>0.33335999999999999</v>
      </c>
      <c r="F18" s="277">
        <f>Electricidad!F41</f>
        <v>0.33335999999999999</v>
      </c>
      <c r="G18" s="277">
        <f>Electricidad!G41</f>
        <v>0.33335999999999999</v>
      </c>
      <c r="H18" s="277">
        <f>Electricidad!H41</f>
        <v>0.33335999999999999</v>
      </c>
      <c r="I18" s="376"/>
      <c r="J18" s="376"/>
      <c r="K18" s="376"/>
      <c r="L18" s="376"/>
      <c r="M18" s="376"/>
      <c r="N18" s="376"/>
      <c r="O18" s="376"/>
      <c r="P18" s="376"/>
      <c r="Q18" s="376"/>
      <c r="R18" s="376"/>
      <c r="S18" s="376"/>
      <c r="T18" s="376"/>
      <c r="U18" s="376"/>
      <c r="V18" s="376"/>
      <c r="W18" s="376"/>
      <c r="X18" s="376"/>
      <c r="Y18" s="376"/>
      <c r="Z18" s="376"/>
      <c r="AA18" s="376"/>
      <c r="AB18" s="376"/>
      <c r="AC18" s="376"/>
      <c r="AD18" s="376"/>
      <c r="AE18" s="376"/>
      <c r="AF18" s="376"/>
      <c r="AG18" s="376"/>
      <c r="AH18" s="376"/>
      <c r="AI18" s="376"/>
      <c r="AJ18" s="376"/>
      <c r="AK18" s="376"/>
      <c r="AL18" s="377"/>
    </row>
    <row r="19" spans="1:38" ht="14.25" customHeight="1">
      <c r="A19" s="619"/>
      <c r="B19" s="253"/>
      <c r="C19" s="258"/>
      <c r="D19" s="259" t="s">
        <v>170</v>
      </c>
      <c r="E19" s="277">
        <f>Electricidad!E42</f>
        <v>0</v>
      </c>
      <c r="F19" s="277">
        <f>Electricidad!F42</f>
        <v>0</v>
      </c>
      <c r="G19" s="277">
        <f>Electricidad!G42</f>
        <v>0</v>
      </c>
      <c r="H19" s="277">
        <f>Electricidad!H42</f>
        <v>0</v>
      </c>
      <c r="I19" s="376"/>
      <c r="J19" s="376"/>
      <c r="K19" s="376"/>
      <c r="L19" s="376"/>
      <c r="M19" s="376"/>
      <c r="N19" s="376"/>
      <c r="O19" s="376"/>
      <c r="P19" s="376"/>
      <c r="Q19" s="376"/>
      <c r="R19" s="376"/>
      <c r="S19" s="376"/>
      <c r="T19" s="376"/>
      <c r="U19" s="376"/>
      <c r="V19" s="376"/>
      <c r="W19" s="376"/>
      <c r="X19" s="376"/>
      <c r="Y19" s="376"/>
      <c r="Z19" s="376"/>
      <c r="AA19" s="376"/>
      <c r="AB19" s="376"/>
      <c r="AC19" s="376"/>
      <c r="AD19" s="376"/>
      <c r="AE19" s="376"/>
      <c r="AF19" s="376"/>
      <c r="AG19" s="376"/>
      <c r="AH19" s="376"/>
      <c r="AI19" s="376"/>
      <c r="AJ19" s="376"/>
      <c r="AK19" s="376"/>
      <c r="AL19" s="377"/>
    </row>
    <row r="20" spans="1:38" ht="14.25" customHeight="1">
      <c r="A20" s="619"/>
      <c r="B20" s="253"/>
      <c r="C20" s="258"/>
      <c r="D20" s="259" t="s">
        <v>172</v>
      </c>
      <c r="E20" s="277">
        <f>Electricidad!E43</f>
        <v>0.54239000000000004</v>
      </c>
      <c r="F20" s="277">
        <f>Electricidad!F43</f>
        <v>0.55239000000000005</v>
      </c>
      <c r="G20" s="277">
        <f>Electricidad!G43</f>
        <v>0.500282</v>
      </c>
      <c r="H20" s="277">
        <f>Electricidad!H43</f>
        <v>0.508382</v>
      </c>
      <c r="I20" s="376"/>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376"/>
      <c r="AJ20" s="376"/>
      <c r="AK20" s="376"/>
      <c r="AL20" s="377"/>
    </row>
    <row r="21" spans="1:38" ht="14.25" customHeight="1">
      <c r="A21" s="619"/>
      <c r="B21" s="253"/>
      <c r="C21" s="258"/>
      <c r="D21" s="259" t="s">
        <v>174</v>
      </c>
      <c r="E21" s="277">
        <f>Electricidad!E44</f>
        <v>0.41</v>
      </c>
      <c r="F21" s="277">
        <f>Electricidad!F44</f>
        <v>0.41</v>
      </c>
      <c r="G21" s="277">
        <f>Electricidad!G44</f>
        <v>0.47430399999999995</v>
      </c>
      <c r="H21" s="277">
        <f>Electricidad!H44</f>
        <v>0.47430399999999995</v>
      </c>
      <c r="I21" s="376"/>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376"/>
      <c r="AJ21" s="376"/>
      <c r="AK21" s="376"/>
      <c r="AL21" s="377"/>
    </row>
    <row r="22" spans="1:38" ht="14.25" customHeight="1">
      <c r="A22" s="619"/>
      <c r="B22" s="253"/>
      <c r="C22" s="258"/>
      <c r="D22" s="259" t="s">
        <v>176</v>
      </c>
      <c r="E22" s="277">
        <f>Electricidad!E45</f>
        <v>1.9869999899999999</v>
      </c>
      <c r="F22" s="277">
        <f>Electricidad!F45</f>
        <v>1.9869999899999999</v>
      </c>
      <c r="G22" s="277">
        <f>Electricidad!G45</f>
        <v>1.9869999899999999</v>
      </c>
      <c r="H22" s="277">
        <f>Electricidad!H45</f>
        <v>1.9869999899999999</v>
      </c>
      <c r="I22" s="376"/>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376"/>
      <c r="AJ22" s="376"/>
      <c r="AK22" s="376"/>
      <c r="AL22" s="377"/>
    </row>
    <row r="23" spans="1:38" ht="14.25" customHeight="1">
      <c r="A23" s="619"/>
      <c r="B23" s="253"/>
      <c r="C23" s="258"/>
      <c r="D23" s="281" t="s">
        <v>221</v>
      </c>
      <c r="E23" s="256">
        <v>2.4460819999999991E-2</v>
      </c>
      <c r="F23" s="256">
        <v>2.4460819999999991E-2</v>
      </c>
      <c r="G23" s="256">
        <v>2.4460819999999991E-2</v>
      </c>
      <c r="H23" s="256">
        <v>2.4460819999999991E-2</v>
      </c>
      <c r="I23" s="376"/>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376"/>
      <c r="AJ23" s="376"/>
      <c r="AK23" s="376"/>
      <c r="AL23" s="377"/>
    </row>
    <row r="24" spans="1:38" ht="14.25" customHeight="1">
      <c r="A24" s="619"/>
      <c r="B24" s="253"/>
      <c r="C24" s="258"/>
      <c r="D24" s="281" t="s">
        <v>308</v>
      </c>
      <c r="E24" s="376"/>
      <c r="F24" s="376"/>
      <c r="G24" s="376"/>
      <c r="H24" s="376"/>
      <c r="I24" s="376"/>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376"/>
      <c r="AJ24" s="376"/>
      <c r="AK24" s="376"/>
      <c r="AL24" s="377"/>
    </row>
    <row r="25" spans="1:38" ht="14.25" customHeight="1">
      <c r="A25" s="619"/>
      <c r="B25" s="253"/>
      <c r="C25" s="258"/>
      <c r="D25" s="266" t="s">
        <v>145</v>
      </c>
      <c r="E25" s="266"/>
      <c r="F25" s="266"/>
      <c r="G25" s="266"/>
      <c r="H25" s="266"/>
      <c r="I25" s="376"/>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376"/>
      <c r="AJ25" s="376"/>
      <c r="AK25" s="376"/>
      <c r="AL25" s="377"/>
    </row>
    <row r="26" spans="1:38" ht="14.25" customHeight="1">
      <c r="A26" s="619"/>
      <c r="B26" s="253"/>
      <c r="C26" s="258"/>
      <c r="D26" s="259" t="s">
        <v>155</v>
      </c>
      <c r="E26" s="256">
        <f>Electricidad!E20</f>
        <v>0.30998559999999997</v>
      </c>
      <c r="F26" s="256">
        <f>Electricidad!F20</f>
        <v>0.2623856</v>
      </c>
      <c r="G26" s="256">
        <f>Electricidad!G20</f>
        <v>0.2623856</v>
      </c>
      <c r="H26" s="256">
        <f>Electricidad!H20</f>
        <v>0.2623856</v>
      </c>
      <c r="I26" s="376"/>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376"/>
      <c r="AJ26" s="376"/>
      <c r="AK26" s="376"/>
      <c r="AL26" s="377"/>
    </row>
    <row r="27" spans="1:38" ht="14.25" customHeight="1">
      <c r="A27" s="619"/>
      <c r="B27" s="253"/>
      <c r="C27" s="258"/>
      <c r="D27" s="259" t="s">
        <v>160</v>
      </c>
      <c r="E27" s="256">
        <f>Electricidad!E21</f>
        <v>0.43722</v>
      </c>
      <c r="F27" s="256">
        <f>Electricidad!F21</f>
        <v>0.43722</v>
      </c>
      <c r="G27" s="256">
        <f>Electricidad!G21</f>
        <v>0.43722</v>
      </c>
      <c r="H27" s="256">
        <f>Electricidad!H21</f>
        <v>0.44643999999999995</v>
      </c>
      <c r="I27" s="376"/>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376"/>
      <c r="AJ27" s="376"/>
      <c r="AK27" s="376"/>
      <c r="AL27" s="377"/>
    </row>
    <row r="28" spans="1:38" ht="14.25" customHeight="1">
      <c r="A28" s="619"/>
      <c r="B28" s="253"/>
      <c r="C28" s="258"/>
      <c r="D28" s="379" t="s">
        <v>308</v>
      </c>
      <c r="E28" s="256">
        <f>Electricidad!E22</f>
        <v>2.2499999999999998E-3</v>
      </c>
      <c r="F28" s="256">
        <f>Electricidad!F22</f>
        <v>2.2499999999999998E-3</v>
      </c>
      <c r="G28" s="256">
        <f>Electricidad!G22</f>
        <v>2.2499999999999998E-3</v>
      </c>
      <c r="H28" s="256">
        <f>Electricidad!H22</f>
        <v>2.2499999999999998E-3</v>
      </c>
      <c r="I28" s="376"/>
      <c r="J28" s="376"/>
      <c r="K28" s="376"/>
      <c r="L28" s="376"/>
      <c r="M28" s="376"/>
      <c r="N28" s="376"/>
      <c r="O28" s="376"/>
      <c r="P28" s="376"/>
      <c r="Q28" s="376"/>
      <c r="R28" s="376"/>
      <c r="S28" s="376"/>
      <c r="T28" s="376"/>
      <c r="U28" s="376"/>
      <c r="V28" s="376"/>
      <c r="W28" s="376"/>
      <c r="X28" s="376"/>
      <c r="Y28" s="376"/>
      <c r="Z28" s="376"/>
      <c r="AA28" s="376"/>
      <c r="AB28" s="376"/>
      <c r="AC28" s="376"/>
      <c r="AD28" s="376"/>
      <c r="AE28" s="376"/>
      <c r="AF28" s="376"/>
      <c r="AG28" s="376"/>
      <c r="AH28" s="376"/>
      <c r="AI28" s="376"/>
      <c r="AJ28" s="376"/>
      <c r="AK28" s="376"/>
      <c r="AL28" s="377"/>
    </row>
    <row r="29" spans="1:38" ht="14.25" customHeight="1">
      <c r="A29" s="619"/>
      <c r="B29" s="253"/>
      <c r="C29" s="258"/>
      <c r="D29" s="259" t="s">
        <v>309</v>
      </c>
      <c r="E29" s="256">
        <f>Electricidad!E23</f>
        <v>8.6599999999999996E-2</v>
      </c>
      <c r="F29" s="256">
        <f>Electricidad!F23</f>
        <v>8.6599999999999996E-2</v>
      </c>
      <c r="G29" s="256">
        <f>Electricidad!G23</f>
        <v>8.6599999999999996E-2</v>
      </c>
      <c r="H29" s="256">
        <f>Electricidad!H23</f>
        <v>8.6599999999999996E-2</v>
      </c>
      <c r="I29" s="376"/>
      <c r="J29" s="376"/>
      <c r="K29" s="376"/>
      <c r="L29" s="376"/>
      <c r="M29" s="376"/>
      <c r="N29" s="376"/>
      <c r="O29" s="376"/>
      <c r="P29" s="376"/>
      <c r="Q29" s="376"/>
      <c r="R29" s="376"/>
      <c r="S29" s="376"/>
      <c r="T29" s="376"/>
      <c r="U29" s="376"/>
      <c r="V29" s="376"/>
      <c r="W29" s="376"/>
      <c r="X29" s="376"/>
      <c r="Y29" s="376"/>
      <c r="Z29" s="376"/>
      <c r="AA29" s="376"/>
      <c r="AB29" s="376"/>
      <c r="AC29" s="376"/>
      <c r="AD29" s="376"/>
      <c r="AE29" s="376"/>
      <c r="AF29" s="376"/>
      <c r="AG29" s="376"/>
      <c r="AH29" s="376"/>
      <c r="AI29" s="376"/>
      <c r="AJ29" s="376"/>
      <c r="AK29" s="376"/>
      <c r="AL29" s="377"/>
    </row>
    <row r="30" spans="1:38" ht="14.25" customHeight="1">
      <c r="A30" s="619"/>
      <c r="B30" s="253"/>
      <c r="C30" s="258"/>
      <c r="D30" s="266" t="s">
        <v>153</v>
      </c>
      <c r="E30" s="256"/>
      <c r="F30" s="256"/>
      <c r="G30" s="256"/>
      <c r="H30" s="256"/>
      <c r="I30" s="376"/>
      <c r="J30" s="376"/>
      <c r="K30" s="376"/>
      <c r="L30" s="376"/>
      <c r="M30" s="376"/>
      <c r="N30" s="376"/>
      <c r="O30" s="376"/>
      <c r="P30" s="376"/>
      <c r="Q30" s="376"/>
      <c r="R30" s="376"/>
      <c r="S30" s="376"/>
      <c r="T30" s="376"/>
      <c r="U30" s="376"/>
      <c r="V30" s="376"/>
      <c r="W30" s="376"/>
      <c r="X30" s="376"/>
      <c r="Y30" s="376"/>
      <c r="Z30" s="376"/>
      <c r="AA30" s="376"/>
      <c r="AB30" s="376"/>
      <c r="AC30" s="376"/>
      <c r="AD30" s="376"/>
      <c r="AE30" s="376"/>
      <c r="AF30" s="376"/>
      <c r="AG30" s="376"/>
      <c r="AH30" s="376"/>
      <c r="AI30" s="376"/>
      <c r="AJ30" s="376"/>
      <c r="AK30" s="376"/>
      <c r="AL30" s="377"/>
    </row>
    <row r="31" spans="1:38" ht="14.25" customHeight="1">
      <c r="A31" s="619"/>
      <c r="B31" s="253"/>
      <c r="C31" s="258"/>
      <c r="D31" s="259" t="s">
        <v>155</v>
      </c>
      <c r="E31" s="256">
        <f>Electricidad!E25</f>
        <v>0.54523499999999991</v>
      </c>
      <c r="F31" s="256">
        <f>Electricidad!F25</f>
        <v>0.54523499999999991</v>
      </c>
      <c r="G31" s="256">
        <f>Electricidad!G25</f>
        <v>0.54523499999999991</v>
      </c>
      <c r="H31" s="256">
        <f>Electricidad!H25</f>
        <v>0.54443499999999989</v>
      </c>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376"/>
      <c r="AJ31" s="376"/>
      <c r="AK31" s="376"/>
      <c r="AL31" s="377"/>
    </row>
    <row r="32" spans="1:38" ht="14.25" customHeight="1">
      <c r="A32" s="619"/>
      <c r="B32" s="253"/>
      <c r="C32" s="258"/>
      <c r="D32" s="259" t="s">
        <v>157</v>
      </c>
      <c r="E32" s="256">
        <f>Electricidad!E26</f>
        <v>0.27535999999999999</v>
      </c>
      <c r="F32" s="256">
        <f>Electricidad!F26</f>
        <v>0.27535999999999999</v>
      </c>
      <c r="G32" s="256">
        <f>Electricidad!G26</f>
        <v>0.27535999999999999</v>
      </c>
      <c r="H32" s="256">
        <f>Electricidad!H26</f>
        <v>0.27535999999999999</v>
      </c>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376"/>
      <c r="AJ32" s="376"/>
      <c r="AK32" s="376"/>
      <c r="AL32" s="377"/>
    </row>
    <row r="33" spans="1:38" ht="14.25" customHeight="1">
      <c r="A33" s="619"/>
      <c r="B33" s="253"/>
      <c r="C33" s="258"/>
      <c r="D33" s="266" t="s">
        <v>158</v>
      </c>
      <c r="E33" s="256"/>
      <c r="F33" s="256"/>
      <c r="G33" s="256"/>
      <c r="H33" s="256"/>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376"/>
      <c r="AJ33" s="376"/>
      <c r="AK33" s="376"/>
      <c r="AL33" s="377"/>
    </row>
    <row r="34" spans="1:38" ht="14.25" customHeight="1">
      <c r="A34" s="619"/>
      <c r="B34" s="253"/>
      <c r="C34" s="258"/>
      <c r="D34" s="259" t="s">
        <v>160</v>
      </c>
      <c r="E34" s="256">
        <f>Electricidad!E28</f>
        <v>0.44600000000000001</v>
      </c>
      <c r="F34" s="256">
        <f>Electricidad!F28</f>
        <v>0.44600000000000001</v>
      </c>
      <c r="G34" s="256">
        <f>Electricidad!G28</f>
        <v>0.44600000000000001</v>
      </c>
      <c r="H34" s="256">
        <f>Electricidad!H28</f>
        <v>0.44600000000000001</v>
      </c>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376"/>
      <c r="AJ34" s="376"/>
      <c r="AK34" s="376"/>
      <c r="AL34" s="377"/>
    </row>
    <row r="35" spans="1:38" ht="14.25" customHeight="1">
      <c r="A35" s="619"/>
      <c r="B35" s="253"/>
      <c r="C35" s="258"/>
      <c r="D35" s="281" t="s">
        <v>217</v>
      </c>
      <c r="E35" s="256">
        <f>Electricidad!E29</f>
        <v>7.26E-3</v>
      </c>
      <c r="F35" s="256">
        <f>Electricidad!F29</f>
        <v>7.26E-3</v>
      </c>
      <c r="G35" s="256">
        <f>Electricidad!G29</f>
        <v>7.26E-3</v>
      </c>
      <c r="H35" s="256">
        <f>Electricidad!H29</f>
        <v>8.320000000000001E-3</v>
      </c>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7"/>
    </row>
    <row r="36" spans="1:38" ht="14.25" customHeight="1">
      <c r="A36" s="619"/>
      <c r="B36" s="253"/>
      <c r="C36" s="258"/>
      <c r="D36" s="281" t="s">
        <v>39</v>
      </c>
      <c r="E36" s="256">
        <f t="shared" ref="E36:H36" si="2">SUM(E7:E35)-E9-E16</f>
        <v>7.3555154099999989</v>
      </c>
      <c r="F36" s="256">
        <f t="shared" si="2"/>
        <v>7.3179154099999995</v>
      </c>
      <c r="G36" s="256">
        <f t="shared" si="2"/>
        <v>7.3402574099999995</v>
      </c>
      <c r="H36" s="256">
        <f t="shared" si="2"/>
        <v>7.3578374099999966</v>
      </c>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7"/>
    </row>
    <row r="37" spans="1:38" ht="14.25" customHeight="1">
      <c r="A37" s="619"/>
      <c r="B37" s="253"/>
      <c r="C37" s="258"/>
      <c r="D37" s="378"/>
      <c r="E37" s="55"/>
      <c r="F37" s="380"/>
      <c r="G37" s="380"/>
      <c r="H37" s="381"/>
      <c r="I37" s="376"/>
      <c r="J37" s="376"/>
      <c r="K37" s="376"/>
      <c r="L37" s="376"/>
      <c r="M37" s="376"/>
      <c r="N37" s="376"/>
      <c r="O37" s="376"/>
      <c r="P37" s="376"/>
      <c r="Q37" s="376"/>
      <c r="R37" s="376"/>
      <c r="S37" s="376"/>
      <c r="T37" s="376"/>
      <c r="U37" s="376"/>
      <c r="V37" s="376"/>
      <c r="W37" s="376"/>
      <c r="X37" s="376"/>
      <c r="Y37" s="376"/>
      <c r="Z37" s="376"/>
      <c r="AA37" s="376"/>
      <c r="AB37" s="376"/>
      <c r="AC37" s="376"/>
      <c r="AD37" s="376"/>
      <c r="AE37" s="376"/>
      <c r="AF37" s="376"/>
      <c r="AG37" s="376"/>
      <c r="AH37" s="376"/>
      <c r="AI37" s="376"/>
      <c r="AJ37" s="376"/>
      <c r="AK37" s="376"/>
      <c r="AL37" s="377"/>
    </row>
    <row r="38" spans="1:38" ht="14.25" customHeight="1">
      <c r="A38" s="619"/>
      <c r="B38" s="253"/>
      <c r="C38" s="258"/>
      <c r="D38" s="281" t="s">
        <v>378</v>
      </c>
      <c r="E38" s="259"/>
      <c r="F38" s="259"/>
      <c r="G38" s="259"/>
      <c r="H38" s="259"/>
      <c r="I38" s="376"/>
      <c r="J38" s="376"/>
      <c r="K38" s="376"/>
      <c r="L38" s="376"/>
      <c r="M38" s="376"/>
      <c r="N38" s="376"/>
      <c r="O38" s="376"/>
      <c r="P38" s="376"/>
      <c r="Q38" s="376"/>
      <c r="R38" s="376"/>
      <c r="S38" s="376"/>
      <c r="T38" s="376"/>
      <c r="U38" s="376"/>
      <c r="V38" s="376"/>
      <c r="W38" s="376"/>
      <c r="X38" s="376"/>
      <c r="Y38" s="376"/>
      <c r="Z38" s="376"/>
      <c r="AA38" s="376"/>
      <c r="AB38" s="376"/>
      <c r="AC38" s="376"/>
      <c r="AD38" s="376"/>
      <c r="AE38" s="376"/>
      <c r="AF38" s="376"/>
      <c r="AG38" s="376"/>
      <c r="AH38" s="376"/>
      <c r="AI38" s="376"/>
      <c r="AJ38" s="376"/>
      <c r="AK38" s="376"/>
      <c r="AL38" s="377"/>
    </row>
    <row r="39" spans="1:38" ht="14.25" customHeight="1">
      <c r="A39" s="619"/>
      <c r="B39" s="253"/>
      <c r="C39" s="258"/>
      <c r="D39" s="382" t="s">
        <v>379</v>
      </c>
      <c r="E39" s="259"/>
      <c r="F39" s="259"/>
      <c r="G39" s="259"/>
      <c r="H39" s="270"/>
      <c r="I39" s="376"/>
      <c r="J39" s="376"/>
      <c r="K39" s="376"/>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376"/>
      <c r="AL39" s="377"/>
    </row>
    <row r="40" spans="1:38" ht="14.25" customHeight="1">
      <c r="A40" s="619"/>
      <c r="B40" s="253"/>
      <c r="C40" s="258"/>
      <c r="D40" s="382" t="s">
        <v>136</v>
      </c>
      <c r="E40" s="383">
        <f>Electricidad!E51</f>
        <v>4.6500000000000005E-3</v>
      </c>
      <c r="F40" s="383">
        <f>Electricidad!F51</f>
        <v>4.6500000000000005E-3</v>
      </c>
      <c r="G40" s="383">
        <f>Electricidad!G51</f>
        <v>4.6500000000000005E-3</v>
      </c>
      <c r="H40" s="383">
        <f>Electricidad!H51</f>
        <v>4.6500000000000005E-3</v>
      </c>
      <c r="I40" s="376"/>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376"/>
      <c r="AJ40" s="376"/>
      <c r="AK40" s="376"/>
      <c r="AL40" s="377"/>
    </row>
    <row r="41" spans="1:38" ht="14.25" customHeight="1">
      <c r="A41" s="619"/>
      <c r="B41" s="253"/>
      <c r="C41" s="258"/>
      <c r="D41" s="382" t="s">
        <v>147</v>
      </c>
      <c r="E41" s="383">
        <f>Electricidad!E68</f>
        <v>2.7581999999999999E-2</v>
      </c>
      <c r="F41" s="383">
        <f>Electricidad!F68</f>
        <v>2.4146999999999998E-2</v>
      </c>
      <c r="G41" s="383">
        <f>Electricidad!G68</f>
        <v>2.4285000000000001E-2</v>
      </c>
      <c r="H41" s="383">
        <f>Electricidad!H68</f>
        <v>2.4285000000000001E-2</v>
      </c>
      <c r="I41" s="376"/>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376"/>
      <c r="AJ41" s="376"/>
      <c r="AK41" s="376"/>
      <c r="AL41" s="377"/>
    </row>
    <row r="42" spans="1:38" ht="14.25" customHeight="1">
      <c r="A42" s="619"/>
      <c r="B42" s="253"/>
      <c r="C42" s="258"/>
      <c r="D42" s="382" t="s">
        <v>143</v>
      </c>
      <c r="E42" s="383">
        <f>Electricidad!E61</f>
        <v>2.5964199999999999E-3</v>
      </c>
      <c r="F42" s="383">
        <f>Electricidad!F61</f>
        <v>2.5964199999999999E-3</v>
      </c>
      <c r="G42" s="383">
        <f>Electricidad!G61</f>
        <v>2.5964199999999999E-3</v>
      </c>
      <c r="H42" s="383">
        <f>Electricidad!H61</f>
        <v>2.6197600000000001E-3</v>
      </c>
      <c r="I42" s="376"/>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376"/>
      <c r="AJ42" s="376"/>
      <c r="AK42" s="376"/>
      <c r="AL42" s="377"/>
    </row>
    <row r="43" spans="1:38" ht="14.25" customHeight="1">
      <c r="A43" s="619"/>
      <c r="B43" s="253"/>
      <c r="C43" s="258"/>
      <c r="D43" s="382"/>
      <c r="E43" s="259"/>
      <c r="F43" s="259"/>
      <c r="G43" s="259"/>
      <c r="H43" s="259"/>
      <c r="I43" s="376"/>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376"/>
      <c r="AJ43" s="376"/>
      <c r="AK43" s="376"/>
      <c r="AL43" s="377"/>
    </row>
    <row r="44" spans="1:38" ht="14.25" customHeight="1">
      <c r="A44" s="619"/>
      <c r="B44" s="253"/>
      <c r="C44" s="258"/>
      <c r="D44" s="382" t="s">
        <v>380</v>
      </c>
      <c r="E44" s="259"/>
      <c r="F44" s="259"/>
      <c r="G44" s="259"/>
      <c r="H44" s="259"/>
      <c r="I44" s="376"/>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376"/>
      <c r="AJ44" s="376"/>
      <c r="AK44" s="376"/>
      <c r="AL44" s="377"/>
    </row>
    <row r="45" spans="1:38" ht="14.25" customHeight="1">
      <c r="A45" s="619"/>
      <c r="B45" s="253"/>
      <c r="C45" s="258"/>
      <c r="D45" s="382" t="s">
        <v>381</v>
      </c>
      <c r="E45" s="383">
        <f>Electricidad!E55</f>
        <v>1.1600000000000002E-3</v>
      </c>
      <c r="F45" s="383">
        <f>Electricidad!F55</f>
        <v>1.1600000000000002E-3</v>
      </c>
      <c r="G45" s="383">
        <f>Electricidad!G55</f>
        <v>1.1600000000000002E-3</v>
      </c>
      <c r="H45" s="383">
        <f>Electricidad!H55</f>
        <v>1.1600000000000002E-3</v>
      </c>
      <c r="I45" s="376"/>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376"/>
      <c r="AJ45" s="376"/>
      <c r="AK45" s="376"/>
      <c r="AL45" s="377"/>
    </row>
    <row r="46" spans="1:38" ht="14.25" customHeight="1">
      <c r="A46" s="619"/>
      <c r="B46" s="253"/>
      <c r="C46" s="258"/>
      <c r="D46" s="382" t="s">
        <v>382</v>
      </c>
      <c r="E46" s="383">
        <f>Electricidad!E56</f>
        <v>2.8999999999999998E-3</v>
      </c>
      <c r="F46" s="383">
        <f>Electricidad!F56</f>
        <v>2.8999999999999998E-3</v>
      </c>
      <c r="G46" s="383">
        <f>Electricidad!G56</f>
        <v>2.8999999999999998E-3</v>
      </c>
      <c r="H46" s="383">
        <f>Electricidad!H56</f>
        <v>2.8999999999999998E-3</v>
      </c>
      <c r="I46" s="376"/>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376"/>
      <c r="AJ46" s="376"/>
      <c r="AK46" s="376"/>
      <c r="AL46" s="377"/>
    </row>
    <row r="47" spans="1:38" ht="14.25" customHeight="1">
      <c r="A47" s="619"/>
      <c r="B47" s="253"/>
      <c r="C47" s="258"/>
      <c r="D47" s="382" t="s">
        <v>143</v>
      </c>
      <c r="E47" s="383">
        <f>Electricidad!E62</f>
        <v>5.7260000000000004E-4</v>
      </c>
      <c r="F47" s="383">
        <f>Electricidad!F62</f>
        <v>5.7260000000000004E-4</v>
      </c>
      <c r="G47" s="383">
        <f>Electricidad!G62</f>
        <v>5.7260000000000004E-4</v>
      </c>
      <c r="H47" s="383">
        <f>Electricidad!H62</f>
        <v>5.7260000000000004E-4</v>
      </c>
      <c r="I47" s="376"/>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376"/>
      <c r="AJ47" s="376"/>
      <c r="AK47" s="376"/>
      <c r="AL47" s="377"/>
    </row>
    <row r="48" spans="1:38" ht="14.25" customHeight="1">
      <c r="A48" s="619"/>
      <c r="B48" s="253"/>
      <c r="C48" s="258"/>
      <c r="D48" s="382" t="s">
        <v>383</v>
      </c>
      <c r="E48" s="383">
        <f t="shared" ref="E48:H48" si="3">SUM(E49:E50)</f>
        <v>3.3039999999999993E-2</v>
      </c>
      <c r="F48" s="383">
        <f t="shared" si="3"/>
        <v>3.2250000000000001E-2</v>
      </c>
      <c r="G48" s="383">
        <f t="shared" si="3"/>
        <v>3.3649999999999999E-2</v>
      </c>
      <c r="H48" s="383">
        <f t="shared" si="3"/>
        <v>1.325E-2</v>
      </c>
      <c r="I48" s="376"/>
      <c r="J48" s="376"/>
      <c r="K48" s="376"/>
      <c r="L48" s="376"/>
      <c r="M48" s="376"/>
      <c r="N48" s="376"/>
      <c r="O48" s="376"/>
      <c r="P48" s="376"/>
      <c r="Q48" s="376"/>
      <c r="R48" s="376"/>
      <c r="S48" s="376"/>
      <c r="T48" s="376"/>
      <c r="U48" s="376"/>
      <c r="V48" s="376"/>
      <c r="W48" s="376"/>
      <c r="X48" s="376"/>
      <c r="Y48" s="376"/>
      <c r="Z48" s="376"/>
      <c r="AA48" s="376"/>
      <c r="AB48" s="376"/>
      <c r="AC48" s="376"/>
      <c r="AD48" s="376"/>
      <c r="AE48" s="376"/>
      <c r="AF48" s="376"/>
      <c r="AG48" s="376"/>
      <c r="AH48" s="376"/>
      <c r="AI48" s="376"/>
      <c r="AJ48" s="376"/>
      <c r="AK48" s="376"/>
      <c r="AL48" s="377"/>
    </row>
    <row r="49" spans="1:38" ht="14.25" customHeight="1">
      <c r="A49" s="619"/>
      <c r="B49" s="253"/>
      <c r="C49" s="258"/>
      <c r="D49" s="384" t="s">
        <v>147</v>
      </c>
      <c r="E49" s="383">
        <f>Electricidad!E66</f>
        <v>3.2799999999999996E-2</v>
      </c>
      <c r="F49" s="383">
        <f>Electricidad!F66</f>
        <v>3.2250000000000001E-2</v>
      </c>
      <c r="G49" s="383">
        <f>Electricidad!G66</f>
        <v>3.3649999999999999E-2</v>
      </c>
      <c r="H49" s="383">
        <f>Electricidad!H66</f>
        <v>1.325E-2</v>
      </c>
      <c r="I49" s="376"/>
      <c r="J49" s="376"/>
      <c r="K49" s="376"/>
      <c r="L49" s="376"/>
      <c r="M49" s="376"/>
      <c r="N49" s="376"/>
      <c r="O49" s="376"/>
      <c r="P49" s="376"/>
      <c r="Q49" s="376"/>
      <c r="R49" s="376"/>
      <c r="S49" s="376"/>
      <c r="T49" s="376"/>
      <c r="U49" s="376"/>
      <c r="V49" s="376"/>
      <c r="W49" s="376"/>
      <c r="X49" s="376"/>
      <c r="Y49" s="376"/>
      <c r="Z49" s="376"/>
      <c r="AA49" s="376"/>
      <c r="AB49" s="376"/>
      <c r="AC49" s="376"/>
      <c r="AD49" s="376"/>
      <c r="AE49" s="376"/>
      <c r="AF49" s="376"/>
      <c r="AG49" s="376"/>
      <c r="AH49" s="376"/>
      <c r="AI49" s="376"/>
      <c r="AJ49" s="376"/>
      <c r="AK49" s="376"/>
      <c r="AL49" s="377"/>
    </row>
    <row r="50" spans="1:38" ht="14.25" customHeight="1">
      <c r="A50" s="619"/>
      <c r="B50" s="253"/>
      <c r="C50" s="258"/>
      <c r="D50" s="384" t="s">
        <v>384</v>
      </c>
      <c r="E50" s="383">
        <f>Electricidad!E81</f>
        <v>2.3999999999999998E-4</v>
      </c>
      <c r="F50" s="383">
        <f>Electricidad!F81</f>
        <v>0</v>
      </c>
      <c r="G50" s="383">
        <f>Electricidad!G81</f>
        <v>0</v>
      </c>
      <c r="H50" s="383">
        <f>Electricidad!H81</f>
        <v>0</v>
      </c>
      <c r="I50" s="376"/>
      <c r="J50" s="376"/>
      <c r="K50" s="376"/>
      <c r="L50" s="376"/>
      <c r="M50" s="376"/>
      <c r="N50" s="376"/>
      <c r="O50" s="376"/>
      <c r="P50" s="376"/>
      <c r="Q50" s="376"/>
      <c r="R50" s="376"/>
      <c r="S50" s="376"/>
      <c r="T50" s="376"/>
      <c r="U50" s="376"/>
      <c r="V50" s="376"/>
      <c r="W50" s="376"/>
      <c r="X50" s="376"/>
      <c r="Y50" s="376"/>
      <c r="Z50" s="376"/>
      <c r="AA50" s="376"/>
      <c r="AB50" s="376"/>
      <c r="AC50" s="376"/>
      <c r="AD50" s="376"/>
      <c r="AE50" s="376"/>
      <c r="AF50" s="376"/>
      <c r="AG50" s="376"/>
      <c r="AH50" s="376"/>
      <c r="AI50" s="376"/>
      <c r="AJ50" s="376"/>
      <c r="AK50" s="376"/>
      <c r="AL50" s="377"/>
    </row>
    <row r="51" spans="1:38" ht="14.25" customHeight="1">
      <c r="A51" s="619"/>
      <c r="B51" s="253"/>
      <c r="C51" s="258"/>
      <c r="D51" s="382"/>
      <c r="E51" s="259"/>
      <c r="F51" s="259"/>
      <c r="G51" s="259"/>
      <c r="H51" s="259"/>
      <c r="I51" s="376"/>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76"/>
      <c r="AJ51" s="376"/>
      <c r="AK51" s="376"/>
      <c r="AL51" s="377"/>
    </row>
    <row r="52" spans="1:38" ht="14.25" customHeight="1">
      <c r="A52" s="619"/>
      <c r="B52" s="253"/>
      <c r="C52" s="258"/>
      <c r="D52" s="382" t="s">
        <v>385</v>
      </c>
      <c r="E52" s="259"/>
      <c r="F52" s="259"/>
      <c r="G52" s="259"/>
      <c r="H52" s="259"/>
      <c r="I52" s="376"/>
      <c r="J52" s="376"/>
      <c r="K52" s="376"/>
      <c r="L52" s="376"/>
      <c r="M52" s="376"/>
      <c r="N52" s="376"/>
      <c r="O52" s="376"/>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7"/>
    </row>
    <row r="53" spans="1:38" ht="14.25" customHeight="1">
      <c r="A53" s="619"/>
      <c r="B53" s="253"/>
      <c r="C53" s="258"/>
      <c r="D53" s="382" t="s">
        <v>381</v>
      </c>
      <c r="E53" s="383">
        <f>Electricidad!E58</f>
        <v>2E-3</v>
      </c>
      <c r="F53" s="383">
        <f>Electricidad!F58</f>
        <v>2E-3</v>
      </c>
      <c r="G53" s="383">
        <f>Electricidad!G58</f>
        <v>2E-3</v>
      </c>
      <c r="H53" s="383">
        <f>Electricidad!H58</f>
        <v>2E-3</v>
      </c>
      <c r="I53" s="376"/>
      <c r="J53" s="376"/>
      <c r="K53" s="376"/>
      <c r="L53" s="376"/>
      <c r="M53" s="376"/>
      <c r="N53" s="376"/>
      <c r="O53" s="376"/>
      <c r="P53" s="376"/>
      <c r="Q53" s="376"/>
      <c r="R53" s="376"/>
      <c r="S53" s="376"/>
      <c r="T53" s="376"/>
      <c r="U53" s="376"/>
      <c r="V53" s="376"/>
      <c r="W53" s="376"/>
      <c r="X53" s="376"/>
      <c r="Y53" s="376"/>
      <c r="Z53" s="376"/>
      <c r="AA53" s="376"/>
      <c r="AB53" s="376"/>
      <c r="AC53" s="376"/>
      <c r="AD53" s="376"/>
      <c r="AE53" s="376"/>
      <c r="AF53" s="376"/>
      <c r="AG53" s="376"/>
      <c r="AH53" s="376"/>
      <c r="AI53" s="376"/>
      <c r="AJ53" s="376"/>
      <c r="AK53" s="376"/>
      <c r="AL53" s="377"/>
    </row>
    <row r="54" spans="1:38" ht="14.25" customHeight="1">
      <c r="A54" s="619"/>
      <c r="B54" s="253"/>
      <c r="C54" s="258"/>
      <c r="D54" s="382" t="s">
        <v>382</v>
      </c>
      <c r="E54" s="383">
        <f>Electricidad!E59</f>
        <v>0</v>
      </c>
      <c r="F54" s="383">
        <f>Electricidad!F59</f>
        <v>0</v>
      </c>
      <c r="G54" s="383">
        <f>Electricidad!G59</f>
        <v>0</v>
      </c>
      <c r="H54" s="383">
        <f>Electricidad!H59</f>
        <v>0</v>
      </c>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376"/>
      <c r="AJ54" s="376"/>
      <c r="AK54" s="376"/>
      <c r="AL54" s="377"/>
    </row>
    <row r="55" spans="1:38" ht="14.25" customHeight="1">
      <c r="A55" s="619"/>
      <c r="B55" s="253"/>
      <c r="C55" s="258"/>
      <c r="D55" s="382" t="s">
        <v>384</v>
      </c>
      <c r="E55" s="383">
        <f>Electricidad!E83</f>
        <v>3.6250000000000002E-3</v>
      </c>
      <c r="F55" s="383">
        <f>Electricidad!F83</f>
        <v>3.6250000000000002E-3</v>
      </c>
      <c r="G55" s="383">
        <f>Electricidad!G83</f>
        <v>3.6250000000000002E-3</v>
      </c>
      <c r="H55" s="383">
        <f>Electricidad!H83</f>
        <v>3.6250000000000002E-3</v>
      </c>
      <c r="I55" s="376"/>
      <c r="J55" s="376"/>
      <c r="K55" s="376"/>
      <c r="L55" s="376"/>
      <c r="M55" s="376"/>
      <c r="N55" s="376"/>
      <c r="O55" s="376"/>
      <c r="P55" s="376"/>
      <c r="Q55" s="376"/>
      <c r="R55" s="376"/>
      <c r="S55" s="376"/>
      <c r="T55" s="376"/>
      <c r="U55" s="376"/>
      <c r="V55" s="376"/>
      <c r="W55" s="376"/>
      <c r="X55" s="376"/>
      <c r="Y55" s="376"/>
      <c r="Z55" s="376"/>
      <c r="AA55" s="376"/>
      <c r="AB55" s="376"/>
      <c r="AC55" s="376"/>
      <c r="AD55" s="376"/>
      <c r="AE55" s="376"/>
      <c r="AF55" s="376"/>
      <c r="AG55" s="376"/>
      <c r="AH55" s="376"/>
      <c r="AI55" s="376"/>
      <c r="AJ55" s="376"/>
      <c r="AK55" s="376"/>
      <c r="AL55" s="377"/>
    </row>
    <row r="56" spans="1:38" ht="14.25" customHeight="1">
      <c r="A56" s="619"/>
      <c r="B56" s="253"/>
      <c r="C56" s="258"/>
      <c r="D56" s="382"/>
      <c r="E56" s="259"/>
      <c r="F56" s="259"/>
      <c r="G56" s="259"/>
      <c r="H56" s="259"/>
      <c r="I56" s="376"/>
      <c r="J56" s="376"/>
      <c r="K56" s="376"/>
      <c r="L56" s="376"/>
      <c r="M56" s="376"/>
      <c r="N56" s="376"/>
      <c r="O56" s="376"/>
      <c r="P56" s="376"/>
      <c r="Q56" s="376"/>
      <c r="R56" s="376"/>
      <c r="S56" s="376"/>
      <c r="T56" s="376"/>
      <c r="U56" s="376"/>
      <c r="V56" s="376"/>
      <c r="W56" s="376"/>
      <c r="X56" s="376"/>
      <c r="Y56" s="376"/>
      <c r="Z56" s="376"/>
      <c r="AA56" s="376"/>
      <c r="AB56" s="376"/>
      <c r="AC56" s="376"/>
      <c r="AD56" s="376"/>
      <c r="AE56" s="376"/>
      <c r="AF56" s="376"/>
      <c r="AG56" s="376"/>
      <c r="AH56" s="376"/>
      <c r="AI56" s="376"/>
      <c r="AJ56" s="376"/>
      <c r="AK56" s="376"/>
      <c r="AL56" s="377"/>
    </row>
    <row r="57" spans="1:38" ht="14.25" customHeight="1">
      <c r="A57" s="619"/>
      <c r="B57" s="253"/>
      <c r="C57" s="258"/>
      <c r="D57" s="382" t="s">
        <v>386</v>
      </c>
      <c r="E57" s="259"/>
      <c r="F57" s="259"/>
      <c r="G57" s="259"/>
      <c r="H57" s="259"/>
      <c r="I57" s="376"/>
      <c r="J57" s="376"/>
      <c r="K57" s="376"/>
      <c r="L57" s="376"/>
      <c r="M57" s="376"/>
      <c r="N57" s="376"/>
      <c r="O57" s="376"/>
      <c r="P57" s="376"/>
      <c r="Q57" s="376"/>
      <c r="R57" s="376"/>
      <c r="S57" s="376"/>
      <c r="T57" s="376"/>
      <c r="U57" s="376"/>
      <c r="V57" s="376"/>
      <c r="W57" s="376"/>
      <c r="X57" s="376"/>
      <c r="Y57" s="376"/>
      <c r="Z57" s="376"/>
      <c r="AA57" s="376"/>
      <c r="AB57" s="376"/>
      <c r="AC57" s="376"/>
      <c r="AD57" s="376"/>
      <c r="AE57" s="376"/>
      <c r="AF57" s="376"/>
      <c r="AG57" s="376"/>
      <c r="AH57" s="376"/>
      <c r="AI57" s="376"/>
      <c r="AJ57" s="376"/>
      <c r="AK57" s="376"/>
      <c r="AL57" s="377"/>
    </row>
    <row r="58" spans="1:38" ht="14.25" customHeight="1">
      <c r="A58" s="619"/>
      <c r="B58" s="253"/>
      <c r="C58" s="258"/>
      <c r="D58" s="382" t="s">
        <v>387</v>
      </c>
      <c r="E58" s="383">
        <f t="shared" ref="E58:H58" si="4">SUM(E59:E60)</f>
        <v>0.38359099999999996</v>
      </c>
      <c r="F58" s="383">
        <f t="shared" si="4"/>
        <v>0.38359099999999996</v>
      </c>
      <c r="G58" s="383">
        <f t="shared" si="4"/>
        <v>0.38354099999999991</v>
      </c>
      <c r="H58" s="383">
        <f t="shared" si="4"/>
        <v>0.43729599999999996</v>
      </c>
      <c r="I58" s="376"/>
      <c r="J58" s="376"/>
      <c r="K58" s="376"/>
      <c r="L58" s="376"/>
      <c r="M58" s="376"/>
      <c r="N58" s="376"/>
      <c r="O58" s="376"/>
      <c r="P58" s="376"/>
      <c r="Q58" s="376"/>
      <c r="R58" s="376"/>
      <c r="S58" s="376"/>
      <c r="T58" s="376"/>
      <c r="U58" s="376"/>
      <c r="V58" s="376"/>
      <c r="W58" s="376"/>
      <c r="X58" s="376"/>
      <c r="Y58" s="376"/>
      <c r="Z58" s="376"/>
      <c r="AA58" s="376"/>
      <c r="AB58" s="376"/>
      <c r="AC58" s="376"/>
      <c r="AD58" s="376"/>
      <c r="AE58" s="376"/>
      <c r="AF58" s="376"/>
      <c r="AG58" s="376"/>
      <c r="AH58" s="376"/>
      <c r="AI58" s="376"/>
      <c r="AJ58" s="376"/>
      <c r="AK58" s="376"/>
      <c r="AL58" s="377"/>
    </row>
    <row r="59" spans="1:38" ht="14.25" customHeight="1">
      <c r="A59" s="619"/>
      <c r="B59" s="253"/>
      <c r="C59" s="258"/>
      <c r="D59" s="384" t="s">
        <v>388</v>
      </c>
      <c r="E59" s="383">
        <f>Electricidad!E70</f>
        <v>0.37858699999999995</v>
      </c>
      <c r="F59" s="383">
        <f>Electricidad!F70</f>
        <v>0.37858699999999995</v>
      </c>
      <c r="G59" s="383">
        <f>Electricidad!G70</f>
        <v>0.3785369999999999</v>
      </c>
      <c r="H59" s="383">
        <f>Electricidad!H70</f>
        <v>0.43229199999999995</v>
      </c>
      <c r="I59" s="376"/>
      <c r="J59" s="376"/>
      <c r="K59" s="376"/>
      <c r="L59" s="376"/>
      <c r="M59" s="376"/>
      <c r="N59" s="376"/>
      <c r="O59" s="376"/>
      <c r="P59" s="376"/>
      <c r="Q59" s="376"/>
      <c r="R59" s="376"/>
      <c r="S59" s="376"/>
      <c r="T59" s="376"/>
      <c r="U59" s="376"/>
      <c r="V59" s="376"/>
      <c r="W59" s="376"/>
      <c r="X59" s="376"/>
      <c r="Y59" s="376"/>
      <c r="Z59" s="376"/>
      <c r="AA59" s="376"/>
      <c r="AB59" s="376"/>
      <c r="AC59" s="376"/>
      <c r="AD59" s="376"/>
      <c r="AE59" s="376"/>
      <c r="AF59" s="376"/>
      <c r="AG59" s="376"/>
      <c r="AH59" s="376"/>
      <c r="AI59" s="376"/>
      <c r="AJ59" s="376"/>
      <c r="AK59" s="376"/>
      <c r="AL59" s="377"/>
    </row>
    <row r="60" spans="1:38" ht="14.25" customHeight="1">
      <c r="A60" s="619"/>
      <c r="B60" s="253"/>
      <c r="C60" s="258"/>
      <c r="D60" s="384" t="s">
        <v>389</v>
      </c>
      <c r="E60" s="383">
        <f>Electricidad!E78</f>
        <v>5.0039999999999998E-3</v>
      </c>
      <c r="F60" s="383">
        <f>Electricidad!F78</f>
        <v>5.0039999999999998E-3</v>
      </c>
      <c r="G60" s="383">
        <f>Electricidad!G78</f>
        <v>5.0039999999999998E-3</v>
      </c>
      <c r="H60" s="383">
        <f>Electricidad!H78</f>
        <v>5.0039999999999998E-3</v>
      </c>
      <c r="I60" s="376"/>
      <c r="J60" s="376"/>
      <c r="K60" s="376"/>
      <c r="L60" s="376"/>
      <c r="M60" s="376"/>
      <c r="N60" s="376"/>
      <c r="O60" s="376"/>
      <c r="P60" s="376"/>
      <c r="Q60" s="376"/>
      <c r="R60" s="376"/>
      <c r="S60" s="376"/>
      <c r="T60" s="376"/>
      <c r="U60" s="376"/>
      <c r="V60" s="376"/>
      <c r="W60" s="376"/>
      <c r="X60" s="376"/>
      <c r="Y60" s="376"/>
      <c r="Z60" s="376"/>
      <c r="AA60" s="376"/>
      <c r="AB60" s="376"/>
      <c r="AC60" s="376"/>
      <c r="AD60" s="376"/>
      <c r="AE60" s="376"/>
      <c r="AF60" s="376"/>
      <c r="AG60" s="376"/>
      <c r="AH60" s="376"/>
      <c r="AI60" s="376"/>
      <c r="AJ60" s="376"/>
      <c r="AK60" s="376"/>
      <c r="AL60" s="377"/>
    </row>
    <row r="61" spans="1:38" ht="14.25" customHeight="1">
      <c r="A61" s="619"/>
      <c r="B61" s="253"/>
      <c r="C61" s="258"/>
      <c r="D61" s="382" t="s">
        <v>390</v>
      </c>
      <c r="E61" s="383">
        <f>Electricidad!E72</f>
        <v>1.44E-2</v>
      </c>
      <c r="F61" s="383">
        <f>Electricidad!F72</f>
        <v>1.44E-2</v>
      </c>
      <c r="G61" s="383">
        <f>Electricidad!G72</f>
        <v>1.44E-2</v>
      </c>
      <c r="H61" s="383">
        <f>Electricidad!H72</f>
        <v>1.44E-2</v>
      </c>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6"/>
      <c r="AL61" s="377"/>
    </row>
    <row r="62" spans="1:38" ht="14.25" customHeight="1">
      <c r="A62" s="619"/>
      <c r="B62" s="253"/>
      <c r="C62" s="258"/>
      <c r="D62" s="382" t="s">
        <v>383</v>
      </c>
      <c r="E62" s="383">
        <f t="shared" ref="E62:H62" si="5">SUM(E63:E64)</f>
        <v>0.58134777999999998</v>
      </c>
      <c r="F62" s="383">
        <f t="shared" si="5"/>
        <v>0.64101478000000001</v>
      </c>
      <c r="G62" s="383">
        <f t="shared" si="5"/>
        <v>0.64291978000000005</v>
      </c>
      <c r="H62" s="383">
        <f t="shared" si="5"/>
        <v>0.59190777999999999</v>
      </c>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6"/>
      <c r="AL62" s="377"/>
    </row>
    <row r="63" spans="1:38" ht="14.25" customHeight="1">
      <c r="A63" s="619"/>
      <c r="B63" s="253"/>
      <c r="C63" s="258"/>
      <c r="D63" s="384" t="s">
        <v>391</v>
      </c>
      <c r="E63" s="383">
        <f>Electricidad!E76</f>
        <v>5.04E-2</v>
      </c>
      <c r="F63" s="383">
        <f>Electricidad!F76</f>
        <v>5.04E-2</v>
      </c>
      <c r="G63" s="383">
        <f>Electricidad!G76</f>
        <v>5.04E-2</v>
      </c>
      <c r="H63" s="383">
        <f>Electricidad!H76</f>
        <v>5.04E-2</v>
      </c>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6"/>
      <c r="AL63" s="377"/>
    </row>
    <row r="64" spans="1:38" ht="14.25" customHeight="1">
      <c r="A64" s="619"/>
      <c r="B64" s="253"/>
      <c r="C64" s="258"/>
      <c r="D64" s="384" t="s">
        <v>392</v>
      </c>
      <c r="E64" s="383">
        <f>Electricidad!E71</f>
        <v>0.53094777999999998</v>
      </c>
      <c r="F64" s="383">
        <f>Electricidad!F71</f>
        <v>0.59061478000000001</v>
      </c>
      <c r="G64" s="383">
        <f>Electricidad!G71</f>
        <v>0.59251978000000005</v>
      </c>
      <c r="H64" s="383">
        <f>Electricidad!H71</f>
        <v>0.54150777999999999</v>
      </c>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6"/>
      <c r="AL64" s="377"/>
    </row>
    <row r="65" spans="1:38" ht="14.25" customHeight="1">
      <c r="A65" s="619"/>
      <c r="B65" s="253"/>
      <c r="C65" s="258"/>
      <c r="D65" s="382" t="s">
        <v>157</v>
      </c>
      <c r="E65" s="383">
        <f t="shared" ref="E65:H65" si="6">SUM(E66:E68)</f>
        <v>0.24892200000000003</v>
      </c>
      <c r="F65" s="383">
        <f t="shared" si="6"/>
        <v>0.25419200000000008</v>
      </c>
      <c r="G65" s="383">
        <f t="shared" si="6"/>
        <v>0.25574000000000002</v>
      </c>
      <c r="H65" s="383">
        <f t="shared" si="6"/>
        <v>0.27790700000000002</v>
      </c>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6"/>
      <c r="AL65" s="377"/>
    </row>
    <row r="66" spans="1:38" ht="14.25" customHeight="1">
      <c r="A66" s="619"/>
      <c r="B66" s="253"/>
      <c r="C66" s="258"/>
      <c r="D66" s="384" t="s">
        <v>393</v>
      </c>
      <c r="E66" s="383">
        <f>Electricidad!E85</f>
        <v>1.2E-2</v>
      </c>
      <c r="F66" s="383">
        <f>Electricidad!F85</f>
        <v>1.2E-2</v>
      </c>
      <c r="G66" s="383">
        <f>Electricidad!G85</f>
        <v>1.2E-2</v>
      </c>
      <c r="H66" s="383">
        <f>Electricidad!H85</f>
        <v>1.2E-2</v>
      </c>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6"/>
      <c r="AL66" s="377"/>
    </row>
    <row r="67" spans="1:38" ht="14.25" customHeight="1">
      <c r="A67" s="619"/>
      <c r="B67" s="253"/>
      <c r="C67" s="258"/>
      <c r="D67" s="384" t="s">
        <v>394</v>
      </c>
      <c r="E67" s="383">
        <f>Electricidad!E73</f>
        <v>0.19107200000000002</v>
      </c>
      <c r="F67" s="383">
        <f>Electricidad!F73</f>
        <v>0.19634200000000007</v>
      </c>
      <c r="G67" s="383">
        <f>Electricidad!G73</f>
        <v>0.19789000000000001</v>
      </c>
      <c r="H67" s="383">
        <f>Electricidad!H73</f>
        <v>0.19725700000000002</v>
      </c>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6"/>
      <c r="AL67" s="377"/>
    </row>
    <row r="68" spans="1:38" ht="14.25" customHeight="1">
      <c r="A68" s="619"/>
      <c r="B68" s="253"/>
      <c r="C68" s="258"/>
      <c r="D68" s="384" t="s">
        <v>395</v>
      </c>
      <c r="E68" s="383">
        <f>Electricidad!E77</f>
        <v>4.5850000000000002E-2</v>
      </c>
      <c r="F68" s="383">
        <f>Electricidad!F77</f>
        <v>4.5850000000000002E-2</v>
      </c>
      <c r="G68" s="383">
        <f>Electricidad!G77</f>
        <v>4.5850000000000002E-2</v>
      </c>
      <c r="H68" s="383">
        <f>Electricidad!H77</f>
        <v>6.8650000000000003E-2</v>
      </c>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6"/>
      <c r="AL68" s="377"/>
    </row>
    <row r="69" spans="1:38" ht="14.25" customHeight="1">
      <c r="A69" s="619"/>
      <c r="B69" s="253"/>
      <c r="C69" s="258"/>
      <c r="D69" s="382"/>
      <c r="E69" s="281"/>
      <c r="F69" s="281"/>
      <c r="G69" s="281"/>
      <c r="H69" s="281"/>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6"/>
      <c r="AL69" s="377"/>
    </row>
    <row r="70" spans="1:38" ht="14.25" customHeight="1">
      <c r="A70" s="619"/>
      <c r="B70" s="253"/>
      <c r="C70" s="258"/>
      <c r="D70" s="382"/>
      <c r="E70" s="385">
        <f t="shared" ref="E70:H70" si="7">SUM(E40+E41+E42+E45+E46+E47+E48+E53+E54+E55+E58+E61+E62+E65)</f>
        <v>1.3063868000000001</v>
      </c>
      <c r="F70" s="385">
        <f t="shared" si="7"/>
        <v>1.3670987999999999</v>
      </c>
      <c r="G70" s="385">
        <f t="shared" si="7"/>
        <v>1.3720398</v>
      </c>
      <c r="H70" s="385">
        <f t="shared" si="7"/>
        <v>1.3765731400000001</v>
      </c>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6"/>
      <c r="AL70" s="377"/>
    </row>
    <row r="71" spans="1:38" ht="13.5" customHeight="1">
      <c r="A71" s="619"/>
      <c r="B71" s="253"/>
      <c r="C71" s="258"/>
      <c r="D71" s="376"/>
      <c r="E71" s="376"/>
      <c r="F71" s="376"/>
      <c r="G71" s="376"/>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6"/>
      <c r="AL71" s="377"/>
    </row>
    <row r="72" spans="1:38" ht="13.5" customHeight="1">
      <c r="A72" s="619"/>
      <c r="B72" s="253"/>
      <c r="C72" s="258"/>
      <c r="D72" s="376"/>
      <c r="E72" s="376"/>
      <c r="F72" s="376"/>
      <c r="G72" s="376"/>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6"/>
      <c r="AL72" s="377"/>
    </row>
    <row r="73" spans="1:38" ht="14.25" customHeight="1">
      <c r="A73" s="619"/>
      <c r="B73" s="253"/>
      <c r="C73" s="258"/>
      <c r="D73" s="386" t="s">
        <v>223</v>
      </c>
      <c r="E73" s="256"/>
      <c r="F73" s="256"/>
      <c r="G73" s="256"/>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6"/>
      <c r="AL73" s="377"/>
    </row>
    <row r="74" spans="1:38" ht="13.5" customHeight="1">
      <c r="A74" s="619"/>
      <c r="B74" s="253"/>
      <c r="C74" s="258"/>
      <c r="D74" s="281" t="s">
        <v>185</v>
      </c>
      <c r="E74" s="256"/>
      <c r="F74" s="256"/>
      <c r="G74" s="256"/>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6"/>
      <c r="AL74" s="377"/>
    </row>
    <row r="75" spans="1:38" ht="14.25" customHeight="1">
      <c r="A75" s="619"/>
      <c r="B75" s="253"/>
      <c r="C75" s="258"/>
      <c r="D75" s="281" t="s">
        <v>225</v>
      </c>
      <c r="E75" s="256"/>
      <c r="F75" s="256"/>
      <c r="G75" s="256"/>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6"/>
      <c r="AL75" s="377"/>
    </row>
    <row r="76" spans="1:38" ht="14.25" customHeight="1">
      <c r="A76" s="619"/>
      <c r="B76" s="253"/>
      <c r="C76" s="258"/>
      <c r="D76" s="281" t="s">
        <v>164</v>
      </c>
      <c r="E76" s="26"/>
      <c r="F76" s="26"/>
      <c r="G76" s="26"/>
      <c r="H76" s="56"/>
      <c r="I76" s="56"/>
      <c r="J76" s="56"/>
      <c r="K76" s="56"/>
      <c r="L76" s="56"/>
      <c r="M76" s="56"/>
      <c r="N76" s="5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6"/>
      <c r="AL76" s="377"/>
    </row>
    <row r="77" spans="1:38" ht="13.5" customHeight="1">
      <c r="A77" s="619"/>
      <c r="B77" s="253"/>
      <c r="C77" s="258"/>
      <c r="D77" s="259" t="s">
        <v>166</v>
      </c>
      <c r="E77" s="26"/>
      <c r="F77" s="26"/>
      <c r="G77" s="26"/>
      <c r="H77" s="56">
        <v>4.9000000000000002E-2</v>
      </c>
      <c r="I77" s="56"/>
      <c r="J77" s="56"/>
      <c r="K77" s="56"/>
      <c r="L77" s="56"/>
      <c r="M77" s="56"/>
      <c r="N77" s="5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6"/>
      <c r="AL77" s="377"/>
    </row>
    <row r="78" spans="1:38" ht="14.25" customHeight="1">
      <c r="A78" s="619"/>
      <c r="B78" s="253"/>
      <c r="C78" s="258"/>
      <c r="D78" s="317" t="s">
        <v>168</v>
      </c>
      <c r="E78" s="26"/>
      <c r="F78" s="26"/>
      <c r="G78" s="26"/>
      <c r="H78" s="57">
        <v>0.2054</v>
      </c>
      <c r="I78" s="56"/>
      <c r="J78" s="56"/>
      <c r="K78" s="56"/>
      <c r="L78" s="56"/>
      <c r="M78" s="56"/>
      <c r="N78" s="5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6"/>
      <c r="AL78" s="377"/>
    </row>
    <row r="79" spans="1:38" ht="14.25" customHeight="1">
      <c r="A79" s="619"/>
      <c r="B79" s="253"/>
      <c r="C79" s="258"/>
      <c r="D79" s="259" t="s">
        <v>170</v>
      </c>
      <c r="E79" s="26"/>
      <c r="F79" s="26"/>
      <c r="G79" s="26"/>
      <c r="H79" s="56"/>
      <c r="I79" s="56"/>
      <c r="J79" s="56"/>
      <c r="K79" s="56"/>
      <c r="L79" s="56"/>
      <c r="M79" s="56"/>
      <c r="N79" s="56"/>
      <c r="O79" s="376"/>
      <c r="P79" s="376"/>
      <c r="Q79" s="376"/>
      <c r="R79" s="376"/>
      <c r="S79" s="376"/>
      <c r="T79" s="376"/>
      <c r="U79" s="376"/>
      <c r="V79" s="376"/>
      <c r="W79" s="376"/>
      <c r="X79" s="376"/>
      <c r="Y79" s="376"/>
      <c r="Z79" s="376"/>
      <c r="AA79" s="376"/>
      <c r="AB79" s="376"/>
      <c r="AC79" s="376"/>
      <c r="AD79" s="376"/>
      <c r="AE79" s="376"/>
      <c r="AF79" s="376"/>
      <c r="AG79" s="376"/>
      <c r="AH79" s="376"/>
      <c r="AI79" s="376"/>
      <c r="AJ79" s="376"/>
      <c r="AK79" s="376"/>
      <c r="AL79" s="377"/>
    </row>
    <row r="80" spans="1:38" ht="14.25" customHeight="1">
      <c r="A80" s="619"/>
      <c r="B80" s="253"/>
      <c r="C80" s="258"/>
      <c r="D80" s="259" t="s">
        <v>172</v>
      </c>
      <c r="E80" s="26"/>
      <c r="F80" s="26"/>
      <c r="G80" s="26"/>
      <c r="H80" s="56"/>
      <c r="I80" s="56"/>
      <c r="J80" s="56"/>
      <c r="K80" s="56">
        <v>2.18E-2</v>
      </c>
      <c r="L80" s="56"/>
      <c r="M80" s="56"/>
      <c r="N80" s="56"/>
      <c r="O80" s="376"/>
      <c r="P80" s="376"/>
      <c r="Q80" s="376"/>
      <c r="R80" s="376"/>
      <c r="S80" s="376"/>
      <c r="T80" s="376"/>
      <c r="U80" s="376"/>
      <c r="V80" s="376"/>
      <c r="W80" s="376"/>
      <c r="X80" s="376"/>
      <c r="Y80" s="376"/>
      <c r="Z80" s="376"/>
      <c r="AA80" s="376"/>
      <c r="AB80" s="376"/>
      <c r="AC80" s="376"/>
      <c r="AD80" s="376"/>
      <c r="AE80" s="376"/>
      <c r="AF80" s="376"/>
      <c r="AG80" s="376"/>
      <c r="AH80" s="376"/>
      <c r="AI80" s="376"/>
      <c r="AJ80" s="376"/>
      <c r="AK80" s="376"/>
      <c r="AL80" s="377"/>
    </row>
    <row r="81" spans="1:38" ht="14.25" customHeight="1">
      <c r="A81" s="619"/>
      <c r="B81" s="253"/>
      <c r="C81" s="258"/>
      <c r="D81" s="259" t="s">
        <v>174</v>
      </c>
      <c r="E81" s="26"/>
      <c r="F81" s="26"/>
      <c r="G81" s="26"/>
      <c r="H81" s="56"/>
      <c r="I81" s="56"/>
      <c r="J81" s="56"/>
      <c r="K81" s="56"/>
      <c r="L81" s="56"/>
      <c r="M81" s="56"/>
      <c r="N81" s="56"/>
      <c r="O81" s="376"/>
      <c r="P81" s="376"/>
      <c r="Q81" s="376"/>
      <c r="R81" s="376"/>
      <c r="S81" s="376"/>
      <c r="T81" s="376"/>
      <c r="U81" s="376"/>
      <c r="V81" s="376"/>
      <c r="W81" s="376"/>
      <c r="X81" s="376"/>
      <c r="Y81" s="376"/>
      <c r="Z81" s="376"/>
      <c r="AA81" s="376"/>
      <c r="AB81" s="376"/>
      <c r="AC81" s="376"/>
      <c r="AD81" s="376"/>
      <c r="AE81" s="376"/>
      <c r="AF81" s="376"/>
      <c r="AG81" s="376"/>
      <c r="AH81" s="376"/>
      <c r="AI81" s="376"/>
      <c r="AJ81" s="376"/>
      <c r="AK81" s="376"/>
      <c r="AL81" s="377"/>
    </row>
    <row r="82" spans="1:38" ht="14.25" customHeight="1">
      <c r="A82" s="619"/>
      <c r="B82" s="253"/>
      <c r="C82" s="258"/>
      <c r="D82" s="259" t="s">
        <v>176</v>
      </c>
      <c r="E82" s="26"/>
      <c r="F82" s="26"/>
      <c r="G82" s="26"/>
      <c r="H82" s="56"/>
      <c r="I82" s="56"/>
      <c r="J82" s="56"/>
      <c r="K82" s="56"/>
      <c r="L82" s="56"/>
      <c r="M82" s="56"/>
      <c r="N82" s="56"/>
      <c r="O82" s="376"/>
      <c r="P82" s="376">
        <v>0.59560000000000002</v>
      </c>
      <c r="Q82" s="376">
        <v>1.2</v>
      </c>
      <c r="R82" s="376">
        <v>1.2</v>
      </c>
      <c r="S82" s="376"/>
      <c r="T82" s="376"/>
      <c r="U82" s="376"/>
      <c r="V82" s="376"/>
      <c r="W82" s="376"/>
      <c r="X82" s="376"/>
      <c r="Y82" s="376"/>
      <c r="Z82" s="376"/>
      <c r="AA82" s="376"/>
      <c r="AB82" s="376"/>
      <c r="AC82" s="376"/>
      <c r="AD82" s="376"/>
      <c r="AE82" s="376"/>
      <c r="AF82" s="376"/>
      <c r="AG82" s="376"/>
      <c r="AH82" s="376"/>
      <c r="AI82" s="376"/>
      <c r="AJ82" s="376"/>
      <c r="AK82" s="376"/>
      <c r="AL82" s="377"/>
    </row>
    <row r="83" spans="1:38" ht="14.25" customHeight="1">
      <c r="A83" s="619"/>
      <c r="B83" s="253"/>
      <c r="C83" s="258"/>
      <c r="D83" s="281" t="s">
        <v>177</v>
      </c>
      <c r="E83" s="26"/>
      <c r="F83" s="256"/>
      <c r="G83" s="26"/>
      <c r="H83" s="376"/>
      <c r="I83" s="376"/>
      <c r="J83" s="376"/>
      <c r="K83" s="376"/>
      <c r="L83" s="376"/>
      <c r="M83" s="376"/>
      <c r="N83" s="376"/>
      <c r="O83" s="376"/>
      <c r="P83" s="376"/>
      <c r="Q83" s="376"/>
      <c r="R83" s="376"/>
      <c r="S83" s="376"/>
      <c r="T83" s="376"/>
      <c r="U83" s="376"/>
      <c r="V83" s="376"/>
      <c r="W83" s="376"/>
      <c r="X83" s="376"/>
      <c r="Y83" s="376"/>
      <c r="Z83" s="376"/>
      <c r="AA83" s="376"/>
      <c r="AB83" s="376"/>
      <c r="AC83" s="376"/>
      <c r="AD83" s="376"/>
      <c r="AE83" s="376"/>
      <c r="AF83" s="376"/>
      <c r="AG83" s="376"/>
      <c r="AH83" s="376"/>
      <c r="AI83" s="376"/>
      <c r="AJ83" s="376"/>
      <c r="AK83" s="376"/>
      <c r="AL83" s="377"/>
    </row>
    <row r="84" spans="1:38" ht="14.25" customHeight="1">
      <c r="A84" s="619"/>
      <c r="B84" s="253"/>
      <c r="C84" s="258"/>
      <c r="D84" s="259" t="s">
        <v>166</v>
      </c>
      <c r="E84" s="26"/>
      <c r="F84" s="256"/>
      <c r="G84" s="26"/>
      <c r="H84" s="387">
        <v>7.5899999999999995E-3</v>
      </c>
      <c r="I84" s="56"/>
      <c r="J84" s="387">
        <v>8.9999999999999993E-3</v>
      </c>
      <c r="K84" s="387">
        <v>0.05</v>
      </c>
      <c r="L84" s="376"/>
      <c r="M84" s="376"/>
      <c r="N84" s="376"/>
      <c r="O84" s="376"/>
      <c r="P84" s="376"/>
      <c r="Q84" s="376"/>
      <c r="R84" s="376"/>
      <c r="S84" s="376"/>
      <c r="T84" s="376"/>
      <c r="U84" s="376"/>
      <c r="V84" s="376"/>
      <c r="W84" s="376"/>
      <c r="X84" s="376"/>
      <c r="Y84" s="376"/>
      <c r="Z84" s="376"/>
      <c r="AA84" s="376"/>
      <c r="AB84" s="376"/>
      <c r="AC84" s="376"/>
      <c r="AD84" s="376"/>
      <c r="AE84" s="376"/>
      <c r="AF84" s="376"/>
      <c r="AG84" s="376"/>
      <c r="AH84" s="376"/>
      <c r="AI84" s="376"/>
      <c r="AJ84" s="376"/>
      <c r="AK84" s="376"/>
      <c r="AL84" s="377"/>
    </row>
    <row r="85" spans="1:38" ht="14.25" customHeight="1">
      <c r="A85" s="619"/>
      <c r="B85" s="253"/>
      <c r="C85" s="258"/>
      <c r="D85" s="259" t="s">
        <v>168</v>
      </c>
      <c r="E85" s="26"/>
      <c r="F85" s="256"/>
      <c r="G85" s="26"/>
      <c r="H85" s="387"/>
      <c r="I85" s="376"/>
      <c r="J85" s="387"/>
      <c r="K85" s="387"/>
      <c r="L85" s="376"/>
      <c r="M85" s="376"/>
      <c r="N85" s="376"/>
      <c r="O85" s="376">
        <v>0.19400000000000001</v>
      </c>
      <c r="P85" s="376"/>
      <c r="Q85" s="376"/>
      <c r="R85" s="376"/>
      <c r="S85" s="376"/>
      <c r="T85" s="376"/>
      <c r="U85" s="376"/>
      <c r="V85" s="376"/>
      <c r="W85" s="376"/>
      <c r="X85" s="376"/>
      <c r="Y85" s="376"/>
      <c r="Z85" s="376"/>
      <c r="AA85" s="376"/>
      <c r="AB85" s="376"/>
      <c r="AC85" s="376"/>
      <c r="AD85" s="376"/>
      <c r="AE85" s="376"/>
      <c r="AF85" s="376"/>
      <c r="AG85" s="376"/>
      <c r="AH85" s="376"/>
      <c r="AI85" s="376"/>
      <c r="AJ85" s="376"/>
      <c r="AK85" s="376"/>
      <c r="AL85" s="377"/>
    </row>
    <row r="86" spans="1:38" ht="14.25" customHeight="1">
      <c r="A86" s="619"/>
      <c r="B86" s="253"/>
      <c r="C86" s="258"/>
      <c r="D86" s="259" t="s">
        <v>170</v>
      </c>
      <c r="E86" s="26"/>
      <c r="F86" s="256"/>
      <c r="G86" s="26"/>
      <c r="H86" s="387"/>
      <c r="I86" s="376"/>
      <c r="J86" s="387"/>
      <c r="K86" s="387"/>
      <c r="L86" s="376"/>
      <c r="M86" s="376"/>
      <c r="N86" s="376"/>
      <c r="O86" s="376"/>
      <c r="P86" s="376"/>
      <c r="Q86" s="376"/>
      <c r="R86" s="376"/>
      <c r="S86" s="376"/>
      <c r="T86" s="376"/>
      <c r="U86" s="376"/>
      <c r="V86" s="376"/>
      <c r="W86" s="376"/>
      <c r="X86" s="376"/>
      <c r="Y86" s="376"/>
      <c r="Z86" s="376"/>
      <c r="AA86" s="376"/>
      <c r="AB86" s="376"/>
      <c r="AC86" s="376"/>
      <c r="AD86" s="376"/>
      <c r="AE86" s="376"/>
      <c r="AF86" s="376"/>
      <c r="AG86" s="376"/>
      <c r="AH86" s="376"/>
      <c r="AI86" s="376"/>
      <c r="AJ86" s="376"/>
      <c r="AK86" s="376"/>
      <c r="AL86" s="377"/>
    </row>
    <row r="87" spans="1:38" ht="14.25" customHeight="1">
      <c r="A87" s="619"/>
      <c r="B87" s="253"/>
      <c r="C87" s="258"/>
      <c r="D87" s="259" t="s">
        <v>172</v>
      </c>
      <c r="E87" s="26"/>
      <c r="F87" s="256"/>
      <c r="G87" s="26"/>
      <c r="H87" s="387"/>
      <c r="I87" s="387">
        <v>3.7190000000000001E-2</v>
      </c>
      <c r="J87" s="387"/>
      <c r="K87" s="387">
        <v>1.1379999999999999E-2</v>
      </c>
      <c r="L87" s="376"/>
      <c r="M87" s="376"/>
      <c r="N87" s="376"/>
      <c r="O87" s="376"/>
      <c r="P87" s="376"/>
      <c r="Q87" s="376"/>
      <c r="R87" s="376"/>
      <c r="S87" s="376"/>
      <c r="T87" s="376"/>
      <c r="U87" s="376"/>
      <c r="V87" s="376"/>
      <c r="W87" s="376"/>
      <c r="X87" s="376"/>
      <c r="Y87" s="376"/>
      <c r="Z87" s="376"/>
      <c r="AA87" s="376"/>
      <c r="AB87" s="376"/>
      <c r="AC87" s="376"/>
      <c r="AD87" s="376"/>
      <c r="AE87" s="376"/>
      <c r="AF87" s="376"/>
      <c r="AG87" s="376"/>
      <c r="AH87" s="376"/>
      <c r="AI87" s="376"/>
      <c r="AJ87" s="376"/>
      <c r="AK87" s="376"/>
      <c r="AL87" s="377"/>
    </row>
    <row r="88" spans="1:38" ht="14.25" customHeight="1">
      <c r="A88" s="619"/>
      <c r="B88" s="253"/>
      <c r="C88" s="258"/>
      <c r="D88" s="259" t="s">
        <v>174</v>
      </c>
      <c r="E88" s="26"/>
      <c r="F88" s="256"/>
      <c r="G88" s="26"/>
      <c r="H88" s="387"/>
      <c r="I88" s="387"/>
      <c r="J88" s="387"/>
      <c r="K88" s="387"/>
      <c r="L88" s="376">
        <v>0.05</v>
      </c>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376"/>
      <c r="AL88" s="377"/>
    </row>
    <row r="89" spans="1:38" ht="14.25" customHeight="1">
      <c r="A89" s="619"/>
      <c r="B89" s="253"/>
      <c r="C89" s="258"/>
      <c r="D89" s="259" t="s">
        <v>176</v>
      </c>
      <c r="E89" s="26"/>
      <c r="F89" s="256"/>
      <c r="G89" s="26"/>
      <c r="H89" s="387"/>
      <c r="I89" s="387"/>
      <c r="J89" s="387"/>
      <c r="K89" s="387"/>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376"/>
      <c r="AL89" s="377"/>
    </row>
    <row r="90" spans="1:38" ht="14.25" customHeight="1">
      <c r="A90" s="619"/>
      <c r="B90" s="253"/>
      <c r="C90" s="258"/>
      <c r="D90" s="281" t="s">
        <v>228</v>
      </c>
      <c r="E90" s="256"/>
      <c r="F90" s="256"/>
      <c r="G90" s="26"/>
      <c r="H90" s="387"/>
      <c r="I90" s="387">
        <v>0.2</v>
      </c>
      <c r="J90" s="387"/>
      <c r="K90" s="387"/>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376"/>
      <c r="AL90" s="377"/>
    </row>
    <row r="91" spans="1:38" ht="14.25" customHeight="1">
      <c r="A91" s="619"/>
      <c r="B91" s="253"/>
      <c r="C91" s="258"/>
      <c r="D91" s="281" t="s">
        <v>229</v>
      </c>
      <c r="E91" s="256"/>
      <c r="F91" s="256"/>
      <c r="G91" s="256"/>
      <c r="H91" s="387">
        <v>0.05</v>
      </c>
      <c r="I91" s="376"/>
      <c r="J91" s="387">
        <v>0.11</v>
      </c>
      <c r="K91" s="387"/>
      <c r="L91" s="376"/>
      <c r="M91" s="376"/>
      <c r="N91" s="376"/>
      <c r="O91" s="376"/>
      <c r="P91" s="376"/>
      <c r="Q91" s="376"/>
      <c r="R91" s="376"/>
      <c r="S91" s="376"/>
      <c r="T91" s="376"/>
      <c r="U91" s="376"/>
      <c r="V91" s="376"/>
      <c r="W91" s="376"/>
      <c r="X91" s="376"/>
      <c r="Y91" s="376"/>
      <c r="Z91" s="376"/>
      <c r="AA91" s="376"/>
      <c r="AB91" s="376"/>
      <c r="AC91" s="376"/>
      <c r="AD91" s="376"/>
      <c r="AE91" s="376"/>
      <c r="AF91" s="376"/>
      <c r="AG91" s="376"/>
      <c r="AH91" s="376"/>
      <c r="AI91" s="376"/>
      <c r="AJ91" s="376"/>
      <c r="AK91" s="376"/>
      <c r="AL91" s="377"/>
    </row>
    <row r="92" spans="1:38" ht="14.25" customHeight="1">
      <c r="A92" s="619"/>
      <c r="B92" s="253"/>
      <c r="C92" s="258"/>
      <c r="D92" s="281" t="s">
        <v>230</v>
      </c>
      <c r="E92" s="256"/>
      <c r="F92" s="256"/>
      <c r="G92" s="256"/>
      <c r="H92" s="376"/>
      <c r="I92" s="376"/>
      <c r="J92" s="376"/>
      <c r="K92" s="387"/>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6"/>
      <c r="AK92" s="376"/>
      <c r="AL92" s="377"/>
    </row>
    <row r="93" spans="1:38" ht="14.25" customHeight="1">
      <c r="A93" s="619"/>
      <c r="B93" s="253"/>
      <c r="C93" s="258"/>
      <c r="D93" s="281" t="s">
        <v>231</v>
      </c>
      <c r="E93" s="256"/>
      <c r="F93" s="256"/>
      <c r="G93" s="256"/>
      <c r="H93" s="376"/>
      <c r="I93" s="376"/>
      <c r="J93" s="376"/>
      <c r="K93" s="387"/>
      <c r="L93" s="376"/>
      <c r="M93" s="376"/>
      <c r="N93" s="376"/>
      <c r="O93" s="376"/>
      <c r="P93" s="376"/>
      <c r="Q93" s="376"/>
      <c r="R93" s="376"/>
      <c r="S93" s="376"/>
      <c r="T93" s="376"/>
      <c r="U93" s="376"/>
      <c r="V93" s="376"/>
      <c r="W93" s="376"/>
      <c r="X93" s="376"/>
      <c r="Y93" s="376"/>
      <c r="Z93" s="376"/>
      <c r="AA93" s="376"/>
      <c r="AB93" s="376"/>
      <c r="AC93" s="376"/>
      <c r="AD93" s="376"/>
      <c r="AE93" s="376"/>
      <c r="AF93" s="376"/>
      <c r="AG93" s="376"/>
      <c r="AH93" s="376"/>
      <c r="AI93" s="376"/>
      <c r="AJ93" s="376"/>
      <c r="AK93" s="376"/>
      <c r="AL93" s="377"/>
    </row>
    <row r="94" spans="1:38" ht="14.25" customHeight="1">
      <c r="A94" s="619"/>
      <c r="B94" s="253"/>
      <c r="C94" s="258"/>
      <c r="D94" s="281" t="s">
        <v>232</v>
      </c>
      <c r="E94" s="256"/>
      <c r="F94" s="256"/>
      <c r="G94" s="256"/>
      <c r="H94" s="376"/>
      <c r="I94" s="376"/>
      <c r="J94" s="376"/>
      <c r="K94" s="387"/>
      <c r="L94" s="376"/>
      <c r="M94" s="376"/>
      <c r="N94" s="376"/>
      <c r="O94" s="376"/>
      <c r="P94" s="376"/>
      <c r="Q94" s="376"/>
      <c r="R94" s="376"/>
      <c r="S94" s="376"/>
      <c r="T94" s="376"/>
      <c r="U94" s="376"/>
      <c r="V94" s="376"/>
      <c r="W94" s="376"/>
      <c r="X94" s="376"/>
      <c r="Y94" s="376"/>
      <c r="Z94" s="376"/>
      <c r="AA94" s="376"/>
      <c r="AB94" s="376"/>
      <c r="AC94" s="376"/>
      <c r="AD94" s="376"/>
      <c r="AE94" s="376"/>
      <c r="AF94" s="376"/>
      <c r="AG94" s="376"/>
      <c r="AH94" s="376"/>
      <c r="AI94" s="376"/>
      <c r="AJ94" s="376"/>
      <c r="AK94" s="376"/>
      <c r="AL94" s="377"/>
    </row>
    <row r="95" spans="1:38" ht="14.25" customHeight="1">
      <c r="A95" s="619"/>
      <c r="B95" s="253"/>
      <c r="C95" s="258"/>
      <c r="D95" s="281" t="s">
        <v>233</v>
      </c>
      <c r="E95" s="256"/>
      <c r="F95" s="256"/>
      <c r="G95" s="256"/>
      <c r="H95" s="376"/>
      <c r="I95" s="376"/>
      <c r="J95" s="376"/>
      <c r="K95" s="387">
        <v>0.11</v>
      </c>
      <c r="L95" s="376"/>
      <c r="M95" s="376">
        <v>0.4</v>
      </c>
      <c r="N95" s="376"/>
      <c r="O95" s="376"/>
      <c r="P95" s="376"/>
      <c r="Q95" s="376"/>
      <c r="R95" s="376"/>
      <c r="S95" s="376"/>
      <c r="T95" s="376"/>
      <c r="U95" s="376"/>
      <c r="V95" s="376"/>
      <c r="W95" s="376"/>
      <c r="X95" s="376"/>
      <c r="Y95" s="376"/>
      <c r="Z95" s="376"/>
      <c r="AA95" s="376"/>
      <c r="AB95" s="376"/>
      <c r="AC95" s="376"/>
      <c r="AD95" s="376"/>
      <c r="AE95" s="376"/>
      <c r="AF95" s="376"/>
      <c r="AG95" s="376"/>
      <c r="AH95" s="376"/>
      <c r="AI95" s="376"/>
      <c r="AJ95" s="376"/>
      <c r="AK95" s="376"/>
      <c r="AL95" s="377"/>
    </row>
    <row r="96" spans="1:38" ht="14.25" customHeight="1">
      <c r="A96" s="619"/>
      <c r="B96" s="253"/>
      <c r="C96" s="258"/>
      <c r="D96" s="281" t="s">
        <v>234</v>
      </c>
      <c r="E96" s="256"/>
      <c r="F96" s="256"/>
      <c r="G96" s="256"/>
      <c r="H96" s="376"/>
      <c r="I96" s="376"/>
      <c r="J96" s="376"/>
      <c r="K96" s="387"/>
      <c r="L96" s="376">
        <v>0.5</v>
      </c>
      <c r="M96" s="376">
        <v>0.12</v>
      </c>
      <c r="N96" s="376"/>
      <c r="O96" s="376">
        <v>0.32</v>
      </c>
      <c r="P96" s="376"/>
      <c r="Q96" s="376"/>
      <c r="R96" s="376"/>
      <c r="S96" s="376"/>
      <c r="T96" s="376"/>
      <c r="U96" s="376"/>
      <c r="V96" s="376"/>
      <c r="W96" s="376"/>
      <c r="X96" s="376"/>
      <c r="Y96" s="376"/>
      <c r="Z96" s="376"/>
      <c r="AA96" s="376"/>
      <c r="AB96" s="376"/>
      <c r="AC96" s="376"/>
      <c r="AD96" s="376"/>
      <c r="AE96" s="376"/>
      <c r="AF96" s="376"/>
      <c r="AG96" s="376"/>
      <c r="AH96" s="376"/>
      <c r="AI96" s="376"/>
      <c r="AJ96" s="376"/>
      <c r="AK96" s="376"/>
      <c r="AL96" s="377"/>
    </row>
    <row r="97" spans="1:38" ht="14.25" customHeight="1">
      <c r="A97" s="619"/>
      <c r="B97" s="253"/>
      <c r="C97" s="258"/>
      <c r="D97" s="281" t="s">
        <v>235</v>
      </c>
      <c r="E97" s="256"/>
      <c r="F97" s="256"/>
      <c r="G97" s="256"/>
      <c r="H97" s="376"/>
      <c r="I97" s="376"/>
      <c r="J97" s="376"/>
      <c r="K97" s="387">
        <v>0.15</v>
      </c>
      <c r="L97" s="376"/>
      <c r="M97" s="376"/>
      <c r="N97" s="376"/>
      <c r="O97" s="376"/>
      <c r="P97" s="376"/>
      <c r="Q97" s="376"/>
      <c r="R97" s="376"/>
      <c r="S97" s="376"/>
      <c r="T97" s="376"/>
      <c r="U97" s="376"/>
      <c r="V97" s="376"/>
      <c r="W97" s="376"/>
      <c r="X97" s="376"/>
      <c r="Y97" s="376"/>
      <c r="Z97" s="376"/>
      <c r="AA97" s="376"/>
      <c r="AB97" s="376"/>
      <c r="AC97" s="376"/>
      <c r="AD97" s="376"/>
      <c r="AE97" s="376"/>
      <c r="AF97" s="376"/>
      <c r="AG97" s="376"/>
      <c r="AH97" s="376"/>
      <c r="AI97" s="376"/>
      <c r="AJ97" s="376"/>
      <c r="AK97" s="376"/>
      <c r="AL97" s="377"/>
    </row>
    <row r="98" spans="1:38" ht="14.25" customHeight="1">
      <c r="A98" s="619"/>
      <c r="B98" s="253"/>
      <c r="C98" s="258"/>
      <c r="D98" s="281" t="s">
        <v>236</v>
      </c>
      <c r="E98" s="256"/>
      <c r="F98" s="256"/>
      <c r="G98" s="256"/>
      <c r="H98" s="376"/>
      <c r="I98" s="376"/>
      <c r="J98" s="376"/>
      <c r="K98" s="387">
        <v>0.2</v>
      </c>
      <c r="L98" s="376"/>
      <c r="M98" s="376"/>
      <c r="N98" s="376"/>
      <c r="O98" s="376"/>
      <c r="P98" s="376"/>
      <c r="Q98" s="376"/>
      <c r="R98" s="376"/>
      <c r="S98" s="376"/>
      <c r="T98" s="376"/>
      <c r="U98" s="376"/>
      <c r="V98" s="376"/>
      <c r="W98" s="376"/>
      <c r="X98" s="376"/>
      <c r="Y98" s="376"/>
      <c r="Z98" s="376"/>
      <c r="AA98" s="376"/>
      <c r="AB98" s="376"/>
      <c r="AC98" s="376"/>
      <c r="AD98" s="376"/>
      <c r="AE98" s="376"/>
      <c r="AF98" s="376"/>
      <c r="AG98" s="376"/>
      <c r="AH98" s="376"/>
      <c r="AI98" s="376"/>
      <c r="AJ98" s="376"/>
      <c r="AK98" s="376"/>
      <c r="AL98" s="377"/>
    </row>
    <row r="99" spans="1:38" ht="14.25" customHeight="1">
      <c r="A99" s="619"/>
      <c r="B99" s="253"/>
      <c r="C99" s="258"/>
      <c r="D99" s="281" t="s">
        <v>237</v>
      </c>
      <c r="E99" s="256"/>
      <c r="F99" s="256"/>
      <c r="G99" s="256"/>
      <c r="H99" s="376"/>
      <c r="I99" s="376"/>
      <c r="J99" s="376"/>
      <c r="K99" s="387">
        <v>0.12</v>
      </c>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6"/>
      <c r="AL99" s="377"/>
    </row>
    <row r="100" spans="1:38" ht="14.25" customHeight="1">
      <c r="A100" s="619"/>
      <c r="B100" s="253"/>
      <c r="C100" s="258"/>
      <c r="D100" s="281" t="s">
        <v>238</v>
      </c>
      <c r="E100" s="256"/>
      <c r="F100" s="256"/>
      <c r="G100" s="256"/>
      <c r="H100" s="376"/>
      <c r="I100" s="376"/>
      <c r="J100" s="376"/>
      <c r="K100" s="387">
        <v>0.03</v>
      </c>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6"/>
      <c r="AL100" s="377"/>
    </row>
    <row r="101" spans="1:38" ht="14.25" customHeight="1">
      <c r="A101" s="619"/>
      <c r="B101" s="253"/>
      <c r="C101" s="258"/>
      <c r="D101" s="281" t="s">
        <v>226</v>
      </c>
      <c r="E101" s="256"/>
      <c r="F101" s="26"/>
      <c r="G101" s="26"/>
      <c r="H101" s="56"/>
      <c r="I101" s="56"/>
      <c r="J101" s="56"/>
      <c r="K101" s="56"/>
      <c r="L101" s="56"/>
      <c r="M101" s="56"/>
      <c r="N101" s="56"/>
      <c r="O101" s="376">
        <v>0.05</v>
      </c>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6"/>
      <c r="AL101" s="377"/>
    </row>
    <row r="102" spans="1:38" ht="14.25" customHeight="1">
      <c r="A102" s="619"/>
      <c r="B102" s="253"/>
      <c r="C102" s="258"/>
      <c r="D102" s="259" t="s">
        <v>239</v>
      </c>
      <c r="E102" s="256">
        <f t="shared" ref="E102:R102" si="8">SUM(E74:E100)-E76-E83</f>
        <v>0</v>
      </c>
      <c r="F102" s="256">
        <f t="shared" si="8"/>
        <v>0</v>
      </c>
      <c r="G102" s="256">
        <f t="shared" si="8"/>
        <v>0</v>
      </c>
      <c r="H102" s="256">
        <f t="shared" si="8"/>
        <v>0.31198999999999999</v>
      </c>
      <c r="I102" s="256">
        <f t="shared" si="8"/>
        <v>0.23719000000000001</v>
      </c>
      <c r="J102" s="256">
        <f t="shared" si="8"/>
        <v>0.11899999999999999</v>
      </c>
      <c r="K102" s="256">
        <f t="shared" si="8"/>
        <v>0.69318000000000002</v>
      </c>
      <c r="L102" s="256">
        <f t="shared" si="8"/>
        <v>0.55000000000000004</v>
      </c>
      <c r="M102" s="256">
        <f t="shared" si="8"/>
        <v>0.52</v>
      </c>
      <c r="N102" s="256">
        <f t="shared" si="8"/>
        <v>0</v>
      </c>
      <c r="O102" s="256">
        <f t="shared" si="8"/>
        <v>0.51400000000000001</v>
      </c>
      <c r="P102" s="256">
        <f t="shared" si="8"/>
        <v>0.59560000000000002</v>
      </c>
      <c r="Q102" s="256">
        <f t="shared" si="8"/>
        <v>1.2</v>
      </c>
      <c r="R102" s="256">
        <f t="shared" si="8"/>
        <v>1.2</v>
      </c>
      <c r="S102" s="376"/>
      <c r="T102" s="376"/>
      <c r="U102" s="376"/>
      <c r="V102" s="376"/>
      <c r="W102" s="376"/>
      <c r="X102" s="376"/>
      <c r="Y102" s="376"/>
      <c r="Z102" s="376"/>
      <c r="AA102" s="376"/>
      <c r="AB102" s="376"/>
      <c r="AC102" s="376"/>
      <c r="AD102" s="376"/>
      <c r="AE102" s="376"/>
      <c r="AF102" s="376"/>
      <c r="AG102" s="376"/>
      <c r="AH102" s="376"/>
      <c r="AI102" s="376"/>
      <c r="AJ102" s="376"/>
      <c r="AK102" s="376"/>
      <c r="AL102" s="377"/>
    </row>
    <row r="103" spans="1:38" ht="14.25" customHeight="1">
      <c r="A103" s="619"/>
      <c r="B103" s="253"/>
      <c r="C103" s="258"/>
      <c r="D103" s="378"/>
      <c r="E103" s="388"/>
      <c r="F103" s="388"/>
      <c r="G103" s="388"/>
      <c r="H103" s="258"/>
      <c r="I103" s="258"/>
      <c r="J103" s="258"/>
      <c r="K103" s="258"/>
      <c r="L103" s="258"/>
      <c r="M103" s="258"/>
      <c r="N103" s="258"/>
      <c r="O103" s="258"/>
      <c r="P103" s="258"/>
      <c r="Q103" s="258"/>
      <c r="R103" s="258"/>
      <c r="S103" s="258"/>
      <c r="T103" s="258"/>
      <c r="U103" s="258"/>
      <c r="V103" s="258"/>
      <c r="W103" s="258"/>
      <c r="X103" s="258"/>
      <c r="Y103" s="258"/>
      <c r="Z103" s="258"/>
      <c r="AA103" s="258"/>
      <c r="AB103" s="258"/>
      <c r="AC103" s="258"/>
      <c r="AD103" s="258"/>
      <c r="AE103" s="258"/>
      <c r="AF103" s="258"/>
      <c r="AG103" s="258"/>
      <c r="AH103" s="258"/>
      <c r="AI103" s="258"/>
      <c r="AJ103" s="258"/>
      <c r="AK103" s="258"/>
      <c r="AL103" s="377"/>
    </row>
    <row r="104" spans="1:38" ht="14.25" customHeight="1">
      <c r="A104" s="619"/>
      <c r="B104" s="253"/>
      <c r="C104" s="258"/>
      <c r="D104" s="281" t="s">
        <v>396</v>
      </c>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6"/>
      <c r="AL104" s="377"/>
    </row>
    <row r="105" spans="1:38" ht="14.25" customHeight="1">
      <c r="A105" s="619"/>
      <c r="B105" s="253"/>
      <c r="C105" s="258"/>
      <c r="D105" s="281" t="s">
        <v>185</v>
      </c>
      <c r="E105" s="332">
        <f t="shared" ref="E105:R105" si="9">E74+E100*0.5</f>
        <v>0</v>
      </c>
      <c r="F105" s="332">
        <f t="shared" si="9"/>
        <v>0</v>
      </c>
      <c r="G105" s="332">
        <f t="shared" si="9"/>
        <v>0</v>
      </c>
      <c r="H105" s="332">
        <f t="shared" si="9"/>
        <v>0</v>
      </c>
      <c r="I105" s="332">
        <f t="shared" si="9"/>
        <v>0</v>
      </c>
      <c r="J105" s="332">
        <f t="shared" si="9"/>
        <v>0</v>
      </c>
      <c r="K105" s="332">
        <f t="shared" si="9"/>
        <v>1.4999999999999999E-2</v>
      </c>
      <c r="L105" s="332">
        <f t="shared" si="9"/>
        <v>0</v>
      </c>
      <c r="M105" s="332">
        <f t="shared" si="9"/>
        <v>0</v>
      </c>
      <c r="N105" s="332">
        <f t="shared" si="9"/>
        <v>0</v>
      </c>
      <c r="O105" s="332">
        <f t="shared" si="9"/>
        <v>0</v>
      </c>
      <c r="P105" s="332">
        <f t="shared" si="9"/>
        <v>0</v>
      </c>
      <c r="Q105" s="332">
        <f t="shared" si="9"/>
        <v>0</v>
      </c>
      <c r="R105" s="332">
        <f t="shared" si="9"/>
        <v>0</v>
      </c>
      <c r="S105" s="376"/>
      <c r="T105" s="376"/>
      <c r="U105" s="376"/>
      <c r="V105" s="376"/>
      <c r="W105" s="376"/>
      <c r="X105" s="376"/>
      <c r="Y105" s="376"/>
      <c r="Z105" s="376"/>
      <c r="AA105" s="376"/>
      <c r="AB105" s="376"/>
      <c r="AC105" s="376"/>
      <c r="AD105" s="376"/>
      <c r="AE105" s="376"/>
      <c r="AF105" s="376"/>
      <c r="AG105" s="376"/>
      <c r="AH105" s="376"/>
      <c r="AI105" s="376"/>
      <c r="AJ105" s="376"/>
      <c r="AK105" s="376"/>
      <c r="AL105" s="377"/>
    </row>
    <row r="106" spans="1:38" ht="14.25" customHeight="1">
      <c r="A106" s="619"/>
      <c r="B106" s="253"/>
      <c r="C106" s="258"/>
      <c r="D106" s="281" t="s">
        <v>219</v>
      </c>
      <c r="E106" s="256">
        <f t="shared" ref="E106:R106" si="10">E91+E98+E96*0.5</f>
        <v>0</v>
      </c>
      <c r="F106" s="256">
        <f t="shared" si="10"/>
        <v>0</v>
      </c>
      <c r="G106" s="256">
        <f t="shared" si="10"/>
        <v>0</v>
      </c>
      <c r="H106" s="256">
        <f t="shared" si="10"/>
        <v>0.05</v>
      </c>
      <c r="I106" s="256">
        <f t="shared" si="10"/>
        <v>0</v>
      </c>
      <c r="J106" s="256">
        <f t="shared" si="10"/>
        <v>0.11</v>
      </c>
      <c r="K106" s="256">
        <f t="shared" si="10"/>
        <v>0.2</v>
      </c>
      <c r="L106" s="256">
        <f t="shared" si="10"/>
        <v>0.25</v>
      </c>
      <c r="M106" s="256">
        <f t="shared" si="10"/>
        <v>0.06</v>
      </c>
      <c r="N106" s="256">
        <f t="shared" si="10"/>
        <v>0</v>
      </c>
      <c r="O106" s="256">
        <f t="shared" si="10"/>
        <v>0.16</v>
      </c>
      <c r="P106" s="256">
        <f t="shared" si="10"/>
        <v>0</v>
      </c>
      <c r="Q106" s="256">
        <f t="shared" si="10"/>
        <v>0</v>
      </c>
      <c r="R106" s="256">
        <f t="shared" si="10"/>
        <v>0</v>
      </c>
      <c r="S106" s="376"/>
      <c r="T106" s="376"/>
      <c r="U106" s="376"/>
      <c r="V106" s="376"/>
      <c r="W106" s="376"/>
      <c r="X106" s="376"/>
      <c r="Y106" s="376"/>
      <c r="Z106" s="376"/>
      <c r="AA106" s="376"/>
      <c r="AB106" s="376"/>
      <c r="AC106" s="376"/>
      <c r="AD106" s="376"/>
      <c r="AE106" s="376"/>
      <c r="AF106" s="376"/>
      <c r="AG106" s="376"/>
      <c r="AH106" s="376"/>
      <c r="AI106" s="376"/>
      <c r="AJ106" s="376"/>
      <c r="AK106" s="376"/>
      <c r="AL106" s="377"/>
    </row>
    <row r="107" spans="1:38" ht="14.25" customHeight="1">
      <c r="A107" s="619"/>
      <c r="B107" s="253"/>
      <c r="C107" s="258"/>
      <c r="D107" s="281" t="s">
        <v>164</v>
      </c>
      <c r="E107" s="376"/>
      <c r="F107" s="376"/>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376"/>
      <c r="AL107" s="377"/>
    </row>
    <row r="108" spans="1:38" ht="14.25" customHeight="1">
      <c r="A108" s="619"/>
      <c r="B108" s="253"/>
      <c r="C108" s="258"/>
      <c r="D108" s="259" t="s">
        <v>166</v>
      </c>
      <c r="E108" s="256">
        <f t="shared" ref="E108:R108" si="11">E77</f>
        <v>0</v>
      </c>
      <c r="F108" s="256">
        <f t="shared" si="11"/>
        <v>0</v>
      </c>
      <c r="G108" s="256">
        <f t="shared" si="11"/>
        <v>0</v>
      </c>
      <c r="H108" s="256">
        <f t="shared" si="11"/>
        <v>4.9000000000000002E-2</v>
      </c>
      <c r="I108" s="256">
        <f t="shared" si="11"/>
        <v>0</v>
      </c>
      <c r="J108" s="256">
        <f t="shared" si="11"/>
        <v>0</v>
      </c>
      <c r="K108" s="256">
        <f t="shared" si="11"/>
        <v>0</v>
      </c>
      <c r="L108" s="256">
        <f t="shared" si="11"/>
        <v>0</v>
      </c>
      <c r="M108" s="256">
        <f t="shared" si="11"/>
        <v>0</v>
      </c>
      <c r="N108" s="256">
        <f t="shared" si="11"/>
        <v>0</v>
      </c>
      <c r="O108" s="256">
        <f t="shared" si="11"/>
        <v>0</v>
      </c>
      <c r="P108" s="256">
        <f t="shared" si="11"/>
        <v>0</v>
      </c>
      <c r="Q108" s="256">
        <f t="shared" si="11"/>
        <v>0</v>
      </c>
      <c r="R108" s="256">
        <f t="shared" si="11"/>
        <v>0</v>
      </c>
      <c r="S108" s="376"/>
      <c r="T108" s="376"/>
      <c r="U108" s="376"/>
      <c r="V108" s="376"/>
      <c r="W108" s="376"/>
      <c r="X108" s="376"/>
      <c r="Y108" s="376"/>
      <c r="Z108" s="376"/>
      <c r="AA108" s="376"/>
      <c r="AB108" s="376"/>
      <c r="AC108" s="376"/>
      <c r="AD108" s="376"/>
      <c r="AE108" s="376"/>
      <c r="AF108" s="376"/>
      <c r="AG108" s="376"/>
      <c r="AH108" s="376"/>
      <c r="AI108" s="376"/>
      <c r="AJ108" s="376"/>
      <c r="AK108" s="376"/>
      <c r="AL108" s="377"/>
    </row>
    <row r="109" spans="1:38" ht="14.25" customHeight="1">
      <c r="A109" s="619"/>
      <c r="B109" s="253"/>
      <c r="C109" s="258"/>
      <c r="D109" s="259" t="s">
        <v>168</v>
      </c>
      <c r="E109" s="256">
        <f t="shared" ref="E109:R109" si="12">E78+0.5*E97</f>
        <v>0</v>
      </c>
      <c r="F109" s="256">
        <f t="shared" si="12"/>
        <v>0</v>
      </c>
      <c r="G109" s="256">
        <f t="shared" si="12"/>
        <v>0</v>
      </c>
      <c r="H109" s="256">
        <f t="shared" si="12"/>
        <v>0.2054</v>
      </c>
      <c r="I109" s="256">
        <f t="shared" si="12"/>
        <v>0</v>
      </c>
      <c r="J109" s="256">
        <f t="shared" si="12"/>
        <v>0</v>
      </c>
      <c r="K109" s="256">
        <f t="shared" si="12"/>
        <v>7.4999999999999997E-2</v>
      </c>
      <c r="L109" s="256">
        <f t="shared" si="12"/>
        <v>0</v>
      </c>
      <c r="M109" s="256">
        <f t="shared" si="12"/>
        <v>0</v>
      </c>
      <c r="N109" s="256">
        <f t="shared" si="12"/>
        <v>0</v>
      </c>
      <c r="O109" s="256">
        <f t="shared" si="12"/>
        <v>0</v>
      </c>
      <c r="P109" s="256">
        <f t="shared" si="12"/>
        <v>0</v>
      </c>
      <c r="Q109" s="256">
        <f t="shared" si="12"/>
        <v>0</v>
      </c>
      <c r="R109" s="256">
        <f t="shared" si="12"/>
        <v>0</v>
      </c>
      <c r="S109" s="376"/>
      <c r="T109" s="376"/>
      <c r="U109" s="376"/>
      <c r="V109" s="376"/>
      <c r="W109" s="376"/>
      <c r="X109" s="376"/>
      <c r="Y109" s="376"/>
      <c r="Z109" s="376"/>
      <c r="AA109" s="376"/>
      <c r="AB109" s="376"/>
      <c r="AC109" s="376"/>
      <c r="AD109" s="376"/>
      <c r="AE109" s="376"/>
      <c r="AF109" s="376"/>
      <c r="AG109" s="376"/>
      <c r="AH109" s="376"/>
      <c r="AI109" s="376"/>
      <c r="AJ109" s="376"/>
      <c r="AK109" s="376"/>
      <c r="AL109" s="377"/>
    </row>
    <row r="110" spans="1:38" ht="14.25" customHeight="1">
      <c r="A110" s="619"/>
      <c r="B110" s="253"/>
      <c r="C110" s="258"/>
      <c r="D110" s="259" t="s">
        <v>170</v>
      </c>
      <c r="E110" s="256">
        <f t="shared" ref="E110:R110" si="13">E79</f>
        <v>0</v>
      </c>
      <c r="F110" s="256">
        <f t="shared" si="13"/>
        <v>0</v>
      </c>
      <c r="G110" s="256">
        <f t="shared" si="13"/>
        <v>0</v>
      </c>
      <c r="H110" s="256">
        <f t="shared" si="13"/>
        <v>0</v>
      </c>
      <c r="I110" s="256">
        <f t="shared" si="13"/>
        <v>0</v>
      </c>
      <c r="J110" s="256">
        <f t="shared" si="13"/>
        <v>0</v>
      </c>
      <c r="K110" s="256">
        <f t="shared" si="13"/>
        <v>0</v>
      </c>
      <c r="L110" s="256">
        <f t="shared" si="13"/>
        <v>0</v>
      </c>
      <c r="M110" s="256">
        <f t="shared" si="13"/>
        <v>0</v>
      </c>
      <c r="N110" s="256">
        <f t="shared" si="13"/>
        <v>0</v>
      </c>
      <c r="O110" s="256">
        <f t="shared" si="13"/>
        <v>0</v>
      </c>
      <c r="P110" s="256">
        <f t="shared" si="13"/>
        <v>0</v>
      </c>
      <c r="Q110" s="256">
        <f t="shared" si="13"/>
        <v>0</v>
      </c>
      <c r="R110" s="256">
        <f t="shared" si="13"/>
        <v>0</v>
      </c>
      <c r="S110" s="376"/>
      <c r="T110" s="376"/>
      <c r="U110" s="376"/>
      <c r="V110" s="376"/>
      <c r="W110" s="376"/>
      <c r="X110" s="376"/>
      <c r="Y110" s="376"/>
      <c r="Z110" s="376"/>
      <c r="AA110" s="376"/>
      <c r="AB110" s="376"/>
      <c r="AC110" s="376"/>
      <c r="AD110" s="376"/>
      <c r="AE110" s="376"/>
      <c r="AF110" s="376"/>
      <c r="AG110" s="376"/>
      <c r="AH110" s="376"/>
      <c r="AI110" s="376"/>
      <c r="AJ110" s="376"/>
      <c r="AK110" s="376"/>
      <c r="AL110" s="377"/>
    </row>
    <row r="111" spans="1:38" ht="14.25" customHeight="1">
      <c r="A111" s="619"/>
      <c r="B111" s="253"/>
      <c r="C111" s="258"/>
      <c r="D111" s="259" t="s">
        <v>172</v>
      </c>
      <c r="E111" s="256">
        <f t="shared" ref="E111:R111" si="14">E80</f>
        <v>0</v>
      </c>
      <c r="F111" s="256">
        <f t="shared" si="14"/>
        <v>0</v>
      </c>
      <c r="G111" s="256">
        <f t="shared" si="14"/>
        <v>0</v>
      </c>
      <c r="H111" s="256">
        <f t="shared" si="14"/>
        <v>0</v>
      </c>
      <c r="I111" s="256">
        <f t="shared" si="14"/>
        <v>0</v>
      </c>
      <c r="J111" s="256">
        <f t="shared" si="14"/>
        <v>0</v>
      </c>
      <c r="K111" s="256">
        <f t="shared" si="14"/>
        <v>2.18E-2</v>
      </c>
      <c r="L111" s="256">
        <f t="shared" si="14"/>
        <v>0</v>
      </c>
      <c r="M111" s="256">
        <f t="shared" si="14"/>
        <v>0</v>
      </c>
      <c r="N111" s="256">
        <f t="shared" si="14"/>
        <v>0</v>
      </c>
      <c r="O111" s="256">
        <f t="shared" si="14"/>
        <v>0</v>
      </c>
      <c r="P111" s="256">
        <f t="shared" si="14"/>
        <v>0</v>
      </c>
      <c r="Q111" s="256">
        <f t="shared" si="14"/>
        <v>0</v>
      </c>
      <c r="R111" s="256">
        <f t="shared" si="14"/>
        <v>0</v>
      </c>
      <c r="S111" s="376"/>
      <c r="T111" s="376"/>
      <c r="U111" s="376"/>
      <c r="V111" s="376"/>
      <c r="W111" s="376"/>
      <c r="X111" s="376"/>
      <c r="Y111" s="376"/>
      <c r="Z111" s="376"/>
      <c r="AA111" s="376"/>
      <c r="AB111" s="376"/>
      <c r="AC111" s="376"/>
      <c r="AD111" s="376"/>
      <c r="AE111" s="376"/>
      <c r="AF111" s="376"/>
      <c r="AG111" s="376"/>
      <c r="AH111" s="376"/>
      <c r="AI111" s="376"/>
      <c r="AJ111" s="376"/>
      <c r="AK111" s="376"/>
      <c r="AL111" s="377"/>
    </row>
    <row r="112" spans="1:38" ht="14.25" customHeight="1">
      <c r="A112" s="619"/>
      <c r="B112" s="253"/>
      <c r="C112" s="258"/>
      <c r="D112" s="259" t="s">
        <v>174</v>
      </c>
      <c r="E112" s="256">
        <f t="shared" ref="E112:R112" si="15">E81</f>
        <v>0</v>
      </c>
      <c r="F112" s="256">
        <f t="shared" si="15"/>
        <v>0</v>
      </c>
      <c r="G112" s="256">
        <f t="shared" si="15"/>
        <v>0</v>
      </c>
      <c r="H112" s="256">
        <f t="shared" si="15"/>
        <v>0</v>
      </c>
      <c r="I112" s="256">
        <f t="shared" si="15"/>
        <v>0</v>
      </c>
      <c r="J112" s="256">
        <f t="shared" si="15"/>
        <v>0</v>
      </c>
      <c r="K112" s="256">
        <f t="shared" si="15"/>
        <v>0</v>
      </c>
      <c r="L112" s="256">
        <f t="shared" si="15"/>
        <v>0</v>
      </c>
      <c r="M112" s="256">
        <f t="shared" si="15"/>
        <v>0</v>
      </c>
      <c r="N112" s="256">
        <f t="shared" si="15"/>
        <v>0</v>
      </c>
      <c r="O112" s="256">
        <f t="shared" si="15"/>
        <v>0</v>
      </c>
      <c r="P112" s="256">
        <f t="shared" si="15"/>
        <v>0</v>
      </c>
      <c r="Q112" s="256">
        <f t="shared" si="15"/>
        <v>0</v>
      </c>
      <c r="R112" s="256">
        <f t="shared" si="15"/>
        <v>0</v>
      </c>
      <c r="S112" s="376"/>
      <c r="T112" s="376"/>
      <c r="U112" s="376"/>
      <c r="V112" s="376"/>
      <c r="W112" s="376"/>
      <c r="X112" s="376"/>
      <c r="Y112" s="376"/>
      <c r="Z112" s="376"/>
      <c r="AA112" s="376"/>
      <c r="AB112" s="376"/>
      <c r="AC112" s="376"/>
      <c r="AD112" s="376"/>
      <c r="AE112" s="376"/>
      <c r="AF112" s="376"/>
      <c r="AG112" s="376"/>
      <c r="AH112" s="376"/>
      <c r="AI112" s="376"/>
      <c r="AJ112" s="376"/>
      <c r="AK112" s="376"/>
      <c r="AL112" s="377"/>
    </row>
    <row r="113" spans="1:38" ht="14.25" customHeight="1">
      <c r="A113" s="619"/>
      <c r="B113" s="253"/>
      <c r="C113" s="258"/>
      <c r="D113" s="259" t="s">
        <v>176</v>
      </c>
      <c r="E113" s="256">
        <f t="shared" ref="E113:R113" si="16">E82</f>
        <v>0</v>
      </c>
      <c r="F113" s="256">
        <f t="shared" si="16"/>
        <v>0</v>
      </c>
      <c r="G113" s="256">
        <f t="shared" si="16"/>
        <v>0</v>
      </c>
      <c r="H113" s="256">
        <f t="shared" si="16"/>
        <v>0</v>
      </c>
      <c r="I113" s="256">
        <f t="shared" si="16"/>
        <v>0</v>
      </c>
      <c r="J113" s="256">
        <f t="shared" si="16"/>
        <v>0</v>
      </c>
      <c r="K113" s="256">
        <f t="shared" si="16"/>
        <v>0</v>
      </c>
      <c r="L113" s="256">
        <f t="shared" si="16"/>
        <v>0</v>
      </c>
      <c r="M113" s="256">
        <f t="shared" si="16"/>
        <v>0</v>
      </c>
      <c r="N113" s="256">
        <f t="shared" si="16"/>
        <v>0</v>
      </c>
      <c r="O113" s="256">
        <f t="shared" si="16"/>
        <v>0</v>
      </c>
      <c r="P113" s="256">
        <f t="shared" si="16"/>
        <v>0.59560000000000002</v>
      </c>
      <c r="Q113" s="256">
        <f t="shared" si="16"/>
        <v>1.2</v>
      </c>
      <c r="R113" s="256">
        <f t="shared" si="16"/>
        <v>1.2</v>
      </c>
      <c r="S113" s="376"/>
      <c r="T113" s="376"/>
      <c r="U113" s="376"/>
      <c r="V113" s="376"/>
      <c r="W113" s="376"/>
      <c r="X113" s="376"/>
      <c r="Y113" s="376"/>
      <c r="Z113" s="376"/>
      <c r="AA113" s="376"/>
      <c r="AB113" s="376"/>
      <c r="AC113" s="376"/>
      <c r="AD113" s="376"/>
      <c r="AE113" s="376"/>
      <c r="AF113" s="376"/>
      <c r="AG113" s="376"/>
      <c r="AH113" s="376"/>
      <c r="AI113" s="376"/>
      <c r="AJ113" s="376"/>
      <c r="AK113" s="376"/>
      <c r="AL113" s="377"/>
    </row>
    <row r="114" spans="1:38" ht="14.25" customHeight="1">
      <c r="A114" s="619"/>
      <c r="B114" s="253"/>
      <c r="C114" s="258"/>
      <c r="D114" s="281" t="s">
        <v>177</v>
      </c>
      <c r="E114" s="376"/>
      <c r="F114" s="376"/>
      <c r="G114" s="376"/>
      <c r="H114" s="376"/>
      <c r="I114" s="376"/>
      <c r="J114" s="376"/>
      <c r="K114" s="376"/>
      <c r="L114" s="376"/>
      <c r="M114" s="376"/>
      <c r="N114" s="376"/>
      <c r="O114" s="376"/>
      <c r="P114" s="376"/>
      <c r="Q114" s="376"/>
      <c r="R114" s="376"/>
      <c r="S114" s="376"/>
      <c r="T114" s="376"/>
      <c r="U114" s="376"/>
      <c r="V114" s="376"/>
      <c r="W114" s="376"/>
      <c r="X114" s="376"/>
      <c r="Y114" s="376"/>
      <c r="Z114" s="376"/>
      <c r="AA114" s="376"/>
      <c r="AB114" s="376"/>
      <c r="AC114" s="376"/>
      <c r="AD114" s="376"/>
      <c r="AE114" s="376"/>
      <c r="AF114" s="376"/>
      <c r="AG114" s="376"/>
      <c r="AH114" s="376"/>
      <c r="AI114" s="376"/>
      <c r="AJ114" s="376"/>
      <c r="AK114" s="376"/>
      <c r="AL114" s="377"/>
    </row>
    <row r="115" spans="1:38" ht="14.25" customHeight="1">
      <c r="A115" s="619"/>
      <c r="B115" s="253"/>
      <c r="C115" s="258"/>
      <c r="D115" s="259" t="s">
        <v>166</v>
      </c>
      <c r="E115" s="256">
        <f t="shared" ref="E115:R115" si="17">E84</f>
        <v>0</v>
      </c>
      <c r="F115" s="256">
        <f t="shared" si="17"/>
        <v>0</v>
      </c>
      <c r="G115" s="256">
        <f t="shared" si="17"/>
        <v>0</v>
      </c>
      <c r="H115" s="256">
        <f t="shared" si="17"/>
        <v>7.5899999999999995E-3</v>
      </c>
      <c r="I115" s="256">
        <f t="shared" si="17"/>
        <v>0</v>
      </c>
      <c r="J115" s="256">
        <f t="shared" si="17"/>
        <v>8.9999999999999993E-3</v>
      </c>
      <c r="K115" s="256">
        <f t="shared" si="17"/>
        <v>0.05</v>
      </c>
      <c r="L115" s="256">
        <f t="shared" si="17"/>
        <v>0</v>
      </c>
      <c r="M115" s="256">
        <f t="shared" si="17"/>
        <v>0</v>
      </c>
      <c r="N115" s="256">
        <f t="shared" si="17"/>
        <v>0</v>
      </c>
      <c r="O115" s="256">
        <f t="shared" si="17"/>
        <v>0</v>
      </c>
      <c r="P115" s="256">
        <f t="shared" si="17"/>
        <v>0</v>
      </c>
      <c r="Q115" s="256">
        <f t="shared" si="17"/>
        <v>0</v>
      </c>
      <c r="R115" s="256">
        <f t="shared" si="17"/>
        <v>0</v>
      </c>
      <c r="S115" s="376"/>
      <c r="T115" s="376"/>
      <c r="U115" s="376"/>
      <c r="V115" s="376"/>
      <c r="W115" s="376"/>
      <c r="X115" s="376"/>
      <c r="Y115" s="376"/>
      <c r="Z115" s="376"/>
      <c r="AA115" s="376"/>
      <c r="AB115" s="376"/>
      <c r="AC115" s="376"/>
      <c r="AD115" s="376"/>
      <c r="AE115" s="376"/>
      <c r="AF115" s="376"/>
      <c r="AG115" s="376"/>
      <c r="AH115" s="376"/>
      <c r="AI115" s="376"/>
      <c r="AJ115" s="376"/>
      <c r="AK115" s="376"/>
      <c r="AL115" s="377"/>
    </row>
    <row r="116" spans="1:38" ht="14.25" customHeight="1">
      <c r="A116" s="619"/>
      <c r="B116" s="253"/>
      <c r="C116" s="258"/>
      <c r="D116" s="259" t="s">
        <v>168</v>
      </c>
      <c r="E116" s="256">
        <f t="shared" ref="E116:R116" si="18">E85+0.5*E97</f>
        <v>0</v>
      </c>
      <c r="F116" s="256">
        <f t="shared" si="18"/>
        <v>0</v>
      </c>
      <c r="G116" s="256">
        <f t="shared" si="18"/>
        <v>0</v>
      </c>
      <c r="H116" s="256">
        <f t="shared" si="18"/>
        <v>0</v>
      </c>
      <c r="I116" s="256">
        <f t="shared" si="18"/>
        <v>0</v>
      </c>
      <c r="J116" s="256">
        <f t="shared" si="18"/>
        <v>0</v>
      </c>
      <c r="K116" s="256">
        <f t="shared" si="18"/>
        <v>7.4999999999999997E-2</v>
      </c>
      <c r="L116" s="256">
        <f t="shared" si="18"/>
        <v>0</v>
      </c>
      <c r="M116" s="256">
        <f t="shared" si="18"/>
        <v>0</v>
      </c>
      <c r="N116" s="256">
        <f t="shared" si="18"/>
        <v>0</v>
      </c>
      <c r="O116" s="256">
        <f t="shared" si="18"/>
        <v>0.19400000000000001</v>
      </c>
      <c r="P116" s="256">
        <f t="shared" si="18"/>
        <v>0</v>
      </c>
      <c r="Q116" s="256">
        <f t="shared" si="18"/>
        <v>0</v>
      </c>
      <c r="R116" s="256">
        <f t="shared" si="18"/>
        <v>0</v>
      </c>
      <c r="S116" s="376"/>
      <c r="T116" s="376"/>
      <c r="U116" s="376"/>
      <c r="V116" s="376"/>
      <c r="W116" s="376"/>
      <c r="X116" s="376"/>
      <c r="Y116" s="376"/>
      <c r="Z116" s="376"/>
      <c r="AA116" s="376"/>
      <c r="AB116" s="376"/>
      <c r="AC116" s="376"/>
      <c r="AD116" s="376"/>
      <c r="AE116" s="376"/>
      <c r="AF116" s="376"/>
      <c r="AG116" s="376"/>
      <c r="AH116" s="376"/>
      <c r="AI116" s="376"/>
      <c r="AJ116" s="376"/>
      <c r="AK116" s="376"/>
      <c r="AL116" s="377"/>
    </row>
    <row r="117" spans="1:38" ht="14.25" customHeight="1">
      <c r="A117" s="619"/>
      <c r="B117" s="253"/>
      <c r="C117" s="258"/>
      <c r="D117" s="259" t="s">
        <v>170</v>
      </c>
      <c r="E117" s="256">
        <f t="shared" ref="E117:R117" si="19">E86</f>
        <v>0</v>
      </c>
      <c r="F117" s="256">
        <f t="shared" si="19"/>
        <v>0</v>
      </c>
      <c r="G117" s="256">
        <f t="shared" si="19"/>
        <v>0</v>
      </c>
      <c r="H117" s="256">
        <f t="shared" si="19"/>
        <v>0</v>
      </c>
      <c r="I117" s="256">
        <f t="shared" si="19"/>
        <v>0</v>
      </c>
      <c r="J117" s="256">
        <f t="shared" si="19"/>
        <v>0</v>
      </c>
      <c r="K117" s="256">
        <f t="shared" si="19"/>
        <v>0</v>
      </c>
      <c r="L117" s="256">
        <f t="shared" si="19"/>
        <v>0</v>
      </c>
      <c r="M117" s="256">
        <f t="shared" si="19"/>
        <v>0</v>
      </c>
      <c r="N117" s="256">
        <f t="shared" si="19"/>
        <v>0</v>
      </c>
      <c r="O117" s="256">
        <f t="shared" si="19"/>
        <v>0</v>
      </c>
      <c r="P117" s="256">
        <f t="shared" si="19"/>
        <v>0</v>
      </c>
      <c r="Q117" s="256">
        <f t="shared" si="19"/>
        <v>0</v>
      </c>
      <c r="R117" s="256">
        <f t="shared" si="19"/>
        <v>0</v>
      </c>
      <c r="S117" s="376"/>
      <c r="T117" s="376"/>
      <c r="U117" s="376"/>
      <c r="V117" s="376"/>
      <c r="W117" s="376"/>
      <c r="X117" s="376"/>
      <c r="Y117" s="376"/>
      <c r="Z117" s="376"/>
      <c r="AA117" s="376"/>
      <c r="AB117" s="376"/>
      <c r="AC117" s="376"/>
      <c r="AD117" s="376"/>
      <c r="AE117" s="376"/>
      <c r="AF117" s="376"/>
      <c r="AG117" s="376"/>
      <c r="AH117" s="376"/>
      <c r="AI117" s="376"/>
      <c r="AJ117" s="376"/>
      <c r="AK117" s="376"/>
      <c r="AL117" s="377"/>
    </row>
    <row r="118" spans="1:38" ht="14.25" customHeight="1">
      <c r="A118" s="619"/>
      <c r="B118" s="253"/>
      <c r="C118" s="258"/>
      <c r="D118" s="259" t="s">
        <v>172</v>
      </c>
      <c r="E118" s="256">
        <f t="shared" ref="E118:R118" si="20">E87</f>
        <v>0</v>
      </c>
      <c r="F118" s="256">
        <f t="shared" si="20"/>
        <v>0</v>
      </c>
      <c r="G118" s="256">
        <f t="shared" si="20"/>
        <v>0</v>
      </c>
      <c r="H118" s="256">
        <f t="shared" si="20"/>
        <v>0</v>
      </c>
      <c r="I118" s="256">
        <f t="shared" si="20"/>
        <v>3.7190000000000001E-2</v>
      </c>
      <c r="J118" s="256">
        <f t="shared" si="20"/>
        <v>0</v>
      </c>
      <c r="K118" s="256">
        <f t="shared" si="20"/>
        <v>1.1379999999999999E-2</v>
      </c>
      <c r="L118" s="256">
        <f t="shared" si="20"/>
        <v>0</v>
      </c>
      <c r="M118" s="256">
        <f t="shared" si="20"/>
        <v>0</v>
      </c>
      <c r="N118" s="256">
        <f t="shared" si="20"/>
        <v>0</v>
      </c>
      <c r="O118" s="256">
        <f t="shared" si="20"/>
        <v>0</v>
      </c>
      <c r="P118" s="256">
        <f t="shared" si="20"/>
        <v>0</v>
      </c>
      <c r="Q118" s="256">
        <f t="shared" si="20"/>
        <v>0</v>
      </c>
      <c r="R118" s="256">
        <f t="shared" si="20"/>
        <v>0</v>
      </c>
      <c r="S118" s="376"/>
      <c r="T118" s="376"/>
      <c r="U118" s="376"/>
      <c r="V118" s="376"/>
      <c r="W118" s="376"/>
      <c r="X118" s="376"/>
      <c r="Y118" s="376"/>
      <c r="Z118" s="376"/>
      <c r="AA118" s="376"/>
      <c r="AB118" s="376"/>
      <c r="AC118" s="376"/>
      <c r="AD118" s="376"/>
      <c r="AE118" s="376"/>
      <c r="AF118" s="376"/>
      <c r="AG118" s="376"/>
      <c r="AH118" s="376"/>
      <c r="AI118" s="376"/>
      <c r="AJ118" s="376"/>
      <c r="AK118" s="376"/>
      <c r="AL118" s="377"/>
    </row>
    <row r="119" spans="1:38" ht="14.25" customHeight="1">
      <c r="A119" s="619"/>
      <c r="B119" s="253"/>
      <c r="C119" s="258"/>
      <c r="D119" s="259" t="s">
        <v>174</v>
      </c>
      <c r="E119" s="256">
        <f t="shared" ref="E119:R119" si="21">E88</f>
        <v>0</v>
      </c>
      <c r="F119" s="256">
        <f t="shared" si="21"/>
        <v>0</v>
      </c>
      <c r="G119" s="256">
        <f t="shared" si="21"/>
        <v>0</v>
      </c>
      <c r="H119" s="256">
        <f t="shared" si="21"/>
        <v>0</v>
      </c>
      <c r="I119" s="256">
        <f t="shared" si="21"/>
        <v>0</v>
      </c>
      <c r="J119" s="256">
        <f t="shared" si="21"/>
        <v>0</v>
      </c>
      <c r="K119" s="256">
        <f t="shared" si="21"/>
        <v>0</v>
      </c>
      <c r="L119" s="256">
        <f t="shared" si="21"/>
        <v>0.05</v>
      </c>
      <c r="M119" s="256">
        <f t="shared" si="21"/>
        <v>0</v>
      </c>
      <c r="N119" s="256">
        <f t="shared" si="21"/>
        <v>0</v>
      </c>
      <c r="O119" s="256">
        <f t="shared" si="21"/>
        <v>0</v>
      </c>
      <c r="P119" s="256">
        <f t="shared" si="21"/>
        <v>0</v>
      </c>
      <c r="Q119" s="256">
        <f t="shared" si="21"/>
        <v>0</v>
      </c>
      <c r="R119" s="256">
        <f t="shared" si="21"/>
        <v>0</v>
      </c>
      <c r="S119" s="376"/>
      <c r="T119" s="376"/>
      <c r="U119" s="376"/>
      <c r="V119" s="376"/>
      <c r="W119" s="376"/>
      <c r="X119" s="376"/>
      <c r="Y119" s="376"/>
      <c r="Z119" s="376"/>
      <c r="AA119" s="376"/>
      <c r="AB119" s="376"/>
      <c r="AC119" s="376"/>
      <c r="AD119" s="376"/>
      <c r="AE119" s="376"/>
      <c r="AF119" s="376"/>
      <c r="AG119" s="376"/>
      <c r="AH119" s="376"/>
      <c r="AI119" s="376"/>
      <c r="AJ119" s="376"/>
      <c r="AK119" s="376"/>
      <c r="AL119" s="377"/>
    </row>
    <row r="120" spans="1:38" ht="14.25" customHeight="1">
      <c r="A120" s="619"/>
      <c r="B120" s="253"/>
      <c r="C120" s="258"/>
      <c r="D120" s="259" t="s">
        <v>176</v>
      </c>
      <c r="E120" s="256">
        <f t="shared" ref="E120:R120" si="22">E89</f>
        <v>0</v>
      </c>
      <c r="F120" s="256">
        <f t="shared" si="22"/>
        <v>0</v>
      </c>
      <c r="G120" s="256">
        <f t="shared" si="22"/>
        <v>0</v>
      </c>
      <c r="H120" s="256">
        <f t="shared" si="22"/>
        <v>0</v>
      </c>
      <c r="I120" s="256">
        <f t="shared" si="22"/>
        <v>0</v>
      </c>
      <c r="J120" s="256">
        <f t="shared" si="22"/>
        <v>0</v>
      </c>
      <c r="K120" s="256">
        <f t="shared" si="22"/>
        <v>0</v>
      </c>
      <c r="L120" s="256">
        <f t="shared" si="22"/>
        <v>0</v>
      </c>
      <c r="M120" s="256">
        <f t="shared" si="22"/>
        <v>0</v>
      </c>
      <c r="N120" s="256">
        <f t="shared" si="22"/>
        <v>0</v>
      </c>
      <c r="O120" s="256">
        <f t="shared" si="22"/>
        <v>0</v>
      </c>
      <c r="P120" s="256">
        <f t="shared" si="22"/>
        <v>0</v>
      </c>
      <c r="Q120" s="256">
        <f t="shared" si="22"/>
        <v>0</v>
      </c>
      <c r="R120" s="256">
        <f t="shared" si="22"/>
        <v>0</v>
      </c>
      <c r="S120" s="376"/>
      <c r="T120" s="376"/>
      <c r="U120" s="376"/>
      <c r="V120" s="376"/>
      <c r="W120" s="376"/>
      <c r="X120" s="376"/>
      <c r="Y120" s="376"/>
      <c r="Z120" s="376"/>
      <c r="AA120" s="376"/>
      <c r="AB120" s="376"/>
      <c r="AC120" s="376"/>
      <c r="AD120" s="376"/>
      <c r="AE120" s="376"/>
      <c r="AF120" s="376"/>
      <c r="AG120" s="376"/>
      <c r="AH120" s="376"/>
      <c r="AI120" s="376"/>
      <c r="AJ120" s="376"/>
      <c r="AK120" s="376"/>
      <c r="AL120" s="377"/>
    </row>
    <row r="121" spans="1:38" ht="14.25" customHeight="1">
      <c r="A121" s="619"/>
      <c r="B121" s="253"/>
      <c r="C121" s="258"/>
      <c r="D121" s="281" t="s">
        <v>221</v>
      </c>
      <c r="E121" s="256">
        <f t="shared" ref="E121:R121" si="23">0.5*E96+E90+E99</f>
        <v>0</v>
      </c>
      <c r="F121" s="256">
        <f t="shared" si="23"/>
        <v>0</v>
      </c>
      <c r="G121" s="256">
        <f t="shared" si="23"/>
        <v>0</v>
      </c>
      <c r="H121" s="256">
        <f t="shared" si="23"/>
        <v>0</v>
      </c>
      <c r="I121" s="256">
        <f t="shared" si="23"/>
        <v>0.2</v>
      </c>
      <c r="J121" s="256">
        <f t="shared" si="23"/>
        <v>0</v>
      </c>
      <c r="K121" s="256">
        <f t="shared" si="23"/>
        <v>0.12</v>
      </c>
      <c r="L121" s="256">
        <f t="shared" si="23"/>
        <v>0.25</v>
      </c>
      <c r="M121" s="256">
        <f t="shared" si="23"/>
        <v>0.06</v>
      </c>
      <c r="N121" s="256">
        <f t="shared" si="23"/>
        <v>0</v>
      </c>
      <c r="O121" s="256">
        <f t="shared" si="23"/>
        <v>0.16</v>
      </c>
      <c r="P121" s="256">
        <f t="shared" si="23"/>
        <v>0</v>
      </c>
      <c r="Q121" s="256">
        <f t="shared" si="23"/>
        <v>0</v>
      </c>
      <c r="R121" s="256">
        <f t="shared" si="23"/>
        <v>0</v>
      </c>
      <c r="S121" s="376"/>
      <c r="T121" s="376"/>
      <c r="U121" s="376"/>
      <c r="V121" s="376"/>
      <c r="W121" s="376"/>
      <c r="X121" s="376"/>
      <c r="Y121" s="376"/>
      <c r="Z121" s="376"/>
      <c r="AA121" s="376"/>
      <c r="AB121" s="376"/>
      <c r="AC121" s="376"/>
      <c r="AD121" s="376"/>
      <c r="AE121" s="376"/>
      <c r="AF121" s="376"/>
      <c r="AG121" s="376"/>
      <c r="AH121" s="376"/>
      <c r="AI121" s="376"/>
      <c r="AJ121" s="376"/>
      <c r="AK121" s="376"/>
      <c r="AL121" s="377"/>
    </row>
    <row r="122" spans="1:38" ht="14.25" customHeight="1">
      <c r="A122" s="619"/>
      <c r="B122" s="253"/>
      <c r="C122" s="258"/>
      <c r="D122" s="281" t="s">
        <v>308</v>
      </c>
      <c r="E122" s="357">
        <f t="shared" ref="E122:R122" si="24">E100*0.5</f>
        <v>0</v>
      </c>
      <c r="F122" s="357">
        <f t="shared" si="24"/>
        <v>0</v>
      </c>
      <c r="G122" s="357">
        <f t="shared" si="24"/>
        <v>0</v>
      </c>
      <c r="H122" s="357">
        <f t="shared" si="24"/>
        <v>0</v>
      </c>
      <c r="I122" s="357">
        <f t="shared" si="24"/>
        <v>0</v>
      </c>
      <c r="J122" s="357">
        <f t="shared" si="24"/>
        <v>0</v>
      </c>
      <c r="K122" s="357">
        <f t="shared" si="24"/>
        <v>1.4999999999999999E-2</v>
      </c>
      <c r="L122" s="357">
        <f t="shared" si="24"/>
        <v>0</v>
      </c>
      <c r="M122" s="357">
        <f t="shared" si="24"/>
        <v>0</v>
      </c>
      <c r="N122" s="357">
        <f t="shared" si="24"/>
        <v>0</v>
      </c>
      <c r="O122" s="357">
        <f t="shared" si="24"/>
        <v>0</v>
      </c>
      <c r="P122" s="357">
        <f t="shared" si="24"/>
        <v>0</v>
      </c>
      <c r="Q122" s="357">
        <f t="shared" si="24"/>
        <v>0</v>
      </c>
      <c r="R122" s="357">
        <f t="shared" si="24"/>
        <v>0</v>
      </c>
      <c r="S122" s="376"/>
      <c r="T122" s="376"/>
      <c r="U122" s="376"/>
      <c r="V122" s="376"/>
      <c r="W122" s="376"/>
      <c r="X122" s="376"/>
      <c r="Y122" s="376"/>
      <c r="Z122" s="376"/>
      <c r="AA122" s="376"/>
      <c r="AB122" s="376"/>
      <c r="AC122" s="376"/>
      <c r="AD122" s="376"/>
      <c r="AE122" s="376"/>
      <c r="AF122" s="376"/>
      <c r="AG122" s="376"/>
      <c r="AH122" s="376"/>
      <c r="AI122" s="376"/>
      <c r="AJ122" s="376"/>
      <c r="AK122" s="376"/>
      <c r="AL122" s="377"/>
    </row>
    <row r="123" spans="1:38" ht="14.25" customHeight="1">
      <c r="A123" s="619"/>
      <c r="B123" s="253"/>
      <c r="C123" s="258"/>
      <c r="D123" s="266" t="s">
        <v>145</v>
      </c>
      <c r="E123" s="256"/>
      <c r="F123" s="256"/>
      <c r="G123" s="256"/>
      <c r="H123" s="256"/>
      <c r="I123" s="256"/>
      <c r="J123" s="256"/>
      <c r="K123" s="256"/>
      <c r="L123" s="256"/>
      <c r="M123" s="256"/>
      <c r="N123" s="256"/>
      <c r="O123" s="256"/>
      <c r="P123" s="256"/>
      <c r="Q123" s="256"/>
      <c r="R123" s="256"/>
      <c r="S123" s="376"/>
      <c r="T123" s="376"/>
      <c r="U123" s="376"/>
      <c r="V123" s="376"/>
      <c r="W123" s="376"/>
      <c r="X123" s="376"/>
      <c r="Y123" s="376"/>
      <c r="Z123" s="376"/>
      <c r="AA123" s="376"/>
      <c r="AB123" s="376"/>
      <c r="AC123" s="376"/>
      <c r="AD123" s="376"/>
      <c r="AE123" s="376"/>
      <c r="AF123" s="376"/>
      <c r="AG123" s="376"/>
      <c r="AH123" s="376"/>
      <c r="AI123" s="376"/>
      <c r="AJ123" s="376"/>
      <c r="AK123" s="376"/>
      <c r="AL123" s="377"/>
    </row>
    <row r="124" spans="1:38" ht="14.25" customHeight="1">
      <c r="A124" s="619"/>
      <c r="B124" s="253"/>
      <c r="C124" s="258"/>
      <c r="D124" s="259" t="s">
        <v>155</v>
      </c>
      <c r="E124" s="256"/>
      <c r="F124" s="256"/>
      <c r="G124" s="256"/>
      <c r="H124" s="256"/>
      <c r="I124" s="256"/>
      <c r="J124" s="256"/>
      <c r="K124" s="256"/>
      <c r="L124" s="256"/>
      <c r="M124" s="256"/>
      <c r="N124" s="256"/>
      <c r="O124" s="256"/>
      <c r="P124" s="256"/>
      <c r="Q124" s="256"/>
      <c r="R124" s="256"/>
      <c r="S124" s="376"/>
      <c r="T124" s="376"/>
      <c r="U124" s="376"/>
      <c r="V124" s="376"/>
      <c r="W124" s="376"/>
      <c r="X124" s="376"/>
      <c r="Y124" s="376"/>
      <c r="Z124" s="376"/>
      <c r="AA124" s="376"/>
      <c r="AB124" s="376"/>
      <c r="AC124" s="376"/>
      <c r="AD124" s="376"/>
      <c r="AE124" s="376"/>
      <c r="AF124" s="376"/>
      <c r="AG124" s="376"/>
      <c r="AH124" s="376"/>
      <c r="AI124" s="376"/>
      <c r="AJ124" s="376"/>
      <c r="AK124" s="376"/>
      <c r="AL124" s="377"/>
    </row>
    <row r="125" spans="1:38" ht="14.25" customHeight="1">
      <c r="A125" s="619"/>
      <c r="B125" s="253"/>
      <c r="C125" s="258"/>
      <c r="D125" s="259" t="s">
        <v>160</v>
      </c>
      <c r="E125" s="256"/>
      <c r="F125" s="256"/>
      <c r="G125" s="256"/>
      <c r="H125" s="256"/>
      <c r="I125" s="256"/>
      <c r="J125" s="256"/>
      <c r="K125" s="256"/>
      <c r="L125" s="256"/>
      <c r="M125" s="256"/>
      <c r="N125" s="256"/>
      <c r="O125" s="256"/>
      <c r="P125" s="256"/>
      <c r="Q125" s="256"/>
      <c r="R125" s="256"/>
      <c r="S125" s="376"/>
      <c r="T125" s="376"/>
      <c r="U125" s="376"/>
      <c r="V125" s="376"/>
      <c r="W125" s="376"/>
      <c r="X125" s="376"/>
      <c r="Y125" s="376"/>
      <c r="Z125" s="376"/>
      <c r="AA125" s="376"/>
      <c r="AB125" s="376"/>
      <c r="AC125" s="376"/>
      <c r="AD125" s="376"/>
      <c r="AE125" s="376"/>
      <c r="AF125" s="376"/>
      <c r="AG125" s="376"/>
      <c r="AH125" s="376"/>
      <c r="AI125" s="376"/>
      <c r="AJ125" s="376"/>
      <c r="AK125" s="376"/>
      <c r="AL125" s="377"/>
    </row>
    <row r="126" spans="1:38" ht="14.25" customHeight="1">
      <c r="A126" s="619"/>
      <c r="B126" s="253"/>
      <c r="C126" s="258"/>
      <c r="D126" s="379" t="s">
        <v>308</v>
      </c>
      <c r="E126" s="256"/>
      <c r="F126" s="256"/>
      <c r="G126" s="256"/>
      <c r="H126" s="256"/>
      <c r="I126" s="256"/>
      <c r="J126" s="256"/>
      <c r="K126" s="256"/>
      <c r="L126" s="256"/>
      <c r="M126" s="256"/>
      <c r="N126" s="256"/>
      <c r="O126" s="256"/>
      <c r="P126" s="256"/>
      <c r="Q126" s="256"/>
      <c r="R126" s="256"/>
      <c r="S126" s="376"/>
      <c r="T126" s="376"/>
      <c r="U126" s="376"/>
      <c r="V126" s="376"/>
      <c r="W126" s="376"/>
      <c r="X126" s="376"/>
      <c r="Y126" s="376"/>
      <c r="Z126" s="376"/>
      <c r="AA126" s="376"/>
      <c r="AB126" s="376"/>
      <c r="AC126" s="376"/>
      <c r="AD126" s="376"/>
      <c r="AE126" s="376"/>
      <c r="AF126" s="376"/>
      <c r="AG126" s="376"/>
      <c r="AH126" s="376"/>
      <c r="AI126" s="376"/>
      <c r="AJ126" s="376"/>
      <c r="AK126" s="376"/>
      <c r="AL126" s="377"/>
    </row>
    <row r="127" spans="1:38" ht="14.25" customHeight="1">
      <c r="A127" s="619"/>
      <c r="B127" s="253"/>
      <c r="C127" s="258"/>
      <c r="D127" s="259" t="s">
        <v>309</v>
      </c>
      <c r="E127" s="256"/>
      <c r="F127" s="256"/>
      <c r="G127" s="256"/>
      <c r="H127" s="256"/>
      <c r="I127" s="256"/>
      <c r="J127" s="256"/>
      <c r="K127" s="256"/>
      <c r="L127" s="256"/>
      <c r="M127" s="256"/>
      <c r="N127" s="256"/>
      <c r="O127" s="256"/>
      <c r="P127" s="256"/>
      <c r="Q127" s="256"/>
      <c r="R127" s="256"/>
      <c r="S127" s="376"/>
      <c r="T127" s="376"/>
      <c r="U127" s="376"/>
      <c r="V127" s="376"/>
      <c r="W127" s="376"/>
      <c r="X127" s="376"/>
      <c r="Y127" s="376"/>
      <c r="Z127" s="376"/>
      <c r="AA127" s="376"/>
      <c r="AB127" s="376"/>
      <c r="AC127" s="376"/>
      <c r="AD127" s="376"/>
      <c r="AE127" s="376"/>
      <c r="AF127" s="376"/>
      <c r="AG127" s="376"/>
      <c r="AH127" s="376"/>
      <c r="AI127" s="376"/>
      <c r="AJ127" s="376"/>
      <c r="AK127" s="376"/>
      <c r="AL127" s="377"/>
    </row>
    <row r="128" spans="1:38" ht="14.25" customHeight="1">
      <c r="A128" s="619"/>
      <c r="B128" s="253"/>
      <c r="C128" s="258"/>
      <c r="D128" s="266" t="s">
        <v>153</v>
      </c>
      <c r="E128" s="268"/>
      <c r="F128" s="268"/>
      <c r="G128" s="268"/>
      <c r="H128" s="268"/>
      <c r="I128" s="268"/>
      <c r="J128" s="268"/>
      <c r="K128" s="268"/>
      <c r="L128" s="268"/>
      <c r="M128" s="268"/>
      <c r="N128" s="268"/>
      <c r="O128" s="268"/>
      <c r="P128" s="268"/>
      <c r="Q128" s="268"/>
      <c r="R128" s="268"/>
      <c r="S128" s="376"/>
      <c r="T128" s="376"/>
      <c r="U128" s="376"/>
      <c r="V128" s="376"/>
      <c r="W128" s="376"/>
      <c r="X128" s="376"/>
      <c r="Y128" s="376"/>
      <c r="Z128" s="376"/>
      <c r="AA128" s="376"/>
      <c r="AB128" s="376"/>
      <c r="AC128" s="376"/>
      <c r="AD128" s="376"/>
      <c r="AE128" s="376"/>
      <c r="AF128" s="376"/>
      <c r="AG128" s="376"/>
      <c r="AH128" s="376"/>
      <c r="AI128" s="376"/>
      <c r="AJ128" s="376"/>
      <c r="AK128" s="376"/>
      <c r="AL128" s="377"/>
    </row>
    <row r="129" spans="1:38" ht="14.25" customHeight="1">
      <c r="A129" s="619"/>
      <c r="B129" s="253"/>
      <c r="C129" s="258"/>
      <c r="D129" s="259" t="s">
        <v>155</v>
      </c>
      <c r="E129" s="26"/>
      <c r="F129" s="26"/>
      <c r="G129" s="26"/>
      <c r="H129" s="26"/>
      <c r="I129" s="26"/>
      <c r="J129" s="26"/>
      <c r="K129" s="26"/>
      <c r="L129" s="26"/>
      <c r="M129" s="26"/>
      <c r="N129" s="26"/>
      <c r="O129" s="26"/>
      <c r="P129" s="26"/>
      <c r="Q129" s="26"/>
      <c r="R129" s="26"/>
      <c r="S129" s="376"/>
      <c r="T129" s="376"/>
      <c r="U129" s="376"/>
      <c r="V129" s="376"/>
      <c r="W129" s="376"/>
      <c r="X129" s="376"/>
      <c r="Y129" s="376"/>
      <c r="Z129" s="376"/>
      <c r="AA129" s="376"/>
      <c r="AB129" s="376"/>
      <c r="AC129" s="376"/>
      <c r="AD129" s="376"/>
      <c r="AE129" s="376"/>
      <c r="AF129" s="376"/>
      <c r="AG129" s="376"/>
      <c r="AH129" s="376"/>
      <c r="AI129" s="376"/>
      <c r="AJ129" s="376"/>
      <c r="AK129" s="376"/>
      <c r="AL129" s="377"/>
    </row>
    <row r="130" spans="1:38" ht="14.25" customHeight="1">
      <c r="A130" s="619"/>
      <c r="B130" s="253"/>
      <c r="C130" s="258"/>
      <c r="D130" s="259" t="s">
        <v>157</v>
      </c>
      <c r="E130" s="26">
        <f t="shared" ref="E130:R130" si="25">E95</f>
        <v>0</v>
      </c>
      <c r="F130" s="26">
        <f t="shared" si="25"/>
        <v>0</v>
      </c>
      <c r="G130" s="26">
        <f t="shared" si="25"/>
        <v>0</v>
      </c>
      <c r="H130" s="26">
        <f t="shared" si="25"/>
        <v>0</v>
      </c>
      <c r="I130" s="26">
        <f t="shared" si="25"/>
        <v>0</v>
      </c>
      <c r="J130" s="26">
        <f t="shared" si="25"/>
        <v>0</v>
      </c>
      <c r="K130" s="26">
        <f t="shared" si="25"/>
        <v>0.11</v>
      </c>
      <c r="L130" s="26">
        <f t="shared" si="25"/>
        <v>0</v>
      </c>
      <c r="M130" s="26">
        <f t="shared" si="25"/>
        <v>0.4</v>
      </c>
      <c r="N130" s="26">
        <f t="shared" si="25"/>
        <v>0</v>
      </c>
      <c r="O130" s="26">
        <f t="shared" si="25"/>
        <v>0</v>
      </c>
      <c r="P130" s="26">
        <f t="shared" si="25"/>
        <v>0</v>
      </c>
      <c r="Q130" s="26">
        <f t="shared" si="25"/>
        <v>0</v>
      </c>
      <c r="R130" s="26">
        <f t="shared" si="25"/>
        <v>0</v>
      </c>
      <c r="S130" s="376"/>
      <c r="T130" s="376"/>
      <c r="U130" s="376"/>
      <c r="V130" s="376"/>
      <c r="W130" s="376"/>
      <c r="X130" s="376"/>
      <c r="Y130" s="376"/>
      <c r="Z130" s="376"/>
      <c r="AA130" s="376"/>
      <c r="AB130" s="376"/>
      <c r="AC130" s="376"/>
      <c r="AD130" s="376"/>
      <c r="AE130" s="376"/>
      <c r="AF130" s="376"/>
      <c r="AG130" s="376"/>
      <c r="AH130" s="376"/>
      <c r="AI130" s="376"/>
      <c r="AJ130" s="376"/>
      <c r="AK130" s="376"/>
      <c r="AL130" s="377"/>
    </row>
    <row r="131" spans="1:38" ht="14.25" customHeight="1">
      <c r="A131" s="619"/>
      <c r="B131" s="253"/>
      <c r="C131" s="258"/>
      <c r="D131" s="266" t="s">
        <v>158</v>
      </c>
      <c r="E131" s="268"/>
      <c r="F131" s="268"/>
      <c r="G131" s="268"/>
      <c r="H131" s="268"/>
      <c r="I131" s="268"/>
      <c r="J131" s="268"/>
      <c r="K131" s="268"/>
      <c r="L131" s="268"/>
      <c r="M131" s="268"/>
      <c r="N131" s="268"/>
      <c r="O131" s="268"/>
      <c r="P131" s="268"/>
      <c r="Q131" s="268"/>
      <c r="R131" s="268"/>
      <c r="S131" s="376"/>
      <c r="T131" s="376"/>
      <c r="U131" s="376"/>
      <c r="V131" s="376"/>
      <c r="W131" s="376"/>
      <c r="X131" s="376"/>
      <c r="Y131" s="376"/>
      <c r="Z131" s="376"/>
      <c r="AA131" s="376"/>
      <c r="AB131" s="376"/>
      <c r="AC131" s="376"/>
      <c r="AD131" s="376"/>
      <c r="AE131" s="376"/>
      <c r="AF131" s="376"/>
      <c r="AG131" s="376"/>
      <c r="AH131" s="376"/>
      <c r="AI131" s="376"/>
      <c r="AJ131" s="376"/>
      <c r="AK131" s="376"/>
      <c r="AL131" s="377"/>
    </row>
    <row r="132" spans="1:38" ht="14.25" customHeight="1">
      <c r="A132" s="619"/>
      <c r="B132" s="253"/>
      <c r="C132" s="258"/>
      <c r="D132" s="259" t="s">
        <v>160</v>
      </c>
      <c r="E132" s="26"/>
      <c r="F132" s="26"/>
      <c r="G132" s="26"/>
      <c r="H132" s="26"/>
      <c r="I132" s="26"/>
      <c r="J132" s="26"/>
      <c r="K132" s="26"/>
      <c r="L132" s="26"/>
      <c r="M132" s="26"/>
      <c r="N132" s="26"/>
      <c r="O132" s="26"/>
      <c r="P132" s="26"/>
      <c r="Q132" s="26"/>
      <c r="R132" s="26"/>
      <c r="S132" s="376"/>
      <c r="T132" s="376"/>
      <c r="U132" s="376"/>
      <c r="V132" s="376"/>
      <c r="W132" s="376"/>
      <c r="X132" s="376"/>
      <c r="Y132" s="376"/>
      <c r="Z132" s="376"/>
      <c r="AA132" s="376"/>
      <c r="AB132" s="376"/>
      <c r="AC132" s="376"/>
      <c r="AD132" s="376"/>
      <c r="AE132" s="376"/>
      <c r="AF132" s="376"/>
      <c r="AG132" s="376"/>
      <c r="AH132" s="376"/>
      <c r="AI132" s="376"/>
      <c r="AJ132" s="376"/>
      <c r="AK132" s="376"/>
      <c r="AL132" s="377"/>
    </row>
    <row r="133" spans="1:38" ht="14.25" customHeight="1">
      <c r="A133" s="619"/>
      <c r="B133" s="253"/>
      <c r="C133" s="258"/>
      <c r="D133" s="281" t="s">
        <v>217</v>
      </c>
      <c r="E133" s="256"/>
      <c r="F133" s="256"/>
      <c r="G133" s="256"/>
      <c r="H133" s="256"/>
      <c r="I133" s="256"/>
      <c r="J133" s="256"/>
      <c r="K133" s="256"/>
      <c r="L133" s="256"/>
      <c r="M133" s="256"/>
      <c r="N133" s="256"/>
      <c r="O133" s="256"/>
      <c r="P133" s="256"/>
      <c r="Q133" s="256"/>
      <c r="R133" s="256"/>
      <c r="S133" s="376"/>
      <c r="T133" s="376"/>
      <c r="U133" s="376"/>
      <c r="V133" s="376"/>
      <c r="W133" s="376"/>
      <c r="X133" s="376"/>
      <c r="Y133" s="376"/>
      <c r="Z133" s="376"/>
      <c r="AA133" s="376"/>
      <c r="AB133" s="376"/>
      <c r="AC133" s="376"/>
      <c r="AD133" s="376"/>
      <c r="AE133" s="376"/>
      <c r="AF133" s="376"/>
      <c r="AG133" s="376"/>
      <c r="AH133" s="376"/>
      <c r="AI133" s="376"/>
      <c r="AJ133" s="376"/>
      <c r="AK133" s="376"/>
      <c r="AL133" s="377"/>
    </row>
    <row r="134" spans="1:38" ht="14.25" customHeight="1">
      <c r="A134" s="619"/>
      <c r="B134" s="253"/>
      <c r="C134" s="258"/>
      <c r="D134" s="281" t="s">
        <v>226</v>
      </c>
      <c r="E134" s="256">
        <f t="shared" ref="E134:R134" si="26">E101+E100*0.5</f>
        <v>0</v>
      </c>
      <c r="F134" s="256">
        <f t="shared" si="26"/>
        <v>0</v>
      </c>
      <c r="G134" s="256">
        <f t="shared" si="26"/>
        <v>0</v>
      </c>
      <c r="H134" s="256">
        <f t="shared" si="26"/>
        <v>0</v>
      </c>
      <c r="I134" s="256">
        <f t="shared" si="26"/>
        <v>0</v>
      </c>
      <c r="J134" s="256">
        <f t="shared" si="26"/>
        <v>0</v>
      </c>
      <c r="K134" s="256">
        <f t="shared" si="26"/>
        <v>1.4999999999999999E-2</v>
      </c>
      <c r="L134" s="256">
        <f t="shared" si="26"/>
        <v>0</v>
      </c>
      <c r="M134" s="256">
        <f t="shared" si="26"/>
        <v>0</v>
      </c>
      <c r="N134" s="256">
        <f t="shared" si="26"/>
        <v>0</v>
      </c>
      <c r="O134" s="256">
        <f t="shared" si="26"/>
        <v>0.05</v>
      </c>
      <c r="P134" s="256">
        <f t="shared" si="26"/>
        <v>0</v>
      </c>
      <c r="Q134" s="256">
        <f t="shared" si="26"/>
        <v>0</v>
      </c>
      <c r="R134" s="256">
        <f t="shared" si="26"/>
        <v>0</v>
      </c>
      <c r="S134" s="376"/>
      <c r="T134" s="376"/>
      <c r="U134" s="376"/>
      <c r="V134" s="376"/>
      <c r="W134" s="376"/>
      <c r="X134" s="376"/>
      <c r="Y134" s="376"/>
      <c r="Z134" s="376"/>
      <c r="AA134" s="376"/>
      <c r="AB134" s="376"/>
      <c r="AC134" s="376"/>
      <c r="AD134" s="376"/>
      <c r="AE134" s="376"/>
      <c r="AF134" s="376"/>
      <c r="AG134" s="376"/>
      <c r="AH134" s="376"/>
      <c r="AI134" s="376"/>
      <c r="AJ134" s="376"/>
      <c r="AK134" s="376"/>
      <c r="AL134" s="377"/>
    </row>
    <row r="135" spans="1:38" ht="14.25" customHeight="1">
      <c r="A135" s="619"/>
      <c r="B135" s="253"/>
      <c r="C135" s="258"/>
      <c r="D135" s="281" t="s">
        <v>39</v>
      </c>
      <c r="E135" s="256">
        <f t="shared" ref="E135:R135" si="27">SUM(E105:E133)</f>
        <v>0</v>
      </c>
      <c r="F135" s="256">
        <f t="shared" si="27"/>
        <v>0</v>
      </c>
      <c r="G135" s="256">
        <f t="shared" si="27"/>
        <v>0</v>
      </c>
      <c r="H135" s="256">
        <f t="shared" si="27"/>
        <v>0.31198999999999999</v>
      </c>
      <c r="I135" s="256">
        <f t="shared" si="27"/>
        <v>0.23719000000000001</v>
      </c>
      <c r="J135" s="256">
        <f t="shared" si="27"/>
        <v>0.11899999999999999</v>
      </c>
      <c r="K135" s="256">
        <f t="shared" si="27"/>
        <v>0.69318000000000002</v>
      </c>
      <c r="L135" s="256">
        <f t="shared" si="27"/>
        <v>0.55000000000000004</v>
      </c>
      <c r="M135" s="256">
        <f t="shared" si="27"/>
        <v>0.52</v>
      </c>
      <c r="N135" s="256">
        <f t="shared" si="27"/>
        <v>0</v>
      </c>
      <c r="O135" s="256">
        <f t="shared" si="27"/>
        <v>0.51400000000000001</v>
      </c>
      <c r="P135" s="256">
        <f t="shared" si="27"/>
        <v>0.59560000000000002</v>
      </c>
      <c r="Q135" s="256">
        <f t="shared" si="27"/>
        <v>1.2</v>
      </c>
      <c r="R135" s="256">
        <f t="shared" si="27"/>
        <v>1.2</v>
      </c>
      <c r="S135" s="376"/>
      <c r="T135" s="376"/>
      <c r="U135" s="376"/>
      <c r="V135" s="376"/>
      <c r="W135" s="376"/>
      <c r="X135" s="376"/>
      <c r="Y135" s="376"/>
      <c r="Z135" s="376"/>
      <c r="AA135" s="376"/>
      <c r="AB135" s="376"/>
      <c r="AC135" s="376"/>
      <c r="AD135" s="376"/>
      <c r="AE135" s="376"/>
      <c r="AF135" s="376"/>
      <c r="AG135" s="376"/>
      <c r="AH135" s="376"/>
      <c r="AI135" s="376"/>
      <c r="AJ135" s="376"/>
      <c r="AK135" s="376"/>
      <c r="AL135" s="377"/>
    </row>
    <row r="136" spans="1:38" ht="14.25" customHeight="1">
      <c r="A136" s="619"/>
      <c r="B136" s="253"/>
      <c r="C136" s="258"/>
      <c r="D136" s="281"/>
      <c r="E136" s="256"/>
      <c r="F136" s="256"/>
      <c r="G136" s="256"/>
      <c r="H136" s="256"/>
      <c r="I136" s="376"/>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76"/>
      <c r="AH136" s="376"/>
      <c r="AI136" s="376"/>
      <c r="AJ136" s="376"/>
      <c r="AK136" s="376"/>
      <c r="AL136" s="258"/>
    </row>
    <row r="137" spans="1:38" ht="14.25" customHeight="1">
      <c r="A137" s="619"/>
      <c r="B137" s="253"/>
      <c r="C137" s="258"/>
      <c r="D137" s="389" t="s">
        <v>397</v>
      </c>
      <c r="E137" s="388"/>
      <c r="F137" s="388"/>
      <c r="G137" s="388"/>
      <c r="H137" s="258"/>
      <c r="I137" s="258"/>
      <c r="J137" s="258"/>
      <c r="K137" s="258"/>
      <c r="L137" s="258"/>
      <c r="M137" s="258"/>
      <c r="N137" s="258"/>
      <c r="O137" s="258"/>
      <c r="P137" s="258"/>
      <c r="Q137" s="258"/>
      <c r="R137" s="258"/>
      <c r="S137" s="258"/>
      <c r="T137" s="258"/>
      <c r="U137" s="258"/>
      <c r="V137" s="258"/>
      <c r="W137" s="258"/>
      <c r="X137" s="258"/>
      <c r="Y137" s="258"/>
      <c r="Z137" s="258"/>
      <c r="AA137" s="258"/>
      <c r="AB137" s="258"/>
      <c r="AC137" s="258"/>
      <c r="AD137" s="258"/>
      <c r="AE137" s="258"/>
      <c r="AF137" s="258"/>
      <c r="AG137" s="258"/>
      <c r="AH137" s="258"/>
      <c r="AI137" s="258"/>
      <c r="AJ137" s="258"/>
      <c r="AK137" s="258"/>
      <c r="AL137" s="258"/>
    </row>
    <row r="138" spans="1:38" ht="16.5" customHeight="1">
      <c r="A138" s="1"/>
      <c r="B138" s="253"/>
      <c r="C138" s="258" t="s">
        <v>133</v>
      </c>
      <c r="D138" s="281" t="s">
        <v>185</v>
      </c>
      <c r="E138" s="385">
        <f t="shared" ref="E138:G138" si="28">E105+E7</f>
        <v>0.14430000000000001</v>
      </c>
      <c r="F138" s="385">
        <f t="shared" si="28"/>
        <v>0.14430000000000001</v>
      </c>
      <c r="G138" s="385">
        <f t="shared" si="28"/>
        <v>0.14430000000000001</v>
      </c>
      <c r="H138" s="383">
        <f>G138+Electricidad!J210</f>
        <v>0.15430000000000002</v>
      </c>
      <c r="I138" s="383">
        <f t="shared" ref="I138:R138" si="29">H138</f>
        <v>0.15430000000000002</v>
      </c>
      <c r="J138" s="383">
        <f t="shared" si="29"/>
        <v>0.15430000000000002</v>
      </c>
      <c r="K138" s="383">
        <f t="shared" si="29"/>
        <v>0.15430000000000002</v>
      </c>
      <c r="L138" s="383">
        <f t="shared" si="29"/>
        <v>0.15430000000000002</v>
      </c>
      <c r="M138" s="383">
        <f t="shared" si="29"/>
        <v>0.15430000000000002</v>
      </c>
      <c r="N138" s="383">
        <f t="shared" si="29"/>
        <v>0.15430000000000002</v>
      </c>
      <c r="O138" s="383">
        <f t="shared" si="29"/>
        <v>0.15430000000000002</v>
      </c>
      <c r="P138" s="383">
        <f t="shared" si="29"/>
        <v>0.15430000000000002</v>
      </c>
      <c r="Q138" s="383">
        <f t="shared" si="29"/>
        <v>0.15430000000000002</v>
      </c>
      <c r="R138" s="383">
        <f t="shared" si="29"/>
        <v>0.15430000000000002</v>
      </c>
      <c r="S138" s="259"/>
      <c r="T138" s="259"/>
      <c r="U138" s="259"/>
      <c r="V138" s="259"/>
      <c r="W138" s="259"/>
      <c r="X138" s="259"/>
      <c r="Y138" s="259"/>
      <c r="Z138" s="259"/>
      <c r="AA138" s="259"/>
      <c r="AB138" s="259"/>
      <c r="AC138" s="259"/>
      <c r="AD138" s="259"/>
      <c r="AE138" s="259"/>
      <c r="AF138" s="259"/>
      <c r="AG138" s="259"/>
      <c r="AH138" s="259"/>
      <c r="AI138" s="259"/>
      <c r="AJ138" s="259"/>
      <c r="AK138" s="259"/>
      <c r="AL138" s="1"/>
    </row>
    <row r="139" spans="1:38" ht="16.5" customHeight="1">
      <c r="A139" s="1"/>
      <c r="B139" s="253"/>
      <c r="C139" s="258" t="s">
        <v>135</v>
      </c>
      <c r="D139" s="281" t="s">
        <v>219</v>
      </c>
      <c r="E139" s="385">
        <f t="shared" ref="E139:G139" si="30">E106+E8</f>
        <v>1.6500000000000001E-2</v>
      </c>
      <c r="F139" s="385">
        <f t="shared" si="30"/>
        <v>1.6500000000000001E-2</v>
      </c>
      <c r="G139" s="385">
        <f t="shared" si="30"/>
        <v>1.6500000000000001E-2</v>
      </c>
      <c r="H139" s="383">
        <f>G139+Electricidad!J228</f>
        <v>1.7075</v>
      </c>
      <c r="I139" s="383">
        <f t="shared" ref="I139:R139" si="31">H139</f>
        <v>1.7075</v>
      </c>
      <c r="J139" s="383">
        <f t="shared" si="31"/>
        <v>1.7075</v>
      </c>
      <c r="K139" s="383">
        <f t="shared" si="31"/>
        <v>1.7075</v>
      </c>
      <c r="L139" s="383">
        <f t="shared" si="31"/>
        <v>1.7075</v>
      </c>
      <c r="M139" s="383">
        <f t="shared" si="31"/>
        <v>1.7075</v>
      </c>
      <c r="N139" s="383">
        <f t="shared" si="31"/>
        <v>1.7075</v>
      </c>
      <c r="O139" s="383">
        <f t="shared" si="31"/>
        <v>1.7075</v>
      </c>
      <c r="P139" s="383">
        <f t="shared" si="31"/>
        <v>1.7075</v>
      </c>
      <c r="Q139" s="383">
        <f t="shared" si="31"/>
        <v>1.7075</v>
      </c>
      <c r="R139" s="383">
        <f t="shared" si="31"/>
        <v>1.7075</v>
      </c>
      <c r="S139" s="259"/>
      <c r="T139" s="259"/>
      <c r="U139" s="259"/>
      <c r="V139" s="259"/>
      <c r="W139" s="259"/>
      <c r="X139" s="259"/>
      <c r="Y139" s="259"/>
      <c r="Z139" s="259"/>
      <c r="AA139" s="259"/>
      <c r="AB139" s="259"/>
      <c r="AC139" s="259"/>
      <c r="AD139" s="259"/>
      <c r="AE139" s="259"/>
      <c r="AF139" s="259"/>
      <c r="AG139" s="259"/>
      <c r="AH139" s="259"/>
      <c r="AI139" s="259"/>
      <c r="AJ139" s="259"/>
      <c r="AK139" s="259"/>
      <c r="AL139" s="1"/>
    </row>
    <row r="140" spans="1:38" ht="16.5" customHeight="1">
      <c r="A140" s="1"/>
      <c r="B140" s="253"/>
      <c r="C140" s="258"/>
      <c r="D140" s="281" t="s">
        <v>164</v>
      </c>
      <c r="E140" s="385">
        <f t="shared" ref="E140:G140" si="32">E107+E9</f>
        <v>1.7332000000000001</v>
      </c>
      <c r="F140" s="385">
        <f t="shared" si="32"/>
        <v>1.7332000000000001</v>
      </c>
      <c r="G140" s="385">
        <f t="shared" si="32"/>
        <v>1.7332000000000001</v>
      </c>
      <c r="H140" s="383">
        <f>G140+H107</f>
        <v>1.7332000000000001</v>
      </c>
      <c r="I140" s="383">
        <f t="shared" ref="I140:R140" si="33">H140</f>
        <v>1.7332000000000001</v>
      </c>
      <c r="J140" s="383">
        <f t="shared" si="33"/>
        <v>1.7332000000000001</v>
      </c>
      <c r="K140" s="383">
        <f t="shared" si="33"/>
        <v>1.7332000000000001</v>
      </c>
      <c r="L140" s="383">
        <f t="shared" si="33"/>
        <v>1.7332000000000001</v>
      </c>
      <c r="M140" s="383">
        <f t="shared" si="33"/>
        <v>1.7332000000000001</v>
      </c>
      <c r="N140" s="383">
        <f t="shared" si="33"/>
        <v>1.7332000000000001</v>
      </c>
      <c r="O140" s="383">
        <f t="shared" si="33"/>
        <v>1.7332000000000001</v>
      </c>
      <c r="P140" s="383">
        <f t="shared" si="33"/>
        <v>1.7332000000000001</v>
      </c>
      <c r="Q140" s="383">
        <f t="shared" si="33"/>
        <v>1.7332000000000001</v>
      </c>
      <c r="R140" s="383">
        <f t="shared" si="33"/>
        <v>1.7332000000000001</v>
      </c>
      <c r="S140" s="259"/>
      <c r="T140" s="259"/>
      <c r="U140" s="259"/>
      <c r="V140" s="259"/>
      <c r="W140" s="259"/>
      <c r="X140" s="259"/>
      <c r="Y140" s="259"/>
      <c r="Z140" s="259"/>
      <c r="AA140" s="259"/>
      <c r="AB140" s="259"/>
      <c r="AC140" s="259"/>
      <c r="AD140" s="259"/>
      <c r="AE140" s="259"/>
      <c r="AF140" s="259"/>
      <c r="AG140" s="259"/>
      <c r="AH140" s="259"/>
      <c r="AI140" s="259"/>
      <c r="AJ140" s="259"/>
      <c r="AK140" s="259"/>
      <c r="AL140" s="1"/>
    </row>
    <row r="141" spans="1:38" ht="16.5" customHeight="1">
      <c r="A141" s="1"/>
      <c r="B141" s="253"/>
      <c r="C141" s="258" t="s">
        <v>165</v>
      </c>
      <c r="D141" s="259" t="s">
        <v>166</v>
      </c>
      <c r="E141" s="385">
        <f t="shared" ref="E141:G141" si="34">E108+E10</f>
        <v>4.2200000000000001E-2</v>
      </c>
      <c r="F141" s="385">
        <f t="shared" si="34"/>
        <v>4.2200000000000001E-2</v>
      </c>
      <c r="G141" s="385">
        <f t="shared" si="34"/>
        <v>4.2200000000000001E-2</v>
      </c>
      <c r="H141" s="383">
        <f>G141+Electricidad!J215</f>
        <v>6.9600000000000009E-2</v>
      </c>
      <c r="I141" s="383">
        <f t="shared" ref="I141:R141" si="35">H141</f>
        <v>6.9600000000000009E-2</v>
      </c>
      <c r="J141" s="383">
        <f t="shared" si="35"/>
        <v>6.9600000000000009E-2</v>
      </c>
      <c r="K141" s="383">
        <f t="shared" si="35"/>
        <v>6.9600000000000009E-2</v>
      </c>
      <c r="L141" s="383">
        <f t="shared" si="35"/>
        <v>6.9600000000000009E-2</v>
      </c>
      <c r="M141" s="383">
        <f t="shared" si="35"/>
        <v>6.9600000000000009E-2</v>
      </c>
      <c r="N141" s="383">
        <f t="shared" si="35"/>
        <v>6.9600000000000009E-2</v>
      </c>
      <c r="O141" s="383">
        <f t="shared" si="35"/>
        <v>6.9600000000000009E-2</v>
      </c>
      <c r="P141" s="383">
        <f t="shared" si="35"/>
        <v>6.9600000000000009E-2</v>
      </c>
      <c r="Q141" s="383">
        <f t="shared" si="35"/>
        <v>6.9600000000000009E-2</v>
      </c>
      <c r="R141" s="383">
        <f t="shared" si="35"/>
        <v>6.9600000000000009E-2</v>
      </c>
      <c r="S141" s="259"/>
      <c r="T141" s="259"/>
      <c r="U141" s="259"/>
      <c r="V141" s="259"/>
      <c r="W141" s="259"/>
      <c r="X141" s="259"/>
      <c r="Y141" s="259"/>
      <c r="Z141" s="259"/>
      <c r="AA141" s="259"/>
      <c r="AB141" s="259"/>
      <c r="AC141" s="259"/>
      <c r="AD141" s="259"/>
      <c r="AE141" s="259"/>
      <c r="AF141" s="259"/>
      <c r="AG141" s="259"/>
      <c r="AH141" s="259"/>
      <c r="AI141" s="259"/>
      <c r="AJ141" s="259"/>
      <c r="AK141" s="259"/>
      <c r="AL141" s="1"/>
    </row>
    <row r="142" spans="1:38" ht="16.5" customHeight="1">
      <c r="A142" s="1"/>
      <c r="B142" s="253"/>
      <c r="C142" s="390" t="s">
        <v>167</v>
      </c>
      <c r="D142" s="391" t="s">
        <v>168</v>
      </c>
      <c r="E142" s="392">
        <f t="shared" ref="E142:G142" si="36">E109+E11</f>
        <v>0.21299999999999999</v>
      </c>
      <c r="F142" s="392">
        <f t="shared" si="36"/>
        <v>0.21299999999999999</v>
      </c>
      <c r="G142" s="392">
        <f t="shared" si="36"/>
        <v>0.21299999999999999</v>
      </c>
      <c r="H142" s="393">
        <f t="shared" ref="H142:R142" si="37">G142+H109</f>
        <v>0.41839999999999999</v>
      </c>
      <c r="I142" s="393">
        <f t="shared" si="37"/>
        <v>0.41839999999999999</v>
      </c>
      <c r="J142" s="393">
        <f t="shared" si="37"/>
        <v>0.41839999999999999</v>
      </c>
      <c r="K142" s="393">
        <f t="shared" si="37"/>
        <v>0.49340000000000001</v>
      </c>
      <c r="L142" s="393">
        <f t="shared" si="37"/>
        <v>0.49340000000000001</v>
      </c>
      <c r="M142" s="393">
        <f t="shared" si="37"/>
        <v>0.49340000000000001</v>
      </c>
      <c r="N142" s="393">
        <f t="shared" si="37"/>
        <v>0.49340000000000001</v>
      </c>
      <c r="O142" s="393">
        <f t="shared" si="37"/>
        <v>0.49340000000000001</v>
      </c>
      <c r="P142" s="393">
        <f t="shared" si="37"/>
        <v>0.49340000000000001</v>
      </c>
      <c r="Q142" s="393">
        <f t="shared" si="37"/>
        <v>0.49340000000000001</v>
      </c>
      <c r="R142" s="393">
        <f t="shared" si="37"/>
        <v>0.49340000000000001</v>
      </c>
      <c r="S142" s="259"/>
      <c r="T142" s="259"/>
      <c r="U142" s="259"/>
      <c r="V142" s="259"/>
      <c r="W142" s="259"/>
      <c r="X142" s="259"/>
      <c r="Y142" s="259"/>
      <c r="Z142" s="259"/>
      <c r="AA142" s="259"/>
      <c r="AB142" s="259"/>
      <c r="AC142" s="259"/>
      <c r="AD142" s="259"/>
      <c r="AE142" s="259"/>
      <c r="AF142" s="259"/>
      <c r="AG142" s="259"/>
      <c r="AH142" s="259"/>
      <c r="AI142" s="259"/>
      <c r="AJ142" s="259"/>
      <c r="AK142" s="259"/>
      <c r="AL142" s="1"/>
    </row>
    <row r="143" spans="1:38" ht="16.5" customHeight="1">
      <c r="A143" s="1"/>
      <c r="B143" s="253"/>
      <c r="C143" s="390" t="s">
        <v>169</v>
      </c>
      <c r="D143" s="391" t="s">
        <v>170</v>
      </c>
      <c r="E143" s="392">
        <f t="shared" ref="E143:G143" si="38">E110+E12</f>
        <v>0</v>
      </c>
      <c r="F143" s="392">
        <f t="shared" si="38"/>
        <v>0</v>
      </c>
      <c r="G143" s="392">
        <f t="shared" si="38"/>
        <v>0</v>
      </c>
      <c r="H143" s="393">
        <f>G143+Electricidad!J217</f>
        <v>0</v>
      </c>
      <c r="I143" s="393">
        <f t="shared" ref="I143:R143" si="39">H143</f>
        <v>0</v>
      </c>
      <c r="J143" s="393">
        <f t="shared" si="39"/>
        <v>0</v>
      </c>
      <c r="K143" s="393">
        <f t="shared" si="39"/>
        <v>0</v>
      </c>
      <c r="L143" s="393">
        <f t="shared" si="39"/>
        <v>0</v>
      </c>
      <c r="M143" s="393">
        <f t="shared" si="39"/>
        <v>0</v>
      </c>
      <c r="N143" s="393">
        <f t="shared" si="39"/>
        <v>0</v>
      </c>
      <c r="O143" s="393">
        <f t="shared" si="39"/>
        <v>0</v>
      </c>
      <c r="P143" s="393">
        <f t="shared" si="39"/>
        <v>0</v>
      </c>
      <c r="Q143" s="393">
        <f t="shared" si="39"/>
        <v>0</v>
      </c>
      <c r="R143" s="393">
        <f t="shared" si="39"/>
        <v>0</v>
      </c>
      <c r="S143" s="259"/>
      <c r="T143" s="259"/>
      <c r="U143" s="259"/>
      <c r="V143" s="259"/>
      <c r="W143" s="259"/>
      <c r="X143" s="259"/>
      <c r="Y143" s="259"/>
      <c r="Z143" s="259"/>
      <c r="AA143" s="259"/>
      <c r="AB143" s="259"/>
      <c r="AC143" s="259"/>
      <c r="AD143" s="259"/>
      <c r="AE143" s="259"/>
      <c r="AF143" s="259"/>
      <c r="AG143" s="259"/>
      <c r="AH143" s="259"/>
      <c r="AI143" s="259"/>
      <c r="AJ143" s="259"/>
      <c r="AK143" s="259"/>
      <c r="AL143" s="1"/>
    </row>
    <row r="144" spans="1:38" ht="16.5" customHeight="1">
      <c r="A144" s="1"/>
      <c r="B144" s="253"/>
      <c r="C144" s="390" t="s">
        <v>171</v>
      </c>
      <c r="D144" s="391" t="s">
        <v>172</v>
      </c>
      <c r="E144" s="392">
        <f t="shared" ref="E144:G144" si="40">E111+E13</f>
        <v>0</v>
      </c>
      <c r="F144" s="392">
        <f t="shared" si="40"/>
        <v>0</v>
      </c>
      <c r="G144" s="392">
        <f t="shared" si="40"/>
        <v>0</v>
      </c>
      <c r="H144" s="393">
        <f>G144+Electricidad!J218</f>
        <v>0</v>
      </c>
      <c r="I144" s="393">
        <f t="shared" ref="I144:R144" si="41">H144</f>
        <v>0</v>
      </c>
      <c r="J144" s="393">
        <f t="shared" si="41"/>
        <v>0</v>
      </c>
      <c r="K144" s="393">
        <f t="shared" si="41"/>
        <v>0</v>
      </c>
      <c r="L144" s="393">
        <f t="shared" si="41"/>
        <v>0</v>
      </c>
      <c r="M144" s="393">
        <f t="shared" si="41"/>
        <v>0</v>
      </c>
      <c r="N144" s="393">
        <f t="shared" si="41"/>
        <v>0</v>
      </c>
      <c r="O144" s="393">
        <f t="shared" si="41"/>
        <v>0</v>
      </c>
      <c r="P144" s="393">
        <f t="shared" si="41"/>
        <v>0</v>
      </c>
      <c r="Q144" s="393">
        <f t="shared" si="41"/>
        <v>0</v>
      </c>
      <c r="R144" s="393">
        <f t="shared" si="41"/>
        <v>0</v>
      </c>
      <c r="S144" s="259"/>
      <c r="T144" s="259"/>
      <c r="U144" s="259"/>
      <c r="V144" s="259"/>
      <c r="W144" s="259"/>
      <c r="X144" s="259"/>
      <c r="Y144" s="259"/>
      <c r="Z144" s="259"/>
      <c r="AA144" s="259"/>
      <c r="AB144" s="259"/>
      <c r="AC144" s="259"/>
      <c r="AD144" s="259"/>
      <c r="AE144" s="259"/>
      <c r="AF144" s="259"/>
      <c r="AG144" s="259"/>
      <c r="AH144" s="259"/>
      <c r="AI144" s="259"/>
      <c r="AJ144" s="259"/>
      <c r="AK144" s="259"/>
      <c r="AL144" s="1"/>
    </row>
    <row r="145" spans="1:38" ht="16.5" customHeight="1">
      <c r="A145" s="1"/>
      <c r="B145" s="253"/>
      <c r="C145" s="258" t="s">
        <v>173</v>
      </c>
      <c r="D145" s="259" t="s">
        <v>174</v>
      </c>
      <c r="E145" s="385">
        <f t="shared" ref="E145:G145" si="42">E112+E14</f>
        <v>0.40300000000000002</v>
      </c>
      <c r="F145" s="385">
        <f t="shared" si="42"/>
        <v>0.40300000000000002</v>
      </c>
      <c r="G145" s="385">
        <f t="shared" si="42"/>
        <v>0.40300000000000002</v>
      </c>
      <c r="H145" s="383">
        <f>G145+Electricidad!J219</f>
        <v>0.92218</v>
      </c>
      <c r="I145" s="383">
        <f t="shared" ref="I145:R145" si="43">H145</f>
        <v>0.92218</v>
      </c>
      <c r="J145" s="383">
        <f t="shared" si="43"/>
        <v>0.92218</v>
      </c>
      <c r="K145" s="383">
        <f t="shared" si="43"/>
        <v>0.92218</v>
      </c>
      <c r="L145" s="383">
        <f t="shared" si="43"/>
        <v>0.92218</v>
      </c>
      <c r="M145" s="383">
        <f t="shared" si="43"/>
        <v>0.92218</v>
      </c>
      <c r="N145" s="383">
        <f t="shared" si="43"/>
        <v>0.92218</v>
      </c>
      <c r="O145" s="383">
        <f t="shared" si="43"/>
        <v>0.92218</v>
      </c>
      <c r="P145" s="383">
        <f t="shared" si="43"/>
        <v>0.92218</v>
      </c>
      <c r="Q145" s="383">
        <f t="shared" si="43"/>
        <v>0.92218</v>
      </c>
      <c r="R145" s="383">
        <f t="shared" si="43"/>
        <v>0.92218</v>
      </c>
      <c r="S145" s="259"/>
      <c r="T145" s="259"/>
      <c r="U145" s="259"/>
      <c r="V145" s="259"/>
      <c r="W145" s="259"/>
      <c r="X145" s="259"/>
      <c r="Y145" s="259"/>
      <c r="Z145" s="259"/>
      <c r="AA145" s="259"/>
      <c r="AB145" s="259"/>
      <c r="AC145" s="259"/>
      <c r="AD145" s="259"/>
      <c r="AE145" s="259"/>
      <c r="AF145" s="259"/>
      <c r="AG145" s="259"/>
      <c r="AH145" s="259"/>
      <c r="AI145" s="259"/>
      <c r="AJ145" s="259"/>
      <c r="AK145" s="259"/>
      <c r="AL145" s="1"/>
    </row>
    <row r="146" spans="1:38" ht="16.5" customHeight="1">
      <c r="A146" s="1"/>
      <c r="B146" s="253"/>
      <c r="C146" s="258" t="s">
        <v>175</v>
      </c>
      <c r="D146" s="259" t="s">
        <v>176</v>
      </c>
      <c r="E146" s="385">
        <f t="shared" ref="E146:G146" si="44">E113+E15</f>
        <v>1.075</v>
      </c>
      <c r="F146" s="385">
        <f t="shared" si="44"/>
        <v>1.075</v>
      </c>
      <c r="G146" s="385">
        <f t="shared" si="44"/>
        <v>1.075</v>
      </c>
      <c r="H146" s="383">
        <f>G146+Electricidad!J220</f>
        <v>2.8558000000000003</v>
      </c>
      <c r="I146" s="383">
        <f t="shared" ref="I146:R146" si="45">H146</f>
        <v>2.8558000000000003</v>
      </c>
      <c r="J146" s="383">
        <f t="shared" si="45"/>
        <v>2.8558000000000003</v>
      </c>
      <c r="K146" s="383">
        <f t="shared" si="45"/>
        <v>2.8558000000000003</v>
      </c>
      <c r="L146" s="383">
        <f t="shared" si="45"/>
        <v>2.8558000000000003</v>
      </c>
      <c r="M146" s="383">
        <f t="shared" si="45"/>
        <v>2.8558000000000003</v>
      </c>
      <c r="N146" s="383">
        <f t="shared" si="45"/>
        <v>2.8558000000000003</v>
      </c>
      <c r="O146" s="383">
        <f t="shared" si="45"/>
        <v>2.8558000000000003</v>
      </c>
      <c r="P146" s="383">
        <f t="shared" si="45"/>
        <v>2.8558000000000003</v>
      </c>
      <c r="Q146" s="383">
        <f t="shared" si="45"/>
        <v>2.8558000000000003</v>
      </c>
      <c r="R146" s="383">
        <f t="shared" si="45"/>
        <v>2.8558000000000003</v>
      </c>
      <c r="S146" s="259"/>
      <c r="T146" s="259"/>
      <c r="U146" s="259"/>
      <c r="V146" s="259"/>
      <c r="W146" s="259"/>
      <c r="X146" s="259"/>
      <c r="Y146" s="259"/>
      <c r="Z146" s="259"/>
      <c r="AA146" s="259"/>
      <c r="AB146" s="259"/>
      <c r="AC146" s="259"/>
      <c r="AD146" s="259"/>
      <c r="AE146" s="259"/>
      <c r="AF146" s="259"/>
      <c r="AG146" s="259"/>
      <c r="AH146" s="259"/>
      <c r="AI146" s="259"/>
      <c r="AJ146" s="259"/>
      <c r="AK146" s="259"/>
      <c r="AL146" s="1"/>
    </row>
    <row r="147" spans="1:38" ht="16.5" customHeight="1">
      <c r="A147" s="1"/>
      <c r="B147" s="253"/>
      <c r="C147" s="258"/>
      <c r="D147" s="281" t="s">
        <v>177</v>
      </c>
      <c r="E147" s="385">
        <f t="shared" ref="E147:G147" si="46">E114+E16</f>
        <v>3.3271439899999997</v>
      </c>
      <c r="F147" s="385">
        <f t="shared" si="46"/>
        <v>3.3371439899999999</v>
      </c>
      <c r="G147" s="385">
        <f t="shared" si="46"/>
        <v>3.3594859899999996</v>
      </c>
      <c r="H147" s="383">
        <f>G147+H114</f>
        <v>3.3594859899999996</v>
      </c>
      <c r="I147" s="383">
        <f t="shared" ref="I147:R147" si="47">H147</f>
        <v>3.3594859899999996</v>
      </c>
      <c r="J147" s="383">
        <f t="shared" si="47"/>
        <v>3.3594859899999996</v>
      </c>
      <c r="K147" s="383">
        <f t="shared" si="47"/>
        <v>3.3594859899999996</v>
      </c>
      <c r="L147" s="383">
        <f t="shared" si="47"/>
        <v>3.3594859899999996</v>
      </c>
      <c r="M147" s="383">
        <f t="shared" si="47"/>
        <v>3.3594859899999996</v>
      </c>
      <c r="N147" s="383">
        <f t="shared" si="47"/>
        <v>3.3594859899999996</v>
      </c>
      <c r="O147" s="383">
        <f t="shared" si="47"/>
        <v>3.3594859899999996</v>
      </c>
      <c r="P147" s="383">
        <f t="shared" si="47"/>
        <v>3.3594859899999996</v>
      </c>
      <c r="Q147" s="383">
        <f t="shared" si="47"/>
        <v>3.3594859899999996</v>
      </c>
      <c r="R147" s="383">
        <f t="shared" si="47"/>
        <v>3.3594859899999996</v>
      </c>
      <c r="S147" s="259"/>
      <c r="T147" s="259"/>
      <c r="U147" s="259"/>
      <c r="V147" s="259"/>
      <c r="W147" s="259"/>
      <c r="X147" s="259"/>
      <c r="Y147" s="259"/>
      <c r="Z147" s="259"/>
      <c r="AA147" s="259"/>
      <c r="AB147" s="259"/>
      <c r="AC147" s="259"/>
      <c r="AD147" s="259"/>
      <c r="AE147" s="259"/>
      <c r="AF147" s="259"/>
      <c r="AG147" s="259"/>
      <c r="AH147" s="259"/>
      <c r="AI147" s="259"/>
      <c r="AJ147" s="259"/>
      <c r="AK147" s="259"/>
      <c r="AL147" s="1"/>
    </row>
    <row r="148" spans="1:38" ht="16.5" customHeight="1">
      <c r="A148" s="1"/>
      <c r="B148" s="253"/>
      <c r="C148" s="206" t="s">
        <v>178</v>
      </c>
      <c r="D148" s="259" t="s">
        <v>166</v>
      </c>
      <c r="E148" s="385">
        <f t="shared" ref="E148:G148" si="48">E115+E17</f>
        <v>5.4393999999999998E-2</v>
      </c>
      <c r="F148" s="385">
        <f t="shared" si="48"/>
        <v>5.4393999999999991E-2</v>
      </c>
      <c r="G148" s="385">
        <f t="shared" si="48"/>
        <v>6.4539999999999986E-2</v>
      </c>
      <c r="H148" s="383">
        <f>G148+Electricidad!J222+H108</f>
        <v>0.22314000000000001</v>
      </c>
      <c r="I148" s="383">
        <f>H148+Electricidad!K222+I108</f>
        <v>0.22314000000000001</v>
      </c>
      <c r="J148" s="383">
        <f>I148+Electricidad!L222+J108</f>
        <v>0.22314000000000001</v>
      </c>
      <c r="K148" s="383">
        <f>J148+Electricidad!M222+K108</f>
        <v>0.22314000000000001</v>
      </c>
      <c r="L148" s="383">
        <f>K148+Electricidad!N222+L108</f>
        <v>0.22314000000000001</v>
      </c>
      <c r="M148" s="383">
        <f>L148+Electricidad!O222+M108</f>
        <v>0.22314000000000001</v>
      </c>
      <c r="N148" s="383">
        <f>M148+Electricidad!P222+N108</f>
        <v>0.22314000000000001</v>
      </c>
      <c r="O148" s="383">
        <f>N148+Electricidad!Q222+O108</f>
        <v>0.22314000000000001</v>
      </c>
      <c r="P148" s="383">
        <f>O148+Electricidad!R222+P108</f>
        <v>0.22314000000000001</v>
      </c>
      <c r="Q148" s="383">
        <f>P148+Electricidad!S222+Q108</f>
        <v>0.22314000000000001</v>
      </c>
      <c r="R148" s="383">
        <f>Q148+Electricidad!T222+R108</f>
        <v>0.22314000000000001</v>
      </c>
      <c r="S148" s="259"/>
      <c r="T148" s="259"/>
      <c r="U148" s="259"/>
      <c r="V148" s="259"/>
      <c r="W148" s="259"/>
      <c r="X148" s="259"/>
      <c r="Y148" s="259"/>
      <c r="Z148" s="259"/>
      <c r="AA148" s="259"/>
      <c r="AB148" s="259"/>
      <c r="AC148" s="259"/>
      <c r="AD148" s="259"/>
      <c r="AE148" s="259"/>
      <c r="AF148" s="259"/>
      <c r="AG148" s="259"/>
      <c r="AH148" s="259"/>
      <c r="AI148" s="259"/>
      <c r="AJ148" s="259"/>
      <c r="AK148" s="259"/>
      <c r="AL148" s="1"/>
    </row>
    <row r="149" spans="1:38" ht="15.75" customHeight="1">
      <c r="A149" s="1"/>
      <c r="B149" s="253"/>
      <c r="C149" s="390" t="s">
        <v>179</v>
      </c>
      <c r="D149" s="391" t="s">
        <v>168</v>
      </c>
      <c r="E149" s="392">
        <f t="shared" ref="E149:G149" si="49">E116+E18</f>
        <v>0.33335999999999999</v>
      </c>
      <c r="F149" s="392">
        <f t="shared" si="49"/>
        <v>0.33335999999999999</v>
      </c>
      <c r="G149" s="392">
        <f t="shared" si="49"/>
        <v>0.33335999999999999</v>
      </c>
      <c r="H149" s="393">
        <f>G149+Electricidad!J223+H116</f>
        <v>0.33335999999999999</v>
      </c>
      <c r="I149" s="393">
        <f t="shared" ref="I149:R149" si="50">H149+I116</f>
        <v>0.33335999999999999</v>
      </c>
      <c r="J149" s="393">
        <f t="shared" si="50"/>
        <v>0.33335999999999999</v>
      </c>
      <c r="K149" s="393">
        <f t="shared" si="50"/>
        <v>0.40836</v>
      </c>
      <c r="L149" s="393">
        <f t="shared" si="50"/>
        <v>0.40836</v>
      </c>
      <c r="M149" s="393">
        <f t="shared" si="50"/>
        <v>0.40836</v>
      </c>
      <c r="N149" s="393">
        <f t="shared" si="50"/>
        <v>0.40836</v>
      </c>
      <c r="O149" s="393">
        <f t="shared" si="50"/>
        <v>0.60236000000000001</v>
      </c>
      <c r="P149" s="393">
        <f t="shared" si="50"/>
        <v>0.60236000000000001</v>
      </c>
      <c r="Q149" s="393">
        <f t="shared" si="50"/>
        <v>0.60236000000000001</v>
      </c>
      <c r="R149" s="393">
        <f t="shared" si="50"/>
        <v>0.60236000000000001</v>
      </c>
      <c r="S149" s="259"/>
      <c r="T149" s="259"/>
      <c r="U149" s="259"/>
      <c r="V149" s="259"/>
      <c r="W149" s="259"/>
      <c r="X149" s="259"/>
      <c r="Y149" s="259"/>
      <c r="Z149" s="259"/>
      <c r="AA149" s="259"/>
      <c r="AB149" s="259"/>
      <c r="AC149" s="259"/>
      <c r="AD149" s="259"/>
      <c r="AE149" s="259"/>
      <c r="AF149" s="259"/>
      <c r="AG149" s="259"/>
      <c r="AH149" s="259"/>
      <c r="AI149" s="259"/>
      <c r="AJ149" s="259"/>
      <c r="AK149" s="259"/>
      <c r="AL149" s="1"/>
    </row>
    <row r="150" spans="1:38" ht="16.5" customHeight="1">
      <c r="A150" s="1"/>
      <c r="B150" s="253"/>
      <c r="C150" s="390" t="s">
        <v>180</v>
      </c>
      <c r="D150" s="391" t="s">
        <v>170</v>
      </c>
      <c r="E150" s="392">
        <f t="shared" ref="E150:G150" si="51">E117+E19</f>
        <v>0</v>
      </c>
      <c r="F150" s="392">
        <f t="shared" si="51"/>
        <v>0</v>
      </c>
      <c r="G150" s="392">
        <f t="shared" si="51"/>
        <v>0</v>
      </c>
      <c r="H150" s="393">
        <f>G150+Electricidad!J224</f>
        <v>0</v>
      </c>
      <c r="I150" s="393">
        <f t="shared" ref="I150:R150" si="52">H150</f>
        <v>0</v>
      </c>
      <c r="J150" s="393">
        <f t="shared" si="52"/>
        <v>0</v>
      </c>
      <c r="K150" s="393">
        <f t="shared" si="52"/>
        <v>0</v>
      </c>
      <c r="L150" s="393">
        <f t="shared" si="52"/>
        <v>0</v>
      </c>
      <c r="M150" s="393">
        <f t="shared" si="52"/>
        <v>0</v>
      </c>
      <c r="N150" s="393">
        <f t="shared" si="52"/>
        <v>0</v>
      </c>
      <c r="O150" s="393">
        <f t="shared" si="52"/>
        <v>0</v>
      </c>
      <c r="P150" s="393">
        <f t="shared" si="52"/>
        <v>0</v>
      </c>
      <c r="Q150" s="393">
        <f t="shared" si="52"/>
        <v>0</v>
      </c>
      <c r="R150" s="393">
        <f t="shared" si="52"/>
        <v>0</v>
      </c>
      <c r="S150" s="259"/>
      <c r="T150" s="259"/>
      <c r="U150" s="259"/>
      <c r="V150" s="259"/>
      <c r="W150" s="259"/>
      <c r="X150" s="259"/>
      <c r="Y150" s="259"/>
      <c r="Z150" s="259"/>
      <c r="AA150" s="259"/>
      <c r="AB150" s="259"/>
      <c r="AC150" s="259"/>
      <c r="AD150" s="259"/>
      <c r="AE150" s="259"/>
      <c r="AF150" s="259"/>
      <c r="AG150" s="259"/>
      <c r="AH150" s="259"/>
      <c r="AI150" s="259"/>
      <c r="AJ150" s="259"/>
      <c r="AK150" s="259"/>
      <c r="AL150" s="1"/>
    </row>
    <row r="151" spans="1:38" ht="16.5" customHeight="1">
      <c r="A151" s="1"/>
      <c r="B151" s="253"/>
      <c r="C151" s="258" t="s">
        <v>181</v>
      </c>
      <c r="D151" s="259" t="s">
        <v>172</v>
      </c>
      <c r="E151" s="385">
        <f t="shared" ref="E151:G151" si="53">E118+E20</f>
        <v>0.54239000000000004</v>
      </c>
      <c r="F151" s="385">
        <f t="shared" si="53"/>
        <v>0.55239000000000005</v>
      </c>
      <c r="G151" s="385">
        <f t="shared" si="53"/>
        <v>0.500282</v>
      </c>
      <c r="H151" s="383">
        <f>G151+Electricidad!J225</f>
        <v>1.937182</v>
      </c>
      <c r="I151" s="383">
        <f t="shared" ref="I151:R151" si="54">H151</f>
        <v>1.937182</v>
      </c>
      <c r="J151" s="383">
        <f t="shared" si="54"/>
        <v>1.937182</v>
      </c>
      <c r="K151" s="383">
        <f t="shared" si="54"/>
        <v>1.937182</v>
      </c>
      <c r="L151" s="383">
        <f t="shared" si="54"/>
        <v>1.937182</v>
      </c>
      <c r="M151" s="383">
        <f t="shared" si="54"/>
        <v>1.937182</v>
      </c>
      <c r="N151" s="383">
        <f t="shared" si="54"/>
        <v>1.937182</v>
      </c>
      <c r="O151" s="383">
        <f t="shared" si="54"/>
        <v>1.937182</v>
      </c>
      <c r="P151" s="383">
        <f t="shared" si="54"/>
        <v>1.937182</v>
      </c>
      <c r="Q151" s="383">
        <f t="shared" si="54"/>
        <v>1.937182</v>
      </c>
      <c r="R151" s="383">
        <f t="shared" si="54"/>
        <v>1.937182</v>
      </c>
      <c r="S151" s="259"/>
      <c r="T151" s="259"/>
      <c r="U151" s="259"/>
      <c r="V151" s="259"/>
      <c r="W151" s="259"/>
      <c r="X151" s="259"/>
      <c r="Y151" s="259"/>
      <c r="Z151" s="259"/>
      <c r="AA151" s="259"/>
      <c r="AB151" s="259"/>
      <c r="AC151" s="259"/>
      <c r="AD151" s="259"/>
      <c r="AE151" s="259"/>
      <c r="AF151" s="259"/>
      <c r="AG151" s="259"/>
      <c r="AH151" s="259"/>
      <c r="AI151" s="259"/>
      <c r="AJ151" s="259"/>
      <c r="AK151" s="259"/>
      <c r="AL151" s="1"/>
    </row>
    <row r="152" spans="1:38" ht="16.5" customHeight="1">
      <c r="A152" s="1"/>
      <c r="B152" s="253"/>
      <c r="C152" s="258" t="s">
        <v>182</v>
      </c>
      <c r="D152" s="259" t="s">
        <v>174</v>
      </c>
      <c r="E152" s="385">
        <f t="shared" ref="E152:G152" si="55">E119+E21</f>
        <v>0.41</v>
      </c>
      <c r="F152" s="385">
        <f t="shared" si="55"/>
        <v>0.41</v>
      </c>
      <c r="G152" s="385">
        <f t="shared" si="55"/>
        <v>0.47430399999999995</v>
      </c>
      <c r="H152" s="383">
        <f>G152+Electricidad!J226</f>
        <v>2.551024</v>
      </c>
      <c r="I152" s="383">
        <f t="shared" ref="I152:R152" si="56">H152</f>
        <v>2.551024</v>
      </c>
      <c r="J152" s="383">
        <f t="shared" si="56"/>
        <v>2.551024</v>
      </c>
      <c r="K152" s="383">
        <f t="shared" si="56"/>
        <v>2.551024</v>
      </c>
      <c r="L152" s="383">
        <f t="shared" si="56"/>
        <v>2.551024</v>
      </c>
      <c r="M152" s="383">
        <f t="shared" si="56"/>
        <v>2.551024</v>
      </c>
      <c r="N152" s="383">
        <f t="shared" si="56"/>
        <v>2.551024</v>
      </c>
      <c r="O152" s="383">
        <f t="shared" si="56"/>
        <v>2.551024</v>
      </c>
      <c r="P152" s="383">
        <f t="shared" si="56"/>
        <v>2.551024</v>
      </c>
      <c r="Q152" s="383">
        <f t="shared" si="56"/>
        <v>2.551024</v>
      </c>
      <c r="R152" s="383">
        <f t="shared" si="56"/>
        <v>2.551024</v>
      </c>
      <c r="S152" s="259"/>
      <c r="T152" s="259"/>
      <c r="U152" s="259"/>
      <c r="V152" s="259"/>
      <c r="W152" s="259"/>
      <c r="X152" s="259"/>
      <c r="Y152" s="259"/>
      <c r="Z152" s="259"/>
      <c r="AA152" s="259"/>
      <c r="AB152" s="259"/>
      <c r="AC152" s="259"/>
      <c r="AD152" s="259"/>
      <c r="AE152" s="259"/>
      <c r="AF152" s="259"/>
      <c r="AG152" s="259"/>
      <c r="AH152" s="259"/>
      <c r="AI152" s="259"/>
      <c r="AJ152" s="259"/>
      <c r="AK152" s="259"/>
      <c r="AL152" s="1"/>
    </row>
    <row r="153" spans="1:38" ht="16.5" customHeight="1">
      <c r="A153" s="1"/>
      <c r="B153" s="253"/>
      <c r="C153" s="258" t="s">
        <v>183</v>
      </c>
      <c r="D153" s="259" t="s">
        <v>176</v>
      </c>
      <c r="E153" s="385">
        <f t="shared" ref="E153:G153" si="57">E120+E22</f>
        <v>1.9869999899999999</v>
      </c>
      <c r="F153" s="385">
        <f t="shared" si="57"/>
        <v>1.9869999899999999</v>
      </c>
      <c r="G153" s="385">
        <f t="shared" si="57"/>
        <v>1.9869999899999999</v>
      </c>
      <c r="H153" s="383">
        <f>G153+Electricidad!J227</f>
        <v>9.1101999899999999</v>
      </c>
      <c r="I153" s="383">
        <f t="shared" ref="I153:R153" si="58">H153</f>
        <v>9.1101999899999999</v>
      </c>
      <c r="J153" s="383">
        <f t="shared" si="58"/>
        <v>9.1101999899999999</v>
      </c>
      <c r="K153" s="383">
        <f t="shared" si="58"/>
        <v>9.1101999899999999</v>
      </c>
      <c r="L153" s="383">
        <f t="shared" si="58"/>
        <v>9.1101999899999999</v>
      </c>
      <c r="M153" s="383">
        <f t="shared" si="58"/>
        <v>9.1101999899999999</v>
      </c>
      <c r="N153" s="383">
        <f t="shared" si="58"/>
        <v>9.1101999899999999</v>
      </c>
      <c r="O153" s="383">
        <f t="shared" si="58"/>
        <v>9.1101999899999999</v>
      </c>
      <c r="P153" s="383">
        <f t="shared" si="58"/>
        <v>9.1101999899999999</v>
      </c>
      <c r="Q153" s="383">
        <f t="shared" si="58"/>
        <v>9.1101999899999999</v>
      </c>
      <c r="R153" s="383">
        <f t="shared" si="58"/>
        <v>9.1101999899999999</v>
      </c>
      <c r="S153" s="259"/>
      <c r="T153" s="259"/>
      <c r="U153" s="259"/>
      <c r="V153" s="259"/>
      <c r="W153" s="259"/>
      <c r="X153" s="259"/>
      <c r="Y153" s="259"/>
      <c r="Z153" s="259"/>
      <c r="AA153" s="259"/>
      <c r="AB153" s="259"/>
      <c r="AC153" s="259"/>
      <c r="AD153" s="259"/>
      <c r="AE153" s="259"/>
      <c r="AF153" s="259"/>
      <c r="AG153" s="259"/>
      <c r="AH153" s="259"/>
      <c r="AI153" s="259"/>
      <c r="AJ153" s="259"/>
      <c r="AK153" s="259"/>
      <c r="AL153" s="1"/>
    </row>
    <row r="154" spans="1:38" ht="16.5" customHeight="1">
      <c r="A154" s="1"/>
      <c r="B154" s="253"/>
      <c r="C154" s="258" t="s">
        <v>142</v>
      </c>
      <c r="D154" s="281" t="s">
        <v>221</v>
      </c>
      <c r="E154" s="385">
        <f t="shared" ref="E154:G154" si="59">E121+E23</f>
        <v>2.4460819999999991E-2</v>
      </c>
      <c r="F154" s="385">
        <f t="shared" si="59"/>
        <v>2.4460819999999991E-2</v>
      </c>
      <c r="G154" s="385">
        <f t="shared" si="59"/>
        <v>2.4460819999999991E-2</v>
      </c>
      <c r="H154" s="383">
        <f>G154+Electricidad!J229</f>
        <v>18.024460820000002</v>
      </c>
      <c r="I154" s="383">
        <f t="shared" ref="I154:R154" si="60">H154</f>
        <v>18.024460820000002</v>
      </c>
      <c r="J154" s="383">
        <f t="shared" si="60"/>
        <v>18.024460820000002</v>
      </c>
      <c r="K154" s="383">
        <f t="shared" si="60"/>
        <v>18.024460820000002</v>
      </c>
      <c r="L154" s="383">
        <f t="shared" si="60"/>
        <v>18.024460820000002</v>
      </c>
      <c r="M154" s="383">
        <f t="shared" si="60"/>
        <v>18.024460820000002</v>
      </c>
      <c r="N154" s="383">
        <f t="shared" si="60"/>
        <v>18.024460820000002</v>
      </c>
      <c r="O154" s="383">
        <f t="shared" si="60"/>
        <v>18.024460820000002</v>
      </c>
      <c r="P154" s="383">
        <f t="shared" si="60"/>
        <v>18.024460820000002</v>
      </c>
      <c r="Q154" s="383">
        <f t="shared" si="60"/>
        <v>18.024460820000002</v>
      </c>
      <c r="R154" s="383">
        <f t="shared" si="60"/>
        <v>18.024460820000002</v>
      </c>
      <c r="S154" s="259"/>
      <c r="T154" s="259"/>
      <c r="U154" s="259"/>
      <c r="V154" s="259"/>
      <c r="W154" s="259"/>
      <c r="X154" s="259"/>
      <c r="Y154" s="259"/>
      <c r="Z154" s="259"/>
      <c r="AA154" s="259"/>
      <c r="AB154" s="259"/>
      <c r="AC154" s="259"/>
      <c r="AD154" s="259"/>
      <c r="AE154" s="259"/>
      <c r="AF154" s="259"/>
      <c r="AG154" s="259"/>
      <c r="AH154" s="259"/>
      <c r="AI154" s="259"/>
      <c r="AJ154" s="259"/>
      <c r="AK154" s="259"/>
      <c r="AL154" s="1"/>
    </row>
    <row r="155" spans="1:38" ht="16.5" customHeight="1">
      <c r="A155" s="1"/>
      <c r="B155" s="253"/>
      <c r="C155" s="258"/>
      <c r="D155" s="281" t="s">
        <v>308</v>
      </c>
      <c r="E155" s="385">
        <f t="shared" ref="E155:G155" si="61">E122+E24</f>
        <v>0</v>
      </c>
      <c r="F155" s="385">
        <f t="shared" si="61"/>
        <v>0</v>
      </c>
      <c r="G155" s="385">
        <f t="shared" si="61"/>
        <v>0</v>
      </c>
      <c r="H155" s="383">
        <v>99999</v>
      </c>
      <c r="I155" s="383">
        <f t="shared" ref="I155:R155" si="62">H155</f>
        <v>99999</v>
      </c>
      <c r="J155" s="383">
        <f t="shared" si="62"/>
        <v>99999</v>
      </c>
      <c r="K155" s="383">
        <f t="shared" si="62"/>
        <v>99999</v>
      </c>
      <c r="L155" s="383">
        <f t="shared" si="62"/>
        <v>99999</v>
      </c>
      <c r="M155" s="383">
        <f t="shared" si="62"/>
        <v>99999</v>
      </c>
      <c r="N155" s="383">
        <f t="shared" si="62"/>
        <v>99999</v>
      </c>
      <c r="O155" s="383">
        <f t="shared" si="62"/>
        <v>99999</v>
      </c>
      <c r="P155" s="383">
        <f t="shared" si="62"/>
        <v>99999</v>
      </c>
      <c r="Q155" s="383">
        <f t="shared" si="62"/>
        <v>99999</v>
      </c>
      <c r="R155" s="383">
        <f t="shared" si="62"/>
        <v>99999</v>
      </c>
      <c r="S155" s="259"/>
      <c r="T155" s="259"/>
      <c r="U155" s="259"/>
      <c r="V155" s="259"/>
      <c r="W155" s="259"/>
      <c r="X155" s="259"/>
      <c r="Y155" s="259"/>
      <c r="Z155" s="259"/>
      <c r="AA155" s="259"/>
      <c r="AB155" s="259"/>
      <c r="AC155" s="259"/>
      <c r="AD155" s="259"/>
      <c r="AE155" s="259"/>
      <c r="AF155" s="259"/>
      <c r="AG155" s="259"/>
      <c r="AH155" s="259"/>
      <c r="AI155" s="259"/>
      <c r="AJ155" s="259"/>
      <c r="AK155" s="259"/>
      <c r="AL155" s="1"/>
    </row>
    <row r="156" spans="1:38" ht="16.5" customHeight="1">
      <c r="A156" s="1"/>
      <c r="B156" s="253"/>
      <c r="C156" s="258"/>
      <c r="D156" s="266" t="s">
        <v>145</v>
      </c>
      <c r="E156" s="385">
        <f t="shared" ref="E156:G156" si="63">E123+E25</f>
        <v>0</v>
      </c>
      <c r="F156" s="385">
        <f t="shared" si="63"/>
        <v>0</v>
      </c>
      <c r="G156" s="385">
        <f t="shared" si="63"/>
        <v>0</v>
      </c>
      <c r="H156" s="383">
        <v>99999</v>
      </c>
      <c r="I156" s="383">
        <f t="shared" ref="I156:R156" si="64">H156</f>
        <v>99999</v>
      </c>
      <c r="J156" s="383">
        <f t="shared" si="64"/>
        <v>99999</v>
      </c>
      <c r="K156" s="383">
        <f t="shared" si="64"/>
        <v>99999</v>
      </c>
      <c r="L156" s="383">
        <f t="shared" si="64"/>
        <v>99999</v>
      </c>
      <c r="M156" s="383">
        <f t="shared" si="64"/>
        <v>99999</v>
      </c>
      <c r="N156" s="383">
        <f t="shared" si="64"/>
        <v>99999</v>
      </c>
      <c r="O156" s="383">
        <f t="shared" si="64"/>
        <v>99999</v>
      </c>
      <c r="P156" s="383">
        <f t="shared" si="64"/>
        <v>99999</v>
      </c>
      <c r="Q156" s="383">
        <f t="shared" si="64"/>
        <v>99999</v>
      </c>
      <c r="R156" s="383">
        <f t="shared" si="64"/>
        <v>99999</v>
      </c>
      <c r="S156" s="259"/>
      <c r="T156" s="259"/>
      <c r="U156" s="259"/>
      <c r="V156" s="259"/>
      <c r="W156" s="259"/>
      <c r="X156" s="259"/>
      <c r="Y156" s="259"/>
      <c r="Z156" s="259"/>
      <c r="AA156" s="259"/>
      <c r="AB156" s="259"/>
      <c r="AC156" s="259"/>
      <c r="AD156" s="259"/>
      <c r="AE156" s="259"/>
      <c r="AF156" s="259"/>
      <c r="AG156" s="259"/>
      <c r="AH156" s="259"/>
      <c r="AI156" s="259"/>
      <c r="AJ156" s="259"/>
      <c r="AK156" s="259"/>
      <c r="AL156" s="1"/>
    </row>
    <row r="157" spans="1:38" ht="14.25" customHeight="1">
      <c r="A157" s="619"/>
      <c r="B157" s="253"/>
      <c r="C157" s="258" t="s">
        <v>146</v>
      </c>
      <c r="D157" s="259" t="s">
        <v>155</v>
      </c>
      <c r="E157" s="385">
        <f t="shared" ref="E157:G157" si="65">E124+E26</f>
        <v>0.30998559999999997</v>
      </c>
      <c r="F157" s="385">
        <f t="shared" si="65"/>
        <v>0.2623856</v>
      </c>
      <c r="G157" s="385">
        <f t="shared" si="65"/>
        <v>0.2623856</v>
      </c>
      <c r="H157" s="383">
        <v>99999</v>
      </c>
      <c r="I157" s="383">
        <f t="shared" ref="I157:R157" si="66">H157</f>
        <v>99999</v>
      </c>
      <c r="J157" s="383">
        <f t="shared" si="66"/>
        <v>99999</v>
      </c>
      <c r="K157" s="383">
        <f t="shared" si="66"/>
        <v>99999</v>
      </c>
      <c r="L157" s="383">
        <f t="shared" si="66"/>
        <v>99999</v>
      </c>
      <c r="M157" s="383">
        <f t="shared" si="66"/>
        <v>99999</v>
      </c>
      <c r="N157" s="383">
        <f t="shared" si="66"/>
        <v>99999</v>
      </c>
      <c r="O157" s="383">
        <f t="shared" si="66"/>
        <v>99999</v>
      </c>
      <c r="P157" s="383">
        <f t="shared" si="66"/>
        <v>99999</v>
      </c>
      <c r="Q157" s="383">
        <f t="shared" si="66"/>
        <v>99999</v>
      </c>
      <c r="R157" s="383">
        <f t="shared" si="66"/>
        <v>99999</v>
      </c>
      <c r="S157" s="376"/>
      <c r="T157" s="376"/>
      <c r="U157" s="376"/>
      <c r="V157" s="376"/>
      <c r="W157" s="376"/>
      <c r="X157" s="376"/>
      <c r="Y157" s="376"/>
      <c r="Z157" s="376"/>
      <c r="AA157" s="376"/>
      <c r="AB157" s="376"/>
      <c r="AC157" s="376"/>
      <c r="AD157" s="376"/>
      <c r="AE157" s="376"/>
      <c r="AF157" s="376"/>
      <c r="AG157" s="376"/>
      <c r="AH157" s="376"/>
      <c r="AI157" s="376"/>
      <c r="AJ157" s="376"/>
      <c r="AK157" s="376"/>
      <c r="AL157" s="377"/>
    </row>
    <row r="158" spans="1:38" ht="14.25" customHeight="1">
      <c r="A158" s="619"/>
      <c r="B158" s="253"/>
      <c r="C158" s="258" t="s">
        <v>148</v>
      </c>
      <c r="D158" s="259" t="s">
        <v>160</v>
      </c>
      <c r="E158" s="385">
        <f t="shared" ref="E158:G158" si="67">E125+E27</f>
        <v>0.43722</v>
      </c>
      <c r="F158" s="385">
        <f t="shared" si="67"/>
        <v>0.43722</v>
      </c>
      <c r="G158" s="385">
        <f t="shared" si="67"/>
        <v>0.43722</v>
      </c>
      <c r="H158" s="383">
        <v>99999</v>
      </c>
      <c r="I158" s="383">
        <f t="shared" ref="I158:R158" si="68">H158</f>
        <v>99999</v>
      </c>
      <c r="J158" s="383">
        <f t="shared" si="68"/>
        <v>99999</v>
      </c>
      <c r="K158" s="383">
        <f t="shared" si="68"/>
        <v>99999</v>
      </c>
      <c r="L158" s="383">
        <f t="shared" si="68"/>
        <v>99999</v>
      </c>
      <c r="M158" s="383">
        <f t="shared" si="68"/>
        <v>99999</v>
      </c>
      <c r="N158" s="383">
        <f t="shared" si="68"/>
        <v>99999</v>
      </c>
      <c r="O158" s="383">
        <f t="shared" si="68"/>
        <v>99999</v>
      </c>
      <c r="P158" s="383">
        <f t="shared" si="68"/>
        <v>99999</v>
      </c>
      <c r="Q158" s="383">
        <f t="shared" si="68"/>
        <v>99999</v>
      </c>
      <c r="R158" s="383">
        <f t="shared" si="68"/>
        <v>99999</v>
      </c>
      <c r="S158" s="376"/>
      <c r="T158" s="376"/>
      <c r="U158" s="376"/>
      <c r="V158" s="376"/>
      <c r="W158" s="376"/>
      <c r="X158" s="376"/>
      <c r="Y158" s="376"/>
      <c r="Z158" s="376"/>
      <c r="AA158" s="376"/>
      <c r="AB158" s="376"/>
      <c r="AC158" s="376"/>
      <c r="AD158" s="376"/>
      <c r="AE158" s="376"/>
      <c r="AF158" s="376"/>
      <c r="AG158" s="376"/>
      <c r="AH158" s="376"/>
      <c r="AI158" s="376"/>
      <c r="AJ158" s="376"/>
      <c r="AK158" s="376"/>
      <c r="AL158" s="377"/>
    </row>
    <row r="159" spans="1:38" ht="14.25" customHeight="1">
      <c r="A159" s="619"/>
      <c r="B159" s="253"/>
      <c r="C159" s="258"/>
      <c r="D159" s="379" t="s">
        <v>308</v>
      </c>
      <c r="E159" s="385">
        <f t="shared" ref="E159:G159" si="69">E126+E28</f>
        <v>2.2499999999999998E-3</v>
      </c>
      <c r="F159" s="385">
        <f t="shared" si="69"/>
        <v>2.2499999999999998E-3</v>
      </c>
      <c r="G159" s="385">
        <f t="shared" si="69"/>
        <v>2.2499999999999998E-3</v>
      </c>
      <c r="H159" s="383">
        <v>99999</v>
      </c>
      <c r="I159" s="383">
        <f t="shared" ref="I159:R159" si="70">H159</f>
        <v>99999</v>
      </c>
      <c r="J159" s="383">
        <f t="shared" si="70"/>
        <v>99999</v>
      </c>
      <c r="K159" s="383">
        <f t="shared" si="70"/>
        <v>99999</v>
      </c>
      <c r="L159" s="383">
        <f t="shared" si="70"/>
        <v>99999</v>
      </c>
      <c r="M159" s="383">
        <f t="shared" si="70"/>
        <v>99999</v>
      </c>
      <c r="N159" s="383">
        <f t="shared" si="70"/>
        <v>99999</v>
      </c>
      <c r="O159" s="383">
        <f t="shared" si="70"/>
        <v>99999</v>
      </c>
      <c r="P159" s="383">
        <f t="shared" si="70"/>
        <v>99999</v>
      </c>
      <c r="Q159" s="383">
        <f t="shared" si="70"/>
        <v>99999</v>
      </c>
      <c r="R159" s="383">
        <f t="shared" si="70"/>
        <v>99999</v>
      </c>
      <c r="S159" s="376"/>
      <c r="T159" s="376"/>
      <c r="U159" s="376"/>
      <c r="V159" s="376"/>
      <c r="W159" s="376"/>
      <c r="X159" s="376"/>
      <c r="Y159" s="376"/>
      <c r="Z159" s="376"/>
      <c r="AA159" s="376"/>
      <c r="AB159" s="376"/>
      <c r="AC159" s="376"/>
      <c r="AD159" s="376"/>
      <c r="AE159" s="376"/>
      <c r="AF159" s="376"/>
      <c r="AG159" s="376"/>
      <c r="AH159" s="376"/>
      <c r="AI159" s="376"/>
      <c r="AJ159" s="376"/>
      <c r="AK159" s="376"/>
      <c r="AL159" s="377"/>
    </row>
    <row r="160" spans="1:38" ht="14.25" customHeight="1">
      <c r="A160" s="619"/>
      <c r="B160" s="253"/>
      <c r="C160" s="258" t="s">
        <v>151</v>
      </c>
      <c r="D160" s="259" t="s">
        <v>309</v>
      </c>
      <c r="E160" s="385">
        <f t="shared" ref="E160:G160" si="71">E127+E29</f>
        <v>8.6599999999999996E-2</v>
      </c>
      <c r="F160" s="385">
        <f t="shared" si="71"/>
        <v>8.6599999999999996E-2</v>
      </c>
      <c r="G160" s="385">
        <f t="shared" si="71"/>
        <v>8.6599999999999996E-2</v>
      </c>
      <c r="H160" s="383">
        <v>99999</v>
      </c>
      <c r="I160" s="383">
        <f t="shared" ref="I160:R160" si="72">H160</f>
        <v>99999</v>
      </c>
      <c r="J160" s="383">
        <f t="shared" si="72"/>
        <v>99999</v>
      </c>
      <c r="K160" s="383">
        <f t="shared" si="72"/>
        <v>99999</v>
      </c>
      <c r="L160" s="383">
        <f t="shared" si="72"/>
        <v>99999</v>
      </c>
      <c r="M160" s="383">
        <f t="shared" si="72"/>
        <v>99999</v>
      </c>
      <c r="N160" s="383">
        <f t="shared" si="72"/>
        <v>99999</v>
      </c>
      <c r="O160" s="383">
        <f t="shared" si="72"/>
        <v>99999</v>
      </c>
      <c r="P160" s="383">
        <f t="shared" si="72"/>
        <v>99999</v>
      </c>
      <c r="Q160" s="383">
        <f t="shared" si="72"/>
        <v>99999</v>
      </c>
      <c r="R160" s="383">
        <f t="shared" si="72"/>
        <v>99999</v>
      </c>
      <c r="S160" s="376"/>
      <c r="T160" s="376"/>
      <c r="U160" s="376"/>
      <c r="V160" s="376"/>
      <c r="W160" s="376"/>
      <c r="X160" s="376"/>
      <c r="Y160" s="376"/>
      <c r="Z160" s="376"/>
      <c r="AA160" s="376"/>
      <c r="AB160" s="376"/>
      <c r="AC160" s="376"/>
      <c r="AD160" s="376"/>
      <c r="AE160" s="376"/>
      <c r="AF160" s="376"/>
      <c r="AG160" s="376"/>
      <c r="AH160" s="376"/>
      <c r="AI160" s="376"/>
      <c r="AJ160" s="376"/>
      <c r="AK160" s="376"/>
      <c r="AL160" s="377"/>
    </row>
    <row r="161" spans="1:38" ht="14.25" customHeight="1">
      <c r="A161" s="619"/>
      <c r="B161" s="253"/>
      <c r="C161" s="258"/>
      <c r="D161" s="266" t="s">
        <v>153</v>
      </c>
      <c r="E161" s="385">
        <f t="shared" ref="E161:G161" si="73">E128+E30</f>
        <v>0</v>
      </c>
      <c r="F161" s="385">
        <f t="shared" si="73"/>
        <v>0</v>
      </c>
      <c r="G161" s="385">
        <f t="shared" si="73"/>
        <v>0</v>
      </c>
      <c r="H161" s="383">
        <v>99999</v>
      </c>
      <c r="I161" s="383">
        <f t="shared" ref="I161:R161" si="74">H161</f>
        <v>99999</v>
      </c>
      <c r="J161" s="383">
        <f t="shared" si="74"/>
        <v>99999</v>
      </c>
      <c r="K161" s="383">
        <f t="shared" si="74"/>
        <v>99999</v>
      </c>
      <c r="L161" s="383">
        <f t="shared" si="74"/>
        <v>99999</v>
      </c>
      <c r="M161" s="383">
        <f t="shared" si="74"/>
        <v>99999</v>
      </c>
      <c r="N161" s="383">
        <f t="shared" si="74"/>
        <v>99999</v>
      </c>
      <c r="O161" s="383">
        <f t="shared" si="74"/>
        <v>99999</v>
      </c>
      <c r="P161" s="383">
        <f t="shared" si="74"/>
        <v>99999</v>
      </c>
      <c r="Q161" s="383">
        <f t="shared" si="74"/>
        <v>99999</v>
      </c>
      <c r="R161" s="383">
        <f t="shared" si="74"/>
        <v>99999</v>
      </c>
      <c r="S161" s="376"/>
      <c r="T161" s="376"/>
      <c r="U161" s="376"/>
      <c r="V161" s="376"/>
      <c r="W161" s="376"/>
      <c r="X161" s="376"/>
      <c r="Y161" s="376"/>
      <c r="Z161" s="376"/>
      <c r="AA161" s="376"/>
      <c r="AB161" s="376"/>
      <c r="AC161" s="376"/>
      <c r="AD161" s="376"/>
      <c r="AE161" s="376"/>
      <c r="AF161" s="376"/>
      <c r="AG161" s="376"/>
      <c r="AH161" s="376"/>
      <c r="AI161" s="376"/>
      <c r="AJ161" s="376"/>
      <c r="AK161" s="376"/>
      <c r="AL161" s="377"/>
    </row>
    <row r="162" spans="1:38" ht="16.5" customHeight="1">
      <c r="A162" s="1"/>
      <c r="B162" s="253"/>
      <c r="C162" s="258" t="s">
        <v>154</v>
      </c>
      <c r="D162" s="259" t="s">
        <v>155</v>
      </c>
      <c r="E162" s="385">
        <f t="shared" ref="E162:G162" si="75">E129+E31</f>
        <v>0.54523499999999991</v>
      </c>
      <c r="F162" s="385">
        <f t="shared" si="75"/>
        <v>0.54523499999999991</v>
      </c>
      <c r="G162" s="385">
        <f t="shared" si="75"/>
        <v>0.54523499999999991</v>
      </c>
      <c r="H162" s="383">
        <v>99999</v>
      </c>
      <c r="I162" s="383">
        <f t="shared" ref="I162:R162" si="76">H162</f>
        <v>99999</v>
      </c>
      <c r="J162" s="383">
        <f t="shared" si="76"/>
        <v>99999</v>
      </c>
      <c r="K162" s="383">
        <f t="shared" si="76"/>
        <v>99999</v>
      </c>
      <c r="L162" s="383">
        <f t="shared" si="76"/>
        <v>99999</v>
      </c>
      <c r="M162" s="383">
        <f t="shared" si="76"/>
        <v>99999</v>
      </c>
      <c r="N162" s="383">
        <f t="shared" si="76"/>
        <v>99999</v>
      </c>
      <c r="O162" s="383">
        <f t="shared" si="76"/>
        <v>99999</v>
      </c>
      <c r="P162" s="383">
        <f t="shared" si="76"/>
        <v>99999</v>
      </c>
      <c r="Q162" s="383">
        <f t="shared" si="76"/>
        <v>99999</v>
      </c>
      <c r="R162" s="383">
        <f t="shared" si="76"/>
        <v>99999</v>
      </c>
      <c r="S162" s="259"/>
      <c r="T162" s="259"/>
      <c r="U162" s="259"/>
      <c r="V162" s="259"/>
      <c r="W162" s="259"/>
      <c r="X162" s="259"/>
      <c r="Y162" s="259"/>
      <c r="Z162" s="259"/>
      <c r="AA162" s="259"/>
      <c r="AB162" s="259"/>
      <c r="AC162" s="259"/>
      <c r="AD162" s="259"/>
      <c r="AE162" s="259"/>
      <c r="AF162" s="259"/>
      <c r="AG162" s="259"/>
      <c r="AH162" s="259"/>
      <c r="AI162" s="259"/>
      <c r="AJ162" s="259"/>
      <c r="AK162" s="259"/>
      <c r="AL162" s="1"/>
    </row>
    <row r="163" spans="1:38" ht="16.5" customHeight="1">
      <c r="A163" s="1"/>
      <c r="B163" s="253"/>
      <c r="C163" s="258" t="s">
        <v>156</v>
      </c>
      <c r="D163" s="259" t="s">
        <v>157</v>
      </c>
      <c r="E163" s="385">
        <f t="shared" ref="E163:G163" si="77">E130+E32</f>
        <v>0.27535999999999999</v>
      </c>
      <c r="F163" s="385">
        <f t="shared" si="77"/>
        <v>0.27535999999999999</v>
      </c>
      <c r="G163" s="385">
        <f t="shared" si="77"/>
        <v>0.27535999999999999</v>
      </c>
      <c r="H163" s="383">
        <v>99999</v>
      </c>
      <c r="I163" s="383">
        <f t="shared" ref="I163:R163" si="78">H163</f>
        <v>99999</v>
      </c>
      <c r="J163" s="383">
        <f t="shared" si="78"/>
        <v>99999</v>
      </c>
      <c r="K163" s="383">
        <f t="shared" si="78"/>
        <v>99999</v>
      </c>
      <c r="L163" s="383">
        <f t="shared" si="78"/>
        <v>99999</v>
      </c>
      <c r="M163" s="383">
        <f t="shared" si="78"/>
        <v>99999</v>
      </c>
      <c r="N163" s="383">
        <f t="shared" si="78"/>
        <v>99999</v>
      </c>
      <c r="O163" s="383">
        <f t="shared" si="78"/>
        <v>99999</v>
      </c>
      <c r="P163" s="383">
        <f t="shared" si="78"/>
        <v>99999</v>
      </c>
      <c r="Q163" s="383">
        <f t="shared" si="78"/>
        <v>99999</v>
      </c>
      <c r="R163" s="383">
        <f t="shared" si="78"/>
        <v>99999</v>
      </c>
      <c r="S163" s="259"/>
      <c r="T163" s="259"/>
      <c r="U163" s="259"/>
      <c r="V163" s="259"/>
      <c r="W163" s="259"/>
      <c r="X163" s="259"/>
      <c r="Y163" s="259"/>
      <c r="Z163" s="259"/>
      <c r="AA163" s="259"/>
      <c r="AB163" s="259"/>
      <c r="AC163" s="259"/>
      <c r="AD163" s="259"/>
      <c r="AE163" s="259"/>
      <c r="AF163" s="259"/>
      <c r="AG163" s="259"/>
      <c r="AH163" s="259"/>
      <c r="AI163" s="259"/>
      <c r="AJ163" s="259"/>
      <c r="AK163" s="259"/>
      <c r="AL163" s="1"/>
    </row>
    <row r="164" spans="1:38" ht="16.5" customHeight="1">
      <c r="A164" s="1"/>
      <c r="B164" s="253"/>
      <c r="C164" s="258"/>
      <c r="D164" s="266" t="s">
        <v>158</v>
      </c>
      <c r="E164" s="385">
        <f t="shared" ref="E164:G164" si="79">E131+E33</f>
        <v>0</v>
      </c>
      <c r="F164" s="385">
        <f t="shared" si="79"/>
        <v>0</v>
      </c>
      <c r="G164" s="385">
        <f t="shared" si="79"/>
        <v>0</v>
      </c>
      <c r="H164" s="383">
        <v>99999</v>
      </c>
      <c r="I164" s="383">
        <f t="shared" ref="I164:R164" si="80">H164</f>
        <v>99999</v>
      </c>
      <c r="J164" s="383">
        <f t="shared" si="80"/>
        <v>99999</v>
      </c>
      <c r="K164" s="383">
        <f t="shared" si="80"/>
        <v>99999</v>
      </c>
      <c r="L164" s="383">
        <f t="shared" si="80"/>
        <v>99999</v>
      </c>
      <c r="M164" s="383">
        <f t="shared" si="80"/>
        <v>99999</v>
      </c>
      <c r="N164" s="383">
        <f t="shared" si="80"/>
        <v>99999</v>
      </c>
      <c r="O164" s="383">
        <f t="shared" si="80"/>
        <v>99999</v>
      </c>
      <c r="P164" s="383">
        <f t="shared" si="80"/>
        <v>99999</v>
      </c>
      <c r="Q164" s="383">
        <f t="shared" si="80"/>
        <v>99999</v>
      </c>
      <c r="R164" s="383">
        <f t="shared" si="80"/>
        <v>99999</v>
      </c>
      <c r="S164" s="259"/>
      <c r="T164" s="259"/>
      <c r="U164" s="259"/>
      <c r="V164" s="259"/>
      <c r="W164" s="259"/>
      <c r="X164" s="259"/>
      <c r="Y164" s="259"/>
      <c r="Z164" s="259"/>
      <c r="AA164" s="259"/>
      <c r="AB164" s="259"/>
      <c r="AC164" s="259"/>
      <c r="AD164" s="259"/>
      <c r="AE164" s="259"/>
      <c r="AF164" s="259"/>
      <c r="AG164" s="259"/>
      <c r="AH164" s="259"/>
      <c r="AI164" s="259"/>
      <c r="AJ164" s="259"/>
      <c r="AK164" s="259"/>
      <c r="AL164" s="1"/>
    </row>
    <row r="165" spans="1:38" ht="16.5" customHeight="1">
      <c r="A165" s="1"/>
      <c r="B165" s="253"/>
      <c r="C165" s="258" t="s">
        <v>159</v>
      </c>
      <c r="D165" s="259" t="s">
        <v>160</v>
      </c>
      <c r="E165" s="385">
        <f t="shared" ref="E165:G165" si="81">E132+E34</f>
        <v>0.44600000000000001</v>
      </c>
      <c r="F165" s="385">
        <f t="shared" si="81"/>
        <v>0.44600000000000001</v>
      </c>
      <c r="G165" s="385">
        <f t="shared" si="81"/>
        <v>0.44600000000000001</v>
      </c>
      <c r="H165" s="383">
        <v>99999</v>
      </c>
      <c r="I165" s="383">
        <f t="shared" ref="I165:R165" si="82">H165</f>
        <v>99999</v>
      </c>
      <c r="J165" s="383">
        <f t="shared" si="82"/>
        <v>99999</v>
      </c>
      <c r="K165" s="383">
        <f t="shared" si="82"/>
        <v>99999</v>
      </c>
      <c r="L165" s="383">
        <f t="shared" si="82"/>
        <v>99999</v>
      </c>
      <c r="M165" s="383">
        <f t="shared" si="82"/>
        <v>99999</v>
      </c>
      <c r="N165" s="383">
        <f t="shared" si="82"/>
        <v>99999</v>
      </c>
      <c r="O165" s="383">
        <f t="shared" si="82"/>
        <v>99999</v>
      </c>
      <c r="P165" s="383">
        <f t="shared" si="82"/>
        <v>99999</v>
      </c>
      <c r="Q165" s="383">
        <f t="shared" si="82"/>
        <v>99999</v>
      </c>
      <c r="R165" s="383">
        <f t="shared" si="82"/>
        <v>99999</v>
      </c>
      <c r="S165" s="259"/>
      <c r="T165" s="259"/>
      <c r="U165" s="259"/>
      <c r="V165" s="259"/>
      <c r="W165" s="259"/>
      <c r="X165" s="259"/>
      <c r="Y165" s="259"/>
      <c r="Z165" s="259"/>
      <c r="AA165" s="259"/>
      <c r="AB165" s="259"/>
      <c r="AC165" s="259"/>
      <c r="AD165" s="259"/>
      <c r="AE165" s="259"/>
      <c r="AF165" s="259"/>
      <c r="AG165" s="259"/>
      <c r="AH165" s="259"/>
      <c r="AI165" s="259"/>
      <c r="AJ165" s="259"/>
      <c r="AK165" s="259"/>
      <c r="AL165" s="1"/>
    </row>
    <row r="166" spans="1:38" ht="16.5" customHeight="1">
      <c r="A166" s="1"/>
      <c r="B166" s="253"/>
      <c r="C166" s="258" t="s">
        <v>163</v>
      </c>
      <c r="D166" s="281" t="s">
        <v>217</v>
      </c>
      <c r="E166" s="385">
        <f t="shared" ref="E166:G166" si="83">E133+E35</f>
        <v>7.26E-3</v>
      </c>
      <c r="F166" s="385">
        <f t="shared" si="83"/>
        <v>7.26E-3</v>
      </c>
      <c r="G166" s="385">
        <f t="shared" si="83"/>
        <v>7.26E-3</v>
      </c>
      <c r="H166" s="383">
        <f>G166+Electricidad!J212</f>
        <v>0.10026</v>
      </c>
      <c r="I166" s="383">
        <f t="shared" ref="I166:R166" si="84">H166</f>
        <v>0.10026</v>
      </c>
      <c r="J166" s="383">
        <f t="shared" si="84"/>
        <v>0.10026</v>
      </c>
      <c r="K166" s="383">
        <f t="shared" si="84"/>
        <v>0.10026</v>
      </c>
      <c r="L166" s="383">
        <f t="shared" si="84"/>
        <v>0.10026</v>
      </c>
      <c r="M166" s="383">
        <f t="shared" si="84"/>
        <v>0.10026</v>
      </c>
      <c r="N166" s="383">
        <f t="shared" si="84"/>
        <v>0.10026</v>
      </c>
      <c r="O166" s="383">
        <f t="shared" si="84"/>
        <v>0.10026</v>
      </c>
      <c r="P166" s="383">
        <f t="shared" si="84"/>
        <v>0.10026</v>
      </c>
      <c r="Q166" s="383">
        <f t="shared" si="84"/>
        <v>0.10026</v>
      </c>
      <c r="R166" s="383">
        <f t="shared" si="84"/>
        <v>0.10026</v>
      </c>
      <c r="S166" s="259"/>
      <c r="T166" s="259"/>
      <c r="U166" s="259"/>
      <c r="V166" s="259"/>
      <c r="W166" s="259"/>
      <c r="X166" s="259"/>
      <c r="Y166" s="259"/>
      <c r="Z166" s="259"/>
      <c r="AA166" s="259"/>
      <c r="AB166" s="259"/>
      <c r="AC166" s="259"/>
      <c r="AD166" s="259"/>
      <c r="AE166" s="259"/>
      <c r="AF166" s="259"/>
      <c r="AG166" s="259"/>
      <c r="AH166" s="259"/>
      <c r="AI166" s="259"/>
      <c r="AJ166" s="259"/>
      <c r="AK166" s="259"/>
      <c r="AL166" s="1"/>
    </row>
    <row r="167" spans="1:38" ht="16.5" customHeight="1">
      <c r="A167" s="1"/>
      <c r="B167" s="253"/>
      <c r="C167" s="258" t="s">
        <v>267</v>
      </c>
      <c r="D167" s="281" t="s">
        <v>226</v>
      </c>
      <c r="E167" s="385">
        <v>0</v>
      </c>
      <c r="F167" s="385">
        <v>0</v>
      </c>
      <c r="G167" s="385">
        <v>0</v>
      </c>
      <c r="H167" s="383">
        <f>Electricidad!J214</f>
        <v>0.9</v>
      </c>
      <c r="I167" s="383">
        <f t="shared" ref="I167:R167" si="85">H167</f>
        <v>0.9</v>
      </c>
      <c r="J167" s="383">
        <f t="shared" si="85"/>
        <v>0.9</v>
      </c>
      <c r="K167" s="383">
        <f t="shared" si="85"/>
        <v>0.9</v>
      </c>
      <c r="L167" s="383">
        <f t="shared" si="85"/>
        <v>0.9</v>
      </c>
      <c r="M167" s="383">
        <f t="shared" si="85"/>
        <v>0.9</v>
      </c>
      <c r="N167" s="383">
        <f t="shared" si="85"/>
        <v>0.9</v>
      </c>
      <c r="O167" s="383">
        <f t="shared" si="85"/>
        <v>0.9</v>
      </c>
      <c r="P167" s="383">
        <f t="shared" si="85"/>
        <v>0.9</v>
      </c>
      <c r="Q167" s="383">
        <f t="shared" si="85"/>
        <v>0.9</v>
      </c>
      <c r="R167" s="383">
        <f t="shared" si="85"/>
        <v>0.9</v>
      </c>
      <c r="S167" s="259"/>
      <c r="T167" s="259"/>
      <c r="U167" s="259"/>
      <c r="V167" s="259"/>
      <c r="W167" s="259"/>
      <c r="X167" s="259"/>
      <c r="Y167" s="259"/>
      <c r="Z167" s="259"/>
      <c r="AA167" s="259"/>
      <c r="AB167" s="259"/>
      <c r="AC167" s="259"/>
      <c r="AD167" s="259"/>
      <c r="AE167" s="259"/>
      <c r="AF167" s="259"/>
      <c r="AG167" s="259"/>
      <c r="AH167" s="259"/>
      <c r="AI167" s="259"/>
      <c r="AJ167" s="259"/>
      <c r="AK167" s="259"/>
      <c r="AL167" s="1"/>
    </row>
    <row r="168" spans="1:38" ht="16.5" customHeight="1">
      <c r="A168" s="1"/>
      <c r="B168" s="1"/>
      <c r="C168" s="1"/>
      <c r="D168" s="54"/>
      <c r="E168" s="54"/>
      <c r="F168" s="54"/>
      <c r="G168" s="5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6.5" customHeight="1">
      <c r="A169" s="1"/>
      <c r="B169" s="1"/>
      <c r="C169" s="1"/>
      <c r="D169" s="54"/>
      <c r="E169" s="54"/>
      <c r="F169" s="54"/>
      <c r="G169" s="5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c r="A170" s="1"/>
      <c r="B170" s="1"/>
      <c r="C170" s="1"/>
      <c r="D170" s="281" t="s">
        <v>185</v>
      </c>
      <c r="E170" s="58">
        <f t="shared" ref="E170:R170" si="86">E138-E105</f>
        <v>0.14430000000000001</v>
      </c>
      <c r="F170" s="58">
        <f t="shared" si="86"/>
        <v>0.14430000000000001</v>
      </c>
      <c r="G170" s="58">
        <f t="shared" si="86"/>
        <v>0.14430000000000001</v>
      </c>
      <c r="H170" s="58">
        <f t="shared" si="86"/>
        <v>0.15430000000000002</v>
      </c>
      <c r="I170" s="58">
        <f t="shared" si="86"/>
        <v>0.15430000000000002</v>
      </c>
      <c r="J170" s="58">
        <f t="shared" si="86"/>
        <v>0.15430000000000002</v>
      </c>
      <c r="K170" s="58">
        <f t="shared" si="86"/>
        <v>0.13930000000000003</v>
      </c>
      <c r="L170" s="58">
        <f t="shared" si="86"/>
        <v>0.15430000000000002</v>
      </c>
      <c r="M170" s="58">
        <f t="shared" si="86"/>
        <v>0.15430000000000002</v>
      </c>
      <c r="N170" s="58">
        <f t="shared" si="86"/>
        <v>0.15430000000000002</v>
      </c>
      <c r="O170" s="58">
        <f t="shared" si="86"/>
        <v>0.15430000000000002</v>
      </c>
      <c r="P170" s="58">
        <f t="shared" si="86"/>
        <v>0.15430000000000002</v>
      </c>
      <c r="Q170" s="58">
        <f t="shared" si="86"/>
        <v>0.15430000000000002</v>
      </c>
      <c r="R170" s="58">
        <f t="shared" si="86"/>
        <v>0.15430000000000002</v>
      </c>
      <c r="S170" s="1"/>
      <c r="T170" s="1"/>
      <c r="U170" s="1"/>
      <c r="V170" s="1"/>
      <c r="W170" s="1"/>
      <c r="X170" s="1"/>
      <c r="Y170" s="1"/>
      <c r="Z170" s="1"/>
      <c r="AA170" s="1"/>
      <c r="AB170" s="1"/>
      <c r="AC170" s="1"/>
      <c r="AD170" s="1"/>
      <c r="AE170" s="1"/>
      <c r="AF170" s="1"/>
      <c r="AG170" s="1"/>
      <c r="AH170" s="1"/>
      <c r="AI170" s="1"/>
      <c r="AJ170" s="1"/>
      <c r="AK170" s="1"/>
      <c r="AL170" s="1"/>
    </row>
    <row r="171" spans="1:38" ht="16.5" customHeight="1">
      <c r="A171" s="1"/>
      <c r="B171" s="1"/>
      <c r="C171" s="1"/>
      <c r="D171" s="281" t="s">
        <v>219</v>
      </c>
      <c r="E171" s="58">
        <f t="shared" ref="E171:R171" si="87">E139-E106</f>
        <v>1.6500000000000001E-2</v>
      </c>
      <c r="F171" s="58">
        <f t="shared" si="87"/>
        <v>1.6500000000000001E-2</v>
      </c>
      <c r="G171" s="58">
        <f t="shared" si="87"/>
        <v>1.6500000000000001E-2</v>
      </c>
      <c r="H171" s="58">
        <f t="shared" si="87"/>
        <v>1.6575</v>
      </c>
      <c r="I171" s="58">
        <f t="shared" si="87"/>
        <v>1.7075</v>
      </c>
      <c r="J171" s="58">
        <f t="shared" si="87"/>
        <v>1.5974999999999999</v>
      </c>
      <c r="K171" s="58">
        <f t="shared" si="87"/>
        <v>1.5075000000000001</v>
      </c>
      <c r="L171" s="58">
        <f t="shared" si="87"/>
        <v>1.4575</v>
      </c>
      <c r="M171" s="58">
        <f t="shared" si="87"/>
        <v>1.6475</v>
      </c>
      <c r="N171" s="58">
        <f t="shared" si="87"/>
        <v>1.7075</v>
      </c>
      <c r="O171" s="58">
        <f t="shared" si="87"/>
        <v>1.5475000000000001</v>
      </c>
      <c r="P171" s="58">
        <f t="shared" si="87"/>
        <v>1.7075</v>
      </c>
      <c r="Q171" s="58">
        <f t="shared" si="87"/>
        <v>1.7075</v>
      </c>
      <c r="R171" s="58">
        <f t="shared" si="87"/>
        <v>1.7075</v>
      </c>
      <c r="S171" s="1"/>
      <c r="T171" s="1"/>
      <c r="U171" s="1"/>
      <c r="V171" s="1"/>
      <c r="W171" s="1"/>
      <c r="X171" s="1"/>
      <c r="Y171" s="1"/>
      <c r="Z171" s="1"/>
      <c r="AA171" s="1"/>
      <c r="AB171" s="1"/>
      <c r="AC171" s="1"/>
      <c r="AD171" s="1"/>
      <c r="AE171" s="1"/>
      <c r="AF171" s="1"/>
      <c r="AG171" s="1"/>
      <c r="AH171" s="1"/>
      <c r="AI171" s="1"/>
      <c r="AJ171" s="1"/>
      <c r="AK171" s="1"/>
      <c r="AL171" s="1"/>
    </row>
    <row r="172" spans="1:38" ht="16.5" customHeight="1">
      <c r="A172" s="1"/>
      <c r="B172" s="1"/>
      <c r="C172" s="1"/>
      <c r="D172" s="281" t="s">
        <v>164</v>
      </c>
      <c r="E172" s="58">
        <f t="shared" ref="E172:R172" si="88">E140-E107</f>
        <v>1.7332000000000001</v>
      </c>
      <c r="F172" s="58">
        <f t="shared" si="88"/>
        <v>1.7332000000000001</v>
      </c>
      <c r="G172" s="58">
        <f t="shared" si="88"/>
        <v>1.7332000000000001</v>
      </c>
      <c r="H172" s="58">
        <f t="shared" si="88"/>
        <v>1.7332000000000001</v>
      </c>
      <c r="I172" s="58">
        <f t="shared" si="88"/>
        <v>1.7332000000000001</v>
      </c>
      <c r="J172" s="58">
        <f t="shared" si="88"/>
        <v>1.7332000000000001</v>
      </c>
      <c r="K172" s="58">
        <f t="shared" si="88"/>
        <v>1.7332000000000001</v>
      </c>
      <c r="L172" s="58">
        <f t="shared" si="88"/>
        <v>1.7332000000000001</v>
      </c>
      <c r="M172" s="58">
        <f t="shared" si="88"/>
        <v>1.7332000000000001</v>
      </c>
      <c r="N172" s="58">
        <f t="shared" si="88"/>
        <v>1.7332000000000001</v>
      </c>
      <c r="O172" s="58">
        <f t="shared" si="88"/>
        <v>1.7332000000000001</v>
      </c>
      <c r="P172" s="58">
        <f t="shared" si="88"/>
        <v>1.7332000000000001</v>
      </c>
      <c r="Q172" s="58">
        <f t="shared" si="88"/>
        <v>1.7332000000000001</v>
      </c>
      <c r="R172" s="58">
        <f t="shared" si="88"/>
        <v>1.7332000000000001</v>
      </c>
      <c r="S172" s="1"/>
      <c r="T172" s="1"/>
      <c r="U172" s="1"/>
      <c r="V172" s="1"/>
      <c r="W172" s="1"/>
      <c r="X172" s="1"/>
      <c r="Y172" s="1"/>
      <c r="Z172" s="1"/>
      <c r="AA172" s="1"/>
      <c r="AB172" s="1"/>
      <c r="AC172" s="1"/>
      <c r="AD172" s="1"/>
      <c r="AE172" s="1"/>
      <c r="AF172" s="1"/>
      <c r="AG172" s="1"/>
      <c r="AH172" s="1"/>
      <c r="AI172" s="1"/>
      <c r="AJ172" s="1"/>
      <c r="AK172" s="1"/>
      <c r="AL172" s="1"/>
    </row>
    <row r="173" spans="1:38" ht="16.5" customHeight="1">
      <c r="A173" s="1"/>
      <c r="B173" s="1"/>
      <c r="C173" s="1"/>
      <c r="D173" s="259" t="s">
        <v>166</v>
      </c>
      <c r="E173" s="58">
        <f t="shared" ref="E173:R173" si="89">E141-E108</f>
        <v>4.2200000000000001E-2</v>
      </c>
      <c r="F173" s="58">
        <f t="shared" si="89"/>
        <v>4.2200000000000001E-2</v>
      </c>
      <c r="G173" s="58">
        <f t="shared" si="89"/>
        <v>4.2200000000000001E-2</v>
      </c>
      <c r="H173" s="58">
        <f t="shared" si="89"/>
        <v>2.0600000000000007E-2</v>
      </c>
      <c r="I173" s="58">
        <f t="shared" si="89"/>
        <v>6.9600000000000009E-2</v>
      </c>
      <c r="J173" s="58">
        <f t="shared" si="89"/>
        <v>6.9600000000000009E-2</v>
      </c>
      <c r="K173" s="58">
        <f t="shared" si="89"/>
        <v>6.9600000000000009E-2</v>
      </c>
      <c r="L173" s="58">
        <f t="shared" si="89"/>
        <v>6.9600000000000009E-2</v>
      </c>
      <c r="M173" s="58">
        <f t="shared" si="89"/>
        <v>6.9600000000000009E-2</v>
      </c>
      <c r="N173" s="58">
        <f t="shared" si="89"/>
        <v>6.9600000000000009E-2</v>
      </c>
      <c r="O173" s="58">
        <f t="shared" si="89"/>
        <v>6.9600000000000009E-2</v>
      </c>
      <c r="P173" s="58">
        <f t="shared" si="89"/>
        <v>6.9600000000000009E-2</v>
      </c>
      <c r="Q173" s="58">
        <f t="shared" si="89"/>
        <v>6.9600000000000009E-2</v>
      </c>
      <c r="R173" s="58">
        <f t="shared" si="89"/>
        <v>6.9600000000000009E-2</v>
      </c>
      <c r="S173" s="1"/>
      <c r="T173" s="1"/>
      <c r="U173" s="1"/>
      <c r="V173" s="1"/>
      <c r="W173" s="1"/>
      <c r="X173" s="1"/>
      <c r="Y173" s="1"/>
      <c r="Z173" s="1"/>
      <c r="AA173" s="1"/>
      <c r="AB173" s="1"/>
      <c r="AC173" s="1"/>
      <c r="AD173" s="1"/>
      <c r="AE173" s="1"/>
      <c r="AF173" s="1"/>
      <c r="AG173" s="1"/>
      <c r="AH173" s="1"/>
      <c r="AI173" s="1"/>
      <c r="AJ173" s="1"/>
      <c r="AK173" s="1"/>
      <c r="AL173" s="1"/>
    </row>
    <row r="174" spans="1:38" ht="16.5" customHeight="1">
      <c r="A174" s="1"/>
      <c r="B174" s="1"/>
      <c r="C174" s="1"/>
      <c r="D174" s="259" t="s">
        <v>168</v>
      </c>
      <c r="E174" s="58">
        <f t="shared" ref="E174:R174" si="90">E142-E109</f>
        <v>0.21299999999999999</v>
      </c>
      <c r="F174" s="58">
        <f t="shared" si="90"/>
        <v>0.21299999999999999</v>
      </c>
      <c r="G174" s="58">
        <f t="shared" si="90"/>
        <v>0.21299999999999999</v>
      </c>
      <c r="H174" s="58">
        <f t="shared" si="90"/>
        <v>0.21299999999999999</v>
      </c>
      <c r="I174" s="58">
        <f t="shared" si="90"/>
        <v>0.41839999999999999</v>
      </c>
      <c r="J174" s="58">
        <f t="shared" si="90"/>
        <v>0.41839999999999999</v>
      </c>
      <c r="K174" s="58">
        <f t="shared" si="90"/>
        <v>0.41839999999999999</v>
      </c>
      <c r="L174" s="58">
        <f t="shared" si="90"/>
        <v>0.49340000000000001</v>
      </c>
      <c r="M174" s="58">
        <f t="shared" si="90"/>
        <v>0.49340000000000001</v>
      </c>
      <c r="N174" s="58">
        <f t="shared" si="90"/>
        <v>0.49340000000000001</v>
      </c>
      <c r="O174" s="58">
        <f t="shared" si="90"/>
        <v>0.49340000000000001</v>
      </c>
      <c r="P174" s="58">
        <f t="shared" si="90"/>
        <v>0.49340000000000001</v>
      </c>
      <c r="Q174" s="58">
        <f t="shared" si="90"/>
        <v>0.49340000000000001</v>
      </c>
      <c r="R174" s="58">
        <f t="shared" si="90"/>
        <v>0.49340000000000001</v>
      </c>
      <c r="S174" s="1"/>
      <c r="T174" s="1"/>
      <c r="U174" s="1"/>
      <c r="V174" s="1"/>
      <c r="W174" s="1"/>
      <c r="X174" s="1"/>
      <c r="Y174" s="1"/>
      <c r="Z174" s="1"/>
      <c r="AA174" s="1"/>
      <c r="AB174" s="1"/>
      <c r="AC174" s="1"/>
      <c r="AD174" s="1"/>
      <c r="AE174" s="1"/>
      <c r="AF174" s="1"/>
      <c r="AG174" s="1"/>
      <c r="AH174" s="1"/>
      <c r="AI174" s="1"/>
      <c r="AJ174" s="1"/>
      <c r="AK174" s="1"/>
      <c r="AL174" s="1"/>
    </row>
    <row r="175" spans="1:38" ht="16.5" customHeight="1">
      <c r="A175" s="1"/>
      <c r="B175" s="1"/>
      <c r="C175" s="1"/>
      <c r="D175" s="259" t="s">
        <v>170</v>
      </c>
      <c r="E175" s="58">
        <f t="shared" ref="E175:R175" si="91">E143-E110</f>
        <v>0</v>
      </c>
      <c r="F175" s="58">
        <f t="shared" si="91"/>
        <v>0</v>
      </c>
      <c r="G175" s="58">
        <f t="shared" si="91"/>
        <v>0</v>
      </c>
      <c r="H175" s="58">
        <f t="shared" si="91"/>
        <v>0</v>
      </c>
      <c r="I175" s="58">
        <f t="shared" si="91"/>
        <v>0</v>
      </c>
      <c r="J175" s="58">
        <f t="shared" si="91"/>
        <v>0</v>
      </c>
      <c r="K175" s="58">
        <f t="shared" si="91"/>
        <v>0</v>
      </c>
      <c r="L175" s="58">
        <f t="shared" si="91"/>
        <v>0</v>
      </c>
      <c r="M175" s="58">
        <f t="shared" si="91"/>
        <v>0</v>
      </c>
      <c r="N175" s="58">
        <f t="shared" si="91"/>
        <v>0</v>
      </c>
      <c r="O175" s="58">
        <f t="shared" si="91"/>
        <v>0</v>
      </c>
      <c r="P175" s="58">
        <f t="shared" si="91"/>
        <v>0</v>
      </c>
      <c r="Q175" s="58">
        <f t="shared" si="91"/>
        <v>0</v>
      </c>
      <c r="R175" s="58">
        <f t="shared" si="91"/>
        <v>0</v>
      </c>
      <c r="S175" s="1"/>
      <c r="T175" s="1"/>
      <c r="U175" s="1"/>
      <c r="V175" s="1"/>
      <c r="W175" s="1"/>
      <c r="X175" s="1"/>
      <c r="Y175" s="1"/>
      <c r="Z175" s="1"/>
      <c r="AA175" s="1"/>
      <c r="AB175" s="1"/>
      <c r="AC175" s="1"/>
      <c r="AD175" s="1"/>
      <c r="AE175" s="1"/>
      <c r="AF175" s="1"/>
      <c r="AG175" s="1"/>
      <c r="AH175" s="1"/>
      <c r="AI175" s="1"/>
      <c r="AJ175" s="1"/>
      <c r="AK175" s="1"/>
      <c r="AL175" s="1"/>
    </row>
    <row r="176" spans="1:38" ht="16.5" customHeight="1">
      <c r="A176" s="1"/>
      <c r="B176" s="1"/>
      <c r="C176" s="1"/>
      <c r="D176" s="259" t="s">
        <v>172</v>
      </c>
      <c r="E176" s="58">
        <f t="shared" ref="E176:R176" si="92">E144-E111</f>
        <v>0</v>
      </c>
      <c r="F176" s="58">
        <f t="shared" si="92"/>
        <v>0</v>
      </c>
      <c r="G176" s="58">
        <f t="shared" si="92"/>
        <v>0</v>
      </c>
      <c r="H176" s="58">
        <f t="shared" si="92"/>
        <v>0</v>
      </c>
      <c r="I176" s="58">
        <f t="shared" si="92"/>
        <v>0</v>
      </c>
      <c r="J176" s="58">
        <f t="shared" si="92"/>
        <v>0</v>
      </c>
      <c r="K176" s="58">
        <f t="shared" si="92"/>
        <v>-2.18E-2</v>
      </c>
      <c r="L176" s="58">
        <f t="shared" si="92"/>
        <v>0</v>
      </c>
      <c r="M176" s="58">
        <f t="shared" si="92"/>
        <v>0</v>
      </c>
      <c r="N176" s="58">
        <f t="shared" si="92"/>
        <v>0</v>
      </c>
      <c r="O176" s="58">
        <f t="shared" si="92"/>
        <v>0</v>
      </c>
      <c r="P176" s="58">
        <f t="shared" si="92"/>
        <v>0</v>
      </c>
      <c r="Q176" s="58">
        <f t="shared" si="92"/>
        <v>0</v>
      </c>
      <c r="R176" s="58">
        <f t="shared" si="92"/>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c r="A177" s="1"/>
      <c r="B177" s="1"/>
      <c r="C177" s="1"/>
      <c r="D177" s="259" t="s">
        <v>174</v>
      </c>
      <c r="E177" s="58">
        <f t="shared" ref="E177:R177" si="93">E145-E112</f>
        <v>0.40300000000000002</v>
      </c>
      <c r="F177" s="58">
        <f t="shared" si="93"/>
        <v>0.40300000000000002</v>
      </c>
      <c r="G177" s="58">
        <f t="shared" si="93"/>
        <v>0.40300000000000002</v>
      </c>
      <c r="H177" s="58">
        <f t="shared" si="93"/>
        <v>0.92218</v>
      </c>
      <c r="I177" s="58">
        <f t="shared" si="93"/>
        <v>0.92218</v>
      </c>
      <c r="J177" s="58">
        <f t="shared" si="93"/>
        <v>0.92218</v>
      </c>
      <c r="K177" s="58">
        <f t="shared" si="93"/>
        <v>0.92218</v>
      </c>
      <c r="L177" s="58">
        <f t="shared" si="93"/>
        <v>0.92218</v>
      </c>
      <c r="M177" s="58">
        <f t="shared" si="93"/>
        <v>0.92218</v>
      </c>
      <c r="N177" s="58">
        <f t="shared" si="93"/>
        <v>0.92218</v>
      </c>
      <c r="O177" s="58">
        <f t="shared" si="93"/>
        <v>0.92218</v>
      </c>
      <c r="P177" s="58">
        <f t="shared" si="93"/>
        <v>0.92218</v>
      </c>
      <c r="Q177" s="58">
        <f t="shared" si="93"/>
        <v>0.92218</v>
      </c>
      <c r="R177" s="58">
        <f t="shared" si="93"/>
        <v>0.92218</v>
      </c>
      <c r="S177" s="1"/>
      <c r="T177" s="1"/>
      <c r="U177" s="1"/>
      <c r="V177" s="1"/>
      <c r="W177" s="1"/>
      <c r="X177" s="1"/>
      <c r="Y177" s="1"/>
      <c r="Z177" s="1"/>
      <c r="AA177" s="1"/>
      <c r="AB177" s="1"/>
      <c r="AC177" s="1"/>
      <c r="AD177" s="1"/>
      <c r="AE177" s="1"/>
      <c r="AF177" s="1"/>
      <c r="AG177" s="1"/>
      <c r="AH177" s="1"/>
      <c r="AI177" s="1"/>
      <c r="AJ177" s="1"/>
      <c r="AK177" s="1"/>
      <c r="AL177" s="1"/>
    </row>
    <row r="178" spans="1:38" ht="16.5" customHeight="1">
      <c r="A178" s="1"/>
      <c r="B178" s="1"/>
      <c r="C178" s="1"/>
      <c r="D178" s="259" t="s">
        <v>176</v>
      </c>
      <c r="E178" s="58">
        <f t="shared" ref="E178:R178" si="94">E146-E113</f>
        <v>1.075</v>
      </c>
      <c r="F178" s="58">
        <f t="shared" si="94"/>
        <v>1.075</v>
      </c>
      <c r="G178" s="58">
        <f t="shared" si="94"/>
        <v>1.075</v>
      </c>
      <c r="H178" s="58">
        <f t="shared" si="94"/>
        <v>2.8558000000000003</v>
      </c>
      <c r="I178" s="58">
        <f t="shared" si="94"/>
        <v>2.8558000000000003</v>
      </c>
      <c r="J178" s="58">
        <f t="shared" si="94"/>
        <v>2.8558000000000003</v>
      </c>
      <c r="K178" s="58">
        <f t="shared" si="94"/>
        <v>2.8558000000000003</v>
      </c>
      <c r="L178" s="58">
        <f t="shared" si="94"/>
        <v>2.8558000000000003</v>
      </c>
      <c r="M178" s="58">
        <f t="shared" si="94"/>
        <v>2.8558000000000003</v>
      </c>
      <c r="N178" s="58">
        <f t="shared" si="94"/>
        <v>2.8558000000000003</v>
      </c>
      <c r="O178" s="58">
        <f t="shared" si="94"/>
        <v>2.8558000000000003</v>
      </c>
      <c r="P178" s="58">
        <f t="shared" si="94"/>
        <v>2.2602000000000002</v>
      </c>
      <c r="Q178" s="58">
        <f t="shared" si="94"/>
        <v>1.6558000000000004</v>
      </c>
      <c r="R178" s="58">
        <f t="shared" si="94"/>
        <v>1.6558000000000004</v>
      </c>
      <c r="S178" s="1"/>
      <c r="T178" s="1"/>
      <c r="U178" s="1"/>
      <c r="V178" s="1"/>
      <c r="W178" s="1"/>
      <c r="X178" s="1"/>
      <c r="Y178" s="1"/>
      <c r="Z178" s="1"/>
      <c r="AA178" s="1"/>
      <c r="AB178" s="1"/>
      <c r="AC178" s="1"/>
      <c r="AD178" s="1"/>
      <c r="AE178" s="1"/>
      <c r="AF178" s="1"/>
      <c r="AG178" s="1"/>
      <c r="AH178" s="1"/>
      <c r="AI178" s="1"/>
      <c r="AJ178" s="1"/>
      <c r="AK178" s="1"/>
      <c r="AL178" s="1"/>
    </row>
    <row r="179" spans="1:38" ht="16.5" customHeight="1">
      <c r="A179" s="1"/>
      <c r="B179" s="1"/>
      <c r="C179" s="1"/>
      <c r="D179" s="281" t="s">
        <v>177</v>
      </c>
      <c r="E179" s="58">
        <f t="shared" ref="E179:R179" si="95">E147-E114</f>
        <v>3.3271439899999997</v>
      </c>
      <c r="F179" s="58">
        <f t="shared" si="95"/>
        <v>3.3371439899999999</v>
      </c>
      <c r="G179" s="58">
        <f t="shared" si="95"/>
        <v>3.3594859899999996</v>
      </c>
      <c r="H179" s="58">
        <f t="shared" si="95"/>
        <v>3.3594859899999996</v>
      </c>
      <c r="I179" s="58">
        <f t="shared" si="95"/>
        <v>3.3594859899999996</v>
      </c>
      <c r="J179" s="58">
        <f t="shared" si="95"/>
        <v>3.3594859899999996</v>
      </c>
      <c r="K179" s="58">
        <f t="shared" si="95"/>
        <v>3.3594859899999996</v>
      </c>
      <c r="L179" s="58">
        <f t="shared" si="95"/>
        <v>3.3594859899999996</v>
      </c>
      <c r="M179" s="58">
        <f t="shared" si="95"/>
        <v>3.3594859899999996</v>
      </c>
      <c r="N179" s="58">
        <f t="shared" si="95"/>
        <v>3.3594859899999996</v>
      </c>
      <c r="O179" s="58">
        <f t="shared" si="95"/>
        <v>3.3594859899999996</v>
      </c>
      <c r="P179" s="58">
        <f t="shared" si="95"/>
        <v>3.3594859899999996</v>
      </c>
      <c r="Q179" s="58">
        <f t="shared" si="95"/>
        <v>3.3594859899999996</v>
      </c>
      <c r="R179" s="58">
        <f t="shared" si="95"/>
        <v>3.3594859899999996</v>
      </c>
      <c r="S179" s="1"/>
      <c r="T179" s="1"/>
      <c r="U179" s="1"/>
      <c r="V179" s="1"/>
      <c r="W179" s="1"/>
      <c r="X179" s="1"/>
      <c r="Y179" s="1"/>
      <c r="Z179" s="1"/>
      <c r="AA179" s="1"/>
      <c r="AB179" s="1"/>
      <c r="AC179" s="1"/>
      <c r="AD179" s="1"/>
      <c r="AE179" s="1"/>
      <c r="AF179" s="1"/>
      <c r="AG179" s="1"/>
      <c r="AH179" s="1"/>
      <c r="AI179" s="1"/>
      <c r="AJ179" s="1"/>
      <c r="AK179" s="1"/>
      <c r="AL179" s="1"/>
    </row>
    <row r="180" spans="1:38" ht="16.5" customHeight="1">
      <c r="A180" s="1"/>
      <c r="B180" s="1"/>
      <c r="C180" s="1"/>
      <c r="D180" s="259" t="s">
        <v>166</v>
      </c>
      <c r="E180" s="58">
        <f t="shared" ref="E180:R180" si="96">E148-E115</f>
        <v>5.4393999999999998E-2</v>
      </c>
      <c r="F180" s="58">
        <f t="shared" si="96"/>
        <v>5.4393999999999991E-2</v>
      </c>
      <c r="G180" s="58">
        <f t="shared" si="96"/>
        <v>6.4539999999999986E-2</v>
      </c>
      <c r="H180" s="58">
        <f t="shared" si="96"/>
        <v>0.21555000000000002</v>
      </c>
      <c r="I180" s="58">
        <f t="shared" si="96"/>
        <v>0.22314000000000001</v>
      </c>
      <c r="J180" s="58">
        <f t="shared" si="96"/>
        <v>0.21414</v>
      </c>
      <c r="K180" s="58">
        <f t="shared" si="96"/>
        <v>0.17314000000000002</v>
      </c>
      <c r="L180" s="58">
        <f t="shared" si="96"/>
        <v>0.22314000000000001</v>
      </c>
      <c r="M180" s="58">
        <f t="shared" si="96"/>
        <v>0.22314000000000001</v>
      </c>
      <c r="N180" s="58">
        <f t="shared" si="96"/>
        <v>0.22314000000000001</v>
      </c>
      <c r="O180" s="58">
        <f t="shared" si="96"/>
        <v>0.22314000000000001</v>
      </c>
      <c r="P180" s="58">
        <f t="shared" si="96"/>
        <v>0.22314000000000001</v>
      </c>
      <c r="Q180" s="58">
        <f t="shared" si="96"/>
        <v>0.22314000000000001</v>
      </c>
      <c r="R180" s="58">
        <f t="shared" si="96"/>
        <v>0.22314000000000001</v>
      </c>
      <c r="S180" s="1"/>
      <c r="T180" s="1"/>
      <c r="U180" s="1"/>
      <c r="V180" s="1"/>
      <c r="W180" s="1"/>
      <c r="X180" s="1"/>
      <c r="Y180" s="1"/>
      <c r="Z180" s="1"/>
      <c r="AA180" s="1"/>
      <c r="AB180" s="1"/>
      <c r="AC180" s="1"/>
      <c r="AD180" s="1"/>
      <c r="AE180" s="1"/>
      <c r="AF180" s="1"/>
      <c r="AG180" s="1"/>
      <c r="AH180" s="1"/>
      <c r="AI180" s="1"/>
      <c r="AJ180" s="1"/>
      <c r="AK180" s="1"/>
      <c r="AL180" s="1"/>
    </row>
    <row r="181" spans="1:38" ht="16.5" customHeight="1">
      <c r="A181" s="1"/>
      <c r="B181" s="1"/>
      <c r="C181" s="1"/>
      <c r="D181" s="259" t="s">
        <v>168</v>
      </c>
      <c r="E181" s="58">
        <f t="shared" ref="E181:R181" si="97">E149-E116</f>
        <v>0.33335999999999999</v>
      </c>
      <c r="F181" s="58">
        <f t="shared" si="97"/>
        <v>0.33335999999999999</v>
      </c>
      <c r="G181" s="58">
        <f t="shared" si="97"/>
        <v>0.33335999999999999</v>
      </c>
      <c r="H181" s="58">
        <f t="shared" si="97"/>
        <v>0.33335999999999999</v>
      </c>
      <c r="I181" s="58">
        <f t="shared" si="97"/>
        <v>0.33335999999999999</v>
      </c>
      <c r="J181" s="58">
        <f t="shared" si="97"/>
        <v>0.33335999999999999</v>
      </c>
      <c r="K181" s="58">
        <f t="shared" si="97"/>
        <v>0.33335999999999999</v>
      </c>
      <c r="L181" s="58">
        <f t="shared" si="97"/>
        <v>0.40836</v>
      </c>
      <c r="M181" s="58">
        <f t="shared" si="97"/>
        <v>0.40836</v>
      </c>
      <c r="N181" s="58">
        <f t="shared" si="97"/>
        <v>0.40836</v>
      </c>
      <c r="O181" s="58">
        <f t="shared" si="97"/>
        <v>0.40836</v>
      </c>
      <c r="P181" s="58">
        <f t="shared" si="97"/>
        <v>0.60236000000000001</v>
      </c>
      <c r="Q181" s="58">
        <f t="shared" si="97"/>
        <v>0.60236000000000001</v>
      </c>
      <c r="R181" s="58">
        <f t="shared" si="97"/>
        <v>0.60236000000000001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c r="A182" s="1"/>
      <c r="B182" s="1"/>
      <c r="C182" s="1"/>
      <c r="D182" s="259" t="s">
        <v>170</v>
      </c>
      <c r="E182" s="58">
        <f t="shared" ref="E182:R182" si="98">E150-E117</f>
        <v>0</v>
      </c>
      <c r="F182" s="58">
        <f t="shared" si="98"/>
        <v>0</v>
      </c>
      <c r="G182" s="58">
        <f t="shared" si="98"/>
        <v>0</v>
      </c>
      <c r="H182" s="58">
        <f t="shared" si="98"/>
        <v>0</v>
      </c>
      <c r="I182" s="58">
        <f t="shared" si="98"/>
        <v>0</v>
      </c>
      <c r="J182" s="58">
        <f t="shared" si="98"/>
        <v>0</v>
      </c>
      <c r="K182" s="58">
        <f t="shared" si="98"/>
        <v>0</v>
      </c>
      <c r="L182" s="58">
        <f t="shared" si="98"/>
        <v>0</v>
      </c>
      <c r="M182" s="58">
        <f t="shared" si="98"/>
        <v>0</v>
      </c>
      <c r="N182" s="58">
        <f t="shared" si="98"/>
        <v>0</v>
      </c>
      <c r="O182" s="58">
        <f t="shared" si="98"/>
        <v>0</v>
      </c>
      <c r="P182" s="58">
        <f t="shared" si="98"/>
        <v>0</v>
      </c>
      <c r="Q182" s="58">
        <f t="shared" si="98"/>
        <v>0</v>
      </c>
      <c r="R182" s="58">
        <f t="shared" si="98"/>
        <v>0</v>
      </c>
      <c r="S182" s="1"/>
      <c r="T182" s="1"/>
      <c r="U182" s="1"/>
      <c r="V182" s="1"/>
      <c r="W182" s="1"/>
      <c r="X182" s="1"/>
      <c r="Y182" s="1"/>
      <c r="Z182" s="1"/>
      <c r="AA182" s="1"/>
      <c r="AB182" s="1"/>
      <c r="AC182" s="1"/>
      <c r="AD182" s="1"/>
      <c r="AE182" s="1"/>
      <c r="AF182" s="1"/>
      <c r="AG182" s="1"/>
      <c r="AH182" s="1"/>
      <c r="AI182" s="1"/>
      <c r="AJ182" s="1"/>
      <c r="AK182" s="1"/>
      <c r="AL182" s="1"/>
    </row>
    <row r="183" spans="1:38" ht="16.5" customHeight="1">
      <c r="A183" s="1"/>
      <c r="B183" s="1"/>
      <c r="C183" s="1"/>
      <c r="D183" s="259" t="s">
        <v>172</v>
      </c>
      <c r="E183" s="58">
        <f t="shared" ref="E183:R183" si="99">E151-E118</f>
        <v>0.54239000000000004</v>
      </c>
      <c r="F183" s="58">
        <f t="shared" si="99"/>
        <v>0.55239000000000005</v>
      </c>
      <c r="G183" s="58">
        <f t="shared" si="99"/>
        <v>0.500282</v>
      </c>
      <c r="H183" s="58">
        <f t="shared" si="99"/>
        <v>1.937182</v>
      </c>
      <c r="I183" s="58">
        <f t="shared" si="99"/>
        <v>1.8999919999999999</v>
      </c>
      <c r="J183" s="58">
        <f t="shared" si="99"/>
        <v>1.937182</v>
      </c>
      <c r="K183" s="58">
        <f t="shared" si="99"/>
        <v>1.925802</v>
      </c>
      <c r="L183" s="58">
        <f t="shared" si="99"/>
        <v>1.937182</v>
      </c>
      <c r="M183" s="58">
        <f t="shared" si="99"/>
        <v>1.937182</v>
      </c>
      <c r="N183" s="58">
        <f t="shared" si="99"/>
        <v>1.937182</v>
      </c>
      <c r="O183" s="58">
        <f t="shared" si="99"/>
        <v>1.937182</v>
      </c>
      <c r="P183" s="58">
        <f t="shared" si="99"/>
        <v>1.937182</v>
      </c>
      <c r="Q183" s="58">
        <f t="shared" si="99"/>
        <v>1.937182</v>
      </c>
      <c r="R183" s="58">
        <f t="shared" si="99"/>
        <v>1.937182</v>
      </c>
      <c r="S183" s="1"/>
      <c r="T183" s="1"/>
      <c r="U183" s="1"/>
      <c r="V183" s="1"/>
      <c r="W183" s="1"/>
      <c r="X183" s="1"/>
      <c r="Y183" s="1"/>
      <c r="Z183" s="1"/>
      <c r="AA183" s="1"/>
      <c r="AB183" s="1"/>
      <c r="AC183" s="1"/>
      <c r="AD183" s="1"/>
      <c r="AE183" s="1"/>
      <c r="AF183" s="1"/>
      <c r="AG183" s="1"/>
      <c r="AH183" s="1"/>
      <c r="AI183" s="1"/>
      <c r="AJ183" s="1"/>
      <c r="AK183" s="1"/>
      <c r="AL183" s="1"/>
    </row>
    <row r="184" spans="1:38" ht="16.5" customHeight="1">
      <c r="A184" s="1"/>
      <c r="B184" s="1"/>
      <c r="C184" s="1"/>
      <c r="D184" s="259" t="s">
        <v>174</v>
      </c>
      <c r="E184" s="58">
        <f t="shared" ref="E184:R184" si="100">E152-E119</f>
        <v>0.41</v>
      </c>
      <c r="F184" s="58">
        <f t="shared" si="100"/>
        <v>0.41</v>
      </c>
      <c r="G184" s="58">
        <f t="shared" si="100"/>
        <v>0.47430399999999995</v>
      </c>
      <c r="H184" s="58">
        <f t="shared" si="100"/>
        <v>2.551024</v>
      </c>
      <c r="I184" s="58">
        <f t="shared" si="100"/>
        <v>2.551024</v>
      </c>
      <c r="J184" s="58">
        <f t="shared" si="100"/>
        <v>2.551024</v>
      </c>
      <c r="K184" s="58">
        <f t="shared" si="100"/>
        <v>2.551024</v>
      </c>
      <c r="L184" s="58">
        <f t="shared" si="100"/>
        <v>2.5010240000000001</v>
      </c>
      <c r="M184" s="58">
        <f t="shared" si="100"/>
        <v>2.551024</v>
      </c>
      <c r="N184" s="58">
        <f t="shared" si="100"/>
        <v>2.551024</v>
      </c>
      <c r="O184" s="58">
        <f t="shared" si="100"/>
        <v>2.551024</v>
      </c>
      <c r="P184" s="58">
        <f t="shared" si="100"/>
        <v>2.551024</v>
      </c>
      <c r="Q184" s="58">
        <f t="shared" si="100"/>
        <v>2.551024</v>
      </c>
      <c r="R184" s="58">
        <f t="shared" si="100"/>
        <v>2.551024</v>
      </c>
      <c r="S184" s="1"/>
      <c r="T184" s="1"/>
      <c r="U184" s="1"/>
      <c r="V184" s="1"/>
      <c r="W184" s="1"/>
      <c r="X184" s="1"/>
      <c r="Y184" s="1"/>
      <c r="Z184" s="1"/>
      <c r="AA184" s="1"/>
      <c r="AB184" s="1"/>
      <c r="AC184" s="1"/>
      <c r="AD184" s="1"/>
      <c r="AE184" s="1"/>
      <c r="AF184" s="1"/>
      <c r="AG184" s="1"/>
      <c r="AH184" s="1"/>
      <c r="AI184" s="1"/>
      <c r="AJ184" s="1"/>
      <c r="AK184" s="1"/>
      <c r="AL184" s="1"/>
    </row>
    <row r="185" spans="1:38" ht="16.5" customHeight="1">
      <c r="A185" s="1"/>
      <c r="B185" s="1"/>
      <c r="C185" s="1"/>
      <c r="D185" s="259" t="s">
        <v>176</v>
      </c>
      <c r="E185" s="58">
        <f t="shared" ref="E185:R185" si="101">E153-E120</f>
        <v>1.9869999899999999</v>
      </c>
      <c r="F185" s="58">
        <f t="shared" si="101"/>
        <v>1.9869999899999999</v>
      </c>
      <c r="G185" s="58">
        <f t="shared" si="101"/>
        <v>1.9869999899999999</v>
      </c>
      <c r="H185" s="58">
        <f t="shared" si="101"/>
        <v>9.1101999899999999</v>
      </c>
      <c r="I185" s="58">
        <f t="shared" si="101"/>
        <v>9.1101999899999999</v>
      </c>
      <c r="J185" s="58">
        <f t="shared" si="101"/>
        <v>9.1101999899999999</v>
      </c>
      <c r="K185" s="58">
        <f t="shared" si="101"/>
        <v>9.1101999899999999</v>
      </c>
      <c r="L185" s="58">
        <f t="shared" si="101"/>
        <v>9.1101999899999999</v>
      </c>
      <c r="M185" s="58">
        <f t="shared" si="101"/>
        <v>9.1101999899999999</v>
      </c>
      <c r="N185" s="58">
        <f t="shared" si="101"/>
        <v>9.1101999899999999</v>
      </c>
      <c r="O185" s="58">
        <f t="shared" si="101"/>
        <v>9.1101999899999999</v>
      </c>
      <c r="P185" s="58">
        <f t="shared" si="101"/>
        <v>9.1101999899999999</v>
      </c>
      <c r="Q185" s="58">
        <f t="shared" si="101"/>
        <v>9.1101999899999999</v>
      </c>
      <c r="R185" s="58">
        <f t="shared" si="101"/>
        <v>9.1101999899999999</v>
      </c>
      <c r="S185" s="1"/>
      <c r="T185" s="1"/>
      <c r="U185" s="1"/>
      <c r="V185" s="1"/>
      <c r="W185" s="1"/>
      <c r="X185" s="1"/>
      <c r="Y185" s="1"/>
      <c r="Z185" s="1"/>
      <c r="AA185" s="1"/>
      <c r="AB185" s="1"/>
      <c r="AC185" s="1"/>
      <c r="AD185" s="1"/>
      <c r="AE185" s="1"/>
      <c r="AF185" s="1"/>
      <c r="AG185" s="1"/>
      <c r="AH185" s="1"/>
      <c r="AI185" s="1"/>
      <c r="AJ185" s="1"/>
      <c r="AK185" s="1"/>
      <c r="AL185" s="1"/>
    </row>
    <row r="186" spans="1:38" ht="16.5" customHeight="1">
      <c r="A186" s="1"/>
      <c r="B186" s="1"/>
      <c r="C186" s="1"/>
      <c r="D186" s="281" t="s">
        <v>221</v>
      </c>
      <c r="E186" s="58">
        <f t="shared" ref="E186:R186" si="102">E154-E121</f>
        <v>2.4460819999999991E-2</v>
      </c>
      <c r="F186" s="58">
        <f t="shared" si="102"/>
        <v>2.4460819999999991E-2</v>
      </c>
      <c r="G186" s="58">
        <f t="shared" si="102"/>
        <v>2.4460819999999991E-2</v>
      </c>
      <c r="H186" s="58">
        <f t="shared" si="102"/>
        <v>18.024460820000002</v>
      </c>
      <c r="I186" s="58">
        <f t="shared" si="102"/>
        <v>17.824460820000002</v>
      </c>
      <c r="J186" s="58">
        <f t="shared" si="102"/>
        <v>18.024460820000002</v>
      </c>
      <c r="K186" s="58">
        <f t="shared" si="102"/>
        <v>17.904460820000001</v>
      </c>
      <c r="L186" s="58">
        <f t="shared" si="102"/>
        <v>17.774460820000002</v>
      </c>
      <c r="M186" s="58">
        <f t="shared" si="102"/>
        <v>17.964460820000003</v>
      </c>
      <c r="N186" s="58">
        <f t="shared" si="102"/>
        <v>18.024460820000002</v>
      </c>
      <c r="O186" s="58">
        <f t="shared" si="102"/>
        <v>17.864460820000001</v>
      </c>
      <c r="P186" s="58">
        <f t="shared" si="102"/>
        <v>18.024460820000002</v>
      </c>
      <c r="Q186" s="58">
        <f t="shared" si="102"/>
        <v>18.024460820000002</v>
      </c>
      <c r="R186" s="58">
        <f t="shared" si="102"/>
        <v>18.024460820000002</v>
      </c>
      <c r="S186" s="1"/>
      <c r="T186" s="1"/>
      <c r="U186" s="1"/>
      <c r="V186" s="1"/>
      <c r="W186" s="1"/>
      <c r="X186" s="1"/>
      <c r="Y186" s="1"/>
      <c r="Z186" s="1"/>
      <c r="AA186" s="1"/>
      <c r="AB186" s="1"/>
      <c r="AC186" s="1"/>
      <c r="AD186" s="1"/>
      <c r="AE186" s="1"/>
      <c r="AF186" s="1"/>
      <c r="AG186" s="1"/>
      <c r="AH186" s="1"/>
      <c r="AI186" s="1"/>
      <c r="AJ186" s="1"/>
      <c r="AK186" s="1"/>
      <c r="AL186" s="1"/>
    </row>
    <row r="187" spans="1:38" ht="16.5" customHeight="1">
      <c r="A187" s="1"/>
      <c r="B187" s="1"/>
      <c r="C187" s="1"/>
      <c r="D187" s="281" t="s">
        <v>308</v>
      </c>
      <c r="E187" s="58">
        <f t="shared" ref="E187:R187" si="103">E155-E122</f>
        <v>0</v>
      </c>
      <c r="F187" s="58">
        <f t="shared" si="103"/>
        <v>0</v>
      </c>
      <c r="G187" s="58">
        <f t="shared" si="103"/>
        <v>0</v>
      </c>
      <c r="H187" s="58">
        <f t="shared" si="103"/>
        <v>99999</v>
      </c>
      <c r="I187" s="58">
        <f t="shared" si="103"/>
        <v>99999</v>
      </c>
      <c r="J187" s="58">
        <f t="shared" si="103"/>
        <v>99999</v>
      </c>
      <c r="K187" s="58">
        <f t="shared" si="103"/>
        <v>99998.985000000001</v>
      </c>
      <c r="L187" s="58">
        <f t="shared" si="103"/>
        <v>99999</v>
      </c>
      <c r="M187" s="58">
        <f t="shared" si="103"/>
        <v>99999</v>
      </c>
      <c r="N187" s="58">
        <f t="shared" si="103"/>
        <v>99999</v>
      </c>
      <c r="O187" s="58">
        <f t="shared" si="103"/>
        <v>99999</v>
      </c>
      <c r="P187" s="58">
        <f t="shared" si="103"/>
        <v>99999</v>
      </c>
      <c r="Q187" s="58">
        <f t="shared" si="103"/>
        <v>99999</v>
      </c>
      <c r="R187" s="58">
        <f t="shared" si="103"/>
        <v>99999</v>
      </c>
      <c r="S187" s="1"/>
      <c r="T187" s="1"/>
      <c r="U187" s="1"/>
      <c r="V187" s="1"/>
      <c r="W187" s="1"/>
      <c r="X187" s="1"/>
      <c r="Y187" s="1"/>
      <c r="Z187" s="1"/>
      <c r="AA187" s="1"/>
      <c r="AB187" s="1"/>
      <c r="AC187" s="1"/>
      <c r="AD187" s="1"/>
      <c r="AE187" s="1"/>
      <c r="AF187" s="1"/>
      <c r="AG187" s="1"/>
      <c r="AH187" s="1"/>
      <c r="AI187" s="1"/>
      <c r="AJ187" s="1"/>
      <c r="AK187" s="1"/>
      <c r="AL187" s="1"/>
    </row>
    <row r="188" spans="1:38" ht="16.5" customHeight="1">
      <c r="A188" s="1"/>
      <c r="B188" s="1"/>
      <c r="C188" s="1"/>
      <c r="D188" s="266" t="s">
        <v>145</v>
      </c>
      <c r="E188" s="58">
        <f t="shared" ref="E188:R188" si="104">E156-E123</f>
        <v>0</v>
      </c>
      <c r="F188" s="58">
        <f t="shared" si="104"/>
        <v>0</v>
      </c>
      <c r="G188" s="58">
        <f t="shared" si="104"/>
        <v>0</v>
      </c>
      <c r="H188" s="58">
        <f t="shared" si="104"/>
        <v>99999</v>
      </c>
      <c r="I188" s="58">
        <f t="shared" si="104"/>
        <v>99999</v>
      </c>
      <c r="J188" s="58">
        <f t="shared" si="104"/>
        <v>99999</v>
      </c>
      <c r="K188" s="58">
        <f t="shared" si="104"/>
        <v>99999</v>
      </c>
      <c r="L188" s="58">
        <f t="shared" si="104"/>
        <v>99999</v>
      </c>
      <c r="M188" s="58">
        <f t="shared" si="104"/>
        <v>99999</v>
      </c>
      <c r="N188" s="58">
        <f t="shared" si="104"/>
        <v>99999</v>
      </c>
      <c r="O188" s="58">
        <f t="shared" si="104"/>
        <v>99999</v>
      </c>
      <c r="P188" s="58">
        <f t="shared" si="104"/>
        <v>99999</v>
      </c>
      <c r="Q188" s="58">
        <f t="shared" si="104"/>
        <v>99999</v>
      </c>
      <c r="R188" s="58">
        <f t="shared" si="104"/>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c r="A189" s="1"/>
      <c r="B189" s="1"/>
      <c r="C189" s="1"/>
      <c r="D189" s="259" t="s">
        <v>155</v>
      </c>
      <c r="E189" s="58">
        <f t="shared" ref="E189:R189" si="105">E157-E124</f>
        <v>0.30998559999999997</v>
      </c>
      <c r="F189" s="58">
        <f t="shared" si="105"/>
        <v>0.2623856</v>
      </c>
      <c r="G189" s="58">
        <f t="shared" si="105"/>
        <v>0.2623856</v>
      </c>
      <c r="H189" s="58">
        <f t="shared" si="105"/>
        <v>99999</v>
      </c>
      <c r="I189" s="58">
        <f t="shared" si="105"/>
        <v>99999</v>
      </c>
      <c r="J189" s="58">
        <f t="shared" si="105"/>
        <v>99999</v>
      </c>
      <c r="K189" s="58">
        <f t="shared" si="105"/>
        <v>99999</v>
      </c>
      <c r="L189" s="58">
        <f t="shared" si="105"/>
        <v>99999</v>
      </c>
      <c r="M189" s="58">
        <f t="shared" si="105"/>
        <v>99999</v>
      </c>
      <c r="N189" s="58">
        <f t="shared" si="105"/>
        <v>99999</v>
      </c>
      <c r="O189" s="58">
        <f t="shared" si="105"/>
        <v>99999</v>
      </c>
      <c r="P189" s="58">
        <f t="shared" si="105"/>
        <v>99999</v>
      </c>
      <c r="Q189" s="58">
        <f t="shared" si="105"/>
        <v>99999</v>
      </c>
      <c r="R189" s="58">
        <f t="shared" si="105"/>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c r="A190" s="1"/>
      <c r="B190" s="1"/>
      <c r="C190" s="1"/>
      <c r="D190" s="259" t="s">
        <v>160</v>
      </c>
      <c r="E190" s="58">
        <f t="shared" ref="E190:R190" si="106">E158-E125</f>
        <v>0.43722</v>
      </c>
      <c r="F190" s="58">
        <f t="shared" si="106"/>
        <v>0.43722</v>
      </c>
      <c r="G190" s="58">
        <f t="shared" si="106"/>
        <v>0.43722</v>
      </c>
      <c r="H190" s="58">
        <f t="shared" si="106"/>
        <v>99999</v>
      </c>
      <c r="I190" s="58">
        <f t="shared" si="106"/>
        <v>99999</v>
      </c>
      <c r="J190" s="58">
        <f t="shared" si="106"/>
        <v>99999</v>
      </c>
      <c r="K190" s="58">
        <f t="shared" si="106"/>
        <v>99999</v>
      </c>
      <c r="L190" s="58">
        <f t="shared" si="106"/>
        <v>99999</v>
      </c>
      <c r="M190" s="58">
        <f t="shared" si="106"/>
        <v>99999</v>
      </c>
      <c r="N190" s="58">
        <f t="shared" si="106"/>
        <v>99999</v>
      </c>
      <c r="O190" s="58">
        <f t="shared" si="106"/>
        <v>99999</v>
      </c>
      <c r="P190" s="58">
        <f t="shared" si="106"/>
        <v>99999</v>
      </c>
      <c r="Q190" s="58">
        <f t="shared" si="106"/>
        <v>99999</v>
      </c>
      <c r="R190" s="58">
        <f t="shared" si="106"/>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c r="A191" s="1"/>
      <c r="B191" s="1"/>
      <c r="C191" s="1"/>
      <c r="D191" s="379" t="s">
        <v>308</v>
      </c>
      <c r="E191" s="58">
        <f t="shared" ref="E191:R191" si="107">E159-E126</f>
        <v>2.2499999999999998E-3</v>
      </c>
      <c r="F191" s="58">
        <f t="shared" si="107"/>
        <v>2.2499999999999998E-3</v>
      </c>
      <c r="G191" s="58">
        <f t="shared" si="107"/>
        <v>2.2499999999999998E-3</v>
      </c>
      <c r="H191" s="58">
        <f t="shared" si="107"/>
        <v>99999</v>
      </c>
      <c r="I191" s="58">
        <f t="shared" si="107"/>
        <v>99999</v>
      </c>
      <c r="J191" s="58">
        <f t="shared" si="107"/>
        <v>99999</v>
      </c>
      <c r="K191" s="58">
        <f t="shared" si="107"/>
        <v>99999</v>
      </c>
      <c r="L191" s="58">
        <f t="shared" si="107"/>
        <v>99999</v>
      </c>
      <c r="M191" s="58">
        <f t="shared" si="107"/>
        <v>99999</v>
      </c>
      <c r="N191" s="58">
        <f t="shared" si="107"/>
        <v>99999</v>
      </c>
      <c r="O191" s="58">
        <f t="shared" si="107"/>
        <v>99999</v>
      </c>
      <c r="P191" s="58">
        <f t="shared" si="107"/>
        <v>99999</v>
      </c>
      <c r="Q191" s="58">
        <f t="shared" si="107"/>
        <v>99999</v>
      </c>
      <c r="R191" s="58">
        <f t="shared" si="10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c r="A192" s="1"/>
      <c r="B192" s="1"/>
      <c r="C192" s="1"/>
      <c r="D192" s="259" t="s">
        <v>309</v>
      </c>
      <c r="E192" s="58">
        <f t="shared" ref="E192:R192" si="108">E160-E127</f>
        <v>8.6599999999999996E-2</v>
      </c>
      <c r="F192" s="58">
        <f t="shared" si="108"/>
        <v>8.6599999999999996E-2</v>
      </c>
      <c r="G192" s="58">
        <f t="shared" si="108"/>
        <v>8.6599999999999996E-2</v>
      </c>
      <c r="H192" s="58">
        <f t="shared" si="108"/>
        <v>99999</v>
      </c>
      <c r="I192" s="58">
        <f t="shared" si="108"/>
        <v>99999</v>
      </c>
      <c r="J192" s="58">
        <f t="shared" si="108"/>
        <v>99999</v>
      </c>
      <c r="K192" s="58">
        <f t="shared" si="108"/>
        <v>99999</v>
      </c>
      <c r="L192" s="58">
        <f t="shared" si="108"/>
        <v>99999</v>
      </c>
      <c r="M192" s="58">
        <f t="shared" si="108"/>
        <v>99999</v>
      </c>
      <c r="N192" s="58">
        <f t="shared" si="108"/>
        <v>99999</v>
      </c>
      <c r="O192" s="58">
        <f t="shared" si="108"/>
        <v>99999</v>
      </c>
      <c r="P192" s="58">
        <f t="shared" si="108"/>
        <v>99999</v>
      </c>
      <c r="Q192" s="58">
        <f t="shared" si="108"/>
        <v>99999</v>
      </c>
      <c r="R192" s="58">
        <f t="shared" si="108"/>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c r="A193" s="1"/>
      <c r="B193" s="1"/>
      <c r="C193" s="1"/>
      <c r="D193" s="266" t="s">
        <v>153</v>
      </c>
      <c r="E193" s="58">
        <f t="shared" ref="E193:R193" si="109">E161-E128</f>
        <v>0</v>
      </c>
      <c r="F193" s="58">
        <f t="shared" si="109"/>
        <v>0</v>
      </c>
      <c r="G193" s="58">
        <f t="shared" si="109"/>
        <v>0</v>
      </c>
      <c r="H193" s="58">
        <f t="shared" si="109"/>
        <v>99999</v>
      </c>
      <c r="I193" s="58">
        <f t="shared" si="109"/>
        <v>99999</v>
      </c>
      <c r="J193" s="58">
        <f t="shared" si="109"/>
        <v>99999</v>
      </c>
      <c r="K193" s="58">
        <f t="shared" si="109"/>
        <v>99999</v>
      </c>
      <c r="L193" s="58">
        <f t="shared" si="109"/>
        <v>99999</v>
      </c>
      <c r="M193" s="58">
        <f t="shared" si="109"/>
        <v>99999</v>
      </c>
      <c r="N193" s="58">
        <f t="shared" si="109"/>
        <v>99999</v>
      </c>
      <c r="O193" s="58">
        <f t="shared" si="109"/>
        <v>99999</v>
      </c>
      <c r="P193" s="58">
        <f t="shared" si="109"/>
        <v>99999</v>
      </c>
      <c r="Q193" s="58">
        <f t="shared" si="109"/>
        <v>99999</v>
      </c>
      <c r="R193" s="58">
        <f t="shared" si="109"/>
        <v>99999</v>
      </c>
      <c r="S193" s="1"/>
      <c r="T193" s="1"/>
      <c r="U193" s="1"/>
      <c r="V193" s="1"/>
      <c r="W193" s="1"/>
      <c r="X193" s="1"/>
      <c r="Y193" s="1"/>
      <c r="Z193" s="1"/>
      <c r="AA193" s="1"/>
      <c r="AB193" s="1"/>
      <c r="AC193" s="1"/>
      <c r="AD193" s="1"/>
      <c r="AE193" s="1"/>
      <c r="AF193" s="1"/>
      <c r="AG193" s="1"/>
      <c r="AH193" s="1"/>
      <c r="AI193" s="1"/>
      <c r="AJ193" s="1"/>
      <c r="AK193" s="1"/>
      <c r="AL193" s="1"/>
      <c r="AM193" s="8"/>
    </row>
    <row r="194" spans="1:39" ht="16.5" customHeight="1">
      <c r="A194" s="1"/>
      <c r="B194" s="1"/>
      <c r="C194" s="1"/>
      <c r="D194" s="259" t="s">
        <v>155</v>
      </c>
      <c r="E194" s="58">
        <f t="shared" ref="E194:R194" si="110">E162-E129</f>
        <v>0.54523499999999991</v>
      </c>
      <c r="F194" s="58">
        <f t="shared" si="110"/>
        <v>0.54523499999999991</v>
      </c>
      <c r="G194" s="58">
        <f t="shared" si="110"/>
        <v>0.54523499999999991</v>
      </c>
      <c r="H194" s="58">
        <f t="shared" si="110"/>
        <v>99999</v>
      </c>
      <c r="I194" s="58">
        <f t="shared" si="110"/>
        <v>99999</v>
      </c>
      <c r="J194" s="58">
        <f t="shared" si="110"/>
        <v>99999</v>
      </c>
      <c r="K194" s="58">
        <f t="shared" si="110"/>
        <v>99999</v>
      </c>
      <c r="L194" s="58">
        <f t="shared" si="110"/>
        <v>99999</v>
      </c>
      <c r="M194" s="58">
        <f t="shared" si="110"/>
        <v>99999</v>
      </c>
      <c r="N194" s="58">
        <f t="shared" si="110"/>
        <v>99999</v>
      </c>
      <c r="O194" s="58">
        <f t="shared" si="110"/>
        <v>99999</v>
      </c>
      <c r="P194" s="58">
        <f t="shared" si="110"/>
        <v>99999</v>
      </c>
      <c r="Q194" s="58">
        <f t="shared" si="110"/>
        <v>99999</v>
      </c>
      <c r="R194" s="58">
        <f t="shared" si="110"/>
        <v>99999</v>
      </c>
      <c r="S194" s="1"/>
      <c r="T194" s="1"/>
      <c r="U194" s="1"/>
      <c r="V194" s="1"/>
      <c r="W194" s="1"/>
      <c r="X194" s="1"/>
      <c r="Y194" s="1"/>
      <c r="Z194" s="1"/>
      <c r="AA194" s="1"/>
      <c r="AB194" s="1"/>
      <c r="AC194" s="1"/>
      <c r="AD194" s="1"/>
      <c r="AE194" s="1"/>
      <c r="AF194" s="1"/>
      <c r="AG194" s="1"/>
      <c r="AH194" s="1"/>
      <c r="AI194" s="1"/>
      <c r="AJ194" s="1"/>
      <c r="AK194" s="1"/>
      <c r="AL194" s="1"/>
      <c r="AM194" s="8"/>
    </row>
    <row r="195" spans="1:39" ht="16.5" customHeight="1">
      <c r="A195" s="1"/>
      <c r="B195" s="1"/>
      <c r="C195" s="1"/>
      <c r="D195" s="259" t="s">
        <v>157</v>
      </c>
      <c r="E195" s="58">
        <f t="shared" ref="E195:R195" si="111">E163-E130</f>
        <v>0.27535999999999999</v>
      </c>
      <c r="F195" s="58">
        <f t="shared" si="111"/>
        <v>0.27535999999999999</v>
      </c>
      <c r="G195" s="58">
        <f t="shared" si="111"/>
        <v>0.27535999999999999</v>
      </c>
      <c r="H195" s="58">
        <f t="shared" si="111"/>
        <v>99999</v>
      </c>
      <c r="I195" s="58">
        <f t="shared" si="111"/>
        <v>99999</v>
      </c>
      <c r="J195" s="58">
        <f t="shared" si="111"/>
        <v>99999</v>
      </c>
      <c r="K195" s="58">
        <f t="shared" si="111"/>
        <v>99998.89</v>
      </c>
      <c r="L195" s="58">
        <f t="shared" si="111"/>
        <v>99999</v>
      </c>
      <c r="M195" s="58">
        <f t="shared" si="111"/>
        <v>99998.6</v>
      </c>
      <c r="N195" s="58">
        <f t="shared" si="111"/>
        <v>99999</v>
      </c>
      <c r="O195" s="58">
        <f t="shared" si="111"/>
        <v>99999</v>
      </c>
      <c r="P195" s="58">
        <f t="shared" si="111"/>
        <v>99999</v>
      </c>
      <c r="Q195" s="58">
        <f t="shared" si="111"/>
        <v>99999</v>
      </c>
      <c r="R195" s="58">
        <f t="shared" si="111"/>
        <v>99999</v>
      </c>
      <c r="S195" s="1"/>
      <c r="T195" s="1"/>
      <c r="U195" s="1"/>
      <c r="V195" s="1"/>
      <c r="W195" s="1"/>
      <c r="X195" s="1"/>
      <c r="Y195" s="1"/>
      <c r="Z195" s="1"/>
      <c r="AA195" s="1"/>
      <c r="AB195" s="1"/>
      <c r="AC195" s="1"/>
      <c r="AD195" s="1"/>
      <c r="AE195" s="1"/>
      <c r="AF195" s="1"/>
      <c r="AG195" s="1"/>
      <c r="AH195" s="1"/>
      <c r="AI195" s="1"/>
      <c r="AJ195" s="1"/>
      <c r="AK195" s="1"/>
      <c r="AL195" s="1"/>
      <c r="AM195" s="8"/>
    </row>
    <row r="196" spans="1:39" ht="16.5" customHeight="1">
      <c r="A196" s="1"/>
      <c r="B196" s="1"/>
      <c r="C196" s="1"/>
      <c r="D196" s="266" t="s">
        <v>158</v>
      </c>
      <c r="E196" s="58">
        <f t="shared" ref="E196:R196" si="112">E164-E131</f>
        <v>0</v>
      </c>
      <c r="F196" s="58">
        <f t="shared" si="112"/>
        <v>0</v>
      </c>
      <c r="G196" s="58">
        <f t="shared" si="112"/>
        <v>0</v>
      </c>
      <c r="H196" s="58">
        <f t="shared" si="112"/>
        <v>99999</v>
      </c>
      <c r="I196" s="58">
        <f t="shared" si="112"/>
        <v>99999</v>
      </c>
      <c r="J196" s="58">
        <f t="shared" si="112"/>
        <v>99999</v>
      </c>
      <c r="K196" s="58">
        <f t="shared" si="112"/>
        <v>99999</v>
      </c>
      <c r="L196" s="58">
        <f t="shared" si="112"/>
        <v>99999</v>
      </c>
      <c r="M196" s="58">
        <f t="shared" si="112"/>
        <v>99999</v>
      </c>
      <c r="N196" s="58">
        <f t="shared" si="112"/>
        <v>99999</v>
      </c>
      <c r="O196" s="58">
        <f t="shared" si="112"/>
        <v>99999</v>
      </c>
      <c r="P196" s="58">
        <f t="shared" si="112"/>
        <v>99999</v>
      </c>
      <c r="Q196" s="58">
        <f t="shared" si="112"/>
        <v>99999</v>
      </c>
      <c r="R196" s="58">
        <f t="shared" si="112"/>
        <v>99999</v>
      </c>
      <c r="S196" s="1"/>
      <c r="T196" s="1"/>
      <c r="U196" s="1"/>
      <c r="V196" s="1"/>
      <c r="W196" s="1"/>
      <c r="X196" s="1"/>
      <c r="Y196" s="1"/>
      <c r="Z196" s="1"/>
      <c r="AA196" s="1"/>
      <c r="AB196" s="1"/>
      <c r="AC196" s="1"/>
      <c r="AD196" s="1"/>
      <c r="AE196" s="1"/>
      <c r="AF196" s="1"/>
      <c r="AG196" s="1"/>
      <c r="AH196" s="1"/>
      <c r="AI196" s="1"/>
      <c r="AJ196" s="1"/>
      <c r="AK196" s="1"/>
      <c r="AL196" s="1"/>
      <c r="AM196" s="8"/>
    </row>
    <row r="197" spans="1:39" ht="16.5" customHeight="1">
      <c r="A197" s="1"/>
      <c r="B197" s="1"/>
      <c r="C197" s="1"/>
      <c r="D197" s="259" t="s">
        <v>160</v>
      </c>
      <c r="E197" s="58">
        <f t="shared" ref="E197:R197" si="113">E165-E132</f>
        <v>0.44600000000000001</v>
      </c>
      <c r="F197" s="58">
        <f t="shared" si="113"/>
        <v>0.44600000000000001</v>
      </c>
      <c r="G197" s="58">
        <f t="shared" si="113"/>
        <v>0.44600000000000001</v>
      </c>
      <c r="H197" s="58">
        <f t="shared" si="113"/>
        <v>99999</v>
      </c>
      <c r="I197" s="58">
        <f t="shared" si="113"/>
        <v>99999</v>
      </c>
      <c r="J197" s="58">
        <f t="shared" si="113"/>
        <v>99999</v>
      </c>
      <c r="K197" s="58">
        <f t="shared" si="113"/>
        <v>99999</v>
      </c>
      <c r="L197" s="58">
        <f t="shared" si="113"/>
        <v>99999</v>
      </c>
      <c r="M197" s="58">
        <f t="shared" si="113"/>
        <v>99999</v>
      </c>
      <c r="N197" s="58">
        <f t="shared" si="113"/>
        <v>99999</v>
      </c>
      <c r="O197" s="58">
        <f t="shared" si="113"/>
        <v>99999</v>
      </c>
      <c r="P197" s="58">
        <f t="shared" si="113"/>
        <v>99999</v>
      </c>
      <c r="Q197" s="58">
        <f t="shared" si="113"/>
        <v>99999</v>
      </c>
      <c r="R197" s="58">
        <f t="shared" si="113"/>
        <v>99999</v>
      </c>
      <c r="S197" s="1"/>
      <c r="T197" s="1"/>
      <c r="U197" s="1"/>
      <c r="V197" s="1"/>
      <c r="W197" s="1"/>
      <c r="X197" s="1"/>
      <c r="Y197" s="1"/>
      <c r="Z197" s="1"/>
      <c r="AA197" s="1"/>
      <c r="AB197" s="1"/>
      <c r="AC197" s="1"/>
      <c r="AD197" s="1"/>
      <c r="AE197" s="1"/>
      <c r="AF197" s="1"/>
      <c r="AG197" s="1"/>
      <c r="AH197" s="1"/>
      <c r="AI197" s="1"/>
      <c r="AJ197" s="1"/>
      <c r="AK197" s="1"/>
      <c r="AL197" s="1"/>
      <c r="AM197" s="8"/>
    </row>
    <row r="198" spans="1:39" ht="16.5" customHeight="1">
      <c r="A198" s="1"/>
      <c r="B198" s="1"/>
      <c r="C198" s="1"/>
      <c r="D198" s="281" t="s">
        <v>217</v>
      </c>
      <c r="E198" s="58">
        <f t="shared" ref="E198:R198" si="114">E166-E133</f>
        <v>7.26E-3</v>
      </c>
      <c r="F198" s="58">
        <f t="shared" si="114"/>
        <v>7.26E-3</v>
      </c>
      <c r="G198" s="58">
        <f t="shared" si="114"/>
        <v>7.26E-3</v>
      </c>
      <c r="H198" s="58">
        <f t="shared" si="114"/>
        <v>0.10026</v>
      </c>
      <c r="I198" s="58">
        <f t="shared" si="114"/>
        <v>0.10026</v>
      </c>
      <c r="J198" s="58">
        <f t="shared" si="114"/>
        <v>0.10026</v>
      </c>
      <c r="K198" s="58">
        <f t="shared" si="114"/>
        <v>0.10026</v>
      </c>
      <c r="L198" s="58">
        <f t="shared" si="114"/>
        <v>0.10026</v>
      </c>
      <c r="M198" s="58">
        <f t="shared" si="114"/>
        <v>0.10026</v>
      </c>
      <c r="N198" s="58">
        <f t="shared" si="114"/>
        <v>0.10026</v>
      </c>
      <c r="O198" s="58">
        <f t="shared" si="114"/>
        <v>0.10026</v>
      </c>
      <c r="P198" s="58">
        <f t="shared" si="114"/>
        <v>0.10026</v>
      </c>
      <c r="Q198" s="58">
        <f t="shared" si="114"/>
        <v>0.10026</v>
      </c>
      <c r="R198" s="58">
        <f t="shared" si="114"/>
        <v>0.10026</v>
      </c>
      <c r="S198" s="1"/>
      <c r="T198" s="1"/>
      <c r="U198" s="1"/>
      <c r="V198" s="1"/>
      <c r="W198" s="1"/>
      <c r="X198" s="1"/>
      <c r="Y198" s="1"/>
      <c r="Z198" s="1"/>
      <c r="AA198" s="1"/>
      <c r="AB198" s="1"/>
      <c r="AC198" s="1"/>
      <c r="AD198" s="1"/>
      <c r="AE198" s="1"/>
      <c r="AF198" s="1"/>
      <c r="AG198" s="1"/>
      <c r="AH198" s="1"/>
      <c r="AI198" s="1"/>
      <c r="AJ198" s="1"/>
      <c r="AK198" s="1"/>
      <c r="AL198" s="1"/>
      <c r="AM198" s="8"/>
    </row>
    <row r="199" spans="1:39" ht="16.5" customHeight="1">
      <c r="A199" s="1"/>
      <c r="B199" s="1"/>
      <c r="C199" s="1"/>
      <c r="D199" s="281" t="s">
        <v>226</v>
      </c>
      <c r="E199" s="58">
        <f t="shared" ref="E199:R199" si="115">E167-E134</f>
        <v>0</v>
      </c>
      <c r="F199" s="58">
        <f t="shared" si="115"/>
        <v>0</v>
      </c>
      <c r="G199" s="58">
        <f t="shared" si="115"/>
        <v>0</v>
      </c>
      <c r="H199" s="58">
        <f t="shared" si="115"/>
        <v>0.9</v>
      </c>
      <c r="I199" s="58">
        <f t="shared" si="115"/>
        <v>0.9</v>
      </c>
      <c r="J199" s="58">
        <f t="shared" si="115"/>
        <v>0.9</v>
      </c>
      <c r="K199" s="58">
        <f t="shared" si="115"/>
        <v>0.88500000000000001</v>
      </c>
      <c r="L199" s="58">
        <f t="shared" si="115"/>
        <v>0.9</v>
      </c>
      <c r="M199" s="58">
        <f t="shared" si="115"/>
        <v>0.9</v>
      </c>
      <c r="N199" s="58">
        <f t="shared" si="115"/>
        <v>0.9</v>
      </c>
      <c r="O199" s="58">
        <f t="shared" si="115"/>
        <v>0.85</v>
      </c>
      <c r="P199" s="58">
        <f t="shared" si="115"/>
        <v>0.9</v>
      </c>
      <c r="Q199" s="58">
        <f t="shared" si="115"/>
        <v>0.9</v>
      </c>
      <c r="R199" s="58">
        <f t="shared" si="115"/>
        <v>0.9</v>
      </c>
      <c r="S199" s="1"/>
      <c r="T199" s="1"/>
      <c r="U199" s="1"/>
      <c r="V199" s="1"/>
      <c r="W199" s="1"/>
      <c r="X199" s="1"/>
      <c r="Y199" s="1"/>
      <c r="Z199" s="1"/>
      <c r="AA199" s="1"/>
      <c r="AB199" s="1"/>
      <c r="AC199" s="1"/>
      <c r="AD199" s="1"/>
      <c r="AE199" s="1"/>
      <c r="AF199" s="1"/>
      <c r="AG199" s="1"/>
      <c r="AH199" s="1"/>
      <c r="AI199" s="1"/>
      <c r="AJ199" s="1"/>
      <c r="AK199" s="1"/>
      <c r="AL199" s="1"/>
      <c r="AM199" s="8"/>
    </row>
    <row r="200" spans="1:39" ht="16.5" customHeight="1">
      <c r="A200" s="1"/>
      <c r="B200" s="1"/>
      <c r="C200" s="1"/>
      <c r="D200" s="54"/>
      <c r="E200" s="54"/>
      <c r="F200" s="54"/>
      <c r="G200" s="5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8"/>
    </row>
    <row r="201" spans="1:39" ht="16.5" customHeight="1">
      <c r="A201" s="1"/>
      <c r="B201" s="1"/>
      <c r="C201" s="1"/>
      <c r="D201" s="54"/>
      <c r="E201" s="54"/>
      <c r="F201" s="54"/>
      <c r="G201" s="5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8"/>
    </row>
    <row r="202" spans="1:39" ht="14.25" customHeight="1">
      <c r="A202" s="619"/>
      <c r="B202" s="23"/>
      <c r="C202" s="249"/>
      <c r="D202" s="321" t="s">
        <v>398</v>
      </c>
      <c r="E202" s="305"/>
      <c r="F202" s="305"/>
      <c r="G202" s="305"/>
      <c r="H202" s="322"/>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619"/>
      <c r="AM202" s="8"/>
    </row>
    <row r="203" spans="1:39" ht="14.25" customHeight="1">
      <c r="A203" s="619"/>
      <c r="B203" s="253"/>
      <c r="C203" s="258"/>
      <c r="D203" s="259"/>
      <c r="E203" s="323"/>
      <c r="F203" s="323"/>
      <c r="G203" s="323"/>
      <c r="H203" s="324"/>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619"/>
      <c r="AM203" s="8"/>
    </row>
    <row r="204" spans="1:39" ht="14.25" customHeight="1">
      <c r="A204" s="619"/>
      <c r="B204" s="253"/>
      <c r="C204" s="258"/>
      <c r="D204" s="281" t="s">
        <v>302</v>
      </c>
      <c r="E204" s="374">
        <v>2018</v>
      </c>
      <c r="F204" s="374">
        <v>2019</v>
      </c>
      <c r="G204" s="374">
        <v>2020</v>
      </c>
      <c r="H204" s="374">
        <v>2021</v>
      </c>
      <c r="I204" s="373">
        <v>2022</v>
      </c>
      <c r="J204" s="373">
        <v>2023</v>
      </c>
      <c r="K204" s="373">
        <v>2024</v>
      </c>
      <c r="L204" s="373">
        <v>2025</v>
      </c>
      <c r="M204" s="373">
        <v>2026</v>
      </c>
      <c r="N204" s="373">
        <v>2027</v>
      </c>
      <c r="O204" s="373">
        <v>2028</v>
      </c>
      <c r="P204" s="373">
        <v>2029</v>
      </c>
      <c r="Q204" s="373">
        <v>2030</v>
      </c>
      <c r="R204" s="373">
        <v>2031</v>
      </c>
      <c r="S204" s="373">
        <v>2032</v>
      </c>
      <c r="T204" s="373">
        <v>2033</v>
      </c>
      <c r="U204" s="373">
        <v>2034</v>
      </c>
      <c r="V204" s="373">
        <v>2035</v>
      </c>
      <c r="W204" s="373">
        <v>2036</v>
      </c>
      <c r="X204" s="373">
        <v>2037</v>
      </c>
      <c r="Y204" s="373">
        <v>2038</v>
      </c>
      <c r="Z204" s="373">
        <v>2039</v>
      </c>
      <c r="AA204" s="373">
        <v>2040</v>
      </c>
      <c r="AB204" s="373">
        <v>2041</v>
      </c>
      <c r="AC204" s="373">
        <v>2042</v>
      </c>
      <c r="AD204" s="373">
        <v>2043</v>
      </c>
      <c r="AE204" s="373">
        <v>2044</v>
      </c>
      <c r="AF204" s="373">
        <v>2045</v>
      </c>
      <c r="AG204" s="373">
        <v>2046</v>
      </c>
      <c r="AH204" s="373">
        <v>2047</v>
      </c>
      <c r="AI204" s="373">
        <v>2048</v>
      </c>
      <c r="AJ204" s="373">
        <v>2049</v>
      </c>
      <c r="AK204" s="373">
        <v>2050</v>
      </c>
      <c r="AL204" s="619"/>
      <c r="AM204" s="8"/>
    </row>
    <row r="205" spans="1:39" ht="14.25" customHeight="1">
      <c r="A205" s="619"/>
      <c r="B205" s="253"/>
      <c r="C205" s="258"/>
      <c r="D205" s="262" t="s">
        <v>303</v>
      </c>
      <c r="E205" s="394">
        <f>Electricidad!E250</f>
        <v>1.3759203419650334</v>
      </c>
      <c r="F205" s="394">
        <f>Electricidad!F250</f>
        <v>1.4878806610556581</v>
      </c>
      <c r="G205" s="394">
        <f>Electricidad!G250</f>
        <v>1.5347486942352482</v>
      </c>
      <c r="H205" s="394">
        <f>Electricidad!H250</f>
        <v>1.3412302309670938</v>
      </c>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619"/>
      <c r="AM205" s="8"/>
    </row>
    <row r="206" spans="1:39" ht="14.25" customHeight="1">
      <c r="A206" s="619"/>
      <c r="B206" s="253"/>
      <c r="C206" s="258"/>
      <c r="D206" s="266" t="s">
        <v>132</v>
      </c>
      <c r="E206" s="395">
        <f>Electricidad!E251</f>
        <v>0</v>
      </c>
      <c r="F206" s="395">
        <f>Electricidad!F251</f>
        <v>0</v>
      </c>
      <c r="G206" s="395">
        <f>Electricidad!G251</f>
        <v>0</v>
      </c>
      <c r="H206" s="395">
        <f>Electricidad!H251</f>
        <v>0</v>
      </c>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619"/>
      <c r="AM206" s="8"/>
    </row>
    <row r="207" spans="1:39" ht="14.25" customHeight="1">
      <c r="A207" s="619"/>
      <c r="B207" s="253"/>
      <c r="C207" s="258" t="s">
        <v>133</v>
      </c>
      <c r="D207" s="281" t="s">
        <v>134</v>
      </c>
      <c r="E207" s="382">
        <f>Electricidad!E252</f>
        <v>1.3759203419650334</v>
      </c>
      <c r="F207" s="382">
        <f>Electricidad!F252</f>
        <v>1.4878806610556581</v>
      </c>
      <c r="G207" s="382">
        <f>Electricidad!G252</f>
        <v>1.5347486942352482</v>
      </c>
      <c r="H207" s="382">
        <f>Electricidad!H252</f>
        <v>1.3412302309670938</v>
      </c>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619"/>
      <c r="AM207" s="8"/>
    </row>
    <row r="208" spans="1:39" ht="14.25" customHeight="1">
      <c r="A208" s="619"/>
      <c r="B208" s="253"/>
      <c r="C208" s="258" t="s">
        <v>135</v>
      </c>
      <c r="D208" s="262" t="s">
        <v>304</v>
      </c>
      <c r="E208" s="394">
        <f>Electricidad!E253</f>
        <v>0.2651535644880843</v>
      </c>
      <c r="F208" s="394">
        <f>Electricidad!F253</f>
        <v>0.28774738246617343</v>
      </c>
      <c r="G208" s="394">
        <f>Electricidad!G253</f>
        <v>0.25774336782994567</v>
      </c>
      <c r="H208" s="394">
        <f>Electricidad!H253</f>
        <v>0.21608043943318372</v>
      </c>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619"/>
      <c r="AM208" s="8"/>
    </row>
    <row r="209" spans="1:39" ht="14.25" customHeight="1">
      <c r="A209" s="619"/>
      <c r="B209" s="253"/>
      <c r="C209" s="258"/>
      <c r="D209" s="262" t="s">
        <v>305</v>
      </c>
      <c r="E209" s="394">
        <f>Electricidad!E254</f>
        <v>74.335148310429105</v>
      </c>
      <c r="F209" s="394">
        <f>Electricidad!F254</f>
        <v>88.573281059818669</v>
      </c>
      <c r="G209" s="394">
        <f>Electricidad!G254</f>
        <v>87.471357422709744</v>
      </c>
      <c r="H209" s="394">
        <f>Electricidad!H254</f>
        <v>91.94218588299249</v>
      </c>
      <c r="I209" s="619"/>
      <c r="J209" s="619"/>
      <c r="K209" s="619"/>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619"/>
      <c r="AM209" s="8"/>
    </row>
    <row r="210" spans="1:39" ht="14.25" customHeight="1">
      <c r="A210" s="619"/>
      <c r="B210" s="253"/>
      <c r="C210" s="258"/>
      <c r="D210" s="266" t="s">
        <v>138</v>
      </c>
      <c r="E210" s="395">
        <f>Electricidad!E255</f>
        <v>27.737653219489321</v>
      </c>
      <c r="F210" s="395">
        <f>Electricidad!F255</f>
        <v>32.205948855043715</v>
      </c>
      <c r="G210" s="395">
        <f>Electricidad!G255</f>
        <v>29.053183047679433</v>
      </c>
      <c r="H210" s="395">
        <f>Electricidad!H255</f>
        <v>31.319432746924779</v>
      </c>
      <c r="I210" s="619"/>
      <c r="J210" s="619"/>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619"/>
      <c r="AM210" s="8"/>
    </row>
    <row r="211" spans="1:39" ht="14.25" customHeight="1">
      <c r="A211" s="619"/>
      <c r="B211" s="253"/>
      <c r="C211" s="258"/>
      <c r="D211" s="259" t="s">
        <v>139</v>
      </c>
      <c r="E211" s="384">
        <f>Electricidad!E256</f>
        <v>24.167506182196774</v>
      </c>
      <c r="F211" s="384">
        <f>Electricidad!F256</f>
        <v>27.418570490678494</v>
      </c>
      <c r="G211" s="384">
        <f>Electricidad!G256</f>
        <v>25.378201263177889</v>
      </c>
      <c r="H211" s="384">
        <f>Electricidad!H256</f>
        <v>26.940818240734398</v>
      </c>
      <c r="I211" s="619"/>
      <c r="J211" s="619"/>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619"/>
      <c r="AM211" s="8"/>
    </row>
    <row r="212" spans="1:39" ht="14.25" customHeight="1">
      <c r="A212" s="619"/>
      <c r="B212" s="253"/>
      <c r="C212" s="258"/>
      <c r="D212" s="259" t="s">
        <v>140</v>
      </c>
      <c r="E212" s="384">
        <f>Electricidad!E257</f>
        <v>3.5701470372925472</v>
      </c>
      <c r="F212" s="384">
        <f>Electricidad!F257</f>
        <v>4.7873783643652201</v>
      </c>
      <c r="G212" s="384">
        <f>Electricidad!G257</f>
        <v>3.6749817845015427</v>
      </c>
      <c r="H212" s="384">
        <f>Electricidad!H257</f>
        <v>4.378614506190381</v>
      </c>
      <c r="I212" s="619"/>
      <c r="J212" s="619"/>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619"/>
      <c r="AM212" s="8"/>
    </row>
    <row r="213" spans="1:39" ht="14.25" customHeight="1">
      <c r="A213" s="619"/>
      <c r="B213" s="253"/>
      <c r="C213" s="258"/>
      <c r="D213" s="266" t="s">
        <v>141</v>
      </c>
      <c r="E213" s="395">
        <f>Electricidad!E258</f>
        <v>46.597495090939773</v>
      </c>
      <c r="F213" s="395">
        <f>Electricidad!F258</f>
        <v>56.367332204774961</v>
      </c>
      <c r="G213" s="395">
        <f>Electricidad!G258</f>
        <v>58.418174375030326</v>
      </c>
      <c r="H213" s="395">
        <f>Electricidad!H258</f>
        <v>60.622753136067708</v>
      </c>
      <c r="I213" s="619"/>
      <c r="J213" s="619"/>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619"/>
      <c r="AM213" s="8"/>
    </row>
    <row r="214" spans="1:39" ht="14.25" customHeight="1">
      <c r="A214" s="619"/>
      <c r="B214" s="253"/>
      <c r="C214" s="258"/>
      <c r="D214" s="259" t="s">
        <v>139</v>
      </c>
      <c r="E214" s="384">
        <f>Electricidad!E259</f>
        <v>44.225900196707251</v>
      </c>
      <c r="F214" s="384">
        <f>Electricidad!F259</f>
        <v>50.553626124459505</v>
      </c>
      <c r="G214" s="384">
        <f>Electricidad!G259</f>
        <v>52.460123055364875</v>
      </c>
      <c r="H214" s="384">
        <f>Electricidad!H259</f>
        <v>53.734557172728323</v>
      </c>
      <c r="I214" s="619"/>
      <c r="J214" s="619"/>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619"/>
      <c r="AM214" s="8"/>
    </row>
    <row r="215" spans="1:39" ht="14.25" customHeight="1">
      <c r="A215" s="619"/>
      <c r="B215" s="253"/>
      <c r="C215" s="258"/>
      <c r="D215" s="259" t="s">
        <v>140</v>
      </c>
      <c r="E215" s="384">
        <f>Electricidad!E260</f>
        <v>2.3715948942325227</v>
      </c>
      <c r="F215" s="384">
        <f>Electricidad!F260</f>
        <v>5.8137060803154572</v>
      </c>
      <c r="G215" s="384">
        <f>Electricidad!G260</f>
        <v>5.9580513196654481</v>
      </c>
      <c r="H215" s="384">
        <f>Electricidad!H260</f>
        <v>6.8881959633393821</v>
      </c>
      <c r="I215" s="619"/>
      <c r="J215" s="619"/>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619"/>
      <c r="AM215" s="8"/>
    </row>
    <row r="216" spans="1:39" ht="14.25" customHeight="1">
      <c r="A216" s="619"/>
      <c r="B216" s="253"/>
      <c r="C216" s="258" t="s">
        <v>142</v>
      </c>
      <c r="D216" s="262" t="s">
        <v>306</v>
      </c>
      <c r="E216" s="394">
        <f>Electricidad!E261</f>
        <v>0.12509347947422919</v>
      </c>
      <c r="F216" s="394">
        <f>Electricidad!F261</f>
        <v>0.11919318305956898</v>
      </c>
      <c r="G216" s="394">
        <f>Electricidad!G261</f>
        <v>0.12166033701747472</v>
      </c>
      <c r="H216" s="394">
        <f>Electricidad!H261</f>
        <v>0.12030848299160839</v>
      </c>
      <c r="I216" s="619"/>
      <c r="J216" s="619"/>
      <c r="K216" s="619"/>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619"/>
      <c r="AM216" s="8"/>
    </row>
    <row r="217" spans="1:39" ht="14.25" customHeight="1">
      <c r="A217" s="619"/>
      <c r="B217" s="253"/>
      <c r="C217" s="258"/>
      <c r="D217" s="262" t="s">
        <v>307</v>
      </c>
      <c r="E217" s="394">
        <f>Electricidad!E262</f>
        <v>15.031056312211534</v>
      </c>
      <c r="F217" s="394">
        <f>Electricidad!F262</f>
        <v>10.711110455199522</v>
      </c>
      <c r="G217" s="394">
        <f>Electricidad!G262</f>
        <v>8.6764265024499458</v>
      </c>
      <c r="H217" s="394">
        <f>Electricidad!H262</f>
        <v>7.5895845909128115</v>
      </c>
      <c r="I217" s="619"/>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619"/>
      <c r="AM217" s="8"/>
    </row>
    <row r="218" spans="1:39" ht="14.25" customHeight="1">
      <c r="A218" s="619"/>
      <c r="B218" s="253"/>
      <c r="C218" s="258"/>
      <c r="D218" s="266" t="s">
        <v>145</v>
      </c>
      <c r="E218" s="395">
        <f>Electricidad!E263</f>
        <v>5.2151942896970978</v>
      </c>
      <c r="F218" s="395">
        <f>Electricidad!F263</f>
        <v>3.0732732370488023</v>
      </c>
      <c r="G218" s="395">
        <f>Electricidad!G263</f>
        <v>2.8174068776664263</v>
      </c>
      <c r="H218" s="395">
        <f>Electricidad!H263</f>
        <v>2.4175035894863339</v>
      </c>
      <c r="I218" s="619"/>
      <c r="J218" s="619"/>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619"/>
      <c r="AM218" s="8"/>
    </row>
    <row r="219" spans="1:39" ht="14.25" customHeight="1">
      <c r="A219" s="3"/>
      <c r="B219" s="328"/>
      <c r="C219" s="258" t="s">
        <v>146</v>
      </c>
      <c r="D219" s="281" t="s">
        <v>155</v>
      </c>
      <c r="E219" s="382">
        <f>Electricidad!E264</f>
        <v>0.79536078417679257</v>
      </c>
      <c r="F219" s="382">
        <f>Electricidad!F264</f>
        <v>8.5024525079884797E-2</v>
      </c>
      <c r="G219" s="382">
        <f>Electricidad!G264</f>
        <v>0.28855296870148778</v>
      </c>
      <c r="H219" s="382">
        <f>Electricidad!H264</f>
        <v>0.13770625764264094</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8"/>
    </row>
    <row r="220" spans="1:39" ht="14.25" customHeight="1">
      <c r="A220" s="619"/>
      <c r="B220" s="253"/>
      <c r="C220" s="258" t="s">
        <v>148</v>
      </c>
      <c r="D220" s="281" t="s">
        <v>160</v>
      </c>
      <c r="E220" s="382">
        <f>Electricidad!E265</f>
        <v>3.567888267110829</v>
      </c>
      <c r="F220" s="382">
        <f>Electricidad!F265</f>
        <v>2.4146508363674135</v>
      </c>
      <c r="G220" s="382">
        <f>Electricidad!G265</f>
        <v>1.9707872520283418</v>
      </c>
      <c r="H220" s="382">
        <f>Electricidad!H265</f>
        <v>1.5897608518991015</v>
      </c>
      <c r="I220" s="619"/>
      <c r="J220" s="619"/>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619"/>
      <c r="AM220" s="8"/>
    </row>
    <row r="221" spans="1:39" ht="14.25" customHeight="1">
      <c r="A221" s="619"/>
      <c r="B221" s="253"/>
      <c r="C221" s="258"/>
      <c r="D221" s="259" t="s">
        <v>308</v>
      </c>
      <c r="E221" s="383">
        <f>Electricidad!E266</f>
        <v>1.5830063551527422E-3</v>
      </c>
      <c r="F221" s="383">
        <f>Electricidad!F266</f>
        <v>0</v>
      </c>
      <c r="G221" s="383">
        <f>Electricidad!G266</f>
        <v>0</v>
      </c>
      <c r="H221" s="383">
        <f>Electricidad!H266</f>
        <v>0</v>
      </c>
      <c r="I221" s="619"/>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619"/>
      <c r="AM221" s="8"/>
    </row>
    <row r="222" spans="1:39" ht="14.25" customHeight="1">
      <c r="A222" s="619"/>
      <c r="B222" s="253"/>
      <c r="C222" s="258" t="s">
        <v>151</v>
      </c>
      <c r="D222" s="259" t="s">
        <v>309</v>
      </c>
      <c r="E222" s="384">
        <f>Electricidad!E267</f>
        <v>0.85036223205432315</v>
      </c>
      <c r="F222" s="384">
        <f>Electricidad!F267</f>
        <v>0.57359787560150388</v>
      </c>
      <c r="G222" s="384">
        <f>Electricidad!G267</f>
        <v>0.55806665693659674</v>
      </c>
      <c r="H222" s="384">
        <f>Electricidad!H267</f>
        <v>0.69003647994459161</v>
      </c>
      <c r="I222" s="619"/>
      <c r="J222" s="619"/>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619"/>
      <c r="AM222" s="8"/>
    </row>
    <row r="223" spans="1:39" ht="14.25" customHeight="1">
      <c r="A223" s="619"/>
      <c r="B223" s="253"/>
      <c r="C223" s="258"/>
      <c r="D223" s="266" t="s">
        <v>153</v>
      </c>
      <c r="E223" s="395">
        <f>Electricidad!E268</f>
        <v>3.6690123680391764</v>
      </c>
      <c r="F223" s="395">
        <f>Electricidad!F268</f>
        <v>3.197134921735806</v>
      </c>
      <c r="G223" s="395">
        <f>Electricidad!G268</f>
        <v>2.5477829624933923</v>
      </c>
      <c r="H223" s="395">
        <f>Electricidad!H268</f>
        <v>2.1389826903226283</v>
      </c>
      <c r="I223" s="619"/>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619"/>
      <c r="AM223" s="8"/>
    </row>
    <row r="224" spans="1:39" ht="14.25" customHeight="1">
      <c r="A224" s="619"/>
      <c r="B224" s="253"/>
      <c r="C224" s="258" t="s">
        <v>154</v>
      </c>
      <c r="D224" s="281" t="s">
        <v>155</v>
      </c>
      <c r="E224" s="382">
        <f>Electricidad!E269</f>
        <v>0.43115275566005506</v>
      </c>
      <c r="F224" s="382">
        <f>Electricidad!F269</f>
        <v>0.2463369722966349</v>
      </c>
      <c r="G224" s="382">
        <f>Electricidad!G269</f>
        <v>8.2980216623659148E-2</v>
      </c>
      <c r="H224" s="382">
        <f>Electricidad!H269</f>
        <v>5.5827521251574572E-2</v>
      </c>
      <c r="I224" s="619"/>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619"/>
      <c r="AL224" s="619"/>
      <c r="AM224" s="8"/>
    </row>
    <row r="225" spans="1:60" ht="14.25" customHeight="1">
      <c r="A225" s="619"/>
      <c r="B225" s="253"/>
      <c r="C225" s="258" t="s">
        <v>156</v>
      </c>
      <c r="D225" s="281" t="s">
        <v>157</v>
      </c>
      <c r="E225" s="382">
        <f>Electricidad!E270</f>
        <v>3.2378596123791215</v>
      </c>
      <c r="F225" s="382">
        <f>Electricidad!F270</f>
        <v>2.950797949439171</v>
      </c>
      <c r="G225" s="382">
        <f>Electricidad!G270</f>
        <v>2.4648027458697332</v>
      </c>
      <c r="H225" s="382">
        <f>Electricidad!H270</f>
        <v>2.0831551690710537</v>
      </c>
      <c r="I225" s="619"/>
      <c r="J225" s="619"/>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619"/>
      <c r="AL225" s="619"/>
      <c r="AM225" s="8"/>
      <c r="AN225" s="8"/>
      <c r="AO225" s="8"/>
      <c r="AP225" s="8"/>
      <c r="AQ225" s="8"/>
      <c r="AR225" s="8"/>
      <c r="AS225" s="8"/>
      <c r="AT225" s="8"/>
      <c r="AU225" s="8"/>
      <c r="AV225" s="8"/>
      <c r="AW225" s="8"/>
      <c r="AX225" s="8"/>
      <c r="AY225" s="8"/>
      <c r="AZ225" s="8"/>
      <c r="BA225" s="8"/>
      <c r="BB225" s="8"/>
      <c r="BC225" s="8"/>
      <c r="BD225" s="8"/>
      <c r="BE225" s="8"/>
      <c r="BF225" s="8"/>
      <c r="BG225" s="8"/>
      <c r="BH225" s="8"/>
    </row>
    <row r="226" spans="1:60" ht="14.25" customHeight="1">
      <c r="A226" s="619"/>
      <c r="B226" s="253"/>
      <c r="C226" s="258"/>
      <c r="D226" s="266" t="s">
        <v>158</v>
      </c>
      <c r="E226" s="395">
        <f>Electricidad!E271</f>
        <v>6.1468496544752593</v>
      </c>
      <c r="F226" s="395">
        <f>Electricidad!F271</f>
        <v>4.4407022964149139</v>
      </c>
      <c r="G226" s="395">
        <f>Electricidad!G271</f>
        <v>3.3112366622901273</v>
      </c>
      <c r="H226" s="395">
        <f>Electricidad!H271</f>
        <v>3.0330983111038492</v>
      </c>
      <c r="I226" s="619"/>
      <c r="J226" s="619"/>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619"/>
      <c r="AL226" s="619"/>
      <c r="AM226" s="8"/>
      <c r="AN226" s="8"/>
      <c r="AO226" s="8"/>
      <c r="AP226" s="8"/>
      <c r="AQ226" s="8"/>
      <c r="AR226" s="8"/>
      <c r="AS226" s="8"/>
      <c r="AT226" s="8"/>
      <c r="AU226" s="8"/>
      <c r="AV226" s="8"/>
      <c r="AW226" s="8"/>
      <c r="AX226" s="8"/>
      <c r="AY226" s="8"/>
      <c r="AZ226" s="8"/>
      <c r="BA226" s="8"/>
      <c r="BB226" s="8"/>
      <c r="BC226" s="8"/>
      <c r="BD226" s="8"/>
      <c r="BE226" s="8"/>
      <c r="BF226" s="8"/>
      <c r="BG226" s="8"/>
      <c r="BH226" s="8"/>
    </row>
    <row r="227" spans="1:60" ht="14.25" customHeight="1">
      <c r="A227" s="619"/>
      <c r="B227" s="253"/>
      <c r="C227" s="258" t="s">
        <v>159</v>
      </c>
      <c r="D227" s="281" t="s">
        <v>160</v>
      </c>
      <c r="E227" s="382">
        <f>Electricidad!E272</f>
        <v>6.1468496544752593</v>
      </c>
      <c r="F227" s="382">
        <f>Electricidad!F272</f>
        <v>4.4407022964149139</v>
      </c>
      <c r="G227" s="382">
        <f>Electricidad!G272</f>
        <v>3.3112366622901273</v>
      </c>
      <c r="H227" s="382">
        <f>Electricidad!H272</f>
        <v>3.0330983111038492</v>
      </c>
      <c r="I227" s="619"/>
      <c r="J227" s="619"/>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619"/>
      <c r="AL227" s="619"/>
      <c r="AM227" s="8"/>
      <c r="AN227" s="8"/>
      <c r="AO227" s="8"/>
      <c r="AP227" s="8"/>
      <c r="AQ227" s="8"/>
      <c r="AR227" s="8"/>
      <c r="AS227" s="8"/>
      <c r="AT227" s="8"/>
      <c r="AU227" s="8"/>
      <c r="AV227" s="8"/>
      <c r="AW227" s="8"/>
      <c r="AX227" s="8"/>
      <c r="AY227" s="8"/>
      <c r="AZ227" s="8"/>
      <c r="BA227" s="8"/>
      <c r="BB227" s="8"/>
      <c r="BC227" s="8"/>
      <c r="BD227" s="8"/>
      <c r="BE227" s="8"/>
      <c r="BF227" s="8"/>
      <c r="BG227" s="8"/>
      <c r="BH227" s="8"/>
    </row>
    <row r="228" spans="1:60" ht="14.25" customHeight="1">
      <c r="A228" s="619"/>
      <c r="B228" s="253"/>
      <c r="C228" s="258"/>
      <c r="D228" s="262" t="s">
        <v>310</v>
      </c>
      <c r="E228" s="394">
        <f>Electricidad!E273</f>
        <v>0.16380518034114624</v>
      </c>
      <c r="F228" s="394">
        <f>Electricidad!F273</f>
        <v>0.1480830490411065</v>
      </c>
      <c r="G228" s="394">
        <f>Electricidad!G273</f>
        <v>0.15826465809811166</v>
      </c>
      <c r="H228" s="394">
        <f>Electricidad!H273</f>
        <v>0.15157285850587507</v>
      </c>
      <c r="I228" s="619"/>
      <c r="J228" s="619"/>
      <c r="K228" s="619"/>
      <c r="L228" s="619"/>
      <c r="M228" s="619"/>
      <c r="N228" s="619"/>
      <c r="O228" s="619"/>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619"/>
      <c r="AL228" s="619"/>
      <c r="AM228" s="8"/>
      <c r="AN228" s="8"/>
      <c r="AO228" s="8"/>
      <c r="AP228" s="8"/>
      <c r="AQ228" s="8"/>
      <c r="AR228" s="8"/>
      <c r="AS228" s="8"/>
      <c r="AT228" s="8"/>
      <c r="AU228" s="8"/>
      <c r="AV228" s="8"/>
      <c r="AW228" s="8"/>
      <c r="AX228" s="8"/>
      <c r="AY228" s="8"/>
      <c r="AZ228" s="8"/>
      <c r="BA228" s="8"/>
      <c r="BB228" s="8"/>
      <c r="BC228" s="8"/>
      <c r="BD228" s="8"/>
      <c r="BE228" s="8"/>
      <c r="BF228" s="8"/>
      <c r="BG228" s="8"/>
      <c r="BH228" s="8"/>
    </row>
    <row r="229" spans="1:60" ht="14.25" customHeight="1">
      <c r="A229" s="619"/>
      <c r="B229" s="253"/>
      <c r="C229" s="258"/>
      <c r="D229" s="266" t="s">
        <v>162</v>
      </c>
      <c r="E229" s="395">
        <f>Electricidad!E274</f>
        <v>0</v>
      </c>
      <c r="F229" s="395">
        <f>Electricidad!F274</f>
        <v>0</v>
      </c>
      <c r="G229" s="395">
        <f>Electricidad!G274</f>
        <v>0</v>
      </c>
      <c r="H229" s="395">
        <f>Electricidad!H274</f>
        <v>0</v>
      </c>
      <c r="I229" s="619"/>
      <c r="J229" s="619"/>
      <c r="K229" s="619"/>
      <c r="L229" s="619"/>
      <c r="M229" s="619"/>
      <c r="N229" s="619"/>
      <c r="O229" s="619"/>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619"/>
      <c r="AL229" s="619"/>
      <c r="AM229" s="8"/>
      <c r="AN229" s="8"/>
      <c r="AO229" s="8"/>
      <c r="AP229" s="8"/>
      <c r="AQ229" s="8"/>
      <c r="AR229" s="8"/>
      <c r="AS229" s="8"/>
      <c r="AT229" s="8"/>
      <c r="AU229" s="8"/>
      <c r="AV229" s="8"/>
      <c r="AW229" s="8"/>
      <c r="AX229" s="8"/>
      <c r="AY229" s="8"/>
      <c r="AZ229" s="8"/>
      <c r="BA229" s="8"/>
      <c r="BB229" s="8"/>
      <c r="BC229" s="8"/>
      <c r="BD229" s="8"/>
      <c r="BE229" s="8"/>
      <c r="BF229" s="8"/>
      <c r="BG229" s="8"/>
      <c r="BH229" s="8"/>
    </row>
    <row r="230" spans="1:60" ht="14.25" customHeight="1">
      <c r="A230" s="619"/>
      <c r="B230" s="253"/>
      <c r="C230" s="258" t="s">
        <v>163</v>
      </c>
      <c r="D230" s="281" t="s">
        <v>161</v>
      </c>
      <c r="E230" s="382">
        <f>Electricidad!E275</f>
        <v>0.16380518034114624</v>
      </c>
      <c r="F230" s="382">
        <f>Electricidad!F275</f>
        <v>0.1480830490411065</v>
      </c>
      <c r="G230" s="382">
        <f>Electricidad!G275</f>
        <v>0.15826465809811166</v>
      </c>
      <c r="H230" s="382">
        <f>Electricidad!H275</f>
        <v>0.15157285850587507</v>
      </c>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619"/>
      <c r="AL230" s="619"/>
      <c r="AM230" s="8"/>
      <c r="AN230" s="8"/>
      <c r="AO230" s="8"/>
      <c r="AP230" s="8"/>
      <c r="AQ230" s="8"/>
      <c r="AR230" s="8"/>
      <c r="AS230" s="8"/>
      <c r="AT230" s="8"/>
      <c r="AU230" s="8"/>
      <c r="AV230" s="8"/>
      <c r="AW230" s="8"/>
      <c r="AX230" s="8"/>
      <c r="AY230" s="8"/>
      <c r="AZ230" s="8"/>
      <c r="BA230" s="8"/>
      <c r="BB230" s="8"/>
      <c r="BC230" s="8"/>
      <c r="BD230" s="8"/>
      <c r="BE230" s="8"/>
      <c r="BF230" s="8"/>
      <c r="BG230" s="8"/>
      <c r="BH230" s="8"/>
    </row>
    <row r="231" spans="1:60" ht="14.25" customHeight="1">
      <c r="A231" s="619"/>
      <c r="B231" s="253"/>
      <c r="C231" s="258"/>
      <c r="D231" s="272" t="s">
        <v>311</v>
      </c>
      <c r="E231" s="396">
        <f>Electricidad!E276</f>
        <v>0</v>
      </c>
      <c r="F231" s="396">
        <f>Electricidad!F276</f>
        <v>0</v>
      </c>
      <c r="G231" s="396">
        <f>Electricidad!G276</f>
        <v>0</v>
      </c>
      <c r="H231" s="396">
        <f>Electricidad!H276</f>
        <v>0</v>
      </c>
      <c r="I231" s="619"/>
      <c r="J231" s="619"/>
      <c r="K231" s="619"/>
      <c r="L231" s="619"/>
      <c r="M231" s="619"/>
      <c r="N231" s="619"/>
      <c r="O231" s="619"/>
      <c r="P231" s="619"/>
      <c r="Q231" s="619"/>
      <c r="R231" s="619"/>
      <c r="S231" s="619"/>
      <c r="T231" s="619"/>
      <c r="U231" s="619"/>
      <c r="V231" s="619"/>
      <c r="W231" s="619"/>
      <c r="X231" s="619"/>
      <c r="Y231" s="619"/>
      <c r="Z231" s="619"/>
      <c r="AA231" s="619"/>
      <c r="AB231" s="619"/>
      <c r="AC231" s="619"/>
      <c r="AD231" s="619"/>
      <c r="AE231" s="619"/>
      <c r="AF231" s="619"/>
      <c r="AG231" s="619"/>
      <c r="AH231" s="619"/>
      <c r="AI231" s="619"/>
      <c r="AJ231" s="619"/>
      <c r="AK231" s="619"/>
      <c r="AL231" s="619"/>
      <c r="AM231" s="8"/>
      <c r="AN231" s="8"/>
      <c r="AO231" s="8"/>
      <c r="AP231" s="8"/>
      <c r="AQ231" s="8"/>
      <c r="AR231" s="8"/>
      <c r="AS231" s="8"/>
      <c r="AT231" s="8"/>
      <c r="AU231" s="8"/>
      <c r="AV231" s="8"/>
      <c r="AW231" s="8"/>
      <c r="AX231" s="8"/>
      <c r="AY231" s="8"/>
      <c r="AZ231" s="8"/>
      <c r="BA231" s="8"/>
      <c r="BB231" s="8"/>
      <c r="BC231" s="8"/>
      <c r="BD231" s="8"/>
      <c r="BE231" s="8"/>
      <c r="BF231" s="8"/>
      <c r="BG231" s="8"/>
      <c r="BH231" s="8"/>
    </row>
    <row r="232" spans="1:60" ht="14.25" customHeight="1">
      <c r="A232" s="619"/>
      <c r="B232" s="253"/>
      <c r="C232" s="258" t="s">
        <v>165</v>
      </c>
      <c r="D232" s="334" t="s">
        <v>166</v>
      </c>
      <c r="E232" s="397">
        <f>Electricidad!E277</f>
        <v>0.37542434809133779</v>
      </c>
      <c r="F232" s="397">
        <f>Electricidad!F277</f>
        <v>0.54153208313088808</v>
      </c>
      <c r="G232" s="397">
        <f>Electricidad!G277</f>
        <v>0.51336176549260171</v>
      </c>
      <c r="H232" s="397">
        <f>Electricidad!H277</f>
        <v>0.54099696438214062</v>
      </c>
      <c r="I232" s="619"/>
      <c r="J232" s="619"/>
      <c r="K232" s="619"/>
      <c r="L232" s="619"/>
      <c r="M232" s="619"/>
      <c r="N232" s="619"/>
      <c r="O232" s="619"/>
      <c r="P232" s="619"/>
      <c r="Q232" s="619"/>
      <c r="R232" s="619"/>
      <c r="S232" s="619"/>
      <c r="T232" s="619"/>
      <c r="U232" s="619"/>
      <c r="V232" s="619"/>
      <c r="W232" s="619"/>
      <c r="X232" s="619"/>
      <c r="Y232" s="619"/>
      <c r="Z232" s="619"/>
      <c r="AA232" s="619"/>
      <c r="AB232" s="619"/>
      <c r="AC232" s="619"/>
      <c r="AD232" s="619"/>
      <c r="AE232" s="619"/>
      <c r="AF232" s="619"/>
      <c r="AG232" s="619"/>
      <c r="AH232" s="619"/>
      <c r="AI232" s="619"/>
      <c r="AJ232" s="619"/>
      <c r="AK232" s="619"/>
      <c r="AL232" s="619"/>
      <c r="AM232" s="8"/>
      <c r="AN232" s="8"/>
      <c r="AO232" s="8"/>
      <c r="AP232" s="8"/>
      <c r="AQ232" s="8"/>
      <c r="AR232" s="8"/>
      <c r="AS232" s="8"/>
      <c r="AT232" s="8"/>
      <c r="AU232" s="8"/>
      <c r="AV232" s="8"/>
      <c r="AW232" s="8"/>
      <c r="AX232" s="8"/>
      <c r="AY232" s="8"/>
      <c r="AZ232" s="8"/>
      <c r="BA232" s="8"/>
      <c r="BB232" s="8"/>
      <c r="BC232" s="8"/>
      <c r="BD232" s="8"/>
      <c r="BE232" s="8"/>
      <c r="BF232" s="8"/>
      <c r="BG232" s="8"/>
      <c r="BH232" s="8"/>
    </row>
    <row r="233" spans="1:60" ht="14.25" customHeight="1">
      <c r="A233" s="390"/>
      <c r="B233" s="398"/>
      <c r="C233" s="390" t="s">
        <v>167</v>
      </c>
      <c r="D233" s="391" t="s">
        <v>168</v>
      </c>
      <c r="E233" s="399">
        <f>Electricidad!E278</f>
        <v>3.1947226892012086</v>
      </c>
      <c r="F233" s="399">
        <f>Electricidad!F278</f>
        <v>4.2458389090226296</v>
      </c>
      <c r="G233" s="399">
        <f>Electricidad!G278</f>
        <v>3.1616234654116511</v>
      </c>
      <c r="H233" s="399">
        <f>Electricidad!H278</f>
        <v>3.8376175418082394</v>
      </c>
      <c r="I233" s="400">
        <f>8760*0.95*0.0036*I142*Electricidad!I377</f>
        <v>6.26746464</v>
      </c>
      <c r="J233" s="400">
        <f>8760*0.95*0.0036*J142*Electricidad!J377</f>
        <v>6.26746464</v>
      </c>
      <c r="K233" s="400">
        <f>8760*0.95*0.0036*K142*Electricidad!K377</f>
        <v>7.3909346400000002</v>
      </c>
      <c r="L233" s="400">
        <f>8760*0.95*0.0036*L142*Electricidad!L377</f>
        <v>7.3909346400000002</v>
      </c>
      <c r="M233" s="400">
        <f>8760*0.95*0.0036*M142*Electricidad!M377</f>
        <v>7.3909346400000002</v>
      </c>
      <c r="N233" s="400">
        <f>8760*0.95*0.0036*N142*Electricidad!N377</f>
        <v>7.3909346400000002</v>
      </c>
      <c r="O233" s="400">
        <f>8760*0.95*0.0036*O142*Electricidad!O377</f>
        <v>7.3909346400000002</v>
      </c>
      <c r="P233" s="400">
        <f>8760*0.95*0.0036*P142*Electricidad!P377</f>
        <v>7.3909346400000002</v>
      </c>
      <c r="Q233" s="400">
        <f>8760*0.95*0.0036*Q142*Electricidad!Q377</f>
        <v>7.3909346400000002</v>
      </c>
      <c r="R233" s="400">
        <f>8760*0.95*0.0036*R142*Electricidad!R377</f>
        <v>7.3909346400000002</v>
      </c>
      <c r="S233" s="400">
        <f t="shared" ref="S233:AK233" si="116">R233</f>
        <v>7.3909346400000002</v>
      </c>
      <c r="T233" s="400">
        <f t="shared" si="116"/>
        <v>7.3909346400000002</v>
      </c>
      <c r="U233" s="400">
        <f t="shared" si="116"/>
        <v>7.3909346400000002</v>
      </c>
      <c r="V233" s="400">
        <f t="shared" si="116"/>
        <v>7.3909346400000002</v>
      </c>
      <c r="W233" s="400">
        <f t="shared" si="116"/>
        <v>7.3909346400000002</v>
      </c>
      <c r="X233" s="400">
        <f t="shared" si="116"/>
        <v>7.3909346400000002</v>
      </c>
      <c r="Y233" s="400">
        <f t="shared" si="116"/>
        <v>7.3909346400000002</v>
      </c>
      <c r="Z233" s="400">
        <f t="shared" si="116"/>
        <v>7.3909346400000002</v>
      </c>
      <c r="AA233" s="400">
        <f t="shared" si="116"/>
        <v>7.3909346400000002</v>
      </c>
      <c r="AB233" s="400">
        <f t="shared" si="116"/>
        <v>7.3909346400000002</v>
      </c>
      <c r="AC233" s="400">
        <f t="shared" si="116"/>
        <v>7.3909346400000002</v>
      </c>
      <c r="AD233" s="400">
        <f t="shared" si="116"/>
        <v>7.3909346400000002</v>
      </c>
      <c r="AE233" s="400">
        <f t="shared" si="116"/>
        <v>7.3909346400000002</v>
      </c>
      <c r="AF233" s="400">
        <f t="shared" si="116"/>
        <v>7.3909346400000002</v>
      </c>
      <c r="AG233" s="400">
        <f t="shared" si="116"/>
        <v>7.3909346400000002</v>
      </c>
      <c r="AH233" s="400">
        <f t="shared" si="116"/>
        <v>7.3909346400000002</v>
      </c>
      <c r="AI233" s="400">
        <f t="shared" si="116"/>
        <v>7.3909346400000002</v>
      </c>
      <c r="AJ233" s="400">
        <f t="shared" si="116"/>
        <v>7.3909346400000002</v>
      </c>
      <c r="AK233" s="400">
        <f t="shared" si="116"/>
        <v>7.3909346400000002</v>
      </c>
      <c r="AL233" s="400">
        <f>8760*0.95*0.0036*AL142*Electricidad!AL377</f>
        <v>0</v>
      </c>
      <c r="AM233" s="400">
        <f>8760*0.95*0.0036*AM142*Electricidad!AM377</f>
        <v>0</v>
      </c>
      <c r="AN233" s="400">
        <f>8760*0.95*0.0036*AN142*Electricidad!AN377</f>
        <v>0</v>
      </c>
      <c r="AO233" s="400">
        <f>8760*0.95*0.0036*AO142*Electricidad!AO377</f>
        <v>0</v>
      </c>
      <c r="AP233" s="400">
        <f>8760*0.95*0.0036*AP142*Electricidad!AP377</f>
        <v>0</v>
      </c>
      <c r="AQ233" s="400">
        <f>8760*0.95*0.0036*AQ142*Electricidad!AQ377</f>
        <v>0</v>
      </c>
      <c r="AR233" s="400">
        <f>8760*0.95*0.0036*AR142*Electricidad!AR377</f>
        <v>0</v>
      </c>
      <c r="AS233" s="400">
        <f>8760*0.95*0.0036*AS142*Electricidad!AS377</f>
        <v>0</v>
      </c>
      <c r="AT233" s="400">
        <f>8760*0.95*0.0036*AT142*Electricidad!AT377</f>
        <v>0</v>
      </c>
      <c r="AU233" s="400">
        <f>8760*0.95*0.0036*AU142*Electricidad!AU377</f>
        <v>0</v>
      </c>
      <c r="AV233" s="400">
        <f>8760*0.95*0.0036*AV142*Electricidad!AV377</f>
        <v>0</v>
      </c>
      <c r="AW233" s="400">
        <f>8760*0.95*0.0036*AW142*Electricidad!AW377</f>
        <v>0</v>
      </c>
      <c r="AX233" s="400">
        <f>8760*0.95*0.0036*AX142*Electricidad!AX377</f>
        <v>0</v>
      </c>
      <c r="AY233" s="400">
        <f>8760*0.95*0.0036*AY142*Electricidad!AY377</f>
        <v>0</v>
      </c>
      <c r="AZ233" s="400">
        <f>8760*0.95*0.0036*AZ142*Electricidad!AZ377</f>
        <v>0</v>
      </c>
      <c r="BA233" s="400">
        <f>8760*0.95*0.0036*BA142*Electricidad!BA377</f>
        <v>0</v>
      </c>
      <c r="BB233" s="400">
        <f>8760*0.95*0.0036*BB142*Electricidad!BB377</f>
        <v>0</v>
      </c>
      <c r="BC233" s="400">
        <f>8760*0.95*0.0036*BC142*Electricidad!BC377</f>
        <v>0</v>
      </c>
      <c r="BD233" s="400">
        <f>8760*0.95*0.0036*BD142*Electricidad!BD377</f>
        <v>0</v>
      </c>
      <c r="BE233" s="400">
        <f>8760*0.95*0.0036*BE142*Electricidad!BE377</f>
        <v>0</v>
      </c>
      <c r="BF233" s="401"/>
      <c r="BG233" s="401"/>
      <c r="BH233" s="401"/>
    </row>
    <row r="234" spans="1:60" ht="14.25" customHeight="1">
      <c r="A234" s="390"/>
      <c r="B234" s="398"/>
      <c r="C234" s="390" t="s">
        <v>169</v>
      </c>
      <c r="D234" s="391" t="s">
        <v>170</v>
      </c>
      <c r="E234" s="399">
        <f>Electricidad!E279</f>
        <v>0</v>
      </c>
      <c r="F234" s="399">
        <f>Electricidad!F279</f>
        <v>0</v>
      </c>
      <c r="G234" s="399">
        <f>Electricidad!G279</f>
        <v>0</v>
      </c>
      <c r="H234" s="399">
        <f>Electricidad!H279</f>
        <v>0</v>
      </c>
      <c r="I234" s="400">
        <f>8760*0.95*0.0036*I143*Electricidad!I378</f>
        <v>0</v>
      </c>
      <c r="J234" s="400">
        <f>8760*0.95*0.0036*J143*Electricidad!J378</f>
        <v>0</v>
      </c>
      <c r="K234" s="400">
        <f>8760*0.95*0.0036*K143*Electricidad!K378</f>
        <v>0</v>
      </c>
      <c r="L234" s="400">
        <f>8760*0.95*0.0036*L143*Electricidad!L378</f>
        <v>0</v>
      </c>
      <c r="M234" s="400">
        <f>8760*0.95*0.0036*M143*Electricidad!M378</f>
        <v>0</v>
      </c>
      <c r="N234" s="400">
        <f>8760*0.95*0.0036*N143*Electricidad!N378</f>
        <v>0</v>
      </c>
      <c r="O234" s="400">
        <f>8760*0.95*0.0036*O143*Electricidad!O378</f>
        <v>0</v>
      </c>
      <c r="P234" s="400">
        <f>8760*0.95*0.0036*P143*Electricidad!P378</f>
        <v>0</v>
      </c>
      <c r="Q234" s="400">
        <f>8760*0.95*0.0036*Q143*Electricidad!Q378</f>
        <v>0</v>
      </c>
      <c r="R234" s="400">
        <f>8760*0.95*0.0036*R143*Electricidad!R378</f>
        <v>0</v>
      </c>
      <c r="S234" s="400">
        <f>8760*0.95*0.0036*S143*Electricidad!S378</f>
        <v>0</v>
      </c>
      <c r="T234" s="400">
        <f t="shared" ref="T234:AK234" si="117">S234</f>
        <v>0</v>
      </c>
      <c r="U234" s="400">
        <f t="shared" si="117"/>
        <v>0</v>
      </c>
      <c r="V234" s="400">
        <f t="shared" si="117"/>
        <v>0</v>
      </c>
      <c r="W234" s="400">
        <f t="shared" si="117"/>
        <v>0</v>
      </c>
      <c r="X234" s="400">
        <f t="shared" si="117"/>
        <v>0</v>
      </c>
      <c r="Y234" s="400">
        <f t="shared" si="117"/>
        <v>0</v>
      </c>
      <c r="Z234" s="400">
        <f t="shared" si="117"/>
        <v>0</v>
      </c>
      <c r="AA234" s="400">
        <f t="shared" si="117"/>
        <v>0</v>
      </c>
      <c r="AB234" s="400">
        <f t="shared" si="117"/>
        <v>0</v>
      </c>
      <c r="AC234" s="400">
        <f t="shared" si="117"/>
        <v>0</v>
      </c>
      <c r="AD234" s="400">
        <f t="shared" si="117"/>
        <v>0</v>
      </c>
      <c r="AE234" s="400">
        <f t="shared" si="117"/>
        <v>0</v>
      </c>
      <c r="AF234" s="400">
        <f t="shared" si="117"/>
        <v>0</v>
      </c>
      <c r="AG234" s="400">
        <f t="shared" si="117"/>
        <v>0</v>
      </c>
      <c r="AH234" s="400">
        <f t="shared" si="117"/>
        <v>0</v>
      </c>
      <c r="AI234" s="400">
        <f t="shared" si="117"/>
        <v>0</v>
      </c>
      <c r="AJ234" s="400">
        <f t="shared" si="117"/>
        <v>0</v>
      </c>
      <c r="AK234" s="400">
        <f t="shared" si="117"/>
        <v>0</v>
      </c>
      <c r="AL234" s="390"/>
      <c r="AM234" s="401"/>
      <c r="AN234" s="401"/>
      <c r="AO234" s="401"/>
      <c r="AP234" s="401"/>
      <c r="AQ234" s="401"/>
      <c r="AR234" s="401"/>
      <c r="AS234" s="401"/>
      <c r="AT234" s="401"/>
      <c r="AU234" s="401"/>
      <c r="AV234" s="401"/>
      <c r="AW234" s="401"/>
      <c r="AX234" s="401"/>
      <c r="AY234" s="401"/>
      <c r="AZ234" s="401"/>
      <c r="BA234" s="401"/>
      <c r="BB234" s="401"/>
      <c r="BC234" s="401"/>
      <c r="BD234" s="401"/>
      <c r="BE234" s="401"/>
      <c r="BF234" s="401"/>
      <c r="BG234" s="401"/>
      <c r="BH234" s="401"/>
    </row>
    <row r="235" spans="1:60" ht="14.25" customHeight="1">
      <c r="A235" s="619"/>
      <c r="B235" s="253"/>
      <c r="C235" s="258" t="s">
        <v>171</v>
      </c>
      <c r="D235" s="334" t="s">
        <v>172</v>
      </c>
      <c r="E235" s="397">
        <f>Electricidad!E280</f>
        <v>0</v>
      </c>
      <c r="F235" s="397">
        <f>Electricidad!F280</f>
        <v>0</v>
      </c>
      <c r="G235" s="397">
        <f>Electricidad!G280</f>
        <v>0</v>
      </c>
      <c r="H235" s="397">
        <f>Electricidad!H280</f>
        <v>0</v>
      </c>
      <c r="I235" s="400">
        <f>8760*0.95*0.0036*I144*Electricidad!I379</f>
        <v>0</v>
      </c>
      <c r="J235" s="400">
        <f>8760*0.95*0.0036*J144*Electricidad!J379</f>
        <v>0</v>
      </c>
      <c r="K235" s="400">
        <f>8760*0.95*0.0036*K144*Electricidad!K379</f>
        <v>0</v>
      </c>
      <c r="L235" s="400">
        <f>8760*0.95*0.0036*L144*Electricidad!L379</f>
        <v>0</v>
      </c>
      <c r="M235" s="400">
        <f>8760*0.95*0.0036*M144*Electricidad!M379</f>
        <v>0</v>
      </c>
      <c r="N235" s="400">
        <f>8760*0.95*0.0036*N144*Electricidad!N379</f>
        <v>0</v>
      </c>
      <c r="O235" s="400">
        <f>8760*0.95*0.0036*O144*Electricidad!O379</f>
        <v>0</v>
      </c>
      <c r="P235" s="400">
        <f>8760*0.95*0.0036*P144*Electricidad!P379</f>
        <v>0</v>
      </c>
      <c r="Q235" s="400">
        <f>8760*0.95*0.0036*Q144*Electricidad!Q379</f>
        <v>0</v>
      </c>
      <c r="R235" s="400">
        <f>8760*0.95*0.0036*R144*Electricidad!R379</f>
        <v>0</v>
      </c>
      <c r="S235" s="400">
        <f>8760*0.95*0.0036*S144*Electricidad!S379</f>
        <v>0</v>
      </c>
      <c r="T235" s="400">
        <f>8760*0.95*0.0036*T144*Electricidad!T379</f>
        <v>0</v>
      </c>
      <c r="U235" s="400">
        <f>8760*0.95*0.0036*U144*Electricidad!U379</f>
        <v>0</v>
      </c>
      <c r="V235" s="400">
        <f>8760*0.95*0.0036*V144*Electricidad!V379</f>
        <v>0</v>
      </c>
      <c r="W235" s="400">
        <f>8760*0.95*0.0036*W144*Electricidad!W379</f>
        <v>0</v>
      </c>
      <c r="X235" s="400">
        <f>8760*0.95*0.0036*X144*Electricidad!X379</f>
        <v>0</v>
      </c>
      <c r="Y235" s="400">
        <f>8760*0.95*0.0036*Y144*Electricidad!Y379</f>
        <v>0</v>
      </c>
      <c r="Z235" s="400">
        <f>8760*0.95*0.0036*Z144*Electricidad!Z379</f>
        <v>0</v>
      </c>
      <c r="AA235" s="400">
        <f>8760*0.95*0.0036*AA144*Electricidad!AA379</f>
        <v>0</v>
      </c>
      <c r="AB235" s="400">
        <f>8760*0.95*0.0036*AB144*Electricidad!AB379</f>
        <v>0</v>
      </c>
      <c r="AC235" s="400">
        <f>8760*0.95*0.0036*AC144*Electricidad!AC379</f>
        <v>0</v>
      </c>
      <c r="AD235" s="400">
        <f>8760*0.95*0.0036*AD144*Electricidad!AD379</f>
        <v>0</v>
      </c>
      <c r="AE235" s="400">
        <f>8760*0.95*0.0036*AE144*Electricidad!AE379</f>
        <v>0</v>
      </c>
      <c r="AF235" s="400">
        <f>8760*0.95*0.0036*AF144*Electricidad!AF379</f>
        <v>0</v>
      </c>
      <c r="AG235" s="400">
        <f>8760*0.95*0.0036*AG144*Electricidad!AG379</f>
        <v>0</v>
      </c>
      <c r="AH235" s="400">
        <f>8760*0.95*0.0036*AH144*Electricidad!AH379</f>
        <v>0</v>
      </c>
      <c r="AI235" s="400">
        <f>8760*0.95*0.0036*AI144*Electricidad!AI379</f>
        <v>0</v>
      </c>
      <c r="AJ235" s="400">
        <f>8760*0.95*0.0036*AJ144*Electricidad!AJ379</f>
        <v>0</v>
      </c>
      <c r="AK235" s="400">
        <f>8760*0.95*0.0036*AK144*Electricidad!AK379</f>
        <v>0</v>
      </c>
      <c r="AL235" s="619"/>
      <c r="AM235" s="8"/>
      <c r="AN235" s="8"/>
      <c r="AO235" s="8"/>
      <c r="AP235" s="8"/>
      <c r="AQ235" s="8"/>
      <c r="AR235" s="8"/>
      <c r="AS235" s="8"/>
      <c r="AT235" s="8"/>
      <c r="AU235" s="8"/>
      <c r="AV235" s="8"/>
      <c r="AW235" s="8"/>
      <c r="AX235" s="8"/>
      <c r="AY235" s="8"/>
      <c r="AZ235" s="8"/>
      <c r="BA235" s="8"/>
      <c r="BB235" s="8"/>
      <c r="BC235" s="8"/>
      <c r="BD235" s="8"/>
      <c r="BE235" s="8"/>
      <c r="BF235" s="8"/>
      <c r="BG235" s="8"/>
      <c r="BH235" s="8"/>
    </row>
    <row r="236" spans="1:60" ht="14.25" customHeight="1">
      <c r="A236" s="619"/>
      <c r="B236" s="253"/>
      <c r="C236" s="258" t="s">
        <v>173</v>
      </c>
      <c r="D236" s="334" t="s">
        <v>174</v>
      </c>
      <c r="E236" s="397">
        <f>Electricidad!E281</f>
        <v>6.524720466933652</v>
      </c>
      <c r="F236" s="397">
        <f>Electricidad!F281</f>
        <v>7.2397564350668668</v>
      </c>
      <c r="G236" s="397">
        <f>Electricidad!G281</f>
        <v>6.6742268083107694</v>
      </c>
      <c r="H236" s="397">
        <f>Electricidad!H281</f>
        <v>7.1979511673869325</v>
      </c>
      <c r="I236" s="619"/>
      <c r="J236" s="619"/>
      <c r="K236" s="619"/>
      <c r="L236" s="619"/>
      <c r="M236" s="619"/>
      <c r="N236" s="619"/>
      <c r="O236" s="619"/>
      <c r="P236" s="619"/>
      <c r="Q236" s="619"/>
      <c r="R236" s="619"/>
      <c r="S236" s="619"/>
      <c r="T236" s="619"/>
      <c r="U236" s="619"/>
      <c r="V236" s="619"/>
      <c r="W236" s="619"/>
      <c r="X236" s="619"/>
      <c r="Y236" s="619"/>
      <c r="Z236" s="619"/>
      <c r="AA236" s="619"/>
      <c r="AB236" s="619"/>
      <c r="AC236" s="619"/>
      <c r="AD236" s="619"/>
      <c r="AE236" s="619"/>
      <c r="AF236" s="619"/>
      <c r="AG236" s="619"/>
      <c r="AH236" s="619"/>
      <c r="AI236" s="619"/>
      <c r="AJ236" s="619"/>
      <c r="AK236" s="619"/>
      <c r="AL236" s="619"/>
      <c r="AM236" s="8"/>
      <c r="AN236" s="8"/>
      <c r="AO236" s="8"/>
      <c r="AP236" s="8"/>
      <c r="AQ236" s="8"/>
      <c r="AR236" s="8"/>
      <c r="AS236" s="8"/>
      <c r="AT236" s="8"/>
      <c r="AU236" s="8"/>
      <c r="AV236" s="8"/>
      <c r="AW236" s="8"/>
      <c r="AX236" s="8"/>
      <c r="AY236" s="8"/>
      <c r="AZ236" s="8"/>
      <c r="BA236" s="8"/>
      <c r="BB236" s="8"/>
      <c r="BC236" s="8"/>
      <c r="BD236" s="8"/>
      <c r="BE236" s="8"/>
      <c r="BF236" s="8"/>
      <c r="BG236" s="8"/>
      <c r="BH236" s="8"/>
    </row>
    <row r="237" spans="1:60" ht="14.25" customHeight="1">
      <c r="A237" s="619"/>
      <c r="B237" s="253"/>
      <c r="C237" s="258" t="s">
        <v>175</v>
      </c>
      <c r="D237" s="334" t="s">
        <v>176</v>
      </c>
      <c r="E237" s="397">
        <f>Electricidad!E282</f>
        <v>17.642785715263123</v>
      </c>
      <c r="F237" s="397">
        <f>Electricidad!F282</f>
        <v>20.178814055611628</v>
      </c>
      <c r="G237" s="397">
        <f>Electricidad!G282</f>
        <v>18.703974454867119</v>
      </c>
      <c r="H237" s="397">
        <f>Electricidad!H282</f>
        <v>19.742867073347465</v>
      </c>
      <c r="I237" s="619"/>
      <c r="J237" s="619"/>
      <c r="K237" s="619"/>
      <c r="L237" s="619"/>
      <c r="M237" s="619"/>
      <c r="N237" s="619"/>
      <c r="O237" s="619"/>
      <c r="P237" s="619"/>
      <c r="Q237" s="619"/>
      <c r="R237" s="619"/>
      <c r="S237" s="619"/>
      <c r="T237" s="619"/>
      <c r="U237" s="619"/>
      <c r="V237" s="619"/>
      <c r="W237" s="619"/>
      <c r="X237" s="619"/>
      <c r="Y237" s="619"/>
      <c r="Z237" s="619"/>
      <c r="AA237" s="619"/>
      <c r="AB237" s="619"/>
      <c r="AC237" s="619"/>
      <c r="AD237" s="619"/>
      <c r="AE237" s="619"/>
      <c r="AF237" s="619"/>
      <c r="AG237" s="619"/>
      <c r="AH237" s="619"/>
      <c r="AI237" s="619"/>
      <c r="AJ237" s="619"/>
      <c r="AK237" s="619"/>
      <c r="AL237" s="619"/>
      <c r="AM237" s="8"/>
      <c r="AN237" s="8"/>
      <c r="AO237" s="8"/>
      <c r="AP237" s="8"/>
      <c r="AQ237" s="8"/>
      <c r="AR237" s="8"/>
      <c r="AS237" s="8"/>
      <c r="AT237" s="8"/>
      <c r="AU237" s="8"/>
      <c r="AV237" s="8"/>
      <c r="AW237" s="8"/>
      <c r="AX237" s="8"/>
      <c r="AY237" s="8"/>
      <c r="AZ237" s="8"/>
      <c r="BA237" s="8"/>
      <c r="BB237" s="8"/>
      <c r="BC237" s="8"/>
      <c r="BD237" s="8"/>
      <c r="BE237" s="8"/>
      <c r="BF237" s="8"/>
      <c r="BG237" s="8"/>
      <c r="BH237" s="8"/>
    </row>
    <row r="238" spans="1:60" ht="14.25" customHeight="1">
      <c r="A238" s="619"/>
      <c r="B238" s="253"/>
      <c r="C238" s="258"/>
      <c r="D238" s="272" t="s">
        <v>312</v>
      </c>
      <c r="E238" s="402">
        <f>Electricidad!E283</f>
        <v>0</v>
      </c>
      <c r="F238" s="402">
        <f>Electricidad!F283</f>
        <v>0</v>
      </c>
      <c r="G238" s="402">
        <f>Electricidad!G283</f>
        <v>0</v>
      </c>
      <c r="H238" s="402">
        <f>Electricidad!H283</f>
        <v>0</v>
      </c>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619"/>
      <c r="AF238" s="619"/>
      <c r="AG238" s="619"/>
      <c r="AH238" s="619"/>
      <c r="AI238" s="619"/>
      <c r="AJ238" s="619"/>
      <c r="AK238" s="619"/>
      <c r="AL238" s="619"/>
      <c r="AM238" s="619"/>
      <c r="AN238" s="619"/>
      <c r="AO238" s="619"/>
      <c r="AP238" s="619"/>
      <c r="AQ238" s="619"/>
      <c r="AR238" s="619"/>
      <c r="AS238" s="619"/>
      <c r="AT238" s="619"/>
      <c r="AU238" s="619"/>
      <c r="AV238" s="619"/>
      <c r="AW238" s="619"/>
      <c r="AX238" s="619"/>
      <c r="AY238" s="619"/>
      <c r="AZ238" s="619"/>
      <c r="BA238" s="619"/>
      <c r="BB238" s="619"/>
      <c r="BC238" s="619"/>
      <c r="BD238" s="619"/>
      <c r="BE238" s="619"/>
      <c r="BF238" s="619"/>
      <c r="BG238" s="619"/>
      <c r="BH238" s="619"/>
    </row>
    <row r="239" spans="1:60" ht="14.25" customHeight="1">
      <c r="A239" s="619"/>
      <c r="B239" s="253"/>
      <c r="C239" s="258" t="s">
        <v>178</v>
      </c>
      <c r="D239" s="334" t="s">
        <v>166</v>
      </c>
      <c r="E239" s="397">
        <f>Electricidad!E284</f>
        <v>0.9713178408484342</v>
      </c>
      <c r="F239" s="397">
        <f>Electricidad!F284</f>
        <v>0.97648875999740659</v>
      </c>
      <c r="G239" s="397">
        <f>Electricidad!G284</f>
        <v>1.0890751083914971</v>
      </c>
      <c r="H239" s="397">
        <f>Electricidad!H284</f>
        <v>1.3443982771533969</v>
      </c>
      <c r="I239" s="619"/>
      <c r="J239" s="619"/>
      <c r="K239" s="619"/>
      <c r="L239" s="619"/>
      <c r="M239" s="619"/>
      <c r="N239" s="619"/>
      <c r="O239" s="619"/>
      <c r="P239" s="619"/>
      <c r="Q239" s="619"/>
      <c r="R239" s="619"/>
      <c r="S239" s="619"/>
      <c r="T239" s="619"/>
      <c r="U239" s="619"/>
      <c r="V239" s="619"/>
      <c r="W239" s="619"/>
      <c r="X239" s="619"/>
      <c r="Y239" s="619"/>
      <c r="Z239" s="619"/>
      <c r="AA239" s="619"/>
      <c r="AB239" s="619"/>
      <c r="AC239" s="619"/>
      <c r="AD239" s="619"/>
      <c r="AE239" s="619"/>
      <c r="AF239" s="619"/>
      <c r="AG239" s="619"/>
      <c r="AH239" s="619"/>
      <c r="AI239" s="619"/>
      <c r="AJ239" s="619"/>
      <c r="AK239" s="619"/>
      <c r="AL239" s="619"/>
      <c r="AM239" s="619"/>
      <c r="AN239" s="619"/>
      <c r="AO239" s="619"/>
      <c r="AP239" s="619"/>
      <c r="AQ239" s="619"/>
      <c r="AR239" s="619"/>
      <c r="AS239" s="619"/>
      <c r="AT239" s="619"/>
      <c r="AU239" s="619"/>
      <c r="AV239" s="619"/>
      <c r="AW239" s="619"/>
      <c r="AX239" s="619"/>
      <c r="AY239" s="619"/>
      <c r="AZ239" s="619"/>
      <c r="BA239" s="619"/>
      <c r="BB239" s="619"/>
      <c r="BC239" s="619"/>
      <c r="BD239" s="619"/>
      <c r="BE239" s="619"/>
      <c r="BF239" s="619"/>
      <c r="BG239" s="619"/>
      <c r="BH239" s="619"/>
    </row>
    <row r="240" spans="1:60" ht="14.25" customHeight="1">
      <c r="A240" s="390"/>
      <c r="B240" s="398"/>
      <c r="C240" s="390" t="s">
        <v>179</v>
      </c>
      <c r="D240" s="403" t="s">
        <v>168</v>
      </c>
      <c r="E240" s="404">
        <f>Electricidad!E285</f>
        <v>1.400277053384088</v>
      </c>
      <c r="F240" s="404">
        <f>Electricidad!F285</f>
        <v>4.837217320318052</v>
      </c>
      <c r="G240" s="404">
        <f>Electricidad!G285</f>
        <v>4.8689762112739512</v>
      </c>
      <c r="H240" s="404">
        <f>Electricidad!H285</f>
        <v>5.543797686185985</v>
      </c>
      <c r="I240" s="400">
        <f>8760*0.95*0.0036*I149*Electricidad!I384</f>
        <v>5.5438941160512005</v>
      </c>
      <c r="J240" s="400">
        <f>8760*0.95*0.0036*J149*Electricidad!J384</f>
        <v>5.5438941160512005</v>
      </c>
      <c r="K240" s="400">
        <f>8760*0.95*0.0036*K149*Electricidad!K384</f>
        <v>6.7911705100511996</v>
      </c>
      <c r="L240" s="400">
        <f>8760*0.95*0.0036*L149*Electricidad!L384</f>
        <v>6.7911705100511996</v>
      </c>
      <c r="M240" s="400">
        <f>8760*0.95*0.0036*M149*Electricidad!M384</f>
        <v>6.7911705100511996</v>
      </c>
      <c r="N240" s="400">
        <f>8760*0.95*0.0036*N149*Electricidad!N384</f>
        <v>6.7911705100511996</v>
      </c>
      <c r="O240" s="400">
        <f>8760*0.95*0.0036*O149*Electricidad!O384</f>
        <v>10.0174587825312</v>
      </c>
      <c r="P240" s="400">
        <f>8760*0.95*0.0036*P149*Electricidad!P384</f>
        <v>10.0174587825312</v>
      </c>
      <c r="Q240" s="400">
        <f>8760*0.95*0.0036*Q149*Electricidad!Q384</f>
        <v>10.0174587825312</v>
      </c>
      <c r="R240" s="400">
        <f>8760*0.95*0.0036*R149*Electricidad!R384</f>
        <v>10.0174587825312</v>
      </c>
      <c r="S240" s="400">
        <f t="shared" ref="S240:AK240" si="118">R240</f>
        <v>10.0174587825312</v>
      </c>
      <c r="T240" s="400">
        <f t="shared" si="118"/>
        <v>10.0174587825312</v>
      </c>
      <c r="U240" s="400">
        <f t="shared" si="118"/>
        <v>10.0174587825312</v>
      </c>
      <c r="V240" s="400">
        <f t="shared" si="118"/>
        <v>10.0174587825312</v>
      </c>
      <c r="W240" s="400">
        <f t="shared" si="118"/>
        <v>10.0174587825312</v>
      </c>
      <c r="X240" s="400">
        <f t="shared" si="118"/>
        <v>10.0174587825312</v>
      </c>
      <c r="Y240" s="400">
        <f t="shared" si="118"/>
        <v>10.0174587825312</v>
      </c>
      <c r="Z240" s="400">
        <f t="shared" si="118"/>
        <v>10.0174587825312</v>
      </c>
      <c r="AA240" s="400">
        <f t="shared" si="118"/>
        <v>10.0174587825312</v>
      </c>
      <c r="AB240" s="400">
        <f t="shared" si="118"/>
        <v>10.0174587825312</v>
      </c>
      <c r="AC240" s="400">
        <f t="shared" si="118"/>
        <v>10.0174587825312</v>
      </c>
      <c r="AD240" s="400">
        <f t="shared" si="118"/>
        <v>10.0174587825312</v>
      </c>
      <c r="AE240" s="400">
        <f t="shared" si="118"/>
        <v>10.0174587825312</v>
      </c>
      <c r="AF240" s="400">
        <f t="shared" si="118"/>
        <v>10.0174587825312</v>
      </c>
      <c r="AG240" s="400">
        <f t="shared" si="118"/>
        <v>10.0174587825312</v>
      </c>
      <c r="AH240" s="400">
        <f t="shared" si="118"/>
        <v>10.0174587825312</v>
      </c>
      <c r="AI240" s="400">
        <f t="shared" si="118"/>
        <v>10.0174587825312</v>
      </c>
      <c r="AJ240" s="400">
        <f t="shared" si="118"/>
        <v>10.0174587825312</v>
      </c>
      <c r="AK240" s="400">
        <f t="shared" si="118"/>
        <v>10.0174587825312</v>
      </c>
      <c r="AL240" s="390"/>
      <c r="AM240" s="390"/>
      <c r="AN240" s="390"/>
      <c r="AO240" s="390"/>
      <c r="AP240" s="390"/>
      <c r="AQ240" s="390"/>
      <c r="AR240" s="390"/>
      <c r="AS240" s="390"/>
      <c r="AT240" s="390"/>
      <c r="AU240" s="390"/>
      <c r="AV240" s="390"/>
      <c r="AW240" s="390"/>
      <c r="AX240" s="390"/>
      <c r="AY240" s="390"/>
      <c r="AZ240" s="390"/>
      <c r="BA240" s="390"/>
      <c r="BB240" s="390"/>
      <c r="BC240" s="390"/>
      <c r="BD240" s="390"/>
      <c r="BE240" s="390"/>
      <c r="BF240" s="390"/>
      <c r="BG240" s="390"/>
      <c r="BH240" s="390"/>
    </row>
    <row r="241" spans="1:60" ht="14.25" customHeight="1">
      <c r="A241" s="390"/>
      <c r="B241" s="398"/>
      <c r="C241" s="390" t="s">
        <v>180</v>
      </c>
      <c r="D241" s="403" t="s">
        <v>170</v>
      </c>
      <c r="E241" s="404">
        <f>Electricidad!E286</f>
        <v>0</v>
      </c>
      <c r="F241" s="404">
        <f>Electricidad!F286</f>
        <v>0</v>
      </c>
      <c r="G241" s="404">
        <f>Electricidad!G286</f>
        <v>0</v>
      </c>
      <c r="H241" s="404">
        <f>Electricidad!H286</f>
        <v>0</v>
      </c>
      <c r="I241" s="400">
        <f>8760*0.95*0.0036*I150*Electricidad!I385</f>
        <v>0</v>
      </c>
      <c r="J241" s="400">
        <f>8760*0.95*0.0036*J150*Electricidad!J385</f>
        <v>0</v>
      </c>
      <c r="K241" s="400">
        <f>8760*0.95*0.0036*K150*Electricidad!K385</f>
        <v>0</v>
      </c>
      <c r="L241" s="400">
        <f>8760*0.95*0.0036*L150*Electricidad!L385</f>
        <v>0</v>
      </c>
      <c r="M241" s="400">
        <f>8760*0.95*0.0036*M150*Electricidad!M385</f>
        <v>0</v>
      </c>
      <c r="N241" s="400">
        <f>8760*0.95*0.0036*N150*Electricidad!N385</f>
        <v>0</v>
      </c>
      <c r="O241" s="400">
        <f>8760*0.95*0.0036*O150*Electricidad!O385</f>
        <v>0</v>
      </c>
      <c r="P241" s="400">
        <f>8760*0.95*0.0036*P150*Electricidad!P385</f>
        <v>0</v>
      </c>
      <c r="Q241" s="400">
        <f>8760*0.95*0.0036*Q150*Electricidad!Q385</f>
        <v>0</v>
      </c>
      <c r="R241" s="400">
        <f>8760*0.95*0.0036*R150*Electricidad!R385</f>
        <v>0</v>
      </c>
      <c r="S241" s="400">
        <f t="shared" ref="S241:AK241" si="119">R241</f>
        <v>0</v>
      </c>
      <c r="T241" s="400">
        <f t="shared" si="119"/>
        <v>0</v>
      </c>
      <c r="U241" s="400">
        <f t="shared" si="119"/>
        <v>0</v>
      </c>
      <c r="V241" s="400">
        <f t="shared" si="119"/>
        <v>0</v>
      </c>
      <c r="W241" s="400">
        <f t="shared" si="119"/>
        <v>0</v>
      </c>
      <c r="X241" s="400">
        <f t="shared" si="119"/>
        <v>0</v>
      </c>
      <c r="Y241" s="400">
        <f t="shared" si="119"/>
        <v>0</v>
      </c>
      <c r="Z241" s="400">
        <f t="shared" si="119"/>
        <v>0</v>
      </c>
      <c r="AA241" s="400">
        <f t="shared" si="119"/>
        <v>0</v>
      </c>
      <c r="AB241" s="400">
        <f t="shared" si="119"/>
        <v>0</v>
      </c>
      <c r="AC241" s="400">
        <f t="shared" si="119"/>
        <v>0</v>
      </c>
      <c r="AD241" s="400">
        <f t="shared" si="119"/>
        <v>0</v>
      </c>
      <c r="AE241" s="400">
        <f t="shared" si="119"/>
        <v>0</v>
      </c>
      <c r="AF241" s="400">
        <f t="shared" si="119"/>
        <v>0</v>
      </c>
      <c r="AG241" s="400">
        <f t="shared" si="119"/>
        <v>0</v>
      </c>
      <c r="AH241" s="400">
        <f t="shared" si="119"/>
        <v>0</v>
      </c>
      <c r="AI241" s="400">
        <f t="shared" si="119"/>
        <v>0</v>
      </c>
      <c r="AJ241" s="400">
        <f t="shared" si="119"/>
        <v>0</v>
      </c>
      <c r="AK241" s="400">
        <f t="shared" si="119"/>
        <v>0</v>
      </c>
      <c r="AL241" s="390"/>
      <c r="AM241" s="390"/>
      <c r="AN241" s="390"/>
      <c r="AO241" s="390"/>
      <c r="AP241" s="390"/>
      <c r="AQ241" s="390"/>
      <c r="AR241" s="390"/>
      <c r="AS241" s="390"/>
      <c r="AT241" s="390"/>
      <c r="AU241" s="390"/>
      <c r="AV241" s="390"/>
      <c r="AW241" s="390"/>
      <c r="AX241" s="390"/>
      <c r="AY241" s="390"/>
      <c r="AZ241" s="390"/>
      <c r="BA241" s="390"/>
      <c r="BB241" s="390"/>
      <c r="BC241" s="390"/>
      <c r="BD241" s="390"/>
      <c r="BE241" s="390"/>
      <c r="BF241" s="390"/>
      <c r="BG241" s="390"/>
      <c r="BH241" s="390"/>
    </row>
    <row r="242" spans="1:60" ht="14.25" customHeight="1">
      <c r="A242" s="619"/>
      <c r="B242" s="253"/>
      <c r="C242" s="258" t="s">
        <v>181</v>
      </c>
      <c r="D242" s="334" t="s">
        <v>172</v>
      </c>
      <c r="E242" s="397">
        <f>Electricidad!E287</f>
        <v>9.7867334823474437</v>
      </c>
      <c r="F242" s="397">
        <f>Electricidad!F287</f>
        <v>11.980628286001632</v>
      </c>
      <c r="G242" s="397">
        <f>Electricidad!G287</f>
        <v>10.299665497592036</v>
      </c>
      <c r="H242" s="397">
        <f>Electricidad!H287</f>
        <v>11.104534031082485</v>
      </c>
      <c r="I242" s="619"/>
      <c r="J242" s="619"/>
      <c r="K242" s="619"/>
      <c r="L242" s="619"/>
      <c r="M242" s="619"/>
      <c r="N242" s="619"/>
      <c r="O242" s="619"/>
      <c r="P242" s="619"/>
      <c r="Q242" s="619"/>
      <c r="R242" s="619"/>
      <c r="S242" s="619"/>
      <c r="T242" s="619"/>
      <c r="U242" s="619"/>
      <c r="V242" s="619"/>
      <c r="W242" s="619"/>
      <c r="X242" s="619"/>
      <c r="Y242" s="619"/>
      <c r="Z242" s="619"/>
      <c r="AA242" s="619"/>
      <c r="AB242" s="619"/>
      <c r="AC242" s="619"/>
      <c r="AD242" s="619"/>
      <c r="AE242" s="619"/>
      <c r="AF242" s="619"/>
      <c r="AG242" s="619"/>
      <c r="AH242" s="619"/>
      <c r="AI242" s="619"/>
      <c r="AJ242" s="619"/>
      <c r="AK242" s="619"/>
      <c r="AL242" s="619"/>
      <c r="AM242" s="619"/>
      <c r="AN242" s="619"/>
      <c r="AO242" s="619"/>
      <c r="AP242" s="619"/>
      <c r="AQ242" s="619"/>
      <c r="AR242" s="619"/>
      <c r="AS242" s="619"/>
      <c r="AT242" s="619"/>
      <c r="AU242" s="619"/>
      <c r="AV242" s="619"/>
      <c r="AW242" s="619"/>
      <c r="AX242" s="619"/>
      <c r="AY242" s="619"/>
      <c r="AZ242" s="619"/>
      <c r="BA242" s="619"/>
      <c r="BB242" s="619"/>
      <c r="BC242" s="619"/>
      <c r="BD242" s="619"/>
      <c r="BE242" s="619"/>
      <c r="BF242" s="619"/>
      <c r="BG242" s="619"/>
      <c r="BH242" s="619"/>
    </row>
    <row r="243" spans="1:60" ht="14.25" customHeight="1">
      <c r="A243" s="619"/>
      <c r="B243" s="253"/>
      <c r="C243" s="258" t="s">
        <v>182</v>
      </c>
      <c r="D243" s="334" t="s">
        <v>174</v>
      </c>
      <c r="E243" s="397">
        <f>Electricidad!E288</f>
        <v>4.4398291423631662</v>
      </c>
      <c r="F243" s="397">
        <f>Electricidad!F288</f>
        <v>6.9170193209854558</v>
      </c>
      <c r="G243" s="397">
        <f>Electricidad!G288</f>
        <v>8.8806710849968749</v>
      </c>
      <c r="H243" s="397">
        <f>Electricidad!H288</f>
        <v>9.5041972473159557</v>
      </c>
      <c r="I243" s="619"/>
      <c r="J243" s="619"/>
      <c r="K243" s="619"/>
      <c r="L243" s="619"/>
      <c r="M243" s="619"/>
      <c r="N243" s="619"/>
      <c r="O243" s="619"/>
      <c r="P243" s="619"/>
      <c r="Q243" s="619"/>
      <c r="R243" s="619"/>
      <c r="S243" s="619"/>
      <c r="T243" s="619"/>
      <c r="U243" s="619"/>
      <c r="V243" s="619"/>
      <c r="W243" s="619"/>
      <c r="X243" s="619"/>
      <c r="Y243" s="619"/>
      <c r="Z243" s="619"/>
      <c r="AA243" s="619"/>
      <c r="AB243" s="619"/>
      <c r="AC243" s="619"/>
      <c r="AD243" s="619"/>
      <c r="AE243" s="619"/>
      <c r="AF243" s="619"/>
      <c r="AG243" s="619"/>
      <c r="AH243" s="619"/>
      <c r="AI243" s="619"/>
      <c r="AJ243" s="619"/>
      <c r="AK243" s="619"/>
      <c r="AL243" s="619"/>
      <c r="AM243" s="619"/>
      <c r="AN243" s="619"/>
      <c r="AO243" s="619"/>
      <c r="AP243" s="619"/>
      <c r="AQ243" s="619"/>
      <c r="AR243" s="619"/>
      <c r="AS243" s="619"/>
      <c r="AT243" s="619"/>
      <c r="AU243" s="619"/>
      <c r="AV243" s="619"/>
      <c r="AW243" s="619"/>
      <c r="AX243" s="619"/>
      <c r="AY243" s="619"/>
      <c r="AZ243" s="619"/>
      <c r="BA243" s="619"/>
      <c r="BB243" s="619"/>
      <c r="BC243" s="619"/>
      <c r="BD243" s="619"/>
      <c r="BE243" s="619"/>
      <c r="BF243" s="619"/>
      <c r="BG243" s="619"/>
      <c r="BH243" s="619"/>
    </row>
    <row r="244" spans="1:60" ht="14.25" customHeight="1">
      <c r="A244" s="619"/>
      <c r="B244" s="253"/>
      <c r="C244" s="258" t="s">
        <v>183</v>
      </c>
      <c r="D244" s="334" t="s">
        <v>176</v>
      </c>
      <c r="E244" s="397">
        <f>Electricidad!E289</f>
        <v>29.999337571996644</v>
      </c>
      <c r="F244" s="397">
        <f>Electricidad!F289</f>
        <v>31.65598970008115</v>
      </c>
      <c r="G244" s="397">
        <f>Electricidad!G289</f>
        <v>33.279827423516998</v>
      </c>
      <c r="H244" s="397">
        <f>Electricidad!H289</f>
        <v>33.125825894329864</v>
      </c>
      <c r="I244" s="619"/>
      <c r="J244" s="619"/>
      <c r="K244" s="619"/>
      <c r="L244" s="619"/>
      <c r="M244" s="619"/>
      <c r="N244" s="619"/>
      <c r="O244" s="619"/>
      <c r="P244" s="619"/>
      <c r="Q244" s="619"/>
      <c r="R244" s="619"/>
      <c r="S244" s="619"/>
      <c r="T244" s="619"/>
      <c r="U244" s="619"/>
      <c r="V244" s="619"/>
      <c r="W244" s="619"/>
      <c r="X244" s="619"/>
      <c r="Y244" s="619"/>
      <c r="Z244" s="619"/>
      <c r="AA244" s="619"/>
      <c r="AB244" s="619"/>
      <c r="AC244" s="619"/>
      <c r="AD244" s="619"/>
      <c r="AE244" s="619"/>
      <c r="AF244" s="619"/>
      <c r="AG244" s="619"/>
      <c r="AH244" s="619"/>
      <c r="AI244" s="619"/>
      <c r="AJ244" s="619"/>
      <c r="AK244" s="619"/>
      <c r="AL244" s="619"/>
      <c r="AM244" s="619"/>
      <c r="AN244" s="619"/>
      <c r="AO244" s="619"/>
      <c r="AP244" s="619"/>
      <c r="AQ244" s="619"/>
      <c r="AR244" s="619"/>
      <c r="AS244" s="619"/>
      <c r="AT244" s="619"/>
      <c r="AU244" s="619"/>
      <c r="AV244" s="619"/>
      <c r="AW244" s="619"/>
      <c r="AX244" s="619"/>
      <c r="AY244" s="619"/>
      <c r="AZ244" s="619"/>
      <c r="BA244" s="619"/>
      <c r="BB244" s="619"/>
      <c r="BC244" s="619"/>
      <c r="BD244" s="619"/>
      <c r="BE244" s="619"/>
      <c r="BF244" s="619"/>
      <c r="BG244" s="619"/>
      <c r="BH244" s="619"/>
    </row>
    <row r="245" spans="1:60" ht="14.25" customHeight="1">
      <c r="A245" s="619"/>
      <c r="B245" s="253"/>
      <c r="C245" s="258"/>
      <c r="D245" s="259" t="s">
        <v>313</v>
      </c>
      <c r="E245" s="25">
        <f t="shared" ref="E245:G245" si="120">E205+E208+E209+E216+E217</f>
        <v>91.132372008567984</v>
      </c>
      <c r="F245" s="25">
        <f t="shared" si="120"/>
        <v>101.17921274159959</v>
      </c>
      <c r="G245" s="25">
        <f t="shared" si="120"/>
        <v>98.061936324242353</v>
      </c>
      <c r="H245" s="25">
        <f>Electricidad!H290</f>
        <v>101.36096248580306</v>
      </c>
      <c r="I245" s="619"/>
      <c r="J245" s="619"/>
      <c r="K245" s="619"/>
      <c r="L245" s="619"/>
      <c r="M245" s="619"/>
      <c r="N245" s="619"/>
      <c r="O245" s="619"/>
      <c r="P245" s="619"/>
      <c r="Q245" s="619"/>
      <c r="R245" s="619"/>
      <c r="S245" s="619"/>
      <c r="T245" s="619"/>
      <c r="U245" s="619"/>
      <c r="V245" s="619"/>
      <c r="W245" s="619"/>
      <c r="X245" s="619"/>
      <c r="Y245" s="619"/>
      <c r="Z245" s="619"/>
      <c r="AA245" s="619"/>
      <c r="AB245" s="619"/>
      <c r="AC245" s="619"/>
      <c r="AD245" s="619"/>
      <c r="AE245" s="619"/>
      <c r="AF245" s="619"/>
      <c r="AG245" s="619"/>
      <c r="AH245" s="619"/>
      <c r="AI245" s="619"/>
      <c r="AJ245" s="619"/>
      <c r="AK245" s="619"/>
      <c r="AL245" s="619"/>
      <c r="AM245" s="619"/>
      <c r="AN245" s="619"/>
      <c r="AO245" s="619"/>
      <c r="AP245" s="619"/>
      <c r="AQ245" s="619"/>
      <c r="AR245" s="619"/>
      <c r="AS245" s="619"/>
      <c r="AT245" s="619"/>
      <c r="AU245" s="619"/>
      <c r="AV245" s="619"/>
      <c r="AW245" s="619"/>
      <c r="AX245" s="619"/>
      <c r="AY245" s="619"/>
      <c r="AZ245" s="619"/>
      <c r="BA245" s="619"/>
      <c r="BB245" s="619"/>
      <c r="BC245" s="619"/>
      <c r="BD245" s="619"/>
      <c r="BE245" s="619"/>
      <c r="BF245" s="619"/>
      <c r="BG245" s="619"/>
      <c r="BH245" s="619"/>
    </row>
    <row r="246" spans="1:60" ht="14.25" customHeight="1">
      <c r="A246" s="619"/>
      <c r="B246" s="253"/>
      <c r="C246" s="258"/>
      <c r="D246" s="259"/>
      <c r="E246" s="270"/>
      <c r="F246" s="270"/>
      <c r="G246" s="270"/>
      <c r="H246" s="270">
        <f>Electricidad!H291</f>
        <v>0</v>
      </c>
      <c r="I246" s="619"/>
      <c r="J246" s="619"/>
      <c r="K246" s="619"/>
      <c r="L246" s="619"/>
      <c r="M246" s="619"/>
      <c r="N246" s="619"/>
      <c r="O246" s="619"/>
      <c r="P246" s="619"/>
      <c r="Q246" s="619"/>
      <c r="R246" s="619"/>
      <c r="S246" s="619"/>
      <c r="T246" s="619"/>
      <c r="U246" s="619"/>
      <c r="V246" s="619"/>
      <c r="W246" s="619"/>
      <c r="X246" s="619"/>
      <c r="Y246" s="619"/>
      <c r="Z246" s="619"/>
      <c r="AA246" s="619"/>
      <c r="AB246" s="619"/>
      <c r="AC246" s="619"/>
      <c r="AD246" s="619"/>
      <c r="AE246" s="619"/>
      <c r="AF246" s="619"/>
      <c r="AG246" s="619"/>
      <c r="AH246" s="619"/>
      <c r="AI246" s="619"/>
      <c r="AJ246" s="619"/>
      <c r="AK246" s="619"/>
      <c r="AL246" s="619"/>
      <c r="AM246" s="619"/>
      <c r="AN246" s="619"/>
      <c r="AO246" s="619"/>
      <c r="AP246" s="619"/>
      <c r="AQ246" s="619"/>
      <c r="AR246" s="619"/>
      <c r="AS246" s="619"/>
      <c r="AT246" s="619"/>
      <c r="AU246" s="619"/>
      <c r="AV246" s="619"/>
      <c r="AW246" s="619"/>
      <c r="AX246" s="619"/>
      <c r="AY246" s="619"/>
      <c r="AZ246" s="619"/>
      <c r="BA246" s="619"/>
      <c r="BB246" s="619"/>
      <c r="BC246" s="619"/>
      <c r="BD246" s="619"/>
      <c r="BE246" s="619"/>
      <c r="BF246" s="619"/>
      <c r="BG246" s="619"/>
      <c r="BH246" s="619"/>
    </row>
    <row r="247" spans="1:60" ht="14.25" customHeight="1">
      <c r="A247" s="619"/>
      <c r="B247" s="253"/>
      <c r="C247" s="258"/>
      <c r="D247" s="281" t="s">
        <v>314</v>
      </c>
      <c r="E247" s="374">
        <v>2018</v>
      </c>
      <c r="F247" s="374">
        <v>2019</v>
      </c>
      <c r="G247" s="374">
        <v>2020</v>
      </c>
      <c r="H247" s="374">
        <f>Electricidad!H292</f>
        <v>2021</v>
      </c>
      <c r="I247" s="373">
        <v>2022</v>
      </c>
      <c r="J247" s="373">
        <v>2023</v>
      </c>
      <c r="K247" s="373">
        <v>2024</v>
      </c>
      <c r="L247" s="373">
        <v>2025</v>
      </c>
      <c r="M247" s="373">
        <v>2026</v>
      </c>
      <c r="N247" s="373">
        <v>2027</v>
      </c>
      <c r="O247" s="373">
        <v>2028</v>
      </c>
      <c r="P247" s="373">
        <v>2029</v>
      </c>
      <c r="Q247" s="373">
        <v>2030</v>
      </c>
      <c r="R247" s="373">
        <v>2031</v>
      </c>
      <c r="S247" s="373">
        <v>2032</v>
      </c>
      <c r="T247" s="373">
        <v>2033</v>
      </c>
      <c r="U247" s="373">
        <v>2034</v>
      </c>
      <c r="V247" s="373">
        <v>2035</v>
      </c>
      <c r="W247" s="373">
        <v>2036</v>
      </c>
      <c r="X247" s="373">
        <v>2037</v>
      </c>
      <c r="Y247" s="373">
        <v>2038</v>
      </c>
      <c r="Z247" s="373">
        <v>2039</v>
      </c>
      <c r="AA247" s="373">
        <v>2040</v>
      </c>
      <c r="AB247" s="373">
        <v>2041</v>
      </c>
      <c r="AC247" s="373">
        <v>2042</v>
      </c>
      <c r="AD247" s="373">
        <v>2043</v>
      </c>
      <c r="AE247" s="373">
        <v>2044</v>
      </c>
      <c r="AF247" s="373">
        <v>2045</v>
      </c>
      <c r="AG247" s="373">
        <v>2046</v>
      </c>
      <c r="AH247" s="373">
        <v>2047</v>
      </c>
      <c r="AI247" s="373">
        <v>2048</v>
      </c>
      <c r="AJ247" s="373">
        <v>2049</v>
      </c>
      <c r="AK247" s="373">
        <v>2050</v>
      </c>
      <c r="AL247" s="619"/>
      <c r="AM247" s="8"/>
      <c r="AN247" s="8"/>
      <c r="AO247" s="8"/>
      <c r="AP247" s="8"/>
      <c r="AQ247" s="8"/>
      <c r="AR247" s="8"/>
      <c r="AS247" s="8"/>
      <c r="AT247" s="8"/>
      <c r="AU247" s="8"/>
      <c r="AV247" s="8"/>
      <c r="AW247" s="8"/>
      <c r="AX247" s="8"/>
      <c r="AY247" s="8"/>
      <c r="AZ247" s="8"/>
      <c r="BA247" s="8"/>
      <c r="BB247" s="8"/>
      <c r="BC247" s="8"/>
      <c r="BD247" s="8"/>
      <c r="BE247" s="8"/>
      <c r="BF247" s="8"/>
      <c r="BG247" s="8"/>
      <c r="BH247" s="8"/>
    </row>
    <row r="248" spans="1:60" ht="14.25" customHeight="1">
      <c r="A248" s="619"/>
      <c r="B248" s="253"/>
      <c r="C248" s="258"/>
      <c r="D248" s="262" t="s">
        <v>303</v>
      </c>
      <c r="E248" s="394">
        <f>Electricidad!E293</f>
        <v>0</v>
      </c>
      <c r="F248" s="394">
        <f>Electricidad!F293</f>
        <v>0</v>
      </c>
      <c r="G248" s="394">
        <f>Electricidad!G293</f>
        <v>0</v>
      </c>
      <c r="H248" s="394">
        <f>Electricidad!H293</f>
        <v>0</v>
      </c>
      <c r="I248" s="619"/>
      <c r="J248" s="619"/>
      <c r="K248" s="619"/>
      <c r="L248" s="619"/>
      <c r="M248" s="619"/>
      <c r="N248" s="619"/>
      <c r="O248" s="619"/>
      <c r="P248" s="619"/>
      <c r="Q248" s="619"/>
      <c r="R248" s="619"/>
      <c r="S248" s="619"/>
      <c r="T248" s="619"/>
      <c r="U248" s="619"/>
      <c r="V248" s="619"/>
      <c r="W248" s="619"/>
      <c r="X248" s="619"/>
      <c r="Y248" s="619"/>
      <c r="Z248" s="619"/>
      <c r="AA248" s="619"/>
      <c r="AB248" s="619"/>
      <c r="AC248" s="619"/>
      <c r="AD248" s="619"/>
      <c r="AE248" s="619"/>
      <c r="AF248" s="619"/>
      <c r="AG248" s="619"/>
      <c r="AH248" s="619"/>
      <c r="AI248" s="619"/>
      <c r="AJ248" s="619"/>
      <c r="AK248" s="619"/>
      <c r="AL248" s="619"/>
      <c r="AM248" s="8"/>
      <c r="AN248" s="8"/>
      <c r="AO248" s="8"/>
      <c r="AP248" s="8"/>
      <c r="AQ248" s="8"/>
      <c r="AR248" s="8"/>
      <c r="AS248" s="8"/>
      <c r="AT248" s="8"/>
      <c r="AU248" s="8"/>
      <c r="AV248" s="8"/>
      <c r="AW248" s="8"/>
      <c r="AX248" s="8"/>
      <c r="AY248" s="8"/>
      <c r="AZ248" s="8"/>
      <c r="BA248" s="8"/>
      <c r="BB248" s="8"/>
      <c r="BC248" s="8"/>
      <c r="BD248" s="8"/>
      <c r="BE248" s="8"/>
      <c r="BF248" s="8"/>
      <c r="BG248" s="8"/>
      <c r="BH248" s="8"/>
    </row>
    <row r="249" spans="1:60" ht="13.5" customHeight="1">
      <c r="A249" s="619"/>
      <c r="B249" s="253"/>
      <c r="C249" s="258"/>
      <c r="D249" s="262" t="s">
        <v>136</v>
      </c>
      <c r="E249" s="394">
        <f>Electricidad!E294</f>
        <v>2.3586003188598284E-2</v>
      </c>
      <c r="F249" s="394">
        <f>Electricidad!F294</f>
        <v>1.9954694542129378E-2</v>
      </c>
      <c r="G249" s="394">
        <f>Electricidad!G294</f>
        <v>1.965593807001146E-2</v>
      </c>
      <c r="H249" s="394">
        <f>Electricidad!H294</f>
        <v>7.0155963466996523E-3</v>
      </c>
      <c r="I249" s="282">
        <v>1.965593807001146E-2</v>
      </c>
      <c r="J249" s="282">
        <v>1.965593807001146E-2</v>
      </c>
      <c r="K249" s="282">
        <v>1.965593807001146E-2</v>
      </c>
      <c r="L249" s="282">
        <v>1.965593807001146E-2</v>
      </c>
      <c r="M249" s="282">
        <v>1.965593807001146E-2</v>
      </c>
      <c r="N249" s="282">
        <v>1.965593807001146E-2</v>
      </c>
      <c r="O249" s="282">
        <v>1.965593807001146E-2</v>
      </c>
      <c r="P249" s="282">
        <v>1.965593807001146E-2</v>
      </c>
      <c r="Q249" s="282">
        <v>1.965593807001146E-2</v>
      </c>
      <c r="R249" s="282">
        <v>1.965593807001146E-2</v>
      </c>
      <c r="S249" s="282">
        <v>1.965593807001146E-2</v>
      </c>
      <c r="T249" s="282">
        <v>1.965593807001146E-2</v>
      </c>
      <c r="U249" s="282">
        <v>1.965593807001146E-2</v>
      </c>
      <c r="V249" s="282">
        <v>1.965593807001146E-2</v>
      </c>
      <c r="W249" s="282">
        <v>1.965593807001146E-2</v>
      </c>
      <c r="X249" s="282">
        <v>1.965593807001146E-2</v>
      </c>
      <c r="Y249" s="282">
        <v>1.965593807001146E-2</v>
      </c>
      <c r="Z249" s="282">
        <v>1.965593807001146E-2</v>
      </c>
      <c r="AA249" s="282">
        <v>1.965593807001146E-2</v>
      </c>
      <c r="AB249" s="282">
        <v>1.965593807001146E-2</v>
      </c>
      <c r="AC249" s="282">
        <v>1.965593807001146E-2</v>
      </c>
      <c r="AD249" s="282">
        <v>1.965593807001146E-2</v>
      </c>
      <c r="AE249" s="282">
        <v>1.965593807001146E-2</v>
      </c>
      <c r="AF249" s="282">
        <v>1.965593807001146E-2</v>
      </c>
      <c r="AG249" s="282">
        <v>1.965593807001146E-2</v>
      </c>
      <c r="AH249" s="282">
        <v>1.965593807001146E-2</v>
      </c>
      <c r="AI249" s="282">
        <v>1.965593807001146E-2</v>
      </c>
      <c r="AJ249" s="282">
        <v>1.965593807001146E-2</v>
      </c>
      <c r="AK249" s="282">
        <v>1.965593807001146E-2</v>
      </c>
      <c r="AL249" s="619"/>
      <c r="AM249" s="8"/>
      <c r="AN249" s="8"/>
      <c r="AO249" s="8"/>
      <c r="AP249" s="8"/>
      <c r="AQ249" s="8"/>
      <c r="AR249" s="8"/>
      <c r="AS249" s="8"/>
      <c r="AT249" s="8"/>
      <c r="AU249" s="8"/>
      <c r="AV249" s="8"/>
      <c r="AW249" s="8"/>
      <c r="AX249" s="8"/>
      <c r="AY249" s="8"/>
      <c r="AZ249" s="8"/>
      <c r="BA249" s="8"/>
      <c r="BB249" s="8"/>
      <c r="BC249" s="8"/>
      <c r="BD249" s="8"/>
      <c r="BE249" s="8"/>
      <c r="BF249" s="8"/>
      <c r="BG249" s="8"/>
      <c r="BH249" s="8"/>
    </row>
    <row r="250" spans="1:60" ht="14.25" customHeight="1">
      <c r="A250" s="619"/>
      <c r="B250" s="253"/>
      <c r="C250" s="258" t="s">
        <v>187</v>
      </c>
      <c r="D250" s="285" t="s">
        <v>188</v>
      </c>
      <c r="E250" s="405">
        <f>Electricidad!E295</f>
        <v>2.3586003188598284E-2</v>
      </c>
      <c r="F250" s="405">
        <f>Electricidad!F295</f>
        <v>1.9954694542129378E-2</v>
      </c>
      <c r="G250" s="405">
        <f>Electricidad!G295</f>
        <v>1.965593807001146E-2</v>
      </c>
      <c r="H250" s="405">
        <f>Electricidad!H295</f>
        <v>7.0155963466996523E-3</v>
      </c>
      <c r="I250" s="286">
        <v>2.5543818025972543E-2</v>
      </c>
      <c r="J250" s="286">
        <v>2.617987177196348E-2</v>
      </c>
      <c r="K250" s="286">
        <v>2.6815925517954406E-2</v>
      </c>
      <c r="L250" s="286">
        <v>2.7451979263945353E-2</v>
      </c>
      <c r="M250" s="286">
        <v>2.8088033009936293E-2</v>
      </c>
      <c r="N250" s="286">
        <v>2.872408675592723E-2</v>
      </c>
      <c r="O250" s="286">
        <v>2.936014050191817E-2</v>
      </c>
      <c r="P250" s="286">
        <v>2.9996194247909103E-2</v>
      </c>
      <c r="Q250" s="286">
        <v>3.0632247993900037E-2</v>
      </c>
      <c r="R250" s="286">
        <v>3.0874243380633246E-2</v>
      </c>
      <c r="S250" s="286">
        <v>3.1116238767366453E-2</v>
      </c>
      <c r="T250" s="286">
        <v>3.1358234154099669E-2</v>
      </c>
      <c r="U250" s="286">
        <v>3.1600229540832879E-2</v>
      </c>
      <c r="V250" s="286">
        <v>3.1842224927566089E-2</v>
      </c>
      <c r="W250" s="286">
        <v>3.2084220314299292E-2</v>
      </c>
      <c r="X250" s="286">
        <v>3.2326215701032494E-2</v>
      </c>
      <c r="Y250" s="286">
        <v>3.2568211087765718E-2</v>
      </c>
      <c r="Z250" s="286">
        <v>3.2810206474498921E-2</v>
      </c>
      <c r="AA250" s="286">
        <v>3.3052201861232117E-2</v>
      </c>
      <c r="AB250" s="286">
        <v>3.3085254481480947E-2</v>
      </c>
      <c r="AC250" s="286">
        <v>3.3118307101729777E-2</v>
      </c>
      <c r="AD250" s="286">
        <v>3.3151359721978614E-2</v>
      </c>
      <c r="AE250" s="286">
        <v>3.3184412342227444E-2</v>
      </c>
      <c r="AF250" s="286">
        <v>3.3217464962476281E-2</v>
      </c>
      <c r="AG250" s="286">
        <v>3.3250517582725105E-2</v>
      </c>
      <c r="AH250" s="286">
        <v>3.3283570202973942E-2</v>
      </c>
      <c r="AI250" s="286">
        <v>3.3316622823222772E-2</v>
      </c>
      <c r="AJ250" s="286">
        <v>3.3349675443471609E-2</v>
      </c>
      <c r="AK250" s="286">
        <v>3.3382728063720418E-2</v>
      </c>
      <c r="AL250" s="619"/>
      <c r="AM250" s="8"/>
      <c r="AN250" s="8"/>
      <c r="AO250" s="8"/>
      <c r="AP250" s="8"/>
      <c r="AQ250" s="8"/>
      <c r="AR250" s="8"/>
      <c r="AS250" s="8"/>
      <c r="AT250" s="8"/>
      <c r="AU250" s="8"/>
      <c r="AV250" s="8"/>
      <c r="AW250" s="8"/>
      <c r="AX250" s="8"/>
      <c r="AY250" s="8"/>
      <c r="AZ250" s="8"/>
      <c r="BA250" s="8"/>
      <c r="BB250" s="8"/>
      <c r="BC250" s="8"/>
      <c r="BD250" s="8"/>
      <c r="BE250" s="8"/>
      <c r="BF250" s="8"/>
      <c r="BG250" s="8"/>
      <c r="BH250" s="8"/>
    </row>
    <row r="251" spans="1:60" ht="14.25" customHeight="1">
      <c r="A251" s="619"/>
      <c r="B251" s="253"/>
      <c r="C251" s="258"/>
      <c r="D251" s="262" t="s">
        <v>137</v>
      </c>
      <c r="E251" s="394">
        <f>Electricidad!E296</f>
        <v>5.9052648959703712E-2</v>
      </c>
      <c r="F251" s="394">
        <f>Electricidad!F296</f>
        <v>7.7137812996397701E-2</v>
      </c>
      <c r="G251" s="394">
        <f>Electricidad!G296</f>
        <v>7.3415805281261973E-2</v>
      </c>
      <c r="H251" s="394">
        <f>Electricidad!H296</f>
        <v>6.8646520136716072E-2</v>
      </c>
      <c r="I251" s="282">
        <f t="shared" ref="I251:AK251" si="121">I252</f>
        <v>7.1361016800202848E-2</v>
      </c>
      <c r="J251" s="282">
        <f t="shared" si="121"/>
        <v>7.2541572556975742E-2</v>
      </c>
      <c r="K251" s="282">
        <f t="shared" si="121"/>
        <v>7.3742195905086766E-2</v>
      </c>
      <c r="L251" s="282">
        <f t="shared" si="121"/>
        <v>7.4947234611851932E-2</v>
      </c>
      <c r="M251" s="282">
        <f t="shared" si="121"/>
        <v>7.6169733222340635E-2</v>
      </c>
      <c r="N251" s="282">
        <f t="shared" si="121"/>
        <v>7.7400879340234985E-2</v>
      </c>
      <c r="O251" s="282">
        <f t="shared" si="121"/>
        <v>7.8647836472728952E-2</v>
      </c>
      <c r="P251" s="282">
        <f t="shared" si="121"/>
        <v>7.9904143417255394E-2</v>
      </c>
      <c r="Q251" s="282">
        <f t="shared" si="121"/>
        <v>8.1178924026966776E-2</v>
      </c>
      <c r="R251" s="282">
        <f t="shared" si="121"/>
        <v>8.2457503188660033E-2</v>
      </c>
      <c r="S251" s="282">
        <f t="shared" si="121"/>
        <v>8.3745419948392213E-2</v>
      </c>
      <c r="T251" s="282">
        <f t="shared" si="121"/>
        <v>8.5045959870417742E-2</v>
      </c>
      <c r="U251" s="282">
        <f t="shared" si="121"/>
        <v>8.6354780880043544E-2</v>
      </c>
      <c r="V251" s="282">
        <f t="shared" si="121"/>
        <v>8.7669043223778359E-2</v>
      </c>
      <c r="W251" s="282">
        <f t="shared" si="121"/>
        <v>8.8990572893652087E-2</v>
      </c>
      <c r="X251" s="282">
        <f t="shared" si="121"/>
        <v>9.031444765027985E-2</v>
      </c>
      <c r="Y251" s="282">
        <f t="shared" si="121"/>
        <v>9.1644575971585124E-2</v>
      </c>
      <c r="Z251" s="282">
        <f t="shared" si="121"/>
        <v>9.2982264754873534E-2</v>
      </c>
      <c r="AA251" s="282">
        <f t="shared" si="121"/>
        <v>9.4317321422560357E-2</v>
      </c>
      <c r="AB251" s="282">
        <f t="shared" si="121"/>
        <v>9.5659401136515887E-2</v>
      </c>
      <c r="AC251" s="282">
        <f t="shared" si="121"/>
        <v>9.6992387532302674E-2</v>
      </c>
      <c r="AD251" s="282">
        <f t="shared" si="121"/>
        <v>9.8325447212050499E-2</v>
      </c>
      <c r="AE251" s="282">
        <f t="shared" si="121"/>
        <v>9.9642726412182483E-2</v>
      </c>
      <c r="AF251" s="282">
        <f t="shared" si="121"/>
        <v>0.10094547096003673</v>
      </c>
      <c r="AG251" s="282">
        <f t="shared" si="121"/>
        <v>0.1022318670775768</v>
      </c>
      <c r="AH251" s="282">
        <f t="shared" si="121"/>
        <v>0.10349756047611625</v>
      </c>
      <c r="AI251" s="282">
        <f t="shared" si="121"/>
        <v>0.10474192824198597</v>
      </c>
      <c r="AJ251" s="282">
        <f t="shared" si="121"/>
        <v>0.1059696483347005</v>
      </c>
      <c r="AK251" s="282">
        <f t="shared" si="121"/>
        <v>0.10717484582338131</v>
      </c>
      <c r="AL251" s="619"/>
      <c r="AM251" s="8"/>
      <c r="AN251" s="8"/>
      <c r="AO251" s="8"/>
      <c r="AP251" s="8"/>
      <c r="AQ251" s="8"/>
      <c r="AR251" s="8"/>
      <c r="AS251" s="8"/>
      <c r="AT251" s="8"/>
      <c r="AU251" s="8"/>
      <c r="AV251" s="8"/>
      <c r="AW251" s="8"/>
      <c r="AX251" s="8"/>
      <c r="AY251" s="8"/>
      <c r="AZ251" s="8"/>
      <c r="BA251" s="8"/>
      <c r="BB251" s="8"/>
      <c r="BC251" s="8"/>
      <c r="BD251" s="8"/>
      <c r="BE251" s="8"/>
      <c r="BF251" s="8"/>
      <c r="BG251" s="8"/>
      <c r="BH251" s="8"/>
    </row>
    <row r="252" spans="1:60" ht="14.25" customHeight="1">
      <c r="A252" s="619"/>
      <c r="B252" s="253"/>
      <c r="C252" s="258"/>
      <c r="D252" s="266" t="s">
        <v>189</v>
      </c>
      <c r="E252" s="395">
        <f>Electricidad!E297</f>
        <v>5.9052648959703712E-2</v>
      </c>
      <c r="F252" s="395">
        <f>Electricidad!F297</f>
        <v>7.7137812996397701E-2</v>
      </c>
      <c r="G252" s="395">
        <f>Electricidad!G297</f>
        <v>7.3415805281261973E-2</v>
      </c>
      <c r="H252" s="395">
        <f>Electricidad!H297</f>
        <v>6.8646520136716072E-2</v>
      </c>
      <c r="I252" s="268">
        <f t="shared" ref="I252:AK252" si="122">I257+I258+I254+I255</f>
        <v>7.1361016800202848E-2</v>
      </c>
      <c r="J252" s="268">
        <f t="shared" si="122"/>
        <v>7.2541572556975742E-2</v>
      </c>
      <c r="K252" s="268">
        <f t="shared" si="122"/>
        <v>7.3742195905086766E-2</v>
      </c>
      <c r="L252" s="268">
        <f t="shared" si="122"/>
        <v>7.4947234611851932E-2</v>
      </c>
      <c r="M252" s="268">
        <f t="shared" si="122"/>
        <v>7.6169733222340635E-2</v>
      </c>
      <c r="N252" s="268">
        <f t="shared" si="122"/>
        <v>7.7400879340234985E-2</v>
      </c>
      <c r="O252" s="268">
        <f t="shared" si="122"/>
        <v>7.8647836472728952E-2</v>
      </c>
      <c r="P252" s="268">
        <f t="shared" si="122"/>
        <v>7.9904143417255394E-2</v>
      </c>
      <c r="Q252" s="268">
        <f t="shared" si="122"/>
        <v>8.1178924026966776E-2</v>
      </c>
      <c r="R252" s="268">
        <f t="shared" si="122"/>
        <v>8.2457503188660033E-2</v>
      </c>
      <c r="S252" s="268">
        <f t="shared" si="122"/>
        <v>8.3745419948392213E-2</v>
      </c>
      <c r="T252" s="268">
        <f t="shared" si="122"/>
        <v>8.5045959870417742E-2</v>
      </c>
      <c r="U252" s="268">
        <f t="shared" si="122"/>
        <v>8.6354780880043544E-2</v>
      </c>
      <c r="V252" s="268">
        <f t="shared" si="122"/>
        <v>8.7669043223778359E-2</v>
      </c>
      <c r="W252" s="268">
        <f t="shared" si="122"/>
        <v>8.8990572893652087E-2</v>
      </c>
      <c r="X252" s="268">
        <f t="shared" si="122"/>
        <v>9.031444765027985E-2</v>
      </c>
      <c r="Y252" s="268">
        <f t="shared" si="122"/>
        <v>9.1644575971585124E-2</v>
      </c>
      <c r="Z252" s="268">
        <f t="shared" si="122"/>
        <v>9.2982264754873534E-2</v>
      </c>
      <c r="AA252" s="268">
        <f t="shared" si="122"/>
        <v>9.4317321422560357E-2</v>
      </c>
      <c r="AB252" s="268">
        <f t="shared" si="122"/>
        <v>9.5659401136515887E-2</v>
      </c>
      <c r="AC252" s="268">
        <f t="shared" si="122"/>
        <v>9.6992387532302674E-2</v>
      </c>
      <c r="AD252" s="268">
        <f t="shared" si="122"/>
        <v>9.8325447212050499E-2</v>
      </c>
      <c r="AE252" s="268">
        <f t="shared" si="122"/>
        <v>9.9642726412182483E-2</v>
      </c>
      <c r="AF252" s="268">
        <f t="shared" si="122"/>
        <v>0.10094547096003673</v>
      </c>
      <c r="AG252" s="268">
        <f t="shared" si="122"/>
        <v>0.1022318670775768</v>
      </c>
      <c r="AH252" s="268">
        <f t="shared" si="122"/>
        <v>0.10349756047611625</v>
      </c>
      <c r="AI252" s="268">
        <f t="shared" si="122"/>
        <v>0.10474192824198597</v>
      </c>
      <c r="AJ252" s="268">
        <f t="shared" si="122"/>
        <v>0.1059696483347005</v>
      </c>
      <c r="AK252" s="268">
        <f t="shared" si="122"/>
        <v>0.10717484582338131</v>
      </c>
      <c r="AL252" s="619"/>
      <c r="AM252" s="8"/>
      <c r="AN252" s="8"/>
      <c r="AO252" s="8"/>
      <c r="AP252" s="8"/>
      <c r="AQ252" s="8"/>
      <c r="AR252" s="8"/>
      <c r="AS252" s="8"/>
      <c r="AT252" s="8"/>
      <c r="AU252" s="8"/>
      <c r="AV252" s="8"/>
      <c r="AW252" s="8"/>
      <c r="AX252" s="8"/>
      <c r="AY252" s="8"/>
      <c r="AZ252" s="8"/>
      <c r="BA252" s="8"/>
      <c r="BB252" s="8"/>
      <c r="BC252" s="8"/>
      <c r="BD252" s="8"/>
      <c r="BE252" s="8"/>
      <c r="BF252" s="8"/>
      <c r="BG252" s="8"/>
      <c r="BH252" s="8"/>
    </row>
    <row r="253" spans="1:60" ht="14.25" customHeight="1">
      <c r="A253" s="619"/>
      <c r="B253" s="253"/>
      <c r="C253" s="258"/>
      <c r="D253" s="285" t="s">
        <v>190</v>
      </c>
      <c r="E253" s="405">
        <f>Electricidad!E298</f>
        <v>0</v>
      </c>
      <c r="F253" s="405">
        <f>Electricidad!F298</f>
        <v>0</v>
      </c>
      <c r="G253" s="405">
        <f>Electricidad!G298</f>
        <v>0</v>
      </c>
      <c r="H253" s="405">
        <f>Electricidad!H298</f>
        <v>0</v>
      </c>
      <c r="I253" s="286"/>
      <c r="J253" s="286"/>
      <c r="K253" s="286"/>
      <c r="L253" s="286"/>
      <c r="M253" s="286"/>
      <c r="N253" s="286"/>
      <c r="O253" s="286"/>
      <c r="P253" s="286"/>
      <c r="Q253" s="286"/>
      <c r="R253" s="286"/>
      <c r="S253" s="286"/>
      <c r="T253" s="286"/>
      <c r="U253" s="286"/>
      <c r="V253" s="286"/>
      <c r="W253" s="286"/>
      <c r="X253" s="286"/>
      <c r="Y253" s="286"/>
      <c r="Z253" s="286"/>
      <c r="AA253" s="286"/>
      <c r="AB253" s="286"/>
      <c r="AC253" s="286"/>
      <c r="AD253" s="286"/>
      <c r="AE253" s="286"/>
      <c r="AF253" s="286"/>
      <c r="AG253" s="286"/>
      <c r="AH253" s="286"/>
      <c r="AI253" s="286"/>
      <c r="AJ253" s="286"/>
      <c r="AK253" s="286"/>
      <c r="AL253" s="619"/>
      <c r="AM253" s="8"/>
      <c r="AN253" s="8"/>
      <c r="AO253" s="8"/>
      <c r="AP253" s="8"/>
      <c r="AQ253" s="8"/>
      <c r="AR253" s="8"/>
      <c r="AS253" s="8"/>
      <c r="AT253" s="8"/>
      <c r="AU253" s="8"/>
      <c r="AV253" s="8"/>
      <c r="AW253" s="8"/>
      <c r="AX253" s="8"/>
      <c r="AY253" s="8"/>
      <c r="AZ253" s="8"/>
      <c r="BA253" s="8"/>
      <c r="BB253" s="8"/>
      <c r="BC253" s="8"/>
      <c r="BD253" s="8"/>
      <c r="BE253" s="8"/>
      <c r="BF253" s="8"/>
      <c r="BG253" s="8"/>
      <c r="BH253" s="8"/>
    </row>
    <row r="254" spans="1:60" ht="14.25" customHeight="1">
      <c r="A254" s="619"/>
      <c r="B254" s="253"/>
      <c r="C254" s="258" t="s">
        <v>191</v>
      </c>
      <c r="D254" s="259" t="s">
        <v>192</v>
      </c>
      <c r="E254" s="384">
        <f>Electricidad!E299</f>
        <v>1.7196162058607078E-2</v>
      </c>
      <c r="F254" s="384">
        <f>Electricidad!F299</f>
        <v>2.025647311728895E-2</v>
      </c>
      <c r="G254" s="384">
        <f>Electricidad!G299</f>
        <v>1.7551007324081429E-2</v>
      </c>
      <c r="H254" s="384">
        <f>Electricidad!H299</f>
        <v>1.2915892761359873E-2</v>
      </c>
      <c r="I254" s="256">
        <v>2.0283996704779993E-2</v>
      </c>
      <c r="J254" s="256">
        <v>2.062157418263114E-2</v>
      </c>
      <c r="K254" s="256">
        <v>2.0964889946735697E-2</v>
      </c>
      <c r="L254" s="256">
        <v>2.130946827351865E-2</v>
      </c>
      <c r="M254" s="256">
        <v>2.1659039223673023E-2</v>
      </c>
      <c r="N254" s="256">
        <v>2.2011082910691322E-2</v>
      </c>
      <c r="O254" s="256">
        <v>2.2367647724645116E-2</v>
      </c>
      <c r="P254" s="256">
        <v>2.2726886098018869E-2</v>
      </c>
      <c r="Q254" s="256">
        <v>2.3091406977757974E-2</v>
      </c>
      <c r="R254" s="256">
        <v>2.3457014045582789E-2</v>
      </c>
      <c r="S254" s="256">
        <v>2.382529118026136E-2</v>
      </c>
      <c r="T254" s="256">
        <v>2.4197177882099331E-2</v>
      </c>
      <c r="U254" s="256">
        <v>2.4571432543815466E-2</v>
      </c>
      <c r="V254" s="256">
        <v>2.4947243143770115E-2</v>
      </c>
      <c r="W254" s="256">
        <v>2.5325131820608991E-2</v>
      </c>
      <c r="X254" s="256">
        <v>2.5703691070156725E-2</v>
      </c>
      <c r="Y254" s="256">
        <v>2.6084038513594754E-2</v>
      </c>
      <c r="Z254" s="256">
        <v>2.6466547855505611E-2</v>
      </c>
      <c r="AA254" s="256">
        <v>2.6848304549402086E-2</v>
      </c>
      <c r="AB254" s="256">
        <v>2.723206946885896E-2</v>
      </c>
      <c r="AC254" s="256">
        <v>2.7613234172785904E-2</v>
      </c>
      <c r="AD254" s="256">
        <v>2.7994419832110005E-2</v>
      </c>
      <c r="AE254" s="256">
        <v>2.8371093095914072E-2</v>
      </c>
      <c r="AF254" s="256">
        <v>2.8743610205949705E-2</v>
      </c>
      <c r="AG254" s="256">
        <v>2.9111452516137372E-2</v>
      </c>
      <c r="AH254" s="256">
        <v>2.9473374926629652E-2</v>
      </c>
      <c r="AI254" s="256">
        <v>2.9829199316550762E-2</v>
      </c>
      <c r="AJ254" s="256">
        <v>3.0180263338752202E-2</v>
      </c>
      <c r="AK254" s="256">
        <v>3.0524887068895657E-2</v>
      </c>
      <c r="AL254" s="619"/>
      <c r="AM254" s="8"/>
      <c r="AN254" s="8"/>
      <c r="AO254" s="8"/>
      <c r="AP254" s="8"/>
      <c r="AQ254" s="8"/>
      <c r="AR254" s="8"/>
      <c r="AS254" s="8"/>
      <c r="AT254" s="8"/>
      <c r="AU254" s="8"/>
      <c r="AV254" s="8"/>
      <c r="AW254" s="8"/>
      <c r="AX254" s="8"/>
      <c r="AY254" s="8"/>
      <c r="AZ254" s="8"/>
      <c r="BA254" s="8"/>
      <c r="BB254" s="8"/>
      <c r="BC254" s="8"/>
      <c r="BD254" s="8"/>
      <c r="BE254" s="8"/>
      <c r="BF254" s="8"/>
      <c r="BG254" s="8"/>
      <c r="BH254" s="8"/>
    </row>
    <row r="255" spans="1:60" ht="14.25" customHeight="1">
      <c r="A255" s="619"/>
      <c r="B255" s="253"/>
      <c r="C255" s="258" t="s">
        <v>193</v>
      </c>
      <c r="D255" s="259" t="s">
        <v>194</v>
      </c>
      <c r="E255" s="384">
        <f>Electricidad!E300</f>
        <v>3.6891603332663031E-2</v>
      </c>
      <c r="F255" s="384">
        <f>Electricidad!F300</f>
        <v>4.1414864105426177E-2</v>
      </c>
      <c r="G255" s="384">
        <f>Electricidad!G300</f>
        <v>5.5439760750822027E-2</v>
      </c>
      <c r="H255" s="384">
        <f>Electricidad!H300</f>
        <v>5.4865561172907536E-2</v>
      </c>
      <c r="I255" s="256">
        <v>5.0651982889064348E-2</v>
      </c>
      <c r="J255" s="256">
        <v>5.1494961167986096E-2</v>
      </c>
      <c r="K255" s="256">
        <v>5.2352268751992566E-2</v>
      </c>
      <c r="L255" s="256">
        <v>5.3212729131974765E-2</v>
      </c>
      <c r="M255" s="256">
        <v>5.408565679230911E-2</v>
      </c>
      <c r="N255" s="256">
        <v>5.496475922318516E-2</v>
      </c>
      <c r="O255" s="256">
        <v>5.585515154172533E-2</v>
      </c>
      <c r="P255" s="256">
        <v>5.6752220112878012E-2</v>
      </c>
      <c r="Q255" s="256">
        <v>5.7662479842850292E-2</v>
      </c>
      <c r="R255" s="256">
        <v>5.8575451936718731E-2</v>
      </c>
      <c r="S255" s="256">
        <v>5.9495091561772337E-2</v>
      </c>
      <c r="T255" s="256">
        <v>6.0423744781959908E-2</v>
      </c>
      <c r="U255" s="256">
        <v>6.1358311129869565E-2</v>
      </c>
      <c r="V255" s="256">
        <v>6.2296762873649734E-2</v>
      </c>
      <c r="W255" s="256">
        <v>6.3240403866684586E-2</v>
      </c>
      <c r="X255" s="256">
        <v>6.4185719373764619E-2</v>
      </c>
      <c r="Y255" s="256">
        <v>6.5135500251631867E-2</v>
      </c>
      <c r="Z255" s="256">
        <v>6.6090679693009413E-2</v>
      </c>
      <c r="AA255" s="256">
        <v>6.7043979666799758E-2</v>
      </c>
      <c r="AB255" s="256">
        <v>6.8002294461298421E-2</v>
      </c>
      <c r="AC255" s="256">
        <v>6.895411615315826E-2</v>
      </c>
      <c r="AD255" s="256">
        <v>6.9905990173581983E-2</v>
      </c>
      <c r="AE255" s="256">
        <v>7.0846596109909898E-2</v>
      </c>
      <c r="AF255" s="256">
        <v>7.1776823547728505E-2</v>
      </c>
      <c r="AG255" s="256">
        <v>7.2695377355080915E-2</v>
      </c>
      <c r="AH255" s="256">
        <v>7.3599148343128085E-2</v>
      </c>
      <c r="AI255" s="256">
        <v>7.4487691719076696E-2</v>
      </c>
      <c r="AJ255" s="256">
        <v>7.5364347789589795E-2</v>
      </c>
      <c r="AK255" s="256">
        <v>7.6224921548127142E-2</v>
      </c>
      <c r="AL255" s="619"/>
      <c r="AM255" s="8"/>
      <c r="AN255" s="8"/>
      <c r="AO255" s="8"/>
      <c r="AP255" s="8"/>
      <c r="AQ255" s="8"/>
      <c r="AR255" s="8"/>
      <c r="AS255" s="8"/>
      <c r="AT255" s="8"/>
      <c r="AU255" s="8"/>
      <c r="AV255" s="8"/>
      <c r="AW255" s="8"/>
      <c r="AX255" s="8"/>
      <c r="AY255" s="8"/>
      <c r="AZ255" s="8"/>
      <c r="BA255" s="8"/>
      <c r="BB255" s="8"/>
      <c r="BC255" s="8"/>
      <c r="BD255" s="8"/>
      <c r="BE255" s="8"/>
      <c r="BF255" s="8"/>
      <c r="BG255" s="8"/>
      <c r="BH255" s="8"/>
    </row>
    <row r="256" spans="1:60" ht="14.25" customHeight="1">
      <c r="A256" s="619"/>
      <c r="B256" s="253"/>
      <c r="C256" s="258"/>
      <c r="D256" s="285" t="s">
        <v>195</v>
      </c>
      <c r="E256" s="405">
        <f>Electricidad!E301</f>
        <v>0</v>
      </c>
      <c r="F256" s="405">
        <f>Electricidad!F301</f>
        <v>0</v>
      </c>
      <c r="G256" s="405">
        <f>Electricidad!G301</f>
        <v>0</v>
      </c>
      <c r="H256" s="405">
        <f>Electricidad!H301</f>
        <v>0</v>
      </c>
      <c r="I256" s="286"/>
      <c r="J256" s="286"/>
      <c r="K256" s="286"/>
      <c r="L256" s="286"/>
      <c r="M256" s="286"/>
      <c r="N256" s="286"/>
      <c r="O256" s="286"/>
      <c r="P256" s="286"/>
      <c r="Q256" s="286"/>
      <c r="R256" s="286"/>
      <c r="S256" s="286"/>
      <c r="T256" s="286"/>
      <c r="U256" s="286"/>
      <c r="V256" s="286"/>
      <c r="W256" s="286"/>
      <c r="X256" s="286"/>
      <c r="Y256" s="286"/>
      <c r="Z256" s="286"/>
      <c r="AA256" s="286"/>
      <c r="AB256" s="286"/>
      <c r="AC256" s="286"/>
      <c r="AD256" s="286"/>
      <c r="AE256" s="286"/>
      <c r="AF256" s="286"/>
      <c r="AG256" s="286"/>
      <c r="AH256" s="286"/>
      <c r="AI256" s="286"/>
      <c r="AJ256" s="286"/>
      <c r="AK256" s="286"/>
      <c r="AL256" s="619"/>
      <c r="AM256" s="8"/>
      <c r="AN256" s="8"/>
      <c r="AO256" s="8"/>
      <c r="AP256" s="8"/>
      <c r="AQ256" s="8"/>
      <c r="AR256" s="8"/>
      <c r="AS256" s="8"/>
      <c r="AT256" s="8"/>
      <c r="AU256" s="8"/>
      <c r="AV256" s="8"/>
      <c r="AW256" s="8"/>
      <c r="AX256" s="8"/>
      <c r="AY256" s="8"/>
      <c r="AZ256" s="8"/>
      <c r="BA256" s="8"/>
      <c r="BB256" s="8"/>
      <c r="BC256" s="8"/>
      <c r="BD256" s="8"/>
      <c r="BE256" s="8"/>
      <c r="BF256" s="8"/>
      <c r="BG256" s="8"/>
      <c r="BH256" s="8"/>
    </row>
    <row r="257" spans="1:39" ht="14.25" customHeight="1">
      <c r="A257" s="619"/>
      <c r="B257" s="253"/>
      <c r="C257" s="258" t="s">
        <v>196</v>
      </c>
      <c r="D257" s="259" t="s">
        <v>192</v>
      </c>
      <c r="E257" s="406">
        <f>Electricidad!E302</f>
        <v>4.9648835684336003E-3</v>
      </c>
      <c r="F257" s="406">
        <f>Electricidad!F302</f>
        <v>1.5466475773682566E-2</v>
      </c>
      <c r="G257" s="406">
        <f>Electricidad!G302</f>
        <v>4.2503720635851124E-4</v>
      </c>
      <c r="H257" s="406">
        <f>Electricidad!H302</f>
        <v>8.6506620244866227E-4</v>
      </c>
      <c r="I257" s="256">
        <v>4.2503720635851124E-4</v>
      </c>
      <c r="J257" s="256">
        <v>4.2503720635851124E-4</v>
      </c>
      <c r="K257" s="256">
        <v>4.2503720635851124E-4</v>
      </c>
      <c r="L257" s="256">
        <v>4.2503720635851124E-4</v>
      </c>
      <c r="M257" s="256">
        <v>4.2503720635851124E-4</v>
      </c>
      <c r="N257" s="256">
        <v>4.2503720635851124E-4</v>
      </c>
      <c r="O257" s="256">
        <v>4.2503720635851124E-4</v>
      </c>
      <c r="P257" s="256">
        <v>4.2503720635851124E-4</v>
      </c>
      <c r="Q257" s="256">
        <v>4.2503720635851124E-4</v>
      </c>
      <c r="R257" s="256">
        <v>4.2503720635851124E-4</v>
      </c>
      <c r="S257" s="256">
        <v>4.2503720635851124E-4</v>
      </c>
      <c r="T257" s="256">
        <v>4.2503720635851124E-4</v>
      </c>
      <c r="U257" s="256">
        <v>4.2503720635851124E-4</v>
      </c>
      <c r="V257" s="256">
        <v>4.2503720635851124E-4</v>
      </c>
      <c r="W257" s="256">
        <v>4.2503720635851124E-4</v>
      </c>
      <c r="X257" s="256">
        <v>4.2503720635851124E-4</v>
      </c>
      <c r="Y257" s="256">
        <v>4.2503720635851124E-4</v>
      </c>
      <c r="Z257" s="256">
        <v>4.2503720635851124E-4</v>
      </c>
      <c r="AA257" s="256">
        <v>4.2503720635851124E-4</v>
      </c>
      <c r="AB257" s="256">
        <v>4.2503720635851124E-4</v>
      </c>
      <c r="AC257" s="256">
        <v>4.2503720635851124E-4</v>
      </c>
      <c r="AD257" s="256">
        <v>4.2503720635851124E-4</v>
      </c>
      <c r="AE257" s="256">
        <v>4.2503720635851124E-4</v>
      </c>
      <c r="AF257" s="256">
        <v>4.2503720635851124E-4</v>
      </c>
      <c r="AG257" s="256">
        <v>4.2503720635851124E-4</v>
      </c>
      <c r="AH257" s="256">
        <v>4.2503720635851124E-4</v>
      </c>
      <c r="AI257" s="256">
        <v>4.2503720635851124E-4</v>
      </c>
      <c r="AJ257" s="256">
        <v>4.2503720635851124E-4</v>
      </c>
      <c r="AK257" s="256">
        <v>4.2503720635851124E-4</v>
      </c>
      <c r="AL257" s="619"/>
      <c r="AM257" s="8"/>
    </row>
    <row r="258" spans="1:39" ht="14.25" customHeight="1">
      <c r="A258" s="619"/>
      <c r="B258" s="253"/>
      <c r="C258" s="258" t="s">
        <v>197</v>
      </c>
      <c r="D258" s="259" t="s">
        <v>194</v>
      </c>
      <c r="E258" s="406">
        <f>Electricidad!E303</f>
        <v>0</v>
      </c>
      <c r="F258" s="406">
        <f>Electricidad!F303</f>
        <v>0</v>
      </c>
      <c r="G258" s="406">
        <f>Electricidad!G303</f>
        <v>0</v>
      </c>
      <c r="H258" s="406">
        <f>Electricidad!H303</f>
        <v>0</v>
      </c>
      <c r="I258" s="256">
        <v>0</v>
      </c>
      <c r="J258" s="256">
        <v>0</v>
      </c>
      <c r="K258" s="256">
        <v>0</v>
      </c>
      <c r="L258" s="256">
        <v>0</v>
      </c>
      <c r="M258" s="256">
        <v>0</v>
      </c>
      <c r="N258" s="256">
        <v>0</v>
      </c>
      <c r="O258" s="256">
        <v>0</v>
      </c>
      <c r="P258" s="256">
        <v>0</v>
      </c>
      <c r="Q258" s="256">
        <v>0</v>
      </c>
      <c r="R258" s="256">
        <v>0</v>
      </c>
      <c r="S258" s="256">
        <v>0</v>
      </c>
      <c r="T258" s="256">
        <v>0</v>
      </c>
      <c r="U258" s="256">
        <v>0</v>
      </c>
      <c r="V258" s="256">
        <v>0</v>
      </c>
      <c r="W258" s="256">
        <v>0</v>
      </c>
      <c r="X258" s="256">
        <v>0</v>
      </c>
      <c r="Y258" s="256">
        <v>0</v>
      </c>
      <c r="Z258" s="256">
        <v>0</v>
      </c>
      <c r="AA258" s="256">
        <v>0</v>
      </c>
      <c r="AB258" s="256">
        <v>0</v>
      </c>
      <c r="AC258" s="256">
        <v>0</v>
      </c>
      <c r="AD258" s="256">
        <v>0</v>
      </c>
      <c r="AE258" s="256">
        <v>0</v>
      </c>
      <c r="AF258" s="256">
        <v>0</v>
      </c>
      <c r="AG258" s="256">
        <v>0</v>
      </c>
      <c r="AH258" s="256">
        <v>0</v>
      </c>
      <c r="AI258" s="256">
        <v>0</v>
      </c>
      <c r="AJ258" s="256">
        <v>0</v>
      </c>
      <c r="AK258" s="256">
        <v>0</v>
      </c>
      <c r="AL258" s="619"/>
      <c r="AM258" s="8"/>
    </row>
    <row r="259" spans="1:39" ht="14.25" customHeight="1">
      <c r="A259" s="619"/>
      <c r="B259" s="253"/>
      <c r="C259" s="258"/>
      <c r="D259" s="262" t="s">
        <v>143</v>
      </c>
      <c r="E259" s="394">
        <f>Electricidad!E304</f>
        <v>1.1911906958021409E-2</v>
      </c>
      <c r="F259" s="394">
        <f>Electricidad!F304</f>
        <v>1.6161199699091643E-2</v>
      </c>
      <c r="G259" s="394">
        <f>Electricidad!G304</f>
        <v>1.4207230195575722E-2</v>
      </c>
      <c r="H259" s="394">
        <f>Electricidad!H304</f>
        <v>1.2320633946218941E-2</v>
      </c>
      <c r="I259" s="282">
        <f t="shared" ref="I259:AK259" si="123">SUM(I260:I261)</f>
        <v>1.3936134683187214E-2</v>
      </c>
      <c r="J259" s="282">
        <f t="shared" si="123"/>
        <v>1.4188844463071797E-2</v>
      </c>
      <c r="K259" s="282">
        <f t="shared" si="123"/>
        <v>1.4444784969302224E-2</v>
      </c>
      <c r="L259" s="282">
        <f t="shared" si="123"/>
        <v>1.470143631398306E-2</v>
      </c>
      <c r="M259" s="282">
        <f t="shared" si="123"/>
        <v>1.4960898567557003E-2</v>
      </c>
      <c r="N259" s="282">
        <f t="shared" si="123"/>
        <v>1.5221753002660378E-2</v>
      </c>
      <c r="O259" s="282">
        <f t="shared" si="123"/>
        <v>1.5485152888314386E-2</v>
      </c>
      <c r="P259" s="282">
        <f t="shared" si="123"/>
        <v>1.5750058021088139E-2</v>
      </c>
      <c r="Q259" s="282">
        <f t="shared" si="123"/>
        <v>1.6017937270476668E-2</v>
      </c>
      <c r="R259" s="282">
        <f t="shared" si="123"/>
        <v>1.6247614437563368E-2</v>
      </c>
      <c r="S259" s="282">
        <f t="shared" si="123"/>
        <v>1.6478794885411718E-2</v>
      </c>
      <c r="T259" s="282">
        <f t="shared" si="123"/>
        <v>1.6712007564348579E-2</v>
      </c>
      <c r="U259" s="282">
        <f t="shared" si="123"/>
        <v>1.6946553434072101E-2</v>
      </c>
      <c r="V259" s="282">
        <f t="shared" si="123"/>
        <v>1.7181975316325791E-2</v>
      </c>
      <c r="W259" s="282">
        <f t="shared" si="123"/>
        <v>1.7418567181644473E-2</v>
      </c>
      <c r="X259" s="282">
        <f t="shared" si="123"/>
        <v>1.7655536587716895E-2</v>
      </c>
      <c r="Y259" s="282">
        <f t="shared" si="123"/>
        <v>1.789351276913264E-2</v>
      </c>
      <c r="Z259" s="282">
        <f t="shared" si="123"/>
        <v>1.8132706126207584E-2</v>
      </c>
      <c r="AA259" s="282">
        <f t="shared" si="123"/>
        <v>1.8371475733113617E-2</v>
      </c>
      <c r="AB259" s="282">
        <f t="shared" si="123"/>
        <v>1.8590795731907826E-2</v>
      </c>
      <c r="AC259" s="282">
        <f t="shared" si="123"/>
        <v>1.8808651777102239E-2</v>
      </c>
      <c r="AD259" s="282">
        <f t="shared" si="123"/>
        <v>1.9026519620445204E-2</v>
      </c>
      <c r="AE259" s="282">
        <f t="shared" si="123"/>
        <v>1.9241846929132767E-2</v>
      </c>
      <c r="AF259" s="282">
        <f t="shared" si="123"/>
        <v>1.9454834271690362E-2</v>
      </c>
      <c r="AG259" s="282">
        <f t="shared" si="123"/>
        <v>1.966518964394124E-2</v>
      </c>
      <c r="AH259" s="282">
        <f t="shared" si="123"/>
        <v>1.9872212039225491E-2</v>
      </c>
      <c r="AI259" s="282">
        <f t="shared" si="123"/>
        <v>2.007580117328038E-2</v>
      </c>
      <c r="AJ259" s="282">
        <f t="shared" si="123"/>
        <v>2.0276710161255297E-2</v>
      </c>
      <c r="AK259" s="282">
        <f t="shared" si="123"/>
        <v>2.0473993184907804E-2</v>
      </c>
      <c r="AL259" s="619"/>
      <c r="AM259" s="8"/>
    </row>
    <row r="260" spans="1:39" ht="14.25" customHeight="1">
      <c r="A260" s="619"/>
      <c r="B260" s="253"/>
      <c r="C260" s="258" t="s">
        <v>198</v>
      </c>
      <c r="D260" s="285" t="s">
        <v>188</v>
      </c>
      <c r="E260" s="407">
        <f>Electricidad!E305</f>
        <v>2.7137765765720759E-3</v>
      </c>
      <c r="F260" s="407">
        <f>Electricidad!F305</f>
        <v>2.608542631371581E-3</v>
      </c>
      <c r="G260" s="407">
        <f>Electricidad!G305</f>
        <v>2.6616093216863604E-3</v>
      </c>
      <c r="H260" s="407">
        <f>Electricidad!H305</f>
        <v>2.6574755164543822E-3</v>
      </c>
      <c r="I260" s="286">
        <v>2.5159929093013763E-3</v>
      </c>
      <c r="J260" s="286">
        <v>2.5786423814053751E-3</v>
      </c>
      <c r="K260" s="286">
        <v>2.6412918535093739E-3</v>
      </c>
      <c r="L260" s="286">
        <v>2.7039413256133718E-3</v>
      </c>
      <c r="M260" s="286">
        <v>2.7665907977173707E-3</v>
      </c>
      <c r="N260" s="286">
        <v>2.829240269821369E-3</v>
      </c>
      <c r="O260" s="286">
        <v>2.8918897419253674E-3</v>
      </c>
      <c r="P260" s="286">
        <v>2.9545392140293662E-3</v>
      </c>
      <c r="Q260" s="286">
        <v>3.0171886861333633E-3</v>
      </c>
      <c r="R260" s="286">
        <v>3.0410245385687875E-3</v>
      </c>
      <c r="S260" s="286">
        <v>3.0648603910042116E-3</v>
      </c>
      <c r="T260" s="286">
        <v>3.0886962434396345E-3</v>
      </c>
      <c r="U260" s="286">
        <v>3.1125320958750582E-3</v>
      </c>
      <c r="V260" s="286">
        <v>3.1363679483104828E-3</v>
      </c>
      <c r="W260" s="286">
        <v>3.1602038007459061E-3</v>
      </c>
      <c r="X260" s="286">
        <v>3.1840396531813298E-3</v>
      </c>
      <c r="Y260" s="286">
        <v>3.2078755056167535E-3</v>
      </c>
      <c r="Z260" s="286">
        <v>3.2317113580521777E-3</v>
      </c>
      <c r="AA260" s="286">
        <v>3.2555472104875997E-3</v>
      </c>
      <c r="AB260" s="286">
        <v>3.2588027989080676E-3</v>
      </c>
      <c r="AC260" s="286">
        <v>3.2620583873285355E-3</v>
      </c>
      <c r="AD260" s="286">
        <v>3.2653139757490035E-3</v>
      </c>
      <c r="AE260" s="286">
        <v>3.2685695641694705E-3</v>
      </c>
      <c r="AF260" s="286">
        <v>3.2718251525899393E-3</v>
      </c>
      <c r="AG260" s="286">
        <v>3.2750807410104063E-3</v>
      </c>
      <c r="AH260" s="286">
        <v>3.2783363294308743E-3</v>
      </c>
      <c r="AI260" s="286">
        <v>3.2815919178513426E-3</v>
      </c>
      <c r="AJ260" s="286">
        <v>3.2848475062718101E-3</v>
      </c>
      <c r="AK260" s="286">
        <v>3.2881030946922763E-3</v>
      </c>
      <c r="AL260" s="619"/>
      <c r="AM260" s="8"/>
    </row>
    <row r="261" spans="1:39" ht="14.25" customHeight="1">
      <c r="A261" s="619"/>
      <c r="B261" s="253"/>
      <c r="C261" s="258" t="s">
        <v>199</v>
      </c>
      <c r="D261" s="285" t="s">
        <v>190</v>
      </c>
      <c r="E261" s="407">
        <f>Electricidad!E306</f>
        <v>9.1981303814493327E-3</v>
      </c>
      <c r="F261" s="407">
        <f>Electricidad!F306</f>
        <v>1.3552657067720063E-2</v>
      </c>
      <c r="G261" s="407">
        <f>Electricidad!G306</f>
        <v>1.1545620873889361E-2</v>
      </c>
      <c r="H261" s="407">
        <f>Electricidad!H306</f>
        <v>9.6631584297645588E-3</v>
      </c>
      <c r="I261" s="286">
        <v>1.1420141773885837E-2</v>
      </c>
      <c r="J261" s="286">
        <v>1.1610202081666422E-2</v>
      </c>
      <c r="K261" s="286">
        <v>1.1803493115792851E-2</v>
      </c>
      <c r="L261" s="286">
        <v>1.1997494988369687E-2</v>
      </c>
      <c r="M261" s="286">
        <v>1.2194307769839633E-2</v>
      </c>
      <c r="N261" s="286">
        <v>1.239251273283901E-2</v>
      </c>
      <c r="O261" s="286">
        <v>1.2593263146389018E-2</v>
      </c>
      <c r="P261" s="286">
        <v>1.2795518807058773E-2</v>
      </c>
      <c r="Q261" s="286">
        <v>1.3000748584343306E-2</v>
      </c>
      <c r="R261" s="286">
        <v>1.3206589898994581E-2</v>
      </c>
      <c r="S261" s="286">
        <v>1.3413934494407505E-2</v>
      </c>
      <c r="T261" s="286">
        <v>1.3623311320908946E-2</v>
      </c>
      <c r="U261" s="286">
        <v>1.3834021338197042E-2</v>
      </c>
      <c r="V261" s="286">
        <v>1.4045607368015309E-2</v>
      </c>
      <c r="W261" s="286">
        <v>1.4258363380898566E-2</v>
      </c>
      <c r="X261" s="286">
        <v>1.4471496934535567E-2</v>
      </c>
      <c r="Y261" s="286">
        <v>1.4685637263515886E-2</v>
      </c>
      <c r="Z261" s="286">
        <v>1.4900994768155408E-2</v>
      </c>
      <c r="AA261" s="286">
        <v>1.5115928522626016E-2</v>
      </c>
      <c r="AB261" s="286">
        <v>1.533199293299976E-2</v>
      </c>
      <c r="AC261" s="286">
        <v>1.5546593389773702E-2</v>
      </c>
      <c r="AD261" s="286">
        <v>1.57612056446962E-2</v>
      </c>
      <c r="AE261" s="286">
        <v>1.5973277364963297E-2</v>
      </c>
      <c r="AF261" s="286">
        <v>1.6183009119100422E-2</v>
      </c>
      <c r="AG261" s="286">
        <v>1.6390108902930835E-2</v>
      </c>
      <c r="AH261" s="286">
        <v>1.6593875709794616E-2</v>
      </c>
      <c r="AI261" s="286">
        <v>1.6794209255429036E-2</v>
      </c>
      <c r="AJ261" s="286">
        <v>1.6991862654983488E-2</v>
      </c>
      <c r="AK261" s="286">
        <v>1.7185890090215528E-2</v>
      </c>
      <c r="AL261" s="619"/>
      <c r="AM261" s="8"/>
    </row>
    <row r="262" spans="1:39" ht="14.25" customHeight="1">
      <c r="A262" s="619"/>
      <c r="B262" s="253"/>
      <c r="C262" s="258"/>
      <c r="D262" s="262" t="s">
        <v>144</v>
      </c>
      <c r="E262" s="394">
        <f>Electricidad!E307</f>
        <v>13.819867425169914</v>
      </c>
      <c r="F262" s="394">
        <f>Electricidad!F307</f>
        <v>14.708796505562336</v>
      </c>
      <c r="G262" s="394">
        <f>Electricidad!G307</f>
        <v>14.094719642734757</v>
      </c>
      <c r="H262" s="394">
        <f>Electricidad!H307</f>
        <v>14.423048127097751</v>
      </c>
      <c r="I262" s="282">
        <v>14.094719673844432</v>
      </c>
      <c r="J262" s="282">
        <v>14.094719673844432</v>
      </c>
      <c r="K262" s="282">
        <v>14.094719673844432</v>
      </c>
      <c r="L262" s="282">
        <v>14.094719673844432</v>
      </c>
      <c r="M262" s="282">
        <v>14.094719673844432</v>
      </c>
      <c r="N262" s="282">
        <v>14.094719673844432</v>
      </c>
      <c r="O262" s="282">
        <v>14.094719673844432</v>
      </c>
      <c r="P262" s="282">
        <v>14.094719673844432</v>
      </c>
      <c r="Q262" s="282">
        <v>14.094719673844432</v>
      </c>
      <c r="R262" s="282">
        <v>14.094719673844432</v>
      </c>
      <c r="S262" s="282">
        <v>14.094719673844432</v>
      </c>
      <c r="T262" s="282">
        <v>14.094719673844432</v>
      </c>
      <c r="U262" s="282">
        <v>14.094719673844432</v>
      </c>
      <c r="V262" s="282">
        <v>14.094719673844432</v>
      </c>
      <c r="W262" s="282">
        <v>14.094719673844432</v>
      </c>
      <c r="X262" s="282">
        <v>14.094719673844432</v>
      </c>
      <c r="Y262" s="282">
        <v>14.094719673844432</v>
      </c>
      <c r="Z262" s="282">
        <v>14.094719673844432</v>
      </c>
      <c r="AA262" s="282">
        <v>14.094719673844432</v>
      </c>
      <c r="AB262" s="282">
        <v>14.094719673844432</v>
      </c>
      <c r="AC262" s="282">
        <v>14.094719673844432</v>
      </c>
      <c r="AD262" s="282">
        <v>14.094719673844432</v>
      </c>
      <c r="AE262" s="282">
        <v>14.094719673844432</v>
      </c>
      <c r="AF262" s="282">
        <v>14.094719673844432</v>
      </c>
      <c r="AG262" s="282">
        <v>14.094719673844432</v>
      </c>
      <c r="AH262" s="282">
        <v>14.094719673844432</v>
      </c>
      <c r="AI262" s="282">
        <v>14.094719673844432</v>
      </c>
      <c r="AJ262" s="282">
        <v>14.094719673844432</v>
      </c>
      <c r="AK262" s="282">
        <v>14.094719673844432</v>
      </c>
      <c r="AL262" s="619"/>
      <c r="AM262" s="8"/>
    </row>
    <row r="263" spans="1:39" ht="14.25" customHeight="1">
      <c r="A263" s="619"/>
      <c r="B263" s="253"/>
      <c r="C263" s="258"/>
      <c r="D263" s="266" t="s">
        <v>145</v>
      </c>
      <c r="E263" s="395">
        <f>Electricidad!E308</f>
        <v>12.56787201616967</v>
      </c>
      <c r="F263" s="395">
        <f>Electricidad!F308</f>
        <v>13.5425032617628</v>
      </c>
      <c r="G263" s="395">
        <f>Electricidad!G308</f>
        <v>13.092180962536633</v>
      </c>
      <c r="H263" s="395">
        <f>Electricidad!H308</f>
        <v>13.180736524103695</v>
      </c>
      <c r="I263" s="268">
        <f t="shared" ref="I263:AK263" si="124">I265+I267+I269+I270+I271+I272</f>
        <v>12.989843564054119</v>
      </c>
      <c r="J263" s="268">
        <f t="shared" si="124"/>
        <v>12.994281033762396</v>
      </c>
      <c r="K263" s="268">
        <f t="shared" si="124"/>
        <v>12.998718503470675</v>
      </c>
      <c r="L263" s="268">
        <f t="shared" si="124"/>
        <v>13.003298825434124</v>
      </c>
      <c r="M263" s="268">
        <f t="shared" si="124"/>
        <v>13.015015275037614</v>
      </c>
      <c r="N263" s="268">
        <f t="shared" si="124"/>
        <v>13.02678321347881</v>
      </c>
      <c r="O263" s="268">
        <f t="shared" si="124"/>
        <v>13.038645293587249</v>
      </c>
      <c r="P263" s="268">
        <f t="shared" si="124"/>
        <v>13.050563044183347</v>
      </c>
      <c r="Q263" s="268">
        <f t="shared" si="124"/>
        <v>13.062590790354342</v>
      </c>
      <c r="R263" s="268">
        <f t="shared" si="124"/>
        <v>13.071891980408191</v>
      </c>
      <c r="S263" s="268">
        <f t="shared" si="124"/>
        <v>13.081248768225352</v>
      </c>
      <c r="T263" s="268">
        <f t="shared" si="124"/>
        <v>13.09068071665518</v>
      </c>
      <c r="U263" s="268">
        <f t="shared" si="124"/>
        <v>13.100161972192298</v>
      </c>
      <c r="V263" s="268">
        <f t="shared" si="124"/>
        <v>13.109675626426025</v>
      </c>
      <c r="W263" s="268">
        <f t="shared" si="124"/>
        <v>13.11923255164624</v>
      </c>
      <c r="X263" s="268">
        <f t="shared" si="124"/>
        <v>13.128803439941086</v>
      </c>
      <c r="Y263" s="268">
        <f t="shared" si="124"/>
        <v>13.138411563101618</v>
      </c>
      <c r="Z263" s="268">
        <f t="shared" si="124"/>
        <v>13.148064702632967</v>
      </c>
      <c r="AA263" s="268">
        <f t="shared" si="124"/>
        <v>13.157702170067529</v>
      </c>
      <c r="AB263" s="268">
        <f t="shared" si="124"/>
        <v>13.165923751405147</v>
      </c>
      <c r="AC263" s="268">
        <f t="shared" si="124"/>
        <v>13.174091189466395</v>
      </c>
      <c r="AD263" s="268">
        <f t="shared" si="124"/>
        <v>13.182259063873726</v>
      </c>
      <c r="AE263" s="268">
        <f t="shared" si="124"/>
        <v>13.19033297842468</v>
      </c>
      <c r="AF263" s="268">
        <f t="shared" si="124"/>
        <v>13.198320351002659</v>
      </c>
      <c r="AG263" s="268">
        <f t="shared" si="124"/>
        <v>13.206210382042125</v>
      </c>
      <c r="AH263" s="268">
        <f t="shared" si="124"/>
        <v>13.213977145313356</v>
      </c>
      <c r="AI263" s="268">
        <f t="shared" si="124"/>
        <v>13.221616931874657</v>
      </c>
      <c r="AJ263" s="268">
        <f t="shared" si="124"/>
        <v>13.229157595150943</v>
      </c>
      <c r="AK263" s="268">
        <f t="shared" si="124"/>
        <v>13.236564154731287</v>
      </c>
      <c r="AL263" s="619"/>
      <c r="AM263" s="8"/>
    </row>
    <row r="264" spans="1:39" ht="14.25" customHeight="1">
      <c r="A264" s="619"/>
      <c r="B264" s="253"/>
      <c r="C264" s="258"/>
      <c r="D264" s="285" t="s">
        <v>190</v>
      </c>
      <c r="E264" s="405">
        <f>Electricidad!E309</f>
        <v>0</v>
      </c>
      <c r="F264" s="405">
        <f>Electricidad!F309</f>
        <v>0</v>
      </c>
      <c r="G264" s="405">
        <f>Electricidad!G309</f>
        <v>0</v>
      </c>
      <c r="H264" s="405">
        <f>Electricidad!H309</f>
        <v>0</v>
      </c>
      <c r="I264" s="286"/>
      <c r="J264" s="286"/>
      <c r="K264" s="286"/>
      <c r="L264" s="286"/>
      <c r="M264" s="286"/>
      <c r="N264" s="286"/>
      <c r="O264" s="286"/>
      <c r="P264" s="286"/>
      <c r="Q264" s="286"/>
      <c r="R264" s="286"/>
      <c r="S264" s="286"/>
      <c r="T264" s="286"/>
      <c r="U264" s="286"/>
      <c r="V264" s="286"/>
      <c r="W264" s="286"/>
      <c r="X264" s="286"/>
      <c r="Y264" s="286"/>
      <c r="Z264" s="286"/>
      <c r="AA264" s="286"/>
      <c r="AB264" s="286"/>
      <c r="AC264" s="286"/>
      <c r="AD264" s="286"/>
      <c r="AE264" s="286"/>
      <c r="AF264" s="286"/>
      <c r="AG264" s="286"/>
      <c r="AH264" s="286"/>
      <c r="AI264" s="286"/>
      <c r="AJ264" s="286"/>
      <c r="AK264" s="286"/>
      <c r="AL264" s="619"/>
      <c r="AM264" s="8"/>
    </row>
    <row r="265" spans="1:39" ht="14.25" customHeight="1">
      <c r="A265" s="619"/>
      <c r="B265" s="253"/>
      <c r="C265" s="258" t="s">
        <v>200</v>
      </c>
      <c r="D265" s="281" t="s">
        <v>201</v>
      </c>
      <c r="E265" s="382">
        <f>Electricidad!E310</f>
        <v>0.43270039621413703</v>
      </c>
      <c r="F265" s="382">
        <f>Electricidad!F310</f>
        <v>0.39093061488840219</v>
      </c>
      <c r="G265" s="382">
        <f>Electricidad!G310</f>
        <v>0.43032588668140792</v>
      </c>
      <c r="H265" s="382">
        <f>Electricidad!H310</f>
        <v>5.4123072534759967E-2</v>
      </c>
      <c r="I265" s="256">
        <v>0.44357591519999989</v>
      </c>
      <c r="J265" s="256">
        <v>0.44357591519999989</v>
      </c>
      <c r="K265" s="256">
        <v>0.44357591519999989</v>
      </c>
      <c r="L265" s="256">
        <v>0.44371876745517086</v>
      </c>
      <c r="M265" s="256">
        <v>0.45099774735038434</v>
      </c>
      <c r="N265" s="256">
        <v>0.4583282160833021</v>
      </c>
      <c r="O265" s="256">
        <v>0.46575282648346278</v>
      </c>
      <c r="P265" s="256">
        <v>0.47323310737128255</v>
      </c>
      <c r="Q265" s="256">
        <v>0.48082338383400003</v>
      </c>
      <c r="R265" s="256">
        <v>0.48843627756864677</v>
      </c>
      <c r="S265" s="256">
        <v>0.4961047690666055</v>
      </c>
      <c r="T265" s="256">
        <v>0.50384842117722972</v>
      </c>
      <c r="U265" s="256">
        <v>0.51164138039514695</v>
      </c>
      <c r="V265" s="256">
        <v>0.51946673830967049</v>
      </c>
      <c r="W265" s="256">
        <v>0.52733536721068253</v>
      </c>
      <c r="X265" s="256">
        <v>0.53521795918632653</v>
      </c>
      <c r="Y265" s="256">
        <v>0.54313778602765472</v>
      </c>
      <c r="Z265" s="256">
        <v>0.55110262923980069</v>
      </c>
      <c r="AA265" s="256">
        <v>0.55905180035515945</v>
      </c>
      <c r="AB265" s="256">
        <v>0.56704278797006613</v>
      </c>
      <c r="AC265" s="256">
        <v>0.57497963230860161</v>
      </c>
      <c r="AD265" s="256">
        <v>0.58291691299321957</v>
      </c>
      <c r="AE265" s="256">
        <v>0.59076023382146192</v>
      </c>
      <c r="AF265" s="256">
        <v>0.59851701267672708</v>
      </c>
      <c r="AG265" s="256">
        <v>0.6061764499934793</v>
      </c>
      <c r="AH265" s="256">
        <v>0.61371261954199896</v>
      </c>
      <c r="AI265" s="256">
        <v>0.62112181238058728</v>
      </c>
      <c r="AJ265" s="256">
        <v>0.62843188193416022</v>
      </c>
      <c r="AK265" s="256">
        <v>0.63560784779179214</v>
      </c>
      <c r="AL265" s="619"/>
      <c r="AM265" s="8"/>
    </row>
    <row r="266" spans="1:39" ht="14.25" customHeight="1">
      <c r="A266" s="619"/>
      <c r="B266" s="253"/>
      <c r="C266" s="258"/>
      <c r="D266" s="285" t="s">
        <v>188</v>
      </c>
      <c r="E266" s="405">
        <f>Electricidad!E311</f>
        <v>0</v>
      </c>
      <c r="F266" s="405">
        <f>Electricidad!F311</f>
        <v>0</v>
      </c>
      <c r="G266" s="405">
        <f>Electricidad!G311</f>
        <v>0</v>
      </c>
      <c r="H266" s="405">
        <f>Electricidad!H311</f>
        <v>0</v>
      </c>
      <c r="I266" s="286"/>
      <c r="J266" s="286"/>
      <c r="K266" s="286"/>
      <c r="L266" s="286"/>
      <c r="M266" s="286"/>
      <c r="N266" s="286"/>
      <c r="O266" s="286"/>
      <c r="P266" s="286"/>
      <c r="Q266" s="286"/>
      <c r="R266" s="286"/>
      <c r="S266" s="286"/>
      <c r="T266" s="286"/>
      <c r="U266" s="286"/>
      <c r="V266" s="286"/>
      <c r="W266" s="286"/>
      <c r="X266" s="286"/>
      <c r="Y266" s="286"/>
      <c r="Z266" s="286"/>
      <c r="AA266" s="286"/>
      <c r="AB266" s="286"/>
      <c r="AC266" s="286"/>
      <c r="AD266" s="286"/>
      <c r="AE266" s="286"/>
      <c r="AF266" s="286"/>
      <c r="AG266" s="286"/>
      <c r="AH266" s="286"/>
      <c r="AI266" s="286"/>
      <c r="AJ266" s="286"/>
      <c r="AK266" s="286"/>
      <c r="AL266" s="619"/>
      <c r="AM266" s="8"/>
    </row>
    <row r="267" spans="1:39" ht="14.25" customHeight="1">
      <c r="A267" s="619"/>
      <c r="B267" s="253"/>
      <c r="C267" s="258" t="s">
        <v>202</v>
      </c>
      <c r="D267" s="281" t="s">
        <v>201</v>
      </c>
      <c r="E267" s="382">
        <f>Electricidad!E312</f>
        <v>0.16729498980591478</v>
      </c>
      <c r="F267" s="382">
        <f>Electricidad!F312</f>
        <v>0.17261134571738854</v>
      </c>
      <c r="G267" s="382">
        <f>Electricidad!G312</f>
        <v>0.15157285850587504</v>
      </c>
      <c r="H267" s="382">
        <f>Electricidad!H312</f>
        <v>0.1673302683041851</v>
      </c>
      <c r="I267" s="256">
        <v>0.17820808294654084</v>
      </c>
      <c r="J267" s="256">
        <v>0.18264555265481855</v>
      </c>
      <c r="K267" s="256">
        <v>0.18708302236309624</v>
      </c>
      <c r="L267" s="256">
        <v>0.19152049207137398</v>
      </c>
      <c r="M267" s="256">
        <v>0.19595796177965166</v>
      </c>
      <c r="N267" s="256">
        <v>0.20039543148792938</v>
      </c>
      <c r="O267" s="256">
        <v>0.20483290119620709</v>
      </c>
      <c r="P267" s="256">
        <v>0.2092703709044848</v>
      </c>
      <c r="Q267" s="256">
        <v>0.21370784061276249</v>
      </c>
      <c r="R267" s="256">
        <v>0.21539613693196513</v>
      </c>
      <c r="S267" s="256">
        <v>0.21708443325116772</v>
      </c>
      <c r="T267" s="256">
        <v>0.21877272957037042</v>
      </c>
      <c r="U267" s="256">
        <v>0.22046102588957309</v>
      </c>
      <c r="V267" s="256">
        <v>0.2221493222087757</v>
      </c>
      <c r="W267" s="256">
        <v>0.22383761852797837</v>
      </c>
      <c r="X267" s="256">
        <v>0.22552591484718101</v>
      </c>
      <c r="Y267" s="256">
        <v>0.22721421116638371</v>
      </c>
      <c r="Z267" s="256">
        <v>0.22890250748558638</v>
      </c>
      <c r="AA267" s="256">
        <v>0.23059080380478894</v>
      </c>
      <c r="AB267" s="256">
        <v>0.23082139752750158</v>
      </c>
      <c r="AC267" s="256">
        <v>0.23105199125021431</v>
      </c>
      <c r="AD267" s="256">
        <v>0.23128258497292697</v>
      </c>
      <c r="AE267" s="256">
        <v>0.2315131786956397</v>
      </c>
      <c r="AF267" s="256">
        <v>0.2317437724183524</v>
      </c>
      <c r="AG267" s="256">
        <v>0.23197436614106504</v>
      </c>
      <c r="AH267" s="256">
        <v>0.23220495986377776</v>
      </c>
      <c r="AI267" s="256">
        <v>0.23243555358649037</v>
      </c>
      <c r="AJ267" s="256">
        <v>0.23266614730920315</v>
      </c>
      <c r="AK267" s="256">
        <v>0.2328967410319156</v>
      </c>
      <c r="AL267" s="619"/>
      <c r="AM267" s="8"/>
    </row>
    <row r="268" spans="1:39" ht="14.25" customHeight="1">
      <c r="A268" s="619"/>
      <c r="B268" s="253"/>
      <c r="C268" s="258"/>
      <c r="D268" s="285" t="s">
        <v>203</v>
      </c>
      <c r="E268" s="405">
        <f>Electricidad!E313</f>
        <v>0</v>
      </c>
      <c r="F268" s="405">
        <f>Electricidad!F313</f>
        <v>0</v>
      </c>
      <c r="G268" s="405">
        <f>Electricidad!G313</f>
        <v>0</v>
      </c>
      <c r="H268" s="405">
        <f>Electricidad!H313</f>
        <v>0</v>
      </c>
      <c r="I268" s="286"/>
      <c r="J268" s="286"/>
      <c r="K268" s="286"/>
      <c r="L268" s="286"/>
      <c r="M268" s="286"/>
      <c r="N268" s="286"/>
      <c r="O268" s="286"/>
      <c r="P268" s="286"/>
      <c r="Q268" s="286"/>
      <c r="R268" s="286"/>
      <c r="S268" s="286"/>
      <c r="T268" s="286"/>
      <c r="U268" s="286"/>
      <c r="V268" s="286"/>
      <c r="W268" s="286"/>
      <c r="X268" s="286"/>
      <c r="Y268" s="286"/>
      <c r="Z268" s="286"/>
      <c r="AA268" s="286"/>
      <c r="AB268" s="286"/>
      <c r="AC268" s="286"/>
      <c r="AD268" s="286"/>
      <c r="AE268" s="286"/>
      <c r="AF268" s="286"/>
      <c r="AG268" s="286"/>
      <c r="AH268" s="286"/>
      <c r="AI268" s="286"/>
      <c r="AJ268" s="286"/>
      <c r="AK268" s="286"/>
      <c r="AL268" s="619"/>
      <c r="AM268" s="8"/>
    </row>
    <row r="269" spans="1:39" ht="14.25" customHeight="1">
      <c r="A269" s="619"/>
      <c r="B269" s="253"/>
      <c r="C269" s="258" t="s">
        <v>204</v>
      </c>
      <c r="D269" s="281" t="s">
        <v>205</v>
      </c>
      <c r="E269" s="408">
        <f>Electricidad!E314</f>
        <v>6.1733477417638296</v>
      </c>
      <c r="F269" s="408">
        <f>Electricidad!F314</f>
        <v>6.0833170956848344</v>
      </c>
      <c r="G269" s="408">
        <f>Electricidad!G314</f>
        <v>5.888688991034396</v>
      </c>
      <c r="H269" s="408">
        <f>Electricidad!H314</f>
        <v>6.2429099765640172</v>
      </c>
      <c r="I269" s="256">
        <v>5.8680445569034152</v>
      </c>
      <c r="J269" s="256">
        <v>5.8680445569034152</v>
      </c>
      <c r="K269" s="256">
        <v>5.8680445569034152</v>
      </c>
      <c r="L269" s="256">
        <v>5.8680445569034152</v>
      </c>
      <c r="M269" s="256">
        <v>5.8680445569034152</v>
      </c>
      <c r="N269" s="256">
        <v>5.8680445569034152</v>
      </c>
      <c r="O269" s="256">
        <v>5.8680445569034152</v>
      </c>
      <c r="P269" s="256">
        <v>5.8680445569034152</v>
      </c>
      <c r="Q269" s="256">
        <v>5.8680445569034152</v>
      </c>
      <c r="R269" s="256">
        <v>5.8680445569034152</v>
      </c>
      <c r="S269" s="256">
        <v>5.8680445569034152</v>
      </c>
      <c r="T269" s="256">
        <v>5.8680445569034152</v>
      </c>
      <c r="U269" s="256">
        <v>5.8680445569034152</v>
      </c>
      <c r="V269" s="256">
        <v>5.8680445569034152</v>
      </c>
      <c r="W269" s="256">
        <v>5.8680445569034152</v>
      </c>
      <c r="X269" s="256">
        <v>5.8680445569034152</v>
      </c>
      <c r="Y269" s="256">
        <v>5.8680445569034152</v>
      </c>
      <c r="Z269" s="256">
        <v>5.8680445569034152</v>
      </c>
      <c r="AA269" s="256">
        <v>5.8680445569034152</v>
      </c>
      <c r="AB269" s="256">
        <v>5.8680445569034152</v>
      </c>
      <c r="AC269" s="256">
        <v>5.8680445569034152</v>
      </c>
      <c r="AD269" s="256">
        <v>5.8680445569034152</v>
      </c>
      <c r="AE269" s="256">
        <v>5.8680445569034152</v>
      </c>
      <c r="AF269" s="256">
        <v>5.8680445569034152</v>
      </c>
      <c r="AG269" s="256">
        <v>5.8680445569034152</v>
      </c>
      <c r="AH269" s="256">
        <v>5.8680445569034152</v>
      </c>
      <c r="AI269" s="256">
        <v>5.8680445569034152</v>
      </c>
      <c r="AJ269" s="256">
        <v>5.8680445569034152</v>
      </c>
      <c r="AK269" s="256">
        <v>5.8680445569034152</v>
      </c>
      <c r="AL269" s="619"/>
      <c r="AM269" s="8"/>
    </row>
    <row r="270" spans="1:39" ht="14.25" customHeight="1">
      <c r="A270" s="619"/>
      <c r="B270" s="253"/>
      <c r="C270" s="258" t="s">
        <v>206</v>
      </c>
      <c r="D270" s="281" t="s">
        <v>201</v>
      </c>
      <c r="E270" s="408">
        <f>Electricidad!E315</f>
        <v>3.3806036127133026</v>
      </c>
      <c r="F270" s="408">
        <f>Electricidad!F315</f>
        <v>4.6115294101722144</v>
      </c>
      <c r="G270" s="385">
        <f>Electricidad!G315</f>
        <v>4.3923622974545813</v>
      </c>
      <c r="H270" s="408">
        <f>Electricidad!H315</f>
        <v>4.2525678199035006</v>
      </c>
      <c r="I270" s="256">
        <f t="shared" ref="I270:AK270" si="125">H270</f>
        <v>4.2525678199035006</v>
      </c>
      <c r="J270" s="256">
        <f t="shared" si="125"/>
        <v>4.2525678199035006</v>
      </c>
      <c r="K270" s="256">
        <f t="shared" si="125"/>
        <v>4.2525678199035006</v>
      </c>
      <c r="L270" s="256">
        <f t="shared" si="125"/>
        <v>4.2525678199035006</v>
      </c>
      <c r="M270" s="256">
        <f t="shared" si="125"/>
        <v>4.2525678199035006</v>
      </c>
      <c r="N270" s="256">
        <f t="shared" si="125"/>
        <v>4.2525678199035006</v>
      </c>
      <c r="O270" s="256">
        <f t="shared" si="125"/>
        <v>4.2525678199035006</v>
      </c>
      <c r="P270" s="256">
        <f t="shared" si="125"/>
        <v>4.2525678199035006</v>
      </c>
      <c r="Q270" s="256">
        <f t="shared" si="125"/>
        <v>4.2525678199035006</v>
      </c>
      <c r="R270" s="256">
        <f t="shared" si="125"/>
        <v>4.2525678199035006</v>
      </c>
      <c r="S270" s="256">
        <f t="shared" si="125"/>
        <v>4.2525678199035006</v>
      </c>
      <c r="T270" s="256">
        <f t="shared" si="125"/>
        <v>4.2525678199035006</v>
      </c>
      <c r="U270" s="256">
        <f t="shared" si="125"/>
        <v>4.2525678199035006</v>
      </c>
      <c r="V270" s="256">
        <f t="shared" si="125"/>
        <v>4.2525678199035006</v>
      </c>
      <c r="W270" s="256">
        <f t="shared" si="125"/>
        <v>4.2525678199035006</v>
      </c>
      <c r="X270" s="256">
        <f t="shared" si="125"/>
        <v>4.2525678199035006</v>
      </c>
      <c r="Y270" s="256">
        <f t="shared" si="125"/>
        <v>4.2525678199035006</v>
      </c>
      <c r="Z270" s="256">
        <f t="shared" si="125"/>
        <v>4.2525678199035006</v>
      </c>
      <c r="AA270" s="256">
        <f t="shared" si="125"/>
        <v>4.2525678199035006</v>
      </c>
      <c r="AB270" s="256">
        <f t="shared" si="125"/>
        <v>4.2525678199035006</v>
      </c>
      <c r="AC270" s="256">
        <f t="shared" si="125"/>
        <v>4.2525678199035006</v>
      </c>
      <c r="AD270" s="256">
        <f t="shared" si="125"/>
        <v>4.2525678199035006</v>
      </c>
      <c r="AE270" s="256">
        <f t="shared" si="125"/>
        <v>4.2525678199035006</v>
      </c>
      <c r="AF270" s="256">
        <f t="shared" si="125"/>
        <v>4.2525678199035006</v>
      </c>
      <c r="AG270" s="256">
        <f t="shared" si="125"/>
        <v>4.2525678199035006</v>
      </c>
      <c r="AH270" s="256">
        <f t="shared" si="125"/>
        <v>4.2525678199035006</v>
      </c>
      <c r="AI270" s="256">
        <f t="shared" si="125"/>
        <v>4.2525678199035006</v>
      </c>
      <c r="AJ270" s="256">
        <f t="shared" si="125"/>
        <v>4.2525678199035006</v>
      </c>
      <c r="AK270" s="256">
        <f t="shared" si="125"/>
        <v>4.2525678199035006</v>
      </c>
      <c r="AL270" s="619"/>
      <c r="AM270" s="8"/>
    </row>
    <row r="271" spans="1:39" ht="14.25" customHeight="1">
      <c r="A271" s="619"/>
      <c r="B271" s="253"/>
      <c r="C271" s="258" t="s">
        <v>207</v>
      </c>
      <c r="D271" s="281" t="s">
        <v>208</v>
      </c>
      <c r="E271" s="408">
        <f>Electricidad!E316</f>
        <v>0.2575263520496211</v>
      </c>
      <c r="F271" s="408">
        <f>Electricidad!F316</f>
        <v>0.23785670320179342</v>
      </c>
      <c r="G271" s="408">
        <f>Electricidad!G316</f>
        <v>0.24978138552478479</v>
      </c>
      <c r="H271" s="408">
        <f>Electricidad!H316</f>
        <v>0.25535890608017148</v>
      </c>
      <c r="I271" s="256">
        <v>0.24978138552478479</v>
      </c>
      <c r="J271" s="256">
        <v>0.24978138552478479</v>
      </c>
      <c r="K271" s="256">
        <v>0.24978138552478479</v>
      </c>
      <c r="L271" s="256">
        <v>0.24978138552478479</v>
      </c>
      <c r="M271" s="256">
        <v>0.24978138552478479</v>
      </c>
      <c r="N271" s="256">
        <v>0.24978138552478479</v>
      </c>
      <c r="O271" s="256">
        <v>0.24978138552478479</v>
      </c>
      <c r="P271" s="256">
        <v>0.24978138552478479</v>
      </c>
      <c r="Q271" s="256">
        <v>0.24978138552478479</v>
      </c>
      <c r="R271" s="256">
        <v>0.24978138552478479</v>
      </c>
      <c r="S271" s="256">
        <v>0.24978138552478479</v>
      </c>
      <c r="T271" s="256">
        <v>0.24978138552478479</v>
      </c>
      <c r="U271" s="256">
        <v>0.24978138552478479</v>
      </c>
      <c r="V271" s="256">
        <v>0.24978138552478479</v>
      </c>
      <c r="W271" s="256">
        <v>0.24978138552478479</v>
      </c>
      <c r="X271" s="256">
        <v>0.24978138552478479</v>
      </c>
      <c r="Y271" s="256">
        <v>0.24978138552478479</v>
      </c>
      <c r="Z271" s="256">
        <v>0.24978138552478479</v>
      </c>
      <c r="AA271" s="256">
        <v>0.24978138552478479</v>
      </c>
      <c r="AB271" s="256">
        <v>0.24978138552478479</v>
      </c>
      <c r="AC271" s="256">
        <v>0.24978138552478479</v>
      </c>
      <c r="AD271" s="256">
        <v>0.24978138552478479</v>
      </c>
      <c r="AE271" s="256">
        <v>0.24978138552478479</v>
      </c>
      <c r="AF271" s="256">
        <v>0.24978138552478479</v>
      </c>
      <c r="AG271" s="256">
        <v>0.24978138552478479</v>
      </c>
      <c r="AH271" s="256">
        <v>0.24978138552478479</v>
      </c>
      <c r="AI271" s="256">
        <v>0.24978138552478479</v>
      </c>
      <c r="AJ271" s="256">
        <v>0.24978138552478479</v>
      </c>
      <c r="AK271" s="256">
        <v>0.24978138552478479</v>
      </c>
      <c r="AL271" s="619"/>
      <c r="AM271" s="8"/>
    </row>
    <row r="272" spans="1:39" ht="14.25" customHeight="1">
      <c r="A272" s="619"/>
      <c r="B272" s="253"/>
      <c r="C272" s="258" t="s">
        <v>209</v>
      </c>
      <c r="D272" s="281" t="s">
        <v>210</v>
      </c>
      <c r="E272" s="408">
        <f>Electricidad!E317</f>
        <v>2.1563989236228625</v>
      </c>
      <c r="F272" s="408">
        <f>Electricidad!F317</f>
        <v>2.0462580920981668</v>
      </c>
      <c r="G272" s="408">
        <f>Electricidad!G317</f>
        <v>1.9794495433355883</v>
      </c>
      <c r="H272" s="408">
        <f>Electricidad!H317</f>
        <v>2.2084464807170594</v>
      </c>
      <c r="I272" s="256">
        <v>1.9976658035758785</v>
      </c>
      <c r="J272" s="256">
        <v>1.9976658035758785</v>
      </c>
      <c r="K272" s="256">
        <v>1.9976658035758785</v>
      </c>
      <c r="L272" s="256">
        <v>1.9976658035758785</v>
      </c>
      <c r="M272" s="256">
        <v>1.9976658035758785</v>
      </c>
      <c r="N272" s="256">
        <v>1.9976658035758785</v>
      </c>
      <c r="O272" s="256">
        <v>1.9976658035758785</v>
      </c>
      <c r="P272" s="256">
        <v>1.9976658035758785</v>
      </c>
      <c r="Q272" s="256">
        <v>1.9976658035758785</v>
      </c>
      <c r="R272" s="256">
        <v>1.9976658035758785</v>
      </c>
      <c r="S272" s="256">
        <v>1.9976658035758785</v>
      </c>
      <c r="T272" s="256">
        <v>1.9976658035758785</v>
      </c>
      <c r="U272" s="256">
        <v>1.9976658035758785</v>
      </c>
      <c r="V272" s="256">
        <v>1.9976658035758785</v>
      </c>
      <c r="W272" s="256">
        <v>1.9976658035758785</v>
      </c>
      <c r="X272" s="256">
        <v>1.9976658035758785</v>
      </c>
      <c r="Y272" s="256">
        <v>1.9976658035758785</v>
      </c>
      <c r="Z272" s="256">
        <v>1.9976658035758785</v>
      </c>
      <c r="AA272" s="256">
        <v>1.9976658035758785</v>
      </c>
      <c r="AB272" s="256">
        <v>1.9976658035758785</v>
      </c>
      <c r="AC272" s="256">
        <v>1.9976658035758785</v>
      </c>
      <c r="AD272" s="256">
        <v>1.9976658035758785</v>
      </c>
      <c r="AE272" s="256">
        <v>1.9976658035758785</v>
      </c>
      <c r="AF272" s="256">
        <v>1.9976658035758785</v>
      </c>
      <c r="AG272" s="256">
        <v>1.9976658035758785</v>
      </c>
      <c r="AH272" s="256">
        <v>1.9976658035758785</v>
      </c>
      <c r="AI272" s="256">
        <v>1.9976658035758785</v>
      </c>
      <c r="AJ272" s="256">
        <v>1.9976658035758785</v>
      </c>
      <c r="AK272" s="256">
        <v>1.9976658035758785</v>
      </c>
      <c r="AL272" s="619"/>
      <c r="AM272" s="8"/>
    </row>
    <row r="273" spans="1:39" ht="14.25" customHeight="1">
      <c r="A273" s="619"/>
      <c r="B273" s="253"/>
      <c r="C273" s="258"/>
      <c r="D273" s="266" t="s">
        <v>153</v>
      </c>
      <c r="E273" s="409">
        <f>Electricidad!E318</f>
        <v>1.1462218025423112</v>
      </c>
      <c r="F273" s="409">
        <f>Electricidad!F318</f>
        <v>1.0688304207061539</v>
      </c>
      <c r="G273" s="409">
        <f>Electricidad!G318</f>
        <v>0.98431388780542295</v>
      </c>
      <c r="H273" s="409">
        <f>Electricidad!H318</f>
        <v>1.1415192068003743</v>
      </c>
      <c r="I273" s="268">
        <f t="shared" ref="I273:AK273" si="126">I275+I276+I277</f>
        <v>0.98622459003957852</v>
      </c>
      <c r="J273" s="268">
        <f t="shared" si="126"/>
        <v>0.98622459003957852</v>
      </c>
      <c r="K273" s="268">
        <f t="shared" si="126"/>
        <v>0.98622459003957852</v>
      </c>
      <c r="L273" s="268">
        <f t="shared" si="126"/>
        <v>0.98622459003957852</v>
      </c>
      <c r="M273" s="268">
        <f t="shared" si="126"/>
        <v>0.98622459003957852</v>
      </c>
      <c r="N273" s="268">
        <f t="shared" si="126"/>
        <v>0.98622459003957852</v>
      </c>
      <c r="O273" s="268">
        <f t="shared" si="126"/>
        <v>0.98622459003957852</v>
      </c>
      <c r="P273" s="268">
        <f t="shared" si="126"/>
        <v>0.98622459003957852</v>
      </c>
      <c r="Q273" s="268">
        <f t="shared" si="126"/>
        <v>0.98622459003957852</v>
      </c>
      <c r="R273" s="268">
        <f t="shared" si="126"/>
        <v>0.98622459003957852</v>
      </c>
      <c r="S273" s="268">
        <f t="shared" si="126"/>
        <v>0.98622459003957852</v>
      </c>
      <c r="T273" s="268">
        <f t="shared" si="126"/>
        <v>0.98622459003957852</v>
      </c>
      <c r="U273" s="268">
        <f t="shared" si="126"/>
        <v>0.98622459003957852</v>
      </c>
      <c r="V273" s="268">
        <f t="shared" si="126"/>
        <v>0.98622459003957852</v>
      </c>
      <c r="W273" s="268">
        <f t="shared" si="126"/>
        <v>0.98622459003957852</v>
      </c>
      <c r="X273" s="268">
        <f t="shared" si="126"/>
        <v>0.98622459003957852</v>
      </c>
      <c r="Y273" s="268">
        <f t="shared" si="126"/>
        <v>0.98622459003957852</v>
      </c>
      <c r="Z273" s="268">
        <f t="shared" si="126"/>
        <v>0.98622459003957852</v>
      </c>
      <c r="AA273" s="268">
        <f t="shared" si="126"/>
        <v>0.98622459003957852</v>
      </c>
      <c r="AB273" s="268">
        <f t="shared" si="126"/>
        <v>0.98622459003957852</v>
      </c>
      <c r="AC273" s="268">
        <f t="shared" si="126"/>
        <v>0.98622459003957852</v>
      </c>
      <c r="AD273" s="268">
        <f t="shared" si="126"/>
        <v>0.98622459003957852</v>
      </c>
      <c r="AE273" s="268">
        <f t="shared" si="126"/>
        <v>0.98622459003957852</v>
      </c>
      <c r="AF273" s="268">
        <f t="shared" si="126"/>
        <v>0.98622459003957852</v>
      </c>
      <c r="AG273" s="268">
        <f t="shared" si="126"/>
        <v>0.98622459003957852</v>
      </c>
      <c r="AH273" s="268">
        <f t="shared" si="126"/>
        <v>0.98622459003957852</v>
      </c>
      <c r="AI273" s="268">
        <f t="shared" si="126"/>
        <v>0.98622459003957852</v>
      </c>
      <c r="AJ273" s="268">
        <f t="shared" si="126"/>
        <v>0.98622459003957852</v>
      </c>
      <c r="AK273" s="268">
        <f t="shared" si="126"/>
        <v>0.98622459003957852</v>
      </c>
      <c r="AL273" s="619"/>
      <c r="AM273" s="8"/>
    </row>
    <row r="274" spans="1:39" ht="14.25" customHeight="1">
      <c r="A274" s="619"/>
      <c r="B274" s="253"/>
      <c r="C274" s="258"/>
      <c r="D274" s="285" t="s">
        <v>203</v>
      </c>
      <c r="E274" s="410">
        <f>Electricidad!E319</f>
        <v>0</v>
      </c>
      <c r="F274" s="410">
        <f>Electricidad!F319</f>
        <v>0</v>
      </c>
      <c r="G274" s="410">
        <f>Electricidad!G319</f>
        <v>0</v>
      </c>
      <c r="H274" s="410">
        <f>Electricidad!H319</f>
        <v>0</v>
      </c>
      <c r="I274" s="286"/>
      <c r="J274" s="286"/>
      <c r="K274" s="286"/>
      <c r="L274" s="286"/>
      <c r="M274" s="286"/>
      <c r="N274" s="286"/>
      <c r="O274" s="286"/>
      <c r="P274" s="286"/>
      <c r="Q274" s="286"/>
      <c r="R274" s="286"/>
      <c r="S274" s="286"/>
      <c r="T274" s="286"/>
      <c r="U274" s="286"/>
      <c r="V274" s="286"/>
      <c r="W274" s="286"/>
      <c r="X274" s="286"/>
      <c r="Y274" s="286"/>
      <c r="Z274" s="286"/>
      <c r="AA274" s="286"/>
      <c r="AB274" s="286"/>
      <c r="AC274" s="286"/>
      <c r="AD274" s="286"/>
      <c r="AE274" s="286"/>
      <c r="AF274" s="286"/>
      <c r="AG274" s="286"/>
      <c r="AH274" s="286"/>
      <c r="AI274" s="286"/>
      <c r="AJ274" s="286"/>
      <c r="AK274" s="286"/>
      <c r="AL274" s="619"/>
      <c r="AM274" s="8"/>
    </row>
    <row r="275" spans="1:39" ht="14.25" customHeight="1">
      <c r="A275" s="619"/>
      <c r="B275" s="253"/>
      <c r="C275" s="258" t="s">
        <v>211</v>
      </c>
      <c r="D275" s="281" t="s">
        <v>201</v>
      </c>
      <c r="E275" s="408">
        <f>Electricidad!E320</f>
        <v>0.56457202108179305</v>
      </c>
      <c r="F275" s="408">
        <f>Electricidad!F320</f>
        <v>0.55416591293809569</v>
      </c>
      <c r="G275" s="408">
        <f>Electricidad!G320</f>
        <v>0.49379485713910076</v>
      </c>
      <c r="H275" s="408">
        <f>Electricidad!H320</f>
        <v>0.50357343277808397</v>
      </c>
      <c r="I275" s="26">
        <v>0.49325715305315593</v>
      </c>
      <c r="J275" s="26">
        <v>0.49325715305315593</v>
      </c>
      <c r="K275" s="26">
        <v>0.49325715305315593</v>
      </c>
      <c r="L275" s="26">
        <v>0.49325715305315593</v>
      </c>
      <c r="M275" s="26">
        <v>0.49325715305315593</v>
      </c>
      <c r="N275" s="26">
        <v>0.49325715305315593</v>
      </c>
      <c r="O275" s="26">
        <v>0.49325715305315593</v>
      </c>
      <c r="P275" s="26">
        <v>0.49325715305315593</v>
      </c>
      <c r="Q275" s="26">
        <v>0.49325715305315593</v>
      </c>
      <c r="R275" s="26">
        <v>0.49325715305315593</v>
      </c>
      <c r="S275" s="26">
        <v>0.49325715305315593</v>
      </c>
      <c r="T275" s="26">
        <v>0.49325715305315593</v>
      </c>
      <c r="U275" s="26">
        <v>0.49325715305315593</v>
      </c>
      <c r="V275" s="26">
        <v>0.49325715305315593</v>
      </c>
      <c r="W275" s="26">
        <v>0.49325715305315593</v>
      </c>
      <c r="X275" s="26">
        <v>0.49325715305315593</v>
      </c>
      <c r="Y275" s="26">
        <v>0.49325715305315593</v>
      </c>
      <c r="Z275" s="26">
        <v>0.49325715305315593</v>
      </c>
      <c r="AA275" s="26">
        <v>0.49325715305315593</v>
      </c>
      <c r="AB275" s="26">
        <v>0.49325715305315593</v>
      </c>
      <c r="AC275" s="26">
        <v>0.49325715305315593</v>
      </c>
      <c r="AD275" s="26">
        <v>0.49325715305315593</v>
      </c>
      <c r="AE275" s="26">
        <v>0.49325715305315593</v>
      </c>
      <c r="AF275" s="26">
        <v>0.49325715305315593</v>
      </c>
      <c r="AG275" s="26">
        <v>0.49325715305315593</v>
      </c>
      <c r="AH275" s="26">
        <v>0.49325715305315593</v>
      </c>
      <c r="AI275" s="26">
        <v>0.49325715305315593</v>
      </c>
      <c r="AJ275" s="26">
        <v>0.49325715305315593</v>
      </c>
      <c r="AK275" s="26">
        <v>0.49325715305315593</v>
      </c>
      <c r="AL275" s="619"/>
      <c r="AM275" s="8"/>
    </row>
    <row r="276" spans="1:39" ht="14.25" customHeight="1">
      <c r="A276" s="619"/>
      <c r="B276" s="253"/>
      <c r="C276" s="258" t="s">
        <v>212</v>
      </c>
      <c r="D276" s="281" t="s">
        <v>210</v>
      </c>
      <c r="E276" s="408">
        <f>Electricidad!E321</f>
        <v>0.53543750866355</v>
      </c>
      <c r="F276" s="408">
        <f>Electricidad!F321</f>
        <v>0.48766237686504016</v>
      </c>
      <c r="G276" s="408">
        <f>Electricidad!G321</f>
        <v>0.46653296939210137</v>
      </c>
      <c r="H276" s="408">
        <f>Electricidad!H321</f>
        <v>0.63096614789726968</v>
      </c>
      <c r="I276" s="26">
        <v>0.44833693723874701</v>
      </c>
      <c r="J276" s="26">
        <v>0.44833693723874701</v>
      </c>
      <c r="K276" s="26">
        <v>0.44833693723874701</v>
      </c>
      <c r="L276" s="26">
        <v>0.44833693723874701</v>
      </c>
      <c r="M276" s="26">
        <v>0.44833693723874701</v>
      </c>
      <c r="N276" s="26">
        <v>0.44833693723874701</v>
      </c>
      <c r="O276" s="26">
        <v>0.44833693723874701</v>
      </c>
      <c r="P276" s="26">
        <v>0.44833693723874701</v>
      </c>
      <c r="Q276" s="26">
        <v>0.44833693723874701</v>
      </c>
      <c r="R276" s="26">
        <v>0.44833693723874701</v>
      </c>
      <c r="S276" s="26">
        <v>0.44833693723874701</v>
      </c>
      <c r="T276" s="26">
        <v>0.44833693723874701</v>
      </c>
      <c r="U276" s="26">
        <v>0.44833693723874701</v>
      </c>
      <c r="V276" s="26">
        <v>0.44833693723874701</v>
      </c>
      <c r="W276" s="26">
        <v>0.44833693723874701</v>
      </c>
      <c r="X276" s="26">
        <v>0.44833693723874701</v>
      </c>
      <c r="Y276" s="26">
        <v>0.44833693723874701</v>
      </c>
      <c r="Z276" s="26">
        <v>0.44833693723874701</v>
      </c>
      <c r="AA276" s="26">
        <v>0.44833693723874701</v>
      </c>
      <c r="AB276" s="26">
        <v>0.44833693723874701</v>
      </c>
      <c r="AC276" s="26">
        <v>0.44833693723874701</v>
      </c>
      <c r="AD276" s="26">
        <v>0.44833693723874701</v>
      </c>
      <c r="AE276" s="26">
        <v>0.44833693723874701</v>
      </c>
      <c r="AF276" s="26">
        <v>0.44833693723874701</v>
      </c>
      <c r="AG276" s="26">
        <v>0.44833693723874701</v>
      </c>
      <c r="AH276" s="26">
        <v>0.44833693723874701</v>
      </c>
      <c r="AI276" s="26">
        <v>0.44833693723874701</v>
      </c>
      <c r="AJ276" s="26">
        <v>0.44833693723874701</v>
      </c>
      <c r="AK276" s="26">
        <v>0.44833693723874701</v>
      </c>
      <c r="AL276" s="619"/>
      <c r="AM276" s="8"/>
    </row>
    <row r="277" spans="1:39" ht="14.25" customHeight="1">
      <c r="A277" s="619"/>
      <c r="B277" s="253"/>
      <c r="C277" s="258" t="s">
        <v>213</v>
      </c>
      <c r="D277" s="281" t="s">
        <v>205</v>
      </c>
      <c r="E277" s="408">
        <f>Electricidad!E322</f>
        <v>4.6212272796968046E-2</v>
      </c>
      <c r="F277" s="408">
        <f>Electricidad!F322</f>
        <v>2.7002130903017896E-2</v>
      </c>
      <c r="G277" s="408">
        <f>Electricidad!G322</f>
        <v>2.3986061274220826E-2</v>
      </c>
      <c r="H277" s="408">
        <f>Electricidad!H322</f>
        <v>6.9796261250205226E-3</v>
      </c>
      <c r="I277" s="26">
        <v>4.4630499747675641E-2</v>
      </c>
      <c r="J277" s="26">
        <v>4.4630499747675641E-2</v>
      </c>
      <c r="K277" s="26">
        <v>4.4630499747675641E-2</v>
      </c>
      <c r="L277" s="26">
        <v>4.4630499747675641E-2</v>
      </c>
      <c r="M277" s="26">
        <v>4.4630499747675641E-2</v>
      </c>
      <c r="N277" s="26">
        <v>4.4630499747675641E-2</v>
      </c>
      <c r="O277" s="26">
        <v>4.4630499747675641E-2</v>
      </c>
      <c r="P277" s="26">
        <v>4.4630499747675641E-2</v>
      </c>
      <c r="Q277" s="26">
        <v>4.4630499747675641E-2</v>
      </c>
      <c r="R277" s="26">
        <v>4.4630499747675641E-2</v>
      </c>
      <c r="S277" s="26">
        <v>4.4630499747675641E-2</v>
      </c>
      <c r="T277" s="26">
        <v>4.4630499747675641E-2</v>
      </c>
      <c r="U277" s="26">
        <v>4.4630499747675641E-2</v>
      </c>
      <c r="V277" s="26">
        <v>4.4630499747675641E-2</v>
      </c>
      <c r="W277" s="26">
        <v>4.4630499747675641E-2</v>
      </c>
      <c r="X277" s="26">
        <v>4.4630499747675641E-2</v>
      </c>
      <c r="Y277" s="26">
        <v>4.4630499747675641E-2</v>
      </c>
      <c r="Z277" s="26">
        <v>4.4630499747675641E-2</v>
      </c>
      <c r="AA277" s="26">
        <v>4.4630499747675641E-2</v>
      </c>
      <c r="AB277" s="26">
        <v>4.4630499747675641E-2</v>
      </c>
      <c r="AC277" s="26">
        <v>4.4630499747675641E-2</v>
      </c>
      <c r="AD277" s="26">
        <v>4.4630499747675641E-2</v>
      </c>
      <c r="AE277" s="26">
        <v>4.4630499747675641E-2</v>
      </c>
      <c r="AF277" s="26">
        <v>4.4630499747675641E-2</v>
      </c>
      <c r="AG277" s="26">
        <v>4.4630499747675641E-2</v>
      </c>
      <c r="AH277" s="26">
        <v>4.4630499747675641E-2</v>
      </c>
      <c r="AI277" s="26">
        <v>4.4630499747675641E-2</v>
      </c>
      <c r="AJ277" s="26">
        <v>4.4630499747675641E-2</v>
      </c>
      <c r="AK277" s="26">
        <v>4.4630499747675641E-2</v>
      </c>
      <c r="AL277" s="619"/>
      <c r="AM277" s="8"/>
    </row>
    <row r="278" spans="1:39" ht="14.25" customHeight="1">
      <c r="A278" s="619"/>
      <c r="B278" s="253"/>
      <c r="C278" s="258"/>
      <c r="D278" s="266" t="s">
        <v>158</v>
      </c>
      <c r="E278" s="395">
        <f>Electricidad!E323</f>
        <v>0.10577360645793345</v>
      </c>
      <c r="F278" s="395">
        <f>Electricidad!F323</f>
        <v>9.7462823093381765E-2</v>
      </c>
      <c r="G278" s="395">
        <f>Electricidad!G323</f>
        <v>1.8224792392701895E-2</v>
      </c>
      <c r="H278" s="395">
        <f>Electricidad!H323</f>
        <v>0.10079239619368158</v>
      </c>
      <c r="I278" s="268">
        <f t="shared" ref="I278:AK278" si="127">I280+I282+I284</f>
        <v>1.8204573084255795E-2</v>
      </c>
      <c r="J278" s="268">
        <f t="shared" si="127"/>
        <v>1.8204573084255795E-2</v>
      </c>
      <c r="K278" s="268">
        <f t="shared" si="127"/>
        <v>1.8204573084255795E-2</v>
      </c>
      <c r="L278" s="268">
        <f t="shared" si="127"/>
        <v>1.8204573084255795E-2</v>
      </c>
      <c r="M278" s="268">
        <f t="shared" si="127"/>
        <v>1.8204573084255795E-2</v>
      </c>
      <c r="N278" s="268">
        <f t="shared" si="127"/>
        <v>1.8204573084255795E-2</v>
      </c>
      <c r="O278" s="268">
        <f t="shared" si="127"/>
        <v>1.8204573084255795E-2</v>
      </c>
      <c r="P278" s="268">
        <f t="shared" si="127"/>
        <v>1.8204573084255795E-2</v>
      </c>
      <c r="Q278" s="268">
        <f t="shared" si="127"/>
        <v>1.8204573084255795E-2</v>
      </c>
      <c r="R278" s="268">
        <f t="shared" si="127"/>
        <v>1.8204573084255795E-2</v>
      </c>
      <c r="S278" s="268">
        <f t="shared" si="127"/>
        <v>1.8204573084255795E-2</v>
      </c>
      <c r="T278" s="268">
        <f t="shared" si="127"/>
        <v>1.8204573084255795E-2</v>
      </c>
      <c r="U278" s="268">
        <f t="shared" si="127"/>
        <v>1.8204573084255795E-2</v>
      </c>
      <c r="V278" s="268">
        <f t="shared" si="127"/>
        <v>1.8204573084255795E-2</v>
      </c>
      <c r="W278" s="268">
        <f t="shared" si="127"/>
        <v>1.8204573084255795E-2</v>
      </c>
      <c r="X278" s="268">
        <f t="shared" si="127"/>
        <v>1.8204573084255795E-2</v>
      </c>
      <c r="Y278" s="268">
        <f t="shared" si="127"/>
        <v>1.8204573084255795E-2</v>
      </c>
      <c r="Z278" s="268">
        <f t="shared" si="127"/>
        <v>1.8204573084255795E-2</v>
      </c>
      <c r="AA278" s="268">
        <f t="shared" si="127"/>
        <v>1.8204573084255795E-2</v>
      </c>
      <c r="AB278" s="268">
        <f t="shared" si="127"/>
        <v>1.8204573084255795E-2</v>
      </c>
      <c r="AC278" s="268">
        <f t="shared" si="127"/>
        <v>1.8204573084255795E-2</v>
      </c>
      <c r="AD278" s="268">
        <f t="shared" si="127"/>
        <v>1.8204573084255795E-2</v>
      </c>
      <c r="AE278" s="268">
        <f t="shared" si="127"/>
        <v>1.8204573084255795E-2</v>
      </c>
      <c r="AF278" s="268">
        <f t="shared" si="127"/>
        <v>1.8204573084255795E-2</v>
      </c>
      <c r="AG278" s="268">
        <f t="shared" si="127"/>
        <v>1.8204573084255795E-2</v>
      </c>
      <c r="AH278" s="268">
        <f t="shared" si="127"/>
        <v>1.8204573084255795E-2</v>
      </c>
      <c r="AI278" s="268">
        <f t="shared" si="127"/>
        <v>1.8204573084255795E-2</v>
      </c>
      <c r="AJ278" s="268">
        <f t="shared" si="127"/>
        <v>1.8204573084255795E-2</v>
      </c>
      <c r="AK278" s="268">
        <f t="shared" si="127"/>
        <v>1.8204573084255795E-2</v>
      </c>
      <c r="AL278" s="619"/>
      <c r="AM278" s="8"/>
    </row>
    <row r="279" spans="1:39" ht="14.25" customHeight="1">
      <c r="A279" s="619"/>
      <c r="B279" s="253"/>
      <c r="C279" s="258"/>
      <c r="D279" s="285" t="s">
        <v>190</v>
      </c>
      <c r="E279" s="405">
        <f>Electricidad!E324</f>
        <v>0</v>
      </c>
      <c r="F279" s="405">
        <f>Electricidad!F324</f>
        <v>0</v>
      </c>
      <c r="G279" s="405">
        <f>Electricidad!G324</f>
        <v>0</v>
      </c>
      <c r="H279" s="405">
        <f>Electricidad!H324</f>
        <v>0</v>
      </c>
      <c r="I279" s="286"/>
      <c r="J279" s="286"/>
      <c r="K279" s="286"/>
      <c r="L279" s="286"/>
      <c r="M279" s="286"/>
      <c r="N279" s="286"/>
      <c r="O279" s="286"/>
      <c r="P279" s="286"/>
      <c r="Q279" s="286"/>
      <c r="R279" s="286"/>
      <c r="S279" s="286"/>
      <c r="T279" s="286"/>
      <c r="U279" s="286"/>
      <c r="V279" s="286"/>
      <c r="W279" s="286"/>
      <c r="X279" s="286"/>
      <c r="Y279" s="286"/>
      <c r="Z279" s="286"/>
      <c r="AA279" s="286"/>
      <c r="AB279" s="286"/>
      <c r="AC279" s="286"/>
      <c r="AD279" s="286"/>
      <c r="AE279" s="286"/>
      <c r="AF279" s="286"/>
      <c r="AG279" s="286"/>
      <c r="AH279" s="286"/>
      <c r="AI279" s="286"/>
      <c r="AJ279" s="286"/>
      <c r="AK279" s="286"/>
      <c r="AL279" s="619"/>
      <c r="AM279" s="8"/>
    </row>
    <row r="280" spans="1:39" ht="14.25" customHeight="1">
      <c r="A280" s="619"/>
      <c r="B280" s="253"/>
      <c r="C280" s="258" t="s">
        <v>214</v>
      </c>
      <c r="D280" s="281" t="s">
        <v>201</v>
      </c>
      <c r="E280" s="411">
        <f>Electricidad!E325</f>
        <v>6.0801835004730329E-6</v>
      </c>
      <c r="F280" s="411">
        <f>Electricidad!F325</f>
        <v>0</v>
      </c>
      <c r="G280" s="411">
        <f>Electricidad!G325</f>
        <v>0</v>
      </c>
      <c r="H280" s="411">
        <f>Electricidad!H325</f>
        <v>0</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619"/>
      <c r="AM280" s="8"/>
    </row>
    <row r="281" spans="1:39" ht="14.25" customHeight="1">
      <c r="A281" s="619"/>
      <c r="B281" s="253"/>
      <c r="C281" s="258"/>
      <c r="D281" s="285" t="s">
        <v>195</v>
      </c>
      <c r="E281" s="405">
        <f>Electricidad!E326</f>
        <v>0</v>
      </c>
      <c r="F281" s="405">
        <f>Electricidad!F326</f>
        <v>0</v>
      </c>
      <c r="G281" s="405">
        <f>Electricidad!G326</f>
        <v>0</v>
      </c>
      <c r="H281" s="405">
        <f>Electricidad!H326</f>
        <v>0</v>
      </c>
      <c r="I281" s="286"/>
      <c r="J281" s="286"/>
      <c r="K281" s="286"/>
      <c r="L281" s="286"/>
      <c r="M281" s="286"/>
      <c r="N281" s="286"/>
      <c r="O281" s="286"/>
      <c r="P281" s="286"/>
      <c r="Q281" s="286"/>
      <c r="R281" s="286"/>
      <c r="S281" s="286"/>
      <c r="T281" s="286"/>
      <c r="U281" s="286"/>
      <c r="V281" s="286"/>
      <c r="W281" s="286"/>
      <c r="X281" s="286"/>
      <c r="Y281" s="286"/>
      <c r="Z281" s="286"/>
      <c r="AA281" s="286"/>
      <c r="AB281" s="286"/>
      <c r="AC281" s="286"/>
      <c r="AD281" s="286"/>
      <c r="AE281" s="286"/>
      <c r="AF281" s="286"/>
      <c r="AG281" s="286"/>
      <c r="AH281" s="286"/>
      <c r="AI281" s="286"/>
      <c r="AJ281" s="286"/>
      <c r="AK281" s="286"/>
      <c r="AL281" s="619"/>
      <c r="AM281" s="8"/>
    </row>
    <row r="282" spans="1:39" ht="14.25" customHeight="1">
      <c r="A282" s="619"/>
      <c r="B282" s="253"/>
      <c r="C282" s="258" t="s">
        <v>215</v>
      </c>
      <c r="D282" s="281" t="s">
        <v>201</v>
      </c>
      <c r="E282" s="385">
        <f>Electricidad!E327</f>
        <v>1.0793225148768695E-4</v>
      </c>
      <c r="F282" s="385">
        <f>Electricidad!F327</f>
        <v>4.3388765098050153E-5</v>
      </c>
      <c r="G282" s="385">
        <f>Electricidad!G327</f>
        <v>4.3172900595074785E-7</v>
      </c>
      <c r="H282" s="385">
        <f>Electricidad!H327</f>
        <v>0</v>
      </c>
      <c r="I282" s="256">
        <v>4.3172900595074785E-7</v>
      </c>
      <c r="J282" s="256">
        <v>4.3172900595074785E-7</v>
      </c>
      <c r="K282" s="256">
        <v>4.3172900595074785E-7</v>
      </c>
      <c r="L282" s="256">
        <v>4.3172900595074785E-7</v>
      </c>
      <c r="M282" s="256">
        <v>4.3172900595074785E-7</v>
      </c>
      <c r="N282" s="256">
        <v>4.3172900595074785E-7</v>
      </c>
      <c r="O282" s="256">
        <v>4.3172900595074785E-7</v>
      </c>
      <c r="P282" s="256">
        <v>4.3172900595074785E-7</v>
      </c>
      <c r="Q282" s="256">
        <v>4.3172900595074785E-7</v>
      </c>
      <c r="R282" s="256">
        <v>4.3172900595074785E-7</v>
      </c>
      <c r="S282" s="256">
        <v>4.3172900595074785E-7</v>
      </c>
      <c r="T282" s="256">
        <v>4.3172900595074785E-7</v>
      </c>
      <c r="U282" s="256">
        <v>4.3172900595074785E-7</v>
      </c>
      <c r="V282" s="256">
        <v>4.3172900595074785E-7</v>
      </c>
      <c r="W282" s="256">
        <v>4.3172900595074785E-7</v>
      </c>
      <c r="X282" s="256">
        <v>4.3172900595074785E-7</v>
      </c>
      <c r="Y282" s="256">
        <v>4.3172900595074785E-7</v>
      </c>
      <c r="Z282" s="256">
        <v>4.3172900595074785E-7</v>
      </c>
      <c r="AA282" s="256">
        <v>4.3172900595074785E-7</v>
      </c>
      <c r="AB282" s="256">
        <v>4.3172900595074785E-7</v>
      </c>
      <c r="AC282" s="256">
        <v>4.3172900595074785E-7</v>
      </c>
      <c r="AD282" s="256">
        <v>4.3172900595074785E-7</v>
      </c>
      <c r="AE282" s="256">
        <v>4.3172900595074785E-7</v>
      </c>
      <c r="AF282" s="256">
        <v>4.3172900595074785E-7</v>
      </c>
      <c r="AG282" s="256">
        <v>4.3172900595074785E-7</v>
      </c>
      <c r="AH282" s="256">
        <v>4.3172900595074785E-7</v>
      </c>
      <c r="AI282" s="256">
        <v>4.3172900595074785E-7</v>
      </c>
      <c r="AJ282" s="256">
        <v>4.3172900595074785E-7</v>
      </c>
      <c r="AK282" s="256">
        <v>4.3172900595074785E-7</v>
      </c>
      <c r="AL282" s="619"/>
      <c r="AM282" s="8"/>
    </row>
    <row r="283" spans="1:39" ht="14.25" customHeight="1">
      <c r="A283" s="619"/>
      <c r="B283" s="253"/>
      <c r="C283" s="258"/>
      <c r="D283" s="285" t="s">
        <v>203</v>
      </c>
      <c r="E283" s="405">
        <f>Electricidad!E328</f>
        <v>0</v>
      </c>
      <c r="F283" s="405">
        <f>Electricidad!F328</f>
        <v>0</v>
      </c>
      <c r="G283" s="405">
        <f>Electricidad!G328</f>
        <v>0</v>
      </c>
      <c r="H283" s="405">
        <f>Electricidad!H328</f>
        <v>0</v>
      </c>
      <c r="I283" s="286"/>
      <c r="J283" s="286"/>
      <c r="K283" s="286"/>
      <c r="L283" s="286"/>
      <c r="M283" s="286"/>
      <c r="N283" s="286"/>
      <c r="O283" s="286"/>
      <c r="P283" s="286"/>
      <c r="Q283" s="286"/>
      <c r="R283" s="286"/>
      <c r="S283" s="286"/>
      <c r="T283" s="286"/>
      <c r="U283" s="286"/>
      <c r="V283" s="286"/>
      <c r="W283" s="286"/>
      <c r="X283" s="286"/>
      <c r="Y283" s="286"/>
      <c r="Z283" s="286"/>
      <c r="AA283" s="286"/>
      <c r="AB283" s="286"/>
      <c r="AC283" s="286"/>
      <c r="AD283" s="286"/>
      <c r="AE283" s="286"/>
      <c r="AF283" s="286"/>
      <c r="AG283" s="286"/>
      <c r="AH283" s="286"/>
      <c r="AI283" s="286"/>
      <c r="AJ283" s="286"/>
      <c r="AK283" s="286"/>
      <c r="AL283" s="619"/>
      <c r="AM283" s="8"/>
    </row>
    <row r="284" spans="1:39" ht="14.25" customHeight="1">
      <c r="A284" s="619"/>
      <c r="B284" s="253"/>
      <c r="C284" s="258" t="s">
        <v>216</v>
      </c>
      <c r="D284" s="281" t="s">
        <v>210</v>
      </c>
      <c r="E284" s="382">
        <f>Electricidad!E329</f>
        <v>0.10565959402294529</v>
      </c>
      <c r="F284" s="382">
        <f>Electricidad!F329</f>
        <v>9.7419434328283719E-2</v>
      </c>
      <c r="G284" s="382">
        <f>Electricidad!G329</f>
        <v>1.8224360663695944E-2</v>
      </c>
      <c r="H284" s="382">
        <f>Electricidad!H329</f>
        <v>0.10079239619368158</v>
      </c>
      <c r="I284" s="256">
        <v>1.8204141355249844E-2</v>
      </c>
      <c r="J284" s="256">
        <v>1.8204141355249844E-2</v>
      </c>
      <c r="K284" s="256">
        <v>1.8204141355249844E-2</v>
      </c>
      <c r="L284" s="256">
        <v>1.8204141355249844E-2</v>
      </c>
      <c r="M284" s="256">
        <v>1.8204141355249844E-2</v>
      </c>
      <c r="N284" s="256">
        <v>1.8204141355249844E-2</v>
      </c>
      <c r="O284" s="256">
        <v>1.8204141355249844E-2</v>
      </c>
      <c r="P284" s="256">
        <v>1.8204141355249844E-2</v>
      </c>
      <c r="Q284" s="256">
        <v>1.8204141355249844E-2</v>
      </c>
      <c r="R284" s="256">
        <v>1.8204141355249844E-2</v>
      </c>
      <c r="S284" s="256">
        <v>1.8204141355249844E-2</v>
      </c>
      <c r="T284" s="256">
        <v>1.8204141355249844E-2</v>
      </c>
      <c r="U284" s="256">
        <v>1.8204141355249844E-2</v>
      </c>
      <c r="V284" s="256">
        <v>1.8204141355249844E-2</v>
      </c>
      <c r="W284" s="256">
        <v>1.8204141355249844E-2</v>
      </c>
      <c r="X284" s="256">
        <v>1.8204141355249844E-2</v>
      </c>
      <c r="Y284" s="256">
        <v>1.8204141355249844E-2</v>
      </c>
      <c r="Z284" s="256">
        <v>1.8204141355249844E-2</v>
      </c>
      <c r="AA284" s="256">
        <v>1.8204141355249844E-2</v>
      </c>
      <c r="AB284" s="256">
        <v>1.8204141355249844E-2</v>
      </c>
      <c r="AC284" s="256">
        <v>1.8204141355249844E-2</v>
      </c>
      <c r="AD284" s="256">
        <v>1.8204141355249844E-2</v>
      </c>
      <c r="AE284" s="256">
        <v>1.8204141355249844E-2</v>
      </c>
      <c r="AF284" s="256">
        <v>1.8204141355249844E-2</v>
      </c>
      <c r="AG284" s="256">
        <v>1.8204141355249844E-2</v>
      </c>
      <c r="AH284" s="256">
        <v>1.8204141355249844E-2</v>
      </c>
      <c r="AI284" s="256">
        <v>1.8204141355249844E-2</v>
      </c>
      <c r="AJ284" s="256">
        <v>1.8204141355249844E-2</v>
      </c>
      <c r="AK284" s="256">
        <v>1.8204141355249844E-2</v>
      </c>
      <c r="AL284" s="619"/>
      <c r="AM284" s="8"/>
    </row>
    <row r="285" spans="1:39" ht="14.25" customHeight="1">
      <c r="A285" s="619"/>
      <c r="B285" s="253"/>
      <c r="C285" s="258"/>
      <c r="D285" s="343" t="s">
        <v>310</v>
      </c>
      <c r="E285" s="412">
        <f>Electricidad!E330</f>
        <v>0</v>
      </c>
      <c r="F285" s="412">
        <f>Electricidad!F330</f>
        <v>0</v>
      </c>
      <c r="G285" s="412">
        <f>Electricidad!G330</f>
        <v>0</v>
      </c>
      <c r="H285" s="412">
        <f>Electricidad!H330</f>
        <v>0</v>
      </c>
      <c r="I285" s="325"/>
      <c r="J285" s="325"/>
      <c r="K285" s="325"/>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c r="AH285" s="325"/>
      <c r="AI285" s="325"/>
      <c r="AJ285" s="325"/>
      <c r="AK285" s="325"/>
      <c r="AL285" s="619"/>
      <c r="AM285" s="8"/>
    </row>
    <row r="286" spans="1:39" ht="14.25" customHeight="1">
      <c r="A286" s="619"/>
      <c r="B286" s="253"/>
      <c r="C286" s="258"/>
      <c r="D286" s="259" t="s">
        <v>39</v>
      </c>
      <c r="E286" s="282">
        <f t="shared" ref="E286:AK286" si="128">SUM(E250+E254+E255+E257+E258+E260+E261+E265+E269+E270+E271+E272+E275+E276+E277+E280+E282+E284+E267)</f>
        <v>13.914417984276238</v>
      </c>
      <c r="F286" s="282">
        <f t="shared" si="128"/>
        <v>14.822050212799954</v>
      </c>
      <c r="G286" s="282">
        <f t="shared" si="128"/>
        <v>14.201998616281607</v>
      </c>
      <c r="H286" s="282">
        <f t="shared" si="128"/>
        <v>14.511030877527384</v>
      </c>
      <c r="I286" s="282">
        <f t="shared" si="128"/>
        <v>14.105113696687317</v>
      </c>
      <c r="J286" s="282">
        <f t="shared" si="128"/>
        <v>14.111620485678243</v>
      </c>
      <c r="K286" s="282">
        <f t="shared" si="128"/>
        <v>14.118150572986853</v>
      </c>
      <c r="L286" s="282">
        <f t="shared" si="128"/>
        <v>14.12482863874774</v>
      </c>
      <c r="M286" s="282">
        <f t="shared" si="128"/>
        <v>14.138663102961283</v>
      </c>
      <c r="N286" s="282">
        <f t="shared" si="128"/>
        <v>14.152559095701468</v>
      </c>
      <c r="O286" s="282">
        <f t="shared" si="128"/>
        <v>14.166567586574045</v>
      </c>
      <c r="P286" s="282">
        <f t="shared" si="128"/>
        <v>14.180642602993432</v>
      </c>
      <c r="Q286" s="282">
        <f t="shared" si="128"/>
        <v>14.194849062769519</v>
      </c>
      <c r="R286" s="282">
        <f t="shared" si="128"/>
        <v>14.205900504538882</v>
      </c>
      <c r="S286" s="282">
        <f t="shared" si="128"/>
        <v>14.217018384950357</v>
      </c>
      <c r="T286" s="282">
        <f t="shared" si="128"/>
        <v>14.228226081367879</v>
      </c>
      <c r="U286" s="282">
        <f t="shared" si="128"/>
        <v>14.239492699171082</v>
      </c>
      <c r="V286" s="282">
        <f t="shared" si="128"/>
        <v>14.25079803301753</v>
      </c>
      <c r="W286" s="282">
        <f t="shared" si="128"/>
        <v>14.26215507515967</v>
      </c>
      <c r="X286" s="282">
        <f t="shared" si="128"/>
        <v>14.27352880300395</v>
      </c>
      <c r="Y286" s="282">
        <f t="shared" si="128"/>
        <v>14.284947026053937</v>
      </c>
      <c r="Z286" s="282">
        <f t="shared" si="128"/>
        <v>14.29641904311238</v>
      </c>
      <c r="AA286" s="282">
        <f t="shared" si="128"/>
        <v>14.307872332208269</v>
      </c>
      <c r="AB286" s="282">
        <f t="shared" si="128"/>
        <v>14.317688365878887</v>
      </c>
      <c r="AC286" s="282">
        <f t="shared" si="128"/>
        <v>14.327439699001365</v>
      </c>
      <c r="AD286" s="282">
        <f t="shared" si="128"/>
        <v>14.337191553552035</v>
      </c>
      <c r="AE286" s="282">
        <f t="shared" si="128"/>
        <v>14.346831127232058</v>
      </c>
      <c r="AF286" s="282">
        <f t="shared" si="128"/>
        <v>14.356367284320697</v>
      </c>
      <c r="AG286" s="282">
        <f t="shared" si="128"/>
        <v>14.365787119470202</v>
      </c>
      <c r="AH286" s="282">
        <f t="shared" si="128"/>
        <v>14.375059651155507</v>
      </c>
      <c r="AI286" s="282">
        <f t="shared" si="128"/>
        <v>14.384180447236981</v>
      </c>
      <c r="AJ286" s="282">
        <f t="shared" si="128"/>
        <v>14.393182792214205</v>
      </c>
      <c r="AK286" s="282">
        <f t="shared" si="128"/>
        <v>14.402024884927132</v>
      </c>
      <c r="AL286" s="619"/>
      <c r="AM286" s="8"/>
    </row>
    <row r="287" spans="1:39" ht="14.25" customHeight="1">
      <c r="A287" s="619"/>
      <c r="B287" s="619"/>
      <c r="C287" s="619"/>
      <c r="D287" s="619"/>
      <c r="E287" s="619"/>
      <c r="F287" s="619"/>
      <c r="G287" s="619"/>
      <c r="H287" s="619"/>
      <c r="I287" s="619"/>
      <c r="J287" s="619"/>
      <c r="K287" s="619"/>
      <c r="L287" s="619"/>
      <c r="M287" s="619"/>
      <c r="N287" s="619"/>
      <c r="O287" s="619"/>
      <c r="P287" s="619"/>
      <c r="Q287" s="619"/>
      <c r="R287" s="619"/>
      <c r="S287" s="619"/>
      <c r="T287" s="619"/>
      <c r="U287" s="619"/>
      <c r="V287" s="619"/>
      <c r="W287" s="619"/>
      <c r="X287" s="619"/>
      <c r="Y287" s="619"/>
      <c r="Z287" s="619"/>
      <c r="AA287" s="619"/>
      <c r="AB287" s="619"/>
      <c r="AC287" s="619"/>
      <c r="AD287" s="619"/>
      <c r="AE287" s="619"/>
      <c r="AF287" s="619"/>
      <c r="AG287" s="619"/>
      <c r="AH287" s="619"/>
      <c r="AI287" s="619"/>
      <c r="AJ287" s="619"/>
      <c r="AK287" s="619"/>
      <c r="AL287" s="619"/>
      <c r="AM287" s="8"/>
    </row>
    <row r="288" spans="1:39" ht="16.5" customHeight="1">
      <c r="A288" s="1"/>
      <c r="B288" s="1"/>
      <c r="C288" s="1"/>
      <c r="D288" s="54"/>
      <c r="E288" s="54"/>
      <c r="F288" s="54"/>
      <c r="G288" s="5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8"/>
    </row>
    <row r="289" spans="1:39" ht="14.25" customHeight="1">
      <c r="A289" s="619"/>
      <c r="B289" s="23"/>
      <c r="C289" s="249"/>
      <c r="D289" s="321" t="s">
        <v>399</v>
      </c>
      <c r="E289" s="305"/>
      <c r="F289" s="305"/>
      <c r="G289" s="305"/>
      <c r="H289" s="322"/>
      <c r="I289" s="619"/>
      <c r="J289" s="619"/>
      <c r="K289" s="619"/>
      <c r="L289" s="619"/>
      <c r="M289" s="619"/>
      <c r="N289" s="619"/>
      <c r="O289" s="619"/>
      <c r="P289" s="619"/>
      <c r="Q289" s="619"/>
      <c r="R289" s="619"/>
      <c r="S289" s="619"/>
      <c r="T289" s="619"/>
      <c r="U289" s="619"/>
      <c r="V289" s="619"/>
      <c r="W289" s="619"/>
      <c r="X289" s="619"/>
      <c r="Y289" s="619"/>
      <c r="Z289" s="619"/>
      <c r="AA289" s="619"/>
      <c r="AB289" s="619"/>
      <c r="AC289" s="619"/>
      <c r="AD289" s="619"/>
      <c r="AE289" s="619"/>
      <c r="AF289" s="619"/>
      <c r="AG289" s="619"/>
      <c r="AH289" s="619"/>
      <c r="AI289" s="619"/>
      <c r="AJ289" s="619"/>
      <c r="AK289" s="619"/>
      <c r="AL289" s="619"/>
      <c r="AM289" s="8"/>
    </row>
    <row r="290" spans="1:39" ht="14.25" customHeight="1">
      <c r="A290" s="619"/>
      <c r="B290" s="253"/>
      <c r="C290" s="258"/>
      <c r="D290" s="259"/>
      <c r="E290" s="323"/>
      <c r="F290" s="323"/>
      <c r="G290" s="323"/>
      <c r="H290" s="324"/>
      <c r="I290" s="619"/>
      <c r="J290" s="619"/>
      <c r="K290" s="619"/>
      <c r="L290" s="619"/>
      <c r="M290" s="619"/>
      <c r="N290" s="619"/>
      <c r="O290" s="619"/>
      <c r="P290" s="619"/>
      <c r="Q290" s="619"/>
      <c r="R290" s="619"/>
      <c r="S290" s="619"/>
      <c r="T290" s="619"/>
      <c r="U290" s="619"/>
      <c r="V290" s="619"/>
      <c r="W290" s="619"/>
      <c r="X290" s="619"/>
      <c r="Y290" s="619"/>
      <c r="Z290" s="619"/>
      <c r="AA290" s="619"/>
      <c r="AB290" s="619"/>
      <c r="AC290" s="619"/>
      <c r="AD290" s="619"/>
      <c r="AE290" s="619"/>
      <c r="AF290" s="619"/>
      <c r="AG290" s="619"/>
      <c r="AH290" s="619"/>
      <c r="AI290" s="619"/>
      <c r="AJ290" s="619"/>
      <c r="AK290" s="619"/>
      <c r="AL290" s="619"/>
      <c r="AM290" s="8"/>
    </row>
    <row r="291" spans="1:39" ht="14.25" customHeight="1">
      <c r="A291" s="619"/>
      <c r="B291" s="253"/>
      <c r="C291" s="258"/>
      <c r="D291" s="281" t="s">
        <v>302</v>
      </c>
      <c r="E291" s="260">
        <v>2018</v>
      </c>
      <c r="F291" s="260">
        <v>2019</v>
      </c>
      <c r="G291" s="260">
        <v>2020</v>
      </c>
      <c r="H291" s="260">
        <v>2021</v>
      </c>
      <c r="I291" s="261" t="s">
        <v>400</v>
      </c>
      <c r="J291" s="619"/>
      <c r="K291" s="619"/>
      <c r="L291" s="619"/>
      <c r="M291" s="619"/>
      <c r="N291" s="619"/>
      <c r="O291" s="619"/>
      <c r="P291" s="619"/>
      <c r="Q291" s="619"/>
      <c r="R291" s="619"/>
      <c r="S291" s="619"/>
      <c r="T291" s="619"/>
      <c r="U291" s="619"/>
      <c r="V291" s="619"/>
      <c r="W291" s="619"/>
      <c r="X291" s="619"/>
      <c r="Y291" s="619"/>
      <c r="Z291" s="619"/>
      <c r="AA291" s="619"/>
      <c r="AB291" s="619"/>
      <c r="AC291" s="619"/>
      <c r="AD291" s="619"/>
      <c r="AE291" s="619"/>
      <c r="AF291" s="619"/>
      <c r="AG291" s="619"/>
      <c r="AH291" s="619"/>
      <c r="AI291" s="619"/>
      <c r="AJ291" s="619"/>
      <c r="AK291" s="619"/>
      <c r="AL291" s="619"/>
      <c r="AM291" s="8"/>
    </row>
    <row r="292" spans="1:39" ht="14.25" customHeight="1">
      <c r="A292" s="619"/>
      <c r="B292" s="253"/>
      <c r="C292" s="258"/>
      <c r="D292" s="262" t="s">
        <v>303</v>
      </c>
      <c r="E292" s="262">
        <f t="shared" ref="E292:H292" si="129">E205/(E$245-E$233-E$234-E$240-E$241)</f>
        <v>1.5899724083786392E-2</v>
      </c>
      <c r="F292" s="262">
        <f t="shared" si="129"/>
        <v>1.6155730243287692E-2</v>
      </c>
      <c r="G292" s="262">
        <f t="shared" si="129"/>
        <v>1.7046827819998802E-2</v>
      </c>
      <c r="H292" s="262">
        <f t="shared" si="129"/>
        <v>1.4581831189142179E-2</v>
      </c>
      <c r="I292" s="262">
        <f t="shared" ref="I292:I317" si="130">AVERAGE(E292:H292)</f>
        <v>1.5921028334053768E-2</v>
      </c>
      <c r="J292" s="619"/>
      <c r="K292" s="619"/>
      <c r="L292" s="619"/>
      <c r="M292" s="619"/>
      <c r="N292" s="619"/>
      <c r="O292" s="619"/>
      <c r="P292" s="619"/>
      <c r="Q292" s="619"/>
      <c r="R292" s="619"/>
      <c r="S292" s="619"/>
      <c r="T292" s="619"/>
      <c r="U292" s="619"/>
      <c r="V292" s="619"/>
      <c r="W292" s="619"/>
      <c r="X292" s="619"/>
      <c r="Y292" s="619"/>
      <c r="Z292" s="619"/>
      <c r="AA292" s="619"/>
      <c r="AB292" s="619"/>
      <c r="AC292" s="619"/>
      <c r="AD292" s="619"/>
      <c r="AE292" s="619"/>
      <c r="AF292" s="619"/>
      <c r="AG292" s="619"/>
      <c r="AH292" s="619"/>
      <c r="AI292" s="619"/>
      <c r="AJ292" s="619"/>
      <c r="AK292" s="619"/>
      <c r="AL292" s="619"/>
      <c r="AM292" s="8"/>
    </row>
    <row r="293" spans="1:39" ht="14.25" customHeight="1">
      <c r="A293" s="619"/>
      <c r="B293" s="253"/>
      <c r="C293" s="258"/>
      <c r="D293" s="266" t="s">
        <v>132</v>
      </c>
      <c r="E293" s="266">
        <f t="shared" ref="E293:H293" si="131">E206/(E$245-E$233-E$234-E$240-E$241)</f>
        <v>0</v>
      </c>
      <c r="F293" s="266">
        <f t="shared" si="131"/>
        <v>0</v>
      </c>
      <c r="G293" s="266">
        <f t="shared" si="131"/>
        <v>0</v>
      </c>
      <c r="H293" s="266">
        <f t="shared" si="131"/>
        <v>0</v>
      </c>
      <c r="I293" s="266">
        <f t="shared" si="130"/>
        <v>0</v>
      </c>
      <c r="J293" s="619"/>
      <c r="K293" s="619"/>
      <c r="L293" s="619"/>
      <c r="M293" s="619"/>
      <c r="N293" s="619"/>
      <c r="O293" s="619"/>
      <c r="P293" s="619"/>
      <c r="Q293" s="619"/>
      <c r="R293" s="619"/>
      <c r="S293" s="619"/>
      <c r="T293" s="619"/>
      <c r="U293" s="619"/>
      <c r="V293" s="619"/>
      <c r="W293" s="619"/>
      <c r="X293" s="619"/>
      <c r="Y293" s="619"/>
      <c r="Z293" s="619"/>
      <c r="AA293" s="619"/>
      <c r="AB293" s="619"/>
      <c r="AC293" s="619"/>
      <c r="AD293" s="619"/>
      <c r="AE293" s="619"/>
      <c r="AF293" s="619"/>
      <c r="AG293" s="619"/>
      <c r="AH293" s="619"/>
      <c r="AI293" s="619"/>
      <c r="AJ293" s="619"/>
      <c r="AK293" s="619"/>
      <c r="AL293" s="619"/>
      <c r="AM293" s="8"/>
    </row>
    <row r="294" spans="1:39" ht="14.25" customHeight="1">
      <c r="A294" s="619"/>
      <c r="B294" s="253"/>
      <c r="C294" s="258" t="s">
        <v>133</v>
      </c>
      <c r="D294" s="281" t="s">
        <v>134</v>
      </c>
      <c r="E294" s="281">
        <f t="shared" ref="E294:H294" si="132">E207/(E$245-E$233-E$234-E$240-E$241)</f>
        <v>1.5899724083786392E-2</v>
      </c>
      <c r="F294" s="281">
        <f t="shared" si="132"/>
        <v>1.6155730243287692E-2</v>
      </c>
      <c r="G294" s="281">
        <f t="shared" si="132"/>
        <v>1.7046827819998802E-2</v>
      </c>
      <c r="H294" s="281">
        <f t="shared" si="132"/>
        <v>1.4581831189142179E-2</v>
      </c>
      <c r="I294" s="281">
        <f t="shared" si="130"/>
        <v>1.5921028334053768E-2</v>
      </c>
      <c r="J294" s="619"/>
      <c r="K294" s="619"/>
      <c r="L294" s="619"/>
      <c r="M294" s="619"/>
      <c r="N294" s="619"/>
      <c r="O294" s="619"/>
      <c r="P294" s="619"/>
      <c r="Q294" s="619"/>
      <c r="R294" s="619"/>
      <c r="S294" s="619"/>
      <c r="T294" s="619"/>
      <c r="U294" s="619"/>
      <c r="V294" s="619"/>
      <c r="W294" s="619"/>
      <c r="X294" s="619"/>
      <c r="Y294" s="619"/>
      <c r="Z294" s="619"/>
      <c r="AA294" s="619"/>
      <c r="AB294" s="619"/>
      <c r="AC294" s="619"/>
      <c r="AD294" s="619"/>
      <c r="AE294" s="619"/>
      <c r="AF294" s="619"/>
      <c r="AG294" s="619"/>
      <c r="AH294" s="619"/>
      <c r="AI294" s="619"/>
      <c r="AJ294" s="619"/>
      <c r="AK294" s="619"/>
      <c r="AL294" s="619"/>
      <c r="AM294" s="8"/>
    </row>
    <row r="295" spans="1:39" ht="14.25" customHeight="1">
      <c r="A295" s="619"/>
      <c r="B295" s="253"/>
      <c r="C295" s="258" t="s">
        <v>135</v>
      </c>
      <c r="D295" s="262" t="s">
        <v>304</v>
      </c>
      <c r="E295" s="262">
        <f t="shared" ref="E295:H295" si="133">E208/(E$245-E$233-E$234-E$240-E$241)</f>
        <v>3.0640353126635735E-3</v>
      </c>
      <c r="F295" s="262">
        <f t="shared" si="133"/>
        <v>3.1244233566671306E-3</v>
      </c>
      <c r="G295" s="262">
        <f t="shared" si="133"/>
        <v>2.8628184077609184E-3</v>
      </c>
      <c r="H295" s="262">
        <f t="shared" si="133"/>
        <v>2.3492226899914322E-3</v>
      </c>
      <c r="I295" s="262">
        <f t="shared" si="130"/>
        <v>2.8501249417707637E-3</v>
      </c>
      <c r="J295" s="619"/>
      <c r="K295" s="619"/>
      <c r="L295" s="619"/>
      <c r="M295" s="619"/>
      <c r="N295" s="619"/>
      <c r="O295" s="619"/>
      <c r="P295" s="619"/>
      <c r="Q295" s="619"/>
      <c r="R295" s="619"/>
      <c r="S295" s="619"/>
      <c r="T295" s="619"/>
      <c r="U295" s="619"/>
      <c r="V295" s="619"/>
      <c r="W295" s="619"/>
      <c r="X295" s="619"/>
      <c r="Y295" s="619"/>
      <c r="Z295" s="619"/>
      <c r="AA295" s="619"/>
      <c r="AB295" s="619"/>
      <c r="AC295" s="619"/>
      <c r="AD295" s="619"/>
      <c r="AE295" s="619"/>
      <c r="AF295" s="619"/>
      <c r="AG295" s="619"/>
      <c r="AH295" s="619"/>
      <c r="AI295" s="619"/>
      <c r="AJ295" s="619"/>
      <c r="AK295" s="619"/>
      <c r="AL295" s="619"/>
      <c r="AM295" s="8"/>
    </row>
    <row r="296" spans="1:39" ht="14.25" customHeight="1">
      <c r="A296" s="619"/>
      <c r="B296" s="253"/>
      <c r="C296" s="258"/>
      <c r="D296" s="262" t="s">
        <v>305</v>
      </c>
      <c r="E296" s="262">
        <f t="shared" ref="E296:H296" si="134">E209/(E$245-E$233-E$234-E$240-E$241)</f>
        <v>0.85899474832620726</v>
      </c>
      <c r="F296" s="262">
        <f t="shared" si="134"/>
        <v>0.96174785587310241</v>
      </c>
      <c r="G296" s="262">
        <f t="shared" si="134"/>
        <v>0.97156568679116151</v>
      </c>
      <c r="H296" s="262">
        <f t="shared" si="134"/>
        <v>0.99959380779825302</v>
      </c>
      <c r="I296" s="262">
        <f t="shared" si="130"/>
        <v>0.94797552469718105</v>
      </c>
      <c r="J296" s="619"/>
      <c r="K296" s="619"/>
      <c r="L296" s="619"/>
      <c r="M296" s="619"/>
      <c r="N296" s="619"/>
      <c r="O296" s="619"/>
      <c r="P296" s="619"/>
      <c r="Q296" s="619"/>
      <c r="R296" s="619"/>
      <c r="S296" s="619"/>
      <c r="T296" s="619"/>
      <c r="U296" s="619"/>
      <c r="V296" s="619"/>
      <c r="W296" s="619"/>
      <c r="X296" s="619"/>
      <c r="Y296" s="619"/>
      <c r="Z296" s="619"/>
      <c r="AA296" s="619"/>
      <c r="AB296" s="619"/>
      <c r="AC296" s="619"/>
      <c r="AD296" s="619"/>
      <c r="AE296" s="619"/>
      <c r="AF296" s="619"/>
      <c r="AG296" s="619"/>
      <c r="AH296" s="619"/>
      <c r="AI296" s="619"/>
      <c r="AJ296" s="619"/>
      <c r="AK296" s="619"/>
      <c r="AL296" s="619"/>
      <c r="AM296" s="8"/>
    </row>
    <row r="297" spans="1:39" ht="14.25" customHeight="1">
      <c r="A297" s="619"/>
      <c r="B297" s="253"/>
      <c r="C297" s="258"/>
      <c r="D297" s="266" t="s">
        <v>138</v>
      </c>
      <c r="E297" s="266">
        <f t="shared" ref="E297:H297" si="135">E210/(E$245-E$233-E$234-E$240-E$241)</f>
        <v>0.32052802729246754</v>
      </c>
      <c r="F297" s="266">
        <f t="shared" si="135"/>
        <v>0.34969916307806814</v>
      </c>
      <c r="G297" s="266">
        <f t="shared" si="135"/>
        <v>0.32270078541000835</v>
      </c>
      <c r="H297" s="266">
        <f t="shared" si="135"/>
        <v>0.34050431515106028</v>
      </c>
      <c r="I297" s="266">
        <f t="shared" si="130"/>
        <v>0.33335807273290108</v>
      </c>
      <c r="J297" s="619"/>
      <c r="K297" s="619"/>
      <c r="L297" s="619"/>
      <c r="M297" s="619"/>
      <c r="N297" s="619"/>
      <c r="O297" s="619"/>
      <c r="P297" s="619"/>
      <c r="Q297" s="619"/>
      <c r="R297" s="619"/>
      <c r="S297" s="619"/>
      <c r="T297" s="619"/>
      <c r="U297" s="619"/>
      <c r="V297" s="619"/>
      <c r="W297" s="619"/>
      <c r="X297" s="619"/>
      <c r="Y297" s="619"/>
      <c r="Z297" s="619"/>
      <c r="AA297" s="619"/>
      <c r="AB297" s="619"/>
      <c r="AC297" s="619"/>
      <c r="AD297" s="619"/>
      <c r="AE297" s="619"/>
      <c r="AF297" s="619"/>
      <c r="AG297" s="619"/>
      <c r="AH297" s="619"/>
      <c r="AI297" s="619"/>
      <c r="AJ297" s="619"/>
      <c r="AK297" s="619"/>
      <c r="AL297" s="619"/>
      <c r="AM297" s="8"/>
    </row>
    <row r="298" spans="1:39" ht="14.25" customHeight="1">
      <c r="A298" s="619"/>
      <c r="B298" s="253"/>
      <c r="C298" s="258"/>
      <c r="D298" s="259" t="s">
        <v>139</v>
      </c>
      <c r="E298" s="259">
        <f t="shared" ref="E298:H298" si="136">E211/(E$245-E$233-E$234-E$240-E$241)</f>
        <v>0.27927247557176954</v>
      </c>
      <c r="F298" s="259">
        <f t="shared" si="136"/>
        <v>0.29771677265412061</v>
      </c>
      <c r="G298" s="259">
        <f t="shared" si="136"/>
        <v>0.28188186700509898</v>
      </c>
      <c r="H298" s="259">
        <f t="shared" si="136"/>
        <v>0.29290009620532448</v>
      </c>
      <c r="I298" s="259">
        <f t="shared" si="130"/>
        <v>0.28794280285907842</v>
      </c>
      <c r="J298" s="619"/>
      <c r="K298" s="619"/>
      <c r="L298" s="619"/>
      <c r="M298" s="619"/>
      <c r="N298" s="619"/>
      <c r="O298" s="619"/>
      <c r="P298" s="619"/>
      <c r="Q298" s="619"/>
      <c r="R298" s="619"/>
      <c r="S298" s="619"/>
      <c r="T298" s="619"/>
      <c r="U298" s="619"/>
      <c r="V298" s="619"/>
      <c r="W298" s="619"/>
      <c r="X298" s="619"/>
      <c r="Y298" s="619"/>
      <c r="Z298" s="619"/>
      <c r="AA298" s="619"/>
      <c r="AB298" s="619"/>
      <c r="AC298" s="619"/>
      <c r="AD298" s="619"/>
      <c r="AE298" s="619"/>
      <c r="AF298" s="619"/>
      <c r="AG298" s="619"/>
      <c r="AH298" s="619"/>
      <c r="AI298" s="619"/>
      <c r="AJ298" s="619"/>
      <c r="AK298" s="619"/>
      <c r="AL298" s="619"/>
      <c r="AM298" s="8"/>
    </row>
    <row r="299" spans="1:39" ht="14.25" customHeight="1">
      <c r="A299" s="619"/>
      <c r="B299" s="253"/>
      <c r="C299" s="258"/>
      <c r="D299" s="259" t="s">
        <v>140</v>
      </c>
      <c r="E299" s="259">
        <f t="shared" ref="E299:H299" si="137">E212/(E$245-E$233-E$234-E$240-E$241)</f>
        <v>4.1255551720698024E-2</v>
      </c>
      <c r="F299" s="259">
        <f t="shared" si="137"/>
        <v>5.1982390423947526E-2</v>
      </c>
      <c r="G299" s="259">
        <f t="shared" si="137"/>
        <v>4.0818918404909331E-2</v>
      </c>
      <c r="H299" s="259">
        <f t="shared" si="137"/>
        <v>4.7604218945735757E-2</v>
      </c>
      <c r="I299" s="259">
        <f t="shared" si="130"/>
        <v>4.5415269873822661E-2</v>
      </c>
      <c r="J299" s="619"/>
      <c r="K299" s="619"/>
      <c r="L299" s="619"/>
      <c r="M299" s="619"/>
      <c r="N299" s="619"/>
      <c r="O299" s="619"/>
      <c r="P299" s="619"/>
      <c r="Q299" s="619"/>
      <c r="R299" s="619"/>
      <c r="S299" s="619"/>
      <c r="T299" s="619"/>
      <c r="U299" s="619"/>
      <c r="V299" s="619"/>
      <c r="W299" s="619"/>
      <c r="X299" s="619"/>
      <c r="Y299" s="619"/>
      <c r="Z299" s="619"/>
      <c r="AA299" s="619"/>
      <c r="AB299" s="619"/>
      <c r="AC299" s="619"/>
      <c r="AD299" s="619"/>
      <c r="AE299" s="619"/>
      <c r="AF299" s="619"/>
      <c r="AG299" s="619"/>
      <c r="AH299" s="619"/>
      <c r="AI299" s="619"/>
      <c r="AJ299" s="619"/>
      <c r="AK299" s="619"/>
      <c r="AL299" s="619"/>
      <c r="AM299" s="8"/>
    </row>
    <row r="300" spans="1:39" ht="14.25" customHeight="1">
      <c r="A300" s="619"/>
      <c r="B300" s="253"/>
      <c r="C300" s="258"/>
      <c r="D300" s="266" t="s">
        <v>141</v>
      </c>
      <c r="E300" s="266">
        <f t="shared" ref="E300:H300" si="138">E213/(E$245-E$233-E$234-E$240-E$241)</f>
        <v>0.5384667210337396</v>
      </c>
      <c r="F300" s="266">
        <f t="shared" si="138"/>
        <v>0.61204869279503438</v>
      </c>
      <c r="G300" s="266">
        <f t="shared" si="138"/>
        <v>0.64886490138115327</v>
      </c>
      <c r="H300" s="266">
        <f t="shared" si="138"/>
        <v>0.65908949264719274</v>
      </c>
      <c r="I300" s="266">
        <f t="shared" si="130"/>
        <v>0.61461745196427997</v>
      </c>
      <c r="J300" s="619"/>
      <c r="K300" s="619"/>
      <c r="L300" s="619"/>
      <c r="M300" s="619"/>
      <c r="N300" s="619"/>
      <c r="O300" s="619"/>
      <c r="P300" s="619"/>
      <c r="Q300" s="619"/>
      <c r="R300" s="619"/>
      <c r="S300" s="619"/>
      <c r="T300" s="619"/>
      <c r="U300" s="619"/>
      <c r="V300" s="619"/>
      <c r="W300" s="619"/>
      <c r="X300" s="619"/>
      <c r="Y300" s="619"/>
      <c r="Z300" s="619"/>
      <c r="AA300" s="619"/>
      <c r="AB300" s="619"/>
      <c r="AC300" s="619"/>
      <c r="AD300" s="619"/>
      <c r="AE300" s="619"/>
      <c r="AF300" s="619"/>
      <c r="AG300" s="619"/>
      <c r="AH300" s="619"/>
      <c r="AI300" s="619"/>
      <c r="AJ300" s="619"/>
      <c r="AK300" s="619"/>
      <c r="AL300" s="619"/>
      <c r="AM300" s="8"/>
    </row>
    <row r="301" spans="1:39" ht="14.25" customHeight="1">
      <c r="A301" s="619"/>
      <c r="B301" s="253"/>
      <c r="C301" s="258"/>
      <c r="D301" s="259" t="s">
        <v>139</v>
      </c>
      <c r="E301" s="259">
        <f t="shared" ref="E301:H301" si="139">E214/(E$245-E$233-E$234-E$240-E$241)</f>
        <v>0.51106127952179781</v>
      </c>
      <c r="F301" s="259">
        <f t="shared" si="139"/>
        <v>0.54892221390075402</v>
      </c>
      <c r="G301" s="259">
        <f t="shared" si="139"/>
        <v>0.58268737318350727</v>
      </c>
      <c r="H301" s="259">
        <f t="shared" si="139"/>
        <v>0.58420114878491525</v>
      </c>
      <c r="I301" s="259">
        <f t="shared" si="130"/>
        <v>0.55671800384774361</v>
      </c>
      <c r="J301" s="619"/>
      <c r="K301" s="619"/>
      <c r="L301" s="619"/>
      <c r="M301" s="619"/>
      <c r="N301" s="619"/>
      <c r="O301" s="619"/>
      <c r="P301" s="619"/>
      <c r="Q301" s="619"/>
      <c r="R301" s="619"/>
      <c r="S301" s="619"/>
      <c r="T301" s="619"/>
      <c r="U301" s="619"/>
      <c r="V301" s="619"/>
      <c r="W301" s="619"/>
      <c r="X301" s="619"/>
      <c r="Y301" s="619"/>
      <c r="Z301" s="619"/>
      <c r="AA301" s="619"/>
      <c r="AB301" s="619"/>
      <c r="AC301" s="619"/>
      <c r="AD301" s="619"/>
      <c r="AE301" s="619"/>
      <c r="AF301" s="619"/>
      <c r="AG301" s="619"/>
      <c r="AH301" s="619"/>
      <c r="AI301" s="619"/>
      <c r="AJ301" s="619"/>
      <c r="AK301" s="619"/>
      <c r="AL301" s="619"/>
      <c r="AM301" s="8"/>
    </row>
    <row r="302" spans="1:39" ht="14.25" customHeight="1">
      <c r="A302" s="619"/>
      <c r="B302" s="253"/>
      <c r="C302" s="258"/>
      <c r="D302" s="259" t="s">
        <v>140</v>
      </c>
      <c r="E302" s="259">
        <f t="shared" ref="E302:H302" si="140">E215/(E$245-E$233-E$234-E$240-E$241)</f>
        <v>2.7405441511941797E-2</v>
      </c>
      <c r="F302" s="259">
        <f t="shared" si="140"/>
        <v>6.3126478894280399E-2</v>
      </c>
      <c r="G302" s="259">
        <f t="shared" si="140"/>
        <v>6.617752819764601E-2</v>
      </c>
      <c r="H302" s="259">
        <f t="shared" si="140"/>
        <v>7.4888343862277398E-2</v>
      </c>
      <c r="I302" s="259">
        <f t="shared" si="130"/>
        <v>5.7899448116536398E-2</v>
      </c>
      <c r="J302" s="619"/>
      <c r="K302" s="619"/>
      <c r="L302" s="619"/>
      <c r="M302" s="619"/>
      <c r="N302" s="619"/>
      <c r="O302" s="619"/>
      <c r="P302" s="619"/>
      <c r="Q302" s="619"/>
      <c r="R302" s="619"/>
      <c r="S302" s="619"/>
      <c r="T302" s="619"/>
      <c r="U302" s="619"/>
      <c r="V302" s="619"/>
      <c r="W302" s="619"/>
      <c r="X302" s="619"/>
      <c r="Y302" s="619"/>
      <c r="Z302" s="619"/>
      <c r="AA302" s="619"/>
      <c r="AB302" s="619"/>
      <c r="AC302" s="619"/>
      <c r="AD302" s="619"/>
      <c r="AE302" s="619"/>
      <c r="AF302" s="619"/>
      <c r="AG302" s="619"/>
      <c r="AH302" s="619"/>
      <c r="AI302" s="619"/>
      <c r="AJ302" s="619"/>
      <c r="AK302" s="619"/>
      <c r="AL302" s="619"/>
      <c r="AM302" s="8"/>
    </row>
    <row r="303" spans="1:39" ht="14.25" customHeight="1">
      <c r="A303" s="619"/>
      <c r="B303" s="253"/>
      <c r="C303" s="258" t="s">
        <v>142</v>
      </c>
      <c r="D303" s="262" t="s">
        <v>306</v>
      </c>
      <c r="E303" s="262">
        <f t="shared" ref="E303:H303" si="141">E216/(E$245-E$233-E$234-E$240-E$241)</f>
        <v>1.4455428469648908E-3</v>
      </c>
      <c r="F303" s="262">
        <f t="shared" si="141"/>
        <v>1.2942253789245068E-3</v>
      </c>
      <c r="G303" s="262">
        <f t="shared" si="141"/>
        <v>1.3513110162268851E-3</v>
      </c>
      <c r="H303" s="262">
        <f t="shared" si="141"/>
        <v>1.3079916848731227E-3</v>
      </c>
      <c r="I303" s="262">
        <f t="shared" si="130"/>
        <v>1.3497677317473515E-3</v>
      </c>
      <c r="J303" s="619"/>
      <c r="K303" s="619"/>
      <c r="L303" s="619"/>
      <c r="M303" s="619"/>
      <c r="N303" s="619"/>
      <c r="O303" s="619"/>
      <c r="P303" s="619"/>
      <c r="Q303" s="619"/>
      <c r="R303" s="619"/>
      <c r="S303" s="619"/>
      <c r="T303" s="619"/>
      <c r="U303" s="619"/>
      <c r="V303" s="619"/>
      <c r="W303" s="619"/>
      <c r="X303" s="619"/>
      <c r="Y303" s="619"/>
      <c r="Z303" s="619"/>
      <c r="AA303" s="619"/>
      <c r="AB303" s="619"/>
      <c r="AC303" s="619"/>
      <c r="AD303" s="619"/>
      <c r="AE303" s="619"/>
      <c r="AF303" s="619"/>
      <c r="AG303" s="619"/>
      <c r="AH303" s="619"/>
      <c r="AI303" s="619"/>
      <c r="AJ303" s="619"/>
      <c r="AK303" s="619"/>
      <c r="AL303" s="619"/>
      <c r="AM303" s="8"/>
    </row>
    <row r="304" spans="1:39" ht="14.25" customHeight="1">
      <c r="A304" s="619"/>
      <c r="B304" s="253"/>
      <c r="C304" s="258"/>
      <c r="D304" s="262" t="s">
        <v>307</v>
      </c>
      <c r="E304" s="262">
        <f t="shared" ref="E304:H304" si="142">E217/(E$245-E$233-E$234-E$240-E$241)</f>
        <v>0.17369439259158267</v>
      </c>
      <c r="F304" s="262">
        <f t="shared" si="142"/>
        <v>0.11630355555363232</v>
      </c>
      <c r="G304" s="262">
        <f t="shared" si="142"/>
        <v>9.6371183918054201E-2</v>
      </c>
      <c r="H304" s="262">
        <f t="shared" si="142"/>
        <v>8.2513828532336839E-2</v>
      </c>
      <c r="I304" s="262">
        <f t="shared" si="130"/>
        <v>0.11722074014890152</v>
      </c>
      <c r="J304" s="619"/>
      <c r="K304" s="619"/>
      <c r="L304" s="619"/>
      <c r="M304" s="619"/>
      <c r="N304" s="619"/>
      <c r="O304" s="619"/>
      <c r="P304" s="619"/>
      <c r="Q304" s="619"/>
      <c r="R304" s="619"/>
      <c r="S304" s="619"/>
      <c r="T304" s="619"/>
      <c r="U304" s="619"/>
      <c r="V304" s="619"/>
      <c r="W304" s="619"/>
      <c r="X304" s="619"/>
      <c r="Y304" s="619"/>
      <c r="Z304" s="619"/>
      <c r="AA304" s="619"/>
      <c r="AB304" s="619"/>
      <c r="AC304" s="619"/>
      <c r="AD304" s="619"/>
      <c r="AE304" s="619"/>
      <c r="AF304" s="619"/>
      <c r="AG304" s="619"/>
      <c r="AH304" s="619"/>
      <c r="AI304" s="619"/>
      <c r="AJ304" s="619"/>
      <c r="AK304" s="619"/>
      <c r="AL304" s="619"/>
      <c r="AM304" s="8"/>
    </row>
    <row r="305" spans="1:39" ht="14.25" customHeight="1">
      <c r="A305" s="619"/>
      <c r="B305" s="253"/>
      <c r="C305" s="258"/>
      <c r="D305" s="266" t="s">
        <v>145</v>
      </c>
      <c r="E305" s="266">
        <f t="shared" ref="E305:H305" si="143">E218/(E$245-E$233-E$234-E$240-E$241)</f>
        <v>6.02652259149676E-2</v>
      </c>
      <c r="F305" s="266">
        <f t="shared" si="143"/>
        <v>3.3370265963701962E-2</v>
      </c>
      <c r="G305" s="266">
        <f t="shared" si="143"/>
        <v>3.1293624893026444E-2</v>
      </c>
      <c r="H305" s="266">
        <f t="shared" si="143"/>
        <v>2.6283055978850712E-2</v>
      </c>
      <c r="I305" s="266">
        <f t="shared" si="130"/>
        <v>3.7803043187636685E-2</v>
      </c>
      <c r="J305" s="619"/>
      <c r="K305" s="619"/>
      <c r="L305" s="619"/>
      <c r="M305" s="619"/>
      <c r="N305" s="619"/>
      <c r="O305" s="619"/>
      <c r="P305" s="619"/>
      <c r="Q305" s="619"/>
      <c r="R305" s="619"/>
      <c r="S305" s="619"/>
      <c r="T305" s="619"/>
      <c r="U305" s="619"/>
      <c r="V305" s="619"/>
      <c r="W305" s="619"/>
      <c r="X305" s="619"/>
      <c r="Y305" s="619"/>
      <c r="Z305" s="619"/>
      <c r="AA305" s="619"/>
      <c r="AB305" s="619"/>
      <c r="AC305" s="619"/>
      <c r="AD305" s="619"/>
      <c r="AE305" s="619"/>
      <c r="AF305" s="619"/>
      <c r="AG305" s="619"/>
      <c r="AH305" s="619"/>
      <c r="AI305" s="619"/>
      <c r="AJ305" s="619"/>
      <c r="AK305" s="619"/>
      <c r="AL305" s="619"/>
      <c r="AM305" s="8"/>
    </row>
    <row r="306" spans="1:39" ht="14.25" customHeight="1">
      <c r="A306" s="3"/>
      <c r="B306" s="328"/>
      <c r="C306" s="258" t="s">
        <v>146</v>
      </c>
      <c r="D306" s="281" t="s">
        <v>155</v>
      </c>
      <c r="E306" s="281">
        <f t="shared" ref="E306:H306" si="144">E219/(E$245-E$233-E$234-E$240-E$241)</f>
        <v>9.1909514161368187E-3</v>
      </c>
      <c r="F306" s="281">
        <f t="shared" si="144"/>
        <v>9.2321469537729503E-4</v>
      </c>
      <c r="G306" s="281">
        <f t="shared" si="144"/>
        <v>3.2050281540423895E-3</v>
      </c>
      <c r="H306" s="281">
        <f t="shared" si="144"/>
        <v>1.4971399810945474E-3</v>
      </c>
      <c r="I306" s="281">
        <f t="shared" si="130"/>
        <v>3.7040835616627627E-3</v>
      </c>
      <c r="J306" s="3"/>
      <c r="K306" s="619"/>
      <c r="L306" s="619"/>
      <c r="M306" s="619"/>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8"/>
    </row>
    <row r="307" spans="1:39" ht="14.25" customHeight="1">
      <c r="A307" s="619"/>
      <c r="B307" s="253"/>
      <c r="C307" s="258" t="s">
        <v>148</v>
      </c>
      <c r="D307" s="281" t="s">
        <v>160</v>
      </c>
      <c r="E307" s="281">
        <f t="shared" ref="E307:H307" si="145">E220/(E$245-E$233-E$234-E$240-E$241)</f>
        <v>4.122945004783031E-2</v>
      </c>
      <c r="F307" s="281">
        <f t="shared" si="145"/>
        <v>2.6218801389892958E-2</v>
      </c>
      <c r="G307" s="281">
        <f t="shared" si="145"/>
        <v>2.1890014359592699E-2</v>
      </c>
      <c r="H307" s="281">
        <f t="shared" si="145"/>
        <v>1.728385167458122E-2</v>
      </c>
      <c r="I307" s="281">
        <f t="shared" si="130"/>
        <v>2.6655529367974294E-2</v>
      </c>
      <c r="J307" s="619"/>
      <c r="K307" s="619"/>
      <c r="L307" s="619"/>
      <c r="M307" s="619"/>
      <c r="N307" s="619"/>
      <c r="O307" s="619"/>
      <c r="P307" s="619"/>
      <c r="Q307" s="619"/>
      <c r="R307" s="619"/>
      <c r="S307" s="619"/>
      <c r="T307" s="619"/>
      <c r="U307" s="619"/>
      <c r="V307" s="619"/>
      <c r="W307" s="619"/>
      <c r="X307" s="619"/>
      <c r="Y307" s="619"/>
      <c r="Z307" s="619"/>
      <c r="AA307" s="619"/>
      <c r="AB307" s="619"/>
      <c r="AC307" s="619"/>
      <c r="AD307" s="619"/>
      <c r="AE307" s="619"/>
      <c r="AF307" s="619"/>
      <c r="AG307" s="619"/>
      <c r="AH307" s="619"/>
      <c r="AI307" s="619"/>
      <c r="AJ307" s="619"/>
      <c r="AK307" s="619"/>
      <c r="AL307" s="619"/>
      <c r="AM307" s="8"/>
    </row>
    <row r="308" spans="1:39" ht="14.25" customHeight="1">
      <c r="A308" s="619"/>
      <c r="B308" s="253"/>
      <c r="C308" s="258"/>
      <c r="D308" s="259" t="s">
        <v>308</v>
      </c>
      <c r="E308" s="259">
        <f t="shared" ref="E308:H308" si="146">E221/(E$245-E$233-E$234-E$240-E$241)</f>
        <v>1.8292748135304917E-5</v>
      </c>
      <c r="F308" s="259">
        <f t="shared" si="146"/>
        <v>0</v>
      </c>
      <c r="G308" s="259">
        <f t="shared" si="146"/>
        <v>0</v>
      </c>
      <c r="H308" s="259">
        <f t="shared" si="146"/>
        <v>0</v>
      </c>
      <c r="I308" s="259">
        <f t="shared" si="130"/>
        <v>4.5731870338262294E-6</v>
      </c>
      <c r="J308" s="619"/>
      <c r="K308" s="619"/>
      <c r="L308" s="619"/>
      <c r="M308" s="619"/>
      <c r="N308" s="619"/>
      <c r="O308" s="619"/>
      <c r="P308" s="619"/>
      <c r="Q308" s="619"/>
      <c r="R308" s="619"/>
      <c r="S308" s="619"/>
      <c r="T308" s="619"/>
      <c r="U308" s="619"/>
      <c r="V308" s="619"/>
      <c r="W308" s="619"/>
      <c r="X308" s="619"/>
      <c r="Y308" s="619"/>
      <c r="Z308" s="619"/>
      <c r="AA308" s="619"/>
      <c r="AB308" s="619"/>
      <c r="AC308" s="619"/>
      <c r="AD308" s="619"/>
      <c r="AE308" s="619"/>
      <c r="AF308" s="619"/>
      <c r="AG308" s="619"/>
      <c r="AH308" s="619"/>
      <c r="AI308" s="619"/>
      <c r="AJ308" s="619"/>
      <c r="AK308" s="619"/>
      <c r="AL308" s="619"/>
      <c r="AM308" s="8"/>
    </row>
    <row r="309" spans="1:39" ht="14.25" customHeight="1">
      <c r="A309" s="619"/>
      <c r="B309" s="253"/>
      <c r="C309" s="258" t="s">
        <v>151</v>
      </c>
      <c r="D309" s="259" t="s">
        <v>309</v>
      </c>
      <c r="E309" s="259">
        <f t="shared" ref="E309:H309" si="147">E222/(E$245-E$233-E$234-E$240-E$241)</f>
        <v>9.8265317028651614E-3</v>
      </c>
      <c r="F309" s="259">
        <f t="shared" si="147"/>
        <v>6.2282498784317049E-3</v>
      </c>
      <c r="G309" s="259">
        <f t="shared" si="147"/>
        <v>6.198582379391358E-3</v>
      </c>
      <c r="H309" s="259">
        <f t="shared" si="147"/>
        <v>7.5020643231749461E-3</v>
      </c>
      <c r="I309" s="259">
        <f t="shared" si="130"/>
        <v>7.4388570709657924E-3</v>
      </c>
      <c r="J309" s="619"/>
      <c r="K309" s="619"/>
      <c r="L309" s="619"/>
      <c r="M309" s="619"/>
      <c r="N309" s="619"/>
      <c r="O309" s="619"/>
      <c r="P309" s="619"/>
      <c r="Q309" s="619"/>
      <c r="R309" s="619"/>
      <c r="S309" s="619"/>
      <c r="T309" s="619"/>
      <c r="U309" s="619"/>
      <c r="V309" s="619"/>
      <c r="W309" s="619"/>
      <c r="X309" s="619"/>
      <c r="Y309" s="619"/>
      <c r="Z309" s="619"/>
      <c r="AA309" s="619"/>
      <c r="AB309" s="619"/>
      <c r="AC309" s="619"/>
      <c r="AD309" s="619"/>
      <c r="AE309" s="619"/>
      <c r="AF309" s="619"/>
      <c r="AG309" s="619"/>
      <c r="AH309" s="619"/>
      <c r="AI309" s="619"/>
      <c r="AJ309" s="619"/>
      <c r="AK309" s="619"/>
      <c r="AL309" s="619"/>
      <c r="AM309" s="8"/>
    </row>
    <row r="310" spans="1:39" ht="14.25" customHeight="1">
      <c r="A310" s="619"/>
      <c r="B310" s="253"/>
      <c r="C310" s="258"/>
      <c r="D310" s="266" t="s">
        <v>153</v>
      </c>
      <c r="E310" s="266">
        <f t="shared" ref="E310:H310" si="148">E223/(E$245-E$233-E$234-E$240-E$241)</f>
        <v>4.2398009922950286E-2</v>
      </c>
      <c r="F310" s="266">
        <f t="shared" si="148"/>
        <v>3.471518294371205E-2</v>
      </c>
      <c r="G310" s="266">
        <f t="shared" si="148"/>
        <v>2.8298846350211699E-2</v>
      </c>
      <c r="H310" s="266">
        <f t="shared" si="148"/>
        <v>2.3254981722483244E-2</v>
      </c>
      <c r="I310" s="266">
        <f t="shared" si="130"/>
        <v>3.216675523483932E-2</v>
      </c>
      <c r="J310" s="619"/>
      <c r="K310" s="619"/>
      <c r="L310" s="619"/>
      <c r="M310" s="619"/>
      <c r="N310" s="619"/>
      <c r="O310" s="619"/>
      <c r="P310" s="619"/>
      <c r="Q310" s="619"/>
      <c r="R310" s="619"/>
      <c r="S310" s="619"/>
      <c r="T310" s="619"/>
      <c r="U310" s="619"/>
      <c r="V310" s="619"/>
      <c r="W310" s="619"/>
      <c r="X310" s="619"/>
      <c r="Y310" s="619"/>
      <c r="Z310" s="619"/>
      <c r="AA310" s="619"/>
      <c r="AB310" s="619"/>
      <c r="AC310" s="619"/>
      <c r="AD310" s="619"/>
      <c r="AE310" s="619"/>
      <c r="AF310" s="619"/>
      <c r="AG310" s="619"/>
      <c r="AH310" s="619"/>
      <c r="AI310" s="619"/>
      <c r="AJ310" s="619"/>
      <c r="AK310" s="619"/>
      <c r="AL310" s="619"/>
      <c r="AM310" s="8"/>
    </row>
    <row r="311" spans="1:39" ht="14.25" customHeight="1">
      <c r="A311" s="619"/>
      <c r="B311" s="253"/>
      <c r="C311" s="258" t="s">
        <v>154</v>
      </c>
      <c r="D311" s="281" t="s">
        <v>155</v>
      </c>
      <c r="E311" s="281">
        <f t="shared" ref="E311:H311" si="149">E224/(E$245-E$233-E$234-E$240-E$241)</f>
        <v>4.9822723335630863E-3</v>
      </c>
      <c r="F311" s="281">
        <f t="shared" si="149"/>
        <v>2.6747801604928541E-3</v>
      </c>
      <c r="G311" s="281">
        <f t="shared" si="149"/>
        <v>9.2168149128452417E-4</v>
      </c>
      <c r="H311" s="281">
        <f t="shared" si="149"/>
        <v>6.069558169828342E-4</v>
      </c>
      <c r="I311" s="281">
        <f t="shared" si="130"/>
        <v>2.296422450580825E-3</v>
      </c>
      <c r="J311" s="619"/>
      <c r="K311" s="619"/>
      <c r="L311" s="619"/>
      <c r="M311" s="619"/>
      <c r="N311" s="619"/>
      <c r="O311" s="619"/>
      <c r="P311" s="619"/>
      <c r="Q311" s="619"/>
      <c r="R311" s="619"/>
      <c r="S311" s="619"/>
      <c r="T311" s="619"/>
      <c r="U311" s="619"/>
      <c r="V311" s="619"/>
      <c r="W311" s="619"/>
      <c r="X311" s="619"/>
      <c r="Y311" s="619"/>
      <c r="Z311" s="619"/>
      <c r="AA311" s="619"/>
      <c r="AB311" s="619"/>
      <c r="AC311" s="619"/>
      <c r="AD311" s="619"/>
      <c r="AE311" s="619"/>
      <c r="AF311" s="619"/>
      <c r="AG311" s="619"/>
      <c r="AH311" s="619"/>
      <c r="AI311" s="619"/>
      <c r="AJ311" s="619"/>
      <c r="AK311" s="619"/>
      <c r="AL311" s="619"/>
      <c r="AM311" s="8"/>
    </row>
    <row r="312" spans="1:39" ht="14.25" customHeight="1">
      <c r="A312" s="619"/>
      <c r="B312" s="253"/>
      <c r="C312" s="258" t="s">
        <v>156</v>
      </c>
      <c r="D312" s="281" t="s">
        <v>157</v>
      </c>
      <c r="E312" s="281">
        <f t="shared" ref="E312:H312" si="150">E225/(E$245-E$233-E$234-E$240-E$241)</f>
        <v>3.7415737589387196E-2</v>
      </c>
      <c r="F312" s="281">
        <f t="shared" si="150"/>
        <v>3.2040402783219193E-2</v>
      </c>
      <c r="G312" s="281">
        <f t="shared" si="150"/>
        <v>2.7377164858927175E-2</v>
      </c>
      <c r="H312" s="281">
        <f t="shared" si="150"/>
        <v>2.2648025905500409E-2</v>
      </c>
      <c r="I312" s="281">
        <f t="shared" si="130"/>
        <v>2.9870332784258494E-2</v>
      </c>
      <c r="J312" s="619"/>
      <c r="K312" s="619"/>
      <c r="L312" s="619"/>
      <c r="M312" s="619"/>
      <c r="N312" s="619"/>
      <c r="O312" s="619"/>
      <c r="P312" s="619"/>
      <c r="Q312" s="619"/>
      <c r="R312" s="619"/>
      <c r="S312" s="619"/>
      <c r="T312" s="619"/>
      <c r="U312" s="619"/>
      <c r="V312" s="619"/>
      <c r="W312" s="619"/>
      <c r="X312" s="619"/>
      <c r="Y312" s="619"/>
      <c r="Z312" s="619"/>
      <c r="AA312" s="619"/>
      <c r="AB312" s="619"/>
      <c r="AC312" s="619"/>
      <c r="AD312" s="619"/>
      <c r="AE312" s="619"/>
      <c r="AF312" s="619"/>
      <c r="AG312" s="619"/>
      <c r="AH312" s="619"/>
      <c r="AI312" s="619"/>
      <c r="AJ312" s="619"/>
      <c r="AK312" s="619"/>
      <c r="AL312" s="619"/>
      <c r="AM312" s="8"/>
    </row>
    <row r="313" spans="1:39" ht="14.25" customHeight="1">
      <c r="A313" s="619"/>
      <c r="B313" s="253"/>
      <c r="C313" s="258"/>
      <c r="D313" s="266" t="s">
        <v>158</v>
      </c>
      <c r="E313" s="266">
        <f t="shared" ref="E313:H313" si="151">E226/(E$245-E$233-E$234-E$240-E$241)</f>
        <v>7.1031156753664781E-2</v>
      </c>
      <c r="F313" s="266">
        <f t="shared" si="151"/>
        <v>4.8218106646218319E-2</v>
      </c>
      <c r="G313" s="266">
        <f t="shared" si="151"/>
        <v>3.6778712674816062E-2</v>
      </c>
      <c r="H313" s="266">
        <f t="shared" si="151"/>
        <v>3.2975790831002889E-2</v>
      </c>
      <c r="I313" s="266">
        <f t="shared" si="130"/>
        <v>4.7250941726425508E-2</v>
      </c>
      <c r="J313" s="619"/>
      <c r="K313" s="619"/>
      <c r="L313" s="619"/>
      <c r="M313" s="619"/>
      <c r="N313" s="619"/>
      <c r="O313" s="619"/>
      <c r="P313" s="619"/>
      <c r="Q313" s="619"/>
      <c r="R313" s="619"/>
      <c r="S313" s="619"/>
      <c r="T313" s="619"/>
      <c r="U313" s="619"/>
      <c r="V313" s="619"/>
      <c r="W313" s="619"/>
      <c r="X313" s="619"/>
      <c r="Y313" s="619"/>
      <c r="Z313" s="619"/>
      <c r="AA313" s="619"/>
      <c r="AB313" s="619"/>
      <c r="AC313" s="619"/>
      <c r="AD313" s="619"/>
      <c r="AE313" s="619"/>
      <c r="AF313" s="619"/>
      <c r="AG313" s="619"/>
      <c r="AH313" s="619"/>
      <c r="AI313" s="619"/>
      <c r="AJ313" s="619"/>
      <c r="AK313" s="619"/>
      <c r="AL313" s="619"/>
      <c r="AM313" s="8"/>
    </row>
    <row r="314" spans="1:39" ht="14.25" customHeight="1">
      <c r="A314" s="619"/>
      <c r="B314" s="253"/>
      <c r="C314" s="258" t="s">
        <v>159</v>
      </c>
      <c r="D314" s="281" t="s">
        <v>160</v>
      </c>
      <c r="E314" s="281">
        <f t="shared" ref="E314:H314" si="152">E227/(E$245-E$233-E$234-E$240-E$241)</f>
        <v>7.1031156753664781E-2</v>
      </c>
      <c r="F314" s="281">
        <f t="shared" si="152"/>
        <v>4.8218106646218319E-2</v>
      </c>
      <c r="G314" s="281">
        <f t="shared" si="152"/>
        <v>3.6778712674816062E-2</v>
      </c>
      <c r="H314" s="281">
        <f t="shared" si="152"/>
        <v>3.2975790831002889E-2</v>
      </c>
      <c r="I314" s="281">
        <f t="shared" si="130"/>
        <v>4.7250941726425508E-2</v>
      </c>
      <c r="J314" s="619"/>
      <c r="K314" s="619"/>
      <c r="L314" s="619"/>
      <c r="M314" s="619"/>
      <c r="N314" s="619"/>
      <c r="O314" s="619"/>
      <c r="P314" s="619"/>
      <c r="Q314" s="619"/>
      <c r="R314" s="619"/>
      <c r="S314" s="619"/>
      <c r="T314" s="619"/>
      <c r="U314" s="619"/>
      <c r="V314" s="619"/>
      <c r="W314" s="619"/>
      <c r="X314" s="619"/>
      <c r="Y314" s="619"/>
      <c r="Z314" s="619"/>
      <c r="AA314" s="619"/>
      <c r="AB314" s="619"/>
      <c r="AC314" s="619"/>
      <c r="AD314" s="619"/>
      <c r="AE314" s="619"/>
      <c r="AF314" s="619"/>
      <c r="AG314" s="619"/>
      <c r="AH314" s="619"/>
      <c r="AI314" s="619"/>
      <c r="AJ314" s="619"/>
      <c r="AK314" s="619"/>
      <c r="AL314" s="619"/>
      <c r="AM314" s="8"/>
    </row>
    <row r="315" spans="1:39" ht="14.25" customHeight="1">
      <c r="A315" s="619"/>
      <c r="B315" s="253"/>
      <c r="C315" s="258"/>
      <c r="D315" s="262" t="s">
        <v>310</v>
      </c>
      <c r="E315" s="262">
        <f t="shared" ref="E315:H315" si="153">E228/(E$245-E$233-E$234-E$240-E$241)</f>
        <v>1.8928836877282564E-3</v>
      </c>
      <c r="F315" s="262">
        <f t="shared" si="153"/>
        <v>1.6079177964543523E-3</v>
      </c>
      <c r="G315" s="262">
        <f t="shared" si="153"/>
        <v>1.7578841322512632E-3</v>
      </c>
      <c r="H315" s="262">
        <f t="shared" si="153"/>
        <v>1.6478974187710727E-3</v>
      </c>
      <c r="I315" s="262">
        <f t="shared" si="130"/>
        <v>1.726645758801236E-3</v>
      </c>
      <c r="J315" s="619"/>
      <c r="K315" s="619"/>
      <c r="L315" s="619"/>
      <c r="M315" s="619"/>
      <c r="N315" s="619"/>
      <c r="O315" s="619"/>
      <c r="P315" s="619"/>
      <c r="Q315" s="619"/>
      <c r="R315" s="619"/>
      <c r="S315" s="619"/>
      <c r="T315" s="619"/>
      <c r="U315" s="619"/>
      <c r="V315" s="619"/>
      <c r="W315" s="619"/>
      <c r="X315" s="619"/>
      <c r="Y315" s="619"/>
      <c r="Z315" s="619"/>
      <c r="AA315" s="619"/>
      <c r="AB315" s="619"/>
      <c r="AC315" s="619"/>
      <c r="AD315" s="619"/>
      <c r="AE315" s="619"/>
      <c r="AF315" s="619"/>
      <c r="AG315" s="619"/>
      <c r="AH315" s="619"/>
      <c r="AI315" s="619"/>
      <c r="AJ315" s="619"/>
      <c r="AK315" s="619"/>
      <c r="AL315" s="619"/>
      <c r="AM315" s="8"/>
    </row>
    <row r="316" spans="1:39" ht="14.25" customHeight="1">
      <c r="A316" s="619"/>
      <c r="B316" s="253"/>
      <c r="C316" s="258"/>
      <c r="D316" s="266" t="s">
        <v>162</v>
      </c>
      <c r="E316" s="266">
        <f t="shared" ref="E316:H316" si="154">E229/(E$245-E$233-E$234-E$240-E$241)</f>
        <v>0</v>
      </c>
      <c r="F316" s="266">
        <f t="shared" si="154"/>
        <v>0</v>
      </c>
      <c r="G316" s="266">
        <f t="shared" si="154"/>
        <v>0</v>
      </c>
      <c r="H316" s="266">
        <f t="shared" si="154"/>
        <v>0</v>
      </c>
      <c r="I316" s="266">
        <f t="shared" si="130"/>
        <v>0</v>
      </c>
      <c r="J316" s="619"/>
      <c r="K316" s="619"/>
      <c r="L316" s="619"/>
      <c r="M316" s="619"/>
      <c r="N316" s="619"/>
      <c r="O316" s="619"/>
      <c r="P316" s="619"/>
      <c r="Q316" s="619"/>
      <c r="R316" s="619"/>
      <c r="S316" s="619"/>
      <c r="T316" s="619"/>
      <c r="U316" s="619"/>
      <c r="V316" s="619"/>
      <c r="W316" s="619"/>
      <c r="X316" s="619"/>
      <c r="Y316" s="619"/>
      <c r="Z316" s="619"/>
      <c r="AA316" s="619"/>
      <c r="AB316" s="619"/>
      <c r="AC316" s="619"/>
      <c r="AD316" s="619"/>
      <c r="AE316" s="619"/>
      <c r="AF316" s="619"/>
      <c r="AG316" s="619"/>
      <c r="AH316" s="619"/>
      <c r="AI316" s="619"/>
      <c r="AJ316" s="619"/>
      <c r="AK316" s="619"/>
      <c r="AL316" s="619"/>
      <c r="AM316" s="8"/>
    </row>
    <row r="317" spans="1:39" ht="14.25" customHeight="1">
      <c r="A317" s="619"/>
      <c r="B317" s="253"/>
      <c r="C317" s="258" t="s">
        <v>163</v>
      </c>
      <c r="D317" s="281" t="s">
        <v>161</v>
      </c>
      <c r="E317" s="281">
        <f t="shared" ref="E317:H317" si="155">E230/(E$245-E$233-E$234-E$240-E$241)</f>
        <v>1.8928836877282564E-3</v>
      </c>
      <c r="F317" s="281">
        <f t="shared" si="155"/>
        <v>1.6079177964543523E-3</v>
      </c>
      <c r="G317" s="281">
        <f t="shared" si="155"/>
        <v>1.7578841322512632E-3</v>
      </c>
      <c r="H317" s="281">
        <f t="shared" si="155"/>
        <v>1.6478974187710727E-3</v>
      </c>
      <c r="I317" s="281">
        <f t="shared" si="130"/>
        <v>1.726645758801236E-3</v>
      </c>
      <c r="J317" s="619"/>
      <c r="K317" s="619"/>
      <c r="L317" s="619"/>
      <c r="M317" s="619"/>
      <c r="N317" s="619"/>
      <c r="O317" s="619"/>
      <c r="P317" s="619"/>
      <c r="Q317" s="619"/>
      <c r="R317" s="619"/>
      <c r="S317" s="619"/>
      <c r="T317" s="619"/>
      <c r="U317" s="619"/>
      <c r="V317" s="619"/>
      <c r="W317" s="619"/>
      <c r="X317" s="619"/>
      <c r="Y317" s="619"/>
      <c r="Z317" s="619"/>
      <c r="AA317" s="619"/>
      <c r="AB317" s="619"/>
      <c r="AC317" s="619"/>
      <c r="AD317" s="619"/>
      <c r="AE317" s="619"/>
      <c r="AF317" s="619"/>
      <c r="AG317" s="619"/>
      <c r="AH317" s="619"/>
      <c r="AI317" s="619"/>
      <c r="AJ317" s="619"/>
      <c r="AK317" s="619"/>
      <c r="AL317" s="619"/>
      <c r="AM317" s="8"/>
    </row>
    <row r="318" spans="1:39" ht="14.25" customHeight="1">
      <c r="A318" s="619"/>
      <c r="B318" s="253"/>
      <c r="C318" s="258"/>
      <c r="D318" s="272" t="s">
        <v>311</v>
      </c>
      <c r="E318" s="413">
        <f>SUM(E319:E324)/(SUM(E326:E331)+SUM(E319:E324))</f>
        <v>0.5</v>
      </c>
      <c r="F318" s="413">
        <v>20</v>
      </c>
      <c r="G318" s="413"/>
      <c r="H318" s="8"/>
      <c r="I318" s="413"/>
      <c r="J318" s="624" t="s">
        <v>401</v>
      </c>
      <c r="K318" s="651"/>
      <c r="L318" s="651"/>
      <c r="M318" s="619"/>
      <c r="N318" s="619"/>
      <c r="O318" s="619"/>
      <c r="P318" s="619"/>
      <c r="Q318" s="8"/>
      <c r="R318" s="619">
        <f>SUM(Q318:Q330)</f>
        <v>0.85636214344130557</v>
      </c>
      <c r="S318" s="619"/>
      <c r="T318" s="619"/>
      <c r="U318" s="619"/>
      <c r="V318" s="619"/>
      <c r="W318" s="619"/>
      <c r="X318" s="619"/>
      <c r="Y318" s="619"/>
      <c r="Z318" s="619"/>
      <c r="AA318" s="619"/>
      <c r="AB318" s="619"/>
      <c r="AC318" s="619"/>
      <c r="AD318" s="619"/>
      <c r="AE318" s="619"/>
      <c r="AF318" s="619"/>
      <c r="AG318" s="619"/>
      <c r="AH318" s="619"/>
      <c r="AI318" s="619"/>
      <c r="AJ318" s="619"/>
      <c r="AK318" s="619"/>
      <c r="AL318" s="619"/>
      <c r="AM318" s="8"/>
    </row>
    <row r="319" spans="1:39" ht="14.25" customHeight="1">
      <c r="A319" s="619"/>
      <c r="B319" s="253"/>
      <c r="C319" s="258" t="s">
        <v>165</v>
      </c>
      <c r="D319" s="334" t="s">
        <v>166</v>
      </c>
      <c r="E319" s="370">
        <f t="shared" ref="E319:H319" si="156">E232/(E$235+E$236+E$237+E$232)</f>
        <v>1.5296638990524438E-2</v>
      </c>
      <c r="F319" s="370">
        <f t="shared" si="156"/>
        <v>1.9368029201657817E-2</v>
      </c>
      <c r="G319" s="370">
        <f t="shared" si="156"/>
        <v>1.9827376389912849E-2</v>
      </c>
      <c r="H319" s="370">
        <f t="shared" si="156"/>
        <v>1.9685634312882588E-2</v>
      </c>
      <c r="I319" s="370">
        <f>AVERAGE(E319:H319)</f>
        <v>1.8544419723744422E-2</v>
      </c>
      <c r="J319" s="651"/>
      <c r="K319" s="651"/>
      <c r="L319" s="651"/>
      <c r="M319" s="619">
        <f t="shared" ref="M319:P319" si="157">E233/E$245</f>
        <v>3.5055849187167545E-2</v>
      </c>
      <c r="N319" s="619">
        <f t="shared" si="157"/>
        <v>4.1963549566905886E-2</v>
      </c>
      <c r="O319" s="619">
        <f t="shared" si="157"/>
        <v>3.2241087458825257E-2</v>
      </c>
      <c r="P319" s="619">
        <f t="shared" si="157"/>
        <v>3.7860902735071686E-2</v>
      </c>
      <c r="Q319" s="619">
        <f t="shared" ref="Q319:Q324" si="158">AVERAGE(M319:P319)</f>
        <v>3.6780347236992597E-2</v>
      </c>
      <c r="R319" s="619"/>
      <c r="S319" s="619"/>
      <c r="T319" s="619"/>
      <c r="U319" s="619"/>
      <c r="V319" s="619"/>
      <c r="W319" s="619"/>
      <c r="X319" s="619"/>
      <c r="Y319" s="619"/>
      <c r="Z319" s="619"/>
      <c r="AA319" s="619"/>
      <c r="AB319" s="619"/>
      <c r="AC319" s="619"/>
      <c r="AD319" s="619"/>
      <c r="AE319" s="619"/>
      <c r="AF319" s="619"/>
      <c r="AG319" s="619"/>
      <c r="AH319" s="619"/>
      <c r="AI319" s="619"/>
      <c r="AJ319" s="619"/>
      <c r="AK319" s="619"/>
      <c r="AL319" s="619"/>
      <c r="AM319" s="8"/>
    </row>
    <row r="320" spans="1:39" ht="14.25" customHeight="1">
      <c r="A320" s="619"/>
      <c r="B320" s="253"/>
      <c r="C320" s="258" t="s">
        <v>167</v>
      </c>
      <c r="D320" s="414" t="s">
        <v>168</v>
      </c>
      <c r="E320" s="415"/>
      <c r="F320" s="415"/>
      <c r="G320" s="415"/>
      <c r="H320" s="415"/>
      <c r="I320" s="415"/>
      <c r="J320" s="651"/>
      <c r="K320" s="651"/>
      <c r="L320" s="651"/>
      <c r="M320" s="619">
        <f t="shared" ref="M320:P320" si="159">E234/E$245</f>
        <v>0</v>
      </c>
      <c r="N320" s="619">
        <f t="shared" si="159"/>
        <v>0</v>
      </c>
      <c r="O320" s="619">
        <f t="shared" si="159"/>
        <v>0</v>
      </c>
      <c r="P320" s="619">
        <f t="shared" si="159"/>
        <v>0</v>
      </c>
      <c r="Q320" s="619">
        <f t="shared" si="158"/>
        <v>0</v>
      </c>
      <c r="R320" s="619"/>
      <c r="S320" s="619"/>
      <c r="T320" s="619"/>
      <c r="U320" s="619"/>
      <c r="V320" s="619"/>
      <c r="W320" s="619"/>
      <c r="X320" s="619"/>
      <c r="Y320" s="619"/>
      <c r="Z320" s="619"/>
      <c r="AA320" s="619"/>
      <c r="AB320" s="619"/>
      <c r="AC320" s="619"/>
      <c r="AD320" s="619"/>
      <c r="AE320" s="619"/>
      <c r="AF320" s="619"/>
      <c r="AG320" s="619"/>
      <c r="AH320" s="619"/>
      <c r="AI320" s="619"/>
      <c r="AJ320" s="619"/>
      <c r="AK320" s="619"/>
      <c r="AL320" s="619"/>
      <c r="AM320" s="8"/>
    </row>
    <row r="321" spans="1:39" ht="14.25" customHeight="1">
      <c r="A321" s="619"/>
      <c r="B321" s="253"/>
      <c r="C321" s="258" t="s">
        <v>169</v>
      </c>
      <c r="D321" s="414" t="s">
        <v>170</v>
      </c>
      <c r="E321" s="415"/>
      <c r="F321" s="415"/>
      <c r="G321" s="415"/>
      <c r="H321" s="415"/>
      <c r="I321" s="415"/>
      <c r="J321" s="651"/>
      <c r="K321" s="651"/>
      <c r="L321" s="651"/>
      <c r="M321" s="619">
        <f t="shared" ref="M321:P321" si="160">E235/E$245</f>
        <v>0</v>
      </c>
      <c r="N321" s="619">
        <f t="shared" si="160"/>
        <v>0</v>
      </c>
      <c r="O321" s="619">
        <f t="shared" si="160"/>
        <v>0</v>
      </c>
      <c r="P321" s="619">
        <f t="shared" si="160"/>
        <v>0</v>
      </c>
      <c r="Q321" s="619">
        <f t="shared" si="158"/>
        <v>0</v>
      </c>
      <c r="R321" s="619"/>
      <c r="S321" s="619"/>
      <c r="T321" s="619"/>
      <c r="U321" s="619"/>
      <c r="V321" s="619"/>
      <c r="W321" s="619"/>
      <c r="X321" s="619"/>
      <c r="Y321" s="619"/>
      <c r="Z321" s="619"/>
      <c r="AA321" s="619"/>
      <c r="AB321" s="619"/>
      <c r="AC321" s="619"/>
      <c r="AD321" s="619"/>
      <c r="AE321" s="619"/>
      <c r="AF321" s="619"/>
      <c r="AG321" s="619"/>
      <c r="AH321" s="619"/>
      <c r="AI321" s="619"/>
      <c r="AJ321" s="619"/>
      <c r="AK321" s="619"/>
      <c r="AL321" s="619"/>
      <c r="AM321" s="8"/>
    </row>
    <row r="322" spans="1:39" ht="14.25" customHeight="1">
      <c r="A322" s="619"/>
      <c r="B322" s="253"/>
      <c r="C322" s="258" t="s">
        <v>171</v>
      </c>
      <c r="D322" s="334" t="s">
        <v>172</v>
      </c>
      <c r="E322" s="370">
        <f t="shared" ref="E322:H322" si="161">E235/(E$235+E$236+E$237+E$232)</f>
        <v>0</v>
      </c>
      <c r="F322" s="370">
        <f t="shared" si="161"/>
        <v>0</v>
      </c>
      <c r="G322" s="370">
        <f t="shared" si="161"/>
        <v>0</v>
      </c>
      <c r="H322" s="370">
        <f t="shared" si="161"/>
        <v>0</v>
      </c>
      <c r="I322" s="370">
        <f t="shared" ref="I322:I324" si="162">AVERAGE(E322:H322)</f>
        <v>0</v>
      </c>
      <c r="J322" s="651"/>
      <c r="K322" s="651"/>
      <c r="L322" s="651"/>
      <c r="M322" s="619">
        <f t="shared" ref="M322:P322" si="163">E236/E$245</f>
        <v>7.1596078573706146E-2</v>
      </c>
      <c r="N322" s="619">
        <f t="shared" si="163"/>
        <v>7.1553792907604413E-2</v>
      </c>
      <c r="O322" s="619">
        <f t="shared" si="163"/>
        <v>6.8061340194654124E-2</v>
      </c>
      <c r="P322" s="619">
        <f t="shared" si="163"/>
        <v>7.1013050693901028E-2</v>
      </c>
      <c r="Q322" s="619">
        <f t="shared" si="158"/>
        <v>7.0556065592466424E-2</v>
      </c>
      <c r="R322" s="619"/>
      <c r="S322" s="619"/>
      <c r="T322" s="619"/>
      <c r="U322" s="619"/>
      <c r="V322" s="619"/>
      <c r="W322" s="619"/>
      <c r="X322" s="619"/>
      <c r="Y322" s="619"/>
      <c r="Z322" s="619"/>
      <c r="AA322" s="619"/>
      <c r="AB322" s="619"/>
      <c r="AC322" s="619"/>
      <c r="AD322" s="619"/>
      <c r="AE322" s="619"/>
      <c r="AF322" s="619"/>
      <c r="AG322" s="619"/>
      <c r="AH322" s="619"/>
      <c r="AI322" s="619"/>
      <c r="AJ322" s="619"/>
      <c r="AK322" s="619"/>
      <c r="AL322" s="619"/>
      <c r="AM322" s="8"/>
    </row>
    <row r="323" spans="1:39" ht="14.25" customHeight="1">
      <c r="A323" s="619"/>
      <c r="B323" s="253"/>
      <c r="C323" s="258" t="s">
        <v>173</v>
      </c>
      <c r="D323" s="334" t="s">
        <v>174</v>
      </c>
      <c r="E323" s="370">
        <f t="shared" ref="E323:H323" si="164">E236/(E$235+E$236+E$237+E$232)</f>
        <v>0.26584928229665072</v>
      </c>
      <c r="F323" s="370">
        <f t="shared" si="164"/>
        <v>0.25893168367159164</v>
      </c>
      <c r="G323" s="370">
        <f t="shared" si="164"/>
        <v>0.25777612579511716</v>
      </c>
      <c r="H323" s="370">
        <f t="shared" si="164"/>
        <v>0.2619168753469685</v>
      </c>
      <c r="I323" s="370">
        <f t="shared" si="162"/>
        <v>0.26111849177758201</v>
      </c>
      <c r="J323" s="651"/>
      <c r="K323" s="651"/>
      <c r="L323" s="651"/>
      <c r="M323" s="619">
        <f t="shared" ref="M323:P323" si="165">E237/E$245</f>
        <v>0.19359515533738553</v>
      </c>
      <c r="N323" s="619">
        <f t="shared" si="165"/>
        <v>0.19943636156911071</v>
      </c>
      <c r="O323" s="619">
        <f t="shared" si="165"/>
        <v>0.19073633619697575</v>
      </c>
      <c r="P323" s="619">
        <f t="shared" si="165"/>
        <v>0.19477781770385927</v>
      </c>
      <c r="Q323" s="619">
        <f t="shared" si="158"/>
        <v>0.19463641770183282</v>
      </c>
      <c r="R323" s="619"/>
      <c r="S323" s="619"/>
      <c r="T323" s="619"/>
      <c r="U323" s="619"/>
      <c r="V323" s="619"/>
      <c r="W323" s="619"/>
      <c r="X323" s="619"/>
      <c r="Y323" s="619"/>
      <c r="Z323" s="619"/>
      <c r="AA323" s="619"/>
      <c r="AB323" s="619"/>
      <c r="AC323" s="619"/>
      <c r="AD323" s="619"/>
      <c r="AE323" s="619"/>
      <c r="AF323" s="619"/>
      <c r="AG323" s="619"/>
      <c r="AH323" s="619"/>
      <c r="AI323" s="619"/>
      <c r="AJ323" s="619"/>
      <c r="AK323" s="619"/>
      <c r="AL323" s="619"/>
      <c r="AM323" s="8"/>
    </row>
    <row r="324" spans="1:39" ht="14.25" customHeight="1">
      <c r="A324" s="619"/>
      <c r="B324" s="253"/>
      <c r="C324" s="258" t="s">
        <v>175</v>
      </c>
      <c r="D324" s="334" t="s">
        <v>176</v>
      </c>
      <c r="E324" s="370">
        <f t="shared" ref="E324:H324" si="166">E237/(E$235+E$236+E$237+E$232)</f>
        <v>0.71885407871282481</v>
      </c>
      <c r="F324" s="370">
        <f t="shared" si="166"/>
        <v>0.72170028712675049</v>
      </c>
      <c r="G324" s="370">
        <f t="shared" si="166"/>
        <v>0.72239649781496995</v>
      </c>
      <c r="H324" s="370">
        <f t="shared" si="166"/>
        <v>0.71839749034014888</v>
      </c>
      <c r="I324" s="370">
        <f t="shared" si="162"/>
        <v>0.72033708849867351</v>
      </c>
      <c r="J324" s="651"/>
      <c r="K324" s="651"/>
      <c r="L324" s="651"/>
      <c r="M324" s="619">
        <f t="shared" ref="M324:P324" si="167">E238/E$245</f>
        <v>0</v>
      </c>
      <c r="N324" s="619">
        <f t="shared" si="167"/>
        <v>0</v>
      </c>
      <c r="O324" s="619">
        <f t="shared" si="167"/>
        <v>0</v>
      </c>
      <c r="P324" s="619">
        <f t="shared" si="167"/>
        <v>0</v>
      </c>
      <c r="Q324" s="619">
        <f t="shared" si="158"/>
        <v>0</v>
      </c>
      <c r="R324" s="619"/>
      <c r="S324" s="619"/>
      <c r="T324" s="619"/>
      <c r="U324" s="619"/>
      <c r="V324" s="619"/>
      <c r="W324" s="619"/>
      <c r="X324" s="619"/>
      <c r="Y324" s="619"/>
      <c r="Z324" s="619"/>
      <c r="AA324" s="619"/>
      <c r="AB324" s="619"/>
      <c r="AC324" s="619"/>
      <c r="AD324" s="619"/>
      <c r="AE324" s="619"/>
      <c r="AF324" s="619"/>
      <c r="AG324" s="619"/>
      <c r="AH324" s="619"/>
      <c r="AI324" s="619"/>
      <c r="AJ324" s="619"/>
      <c r="AK324" s="619"/>
      <c r="AL324" s="619"/>
      <c r="AM324" s="8"/>
    </row>
    <row r="325" spans="1:39" ht="14.25" customHeight="1">
      <c r="A325" s="619"/>
      <c r="B325" s="253"/>
      <c r="C325" s="258"/>
      <c r="D325" s="272" t="s">
        <v>312</v>
      </c>
      <c r="E325" s="413">
        <f>SUM(E326:E331)/(SUM(E326:E331)+SUM(E319:E324))</f>
        <v>0.5</v>
      </c>
      <c r="F325" s="413">
        <v>80</v>
      </c>
      <c r="G325" s="413"/>
      <c r="H325" s="413"/>
      <c r="I325" s="413"/>
      <c r="J325" s="624" t="s">
        <v>402</v>
      </c>
      <c r="K325" s="651"/>
      <c r="L325" s="651"/>
      <c r="M325" s="619"/>
      <c r="N325" s="619"/>
      <c r="O325" s="619"/>
      <c r="P325" s="619"/>
      <c r="Q325" s="619"/>
      <c r="R325" s="619"/>
      <c r="S325" s="619"/>
      <c r="T325" s="619"/>
      <c r="U325" s="619"/>
      <c r="V325" s="619"/>
      <c r="W325" s="619"/>
      <c r="X325" s="619"/>
      <c r="Y325" s="619"/>
      <c r="Z325" s="619"/>
      <c r="AA325" s="619"/>
      <c r="AB325" s="619"/>
      <c r="AC325" s="619"/>
      <c r="AD325" s="619"/>
      <c r="AE325" s="619"/>
      <c r="AF325" s="619"/>
      <c r="AG325" s="619"/>
      <c r="AH325" s="619"/>
      <c r="AI325" s="619"/>
      <c r="AJ325" s="619"/>
      <c r="AK325" s="619"/>
      <c r="AL325" s="619"/>
      <c r="AM325" s="8"/>
    </row>
    <row r="326" spans="1:39" ht="14.25" customHeight="1">
      <c r="A326" s="619"/>
      <c r="B326" s="253"/>
      <c r="C326" s="258" t="s">
        <v>178</v>
      </c>
      <c r="D326" s="334" t="s">
        <v>166</v>
      </c>
      <c r="E326" s="370">
        <f t="shared" ref="E326:H326" si="168">E239/(E$239+E$242+E$243+E$244)</f>
        <v>2.1490655465593877E-2</v>
      </c>
      <c r="F326" s="370">
        <f t="shared" si="168"/>
        <v>1.894986165425875E-2</v>
      </c>
      <c r="G326" s="370">
        <f t="shared" si="168"/>
        <v>2.0337826015844385E-2</v>
      </c>
      <c r="H326" s="370">
        <f t="shared" si="168"/>
        <v>2.4408565234624185E-2</v>
      </c>
      <c r="I326" s="370">
        <f>AVERAGE(E326:H326)</f>
        <v>2.1296727092580299E-2</v>
      </c>
      <c r="J326" s="651"/>
      <c r="K326" s="651"/>
      <c r="L326" s="651"/>
      <c r="M326" s="619">
        <f t="shared" ref="M326:P326" si="169">E240/E$245</f>
        <v>1.5365308973329897E-2</v>
      </c>
      <c r="N326" s="619">
        <f t="shared" si="169"/>
        <v>4.7808410336931215E-2</v>
      </c>
      <c r="O326" s="619">
        <f t="shared" si="169"/>
        <v>4.9652050467111457E-2</v>
      </c>
      <c r="P326" s="619">
        <f t="shared" si="169"/>
        <v>5.469361724897262E-2</v>
      </c>
      <c r="Q326" s="619">
        <f t="shared" ref="Q326:Q330" si="170">AVERAGE(M326:P326)</f>
        <v>4.1879846756586299E-2</v>
      </c>
      <c r="R326" s="619"/>
      <c r="S326" s="619"/>
      <c r="T326" s="619"/>
      <c r="U326" s="619"/>
      <c r="V326" s="619"/>
      <c r="W326" s="619"/>
      <c r="X326" s="619"/>
      <c r="Y326" s="619"/>
      <c r="Z326" s="619"/>
      <c r="AA326" s="619"/>
      <c r="AB326" s="619"/>
      <c r="AC326" s="619"/>
      <c r="AD326" s="619"/>
      <c r="AE326" s="619"/>
      <c r="AF326" s="619"/>
      <c r="AG326" s="619"/>
      <c r="AH326" s="619"/>
      <c r="AI326" s="619"/>
      <c r="AJ326" s="619"/>
      <c r="AK326" s="619"/>
      <c r="AL326" s="619"/>
      <c r="AM326" s="8"/>
    </row>
    <row r="327" spans="1:39" ht="14.25" customHeight="1">
      <c r="A327" s="619"/>
      <c r="B327" s="253"/>
      <c r="C327" s="258" t="s">
        <v>179</v>
      </c>
      <c r="D327" s="416" t="s">
        <v>168</v>
      </c>
      <c r="E327" s="417"/>
      <c r="F327" s="417"/>
      <c r="G327" s="417"/>
      <c r="H327" s="417"/>
      <c r="I327" s="417"/>
      <c r="J327" s="651"/>
      <c r="K327" s="651"/>
      <c r="L327" s="651"/>
      <c r="M327" s="619">
        <f t="shared" ref="M327:P327" si="171">E241/E$245</f>
        <v>0</v>
      </c>
      <c r="N327" s="619">
        <f t="shared" si="171"/>
        <v>0</v>
      </c>
      <c r="O327" s="619">
        <f t="shared" si="171"/>
        <v>0</v>
      </c>
      <c r="P327" s="619">
        <f t="shared" si="171"/>
        <v>0</v>
      </c>
      <c r="Q327" s="619">
        <f t="shared" si="170"/>
        <v>0</v>
      </c>
      <c r="R327" s="619"/>
      <c r="S327" s="619"/>
      <c r="T327" s="619"/>
      <c r="U327" s="619"/>
      <c r="V327" s="619"/>
      <c r="W327" s="619"/>
      <c r="X327" s="619"/>
      <c r="Y327" s="619"/>
      <c r="Z327" s="619"/>
      <c r="AA327" s="619"/>
      <c r="AB327" s="619"/>
      <c r="AC327" s="619"/>
      <c r="AD327" s="619"/>
      <c r="AE327" s="619"/>
      <c r="AF327" s="619"/>
      <c r="AG327" s="619"/>
      <c r="AH327" s="619"/>
      <c r="AI327" s="619"/>
      <c r="AJ327" s="619"/>
      <c r="AK327" s="619"/>
      <c r="AL327" s="619"/>
      <c r="AM327" s="8"/>
    </row>
    <row r="328" spans="1:39" ht="14.25" customHeight="1">
      <c r="A328" s="619"/>
      <c r="B328" s="253"/>
      <c r="C328" s="258" t="s">
        <v>180</v>
      </c>
      <c r="D328" s="416" t="s">
        <v>170</v>
      </c>
      <c r="E328" s="417"/>
      <c r="F328" s="417"/>
      <c r="G328" s="417"/>
      <c r="H328" s="417"/>
      <c r="I328" s="417"/>
      <c r="J328" s="651"/>
      <c r="K328" s="651"/>
      <c r="L328" s="651"/>
      <c r="M328" s="619">
        <f t="shared" ref="M328:P328" si="172">E242/E$245</f>
        <v>0.10739030781978687</v>
      </c>
      <c r="N328" s="619">
        <f t="shared" si="172"/>
        <v>0.11840997732013214</v>
      </c>
      <c r="O328" s="619">
        <f t="shared" si="172"/>
        <v>0.1050322467989632</v>
      </c>
      <c r="P328" s="619">
        <f t="shared" si="172"/>
        <v>0.10955434674999087</v>
      </c>
      <c r="Q328" s="619">
        <f t="shared" si="170"/>
        <v>0.11009671967221826</v>
      </c>
      <c r="R328" s="619"/>
      <c r="S328" s="619"/>
      <c r="T328" s="619"/>
      <c r="U328" s="619"/>
      <c r="V328" s="619"/>
      <c r="W328" s="619"/>
      <c r="X328" s="619"/>
      <c r="Y328" s="619"/>
      <c r="Z328" s="619"/>
      <c r="AA328" s="619"/>
      <c r="AB328" s="619"/>
      <c r="AC328" s="619"/>
      <c r="AD328" s="619"/>
      <c r="AE328" s="619"/>
      <c r="AF328" s="619"/>
      <c r="AG328" s="619"/>
      <c r="AH328" s="619"/>
      <c r="AI328" s="619"/>
      <c r="AJ328" s="619"/>
      <c r="AK328" s="619"/>
      <c r="AL328" s="619"/>
      <c r="AM328" s="8"/>
    </row>
    <row r="329" spans="1:39" ht="14.25" customHeight="1">
      <c r="A329" s="619"/>
      <c r="B329" s="253"/>
      <c r="C329" s="258" t="s">
        <v>181</v>
      </c>
      <c r="D329" s="334" t="s">
        <v>172</v>
      </c>
      <c r="E329" s="370">
        <f t="shared" ref="E329:H329" si="173">E242/(E$239+E$242+E$243+E$244)</f>
        <v>0.21653397946341213</v>
      </c>
      <c r="F329" s="370">
        <f t="shared" si="173"/>
        <v>0.23249755435119709</v>
      </c>
      <c r="G329" s="370">
        <f t="shared" si="173"/>
        <v>0.19234009050193213</v>
      </c>
      <c r="H329" s="370">
        <f t="shared" si="173"/>
        <v>0.20161119506318334</v>
      </c>
      <c r="I329" s="370">
        <f t="shared" ref="I329:I331" si="174">AVERAGE(E329:H329)</f>
        <v>0.21074570484493119</v>
      </c>
      <c r="J329" s="651"/>
      <c r="K329" s="651"/>
      <c r="L329" s="651"/>
      <c r="M329" s="619">
        <f t="shared" ref="M329:P329" si="175">E243/E$245</f>
        <v>4.8718463532867851E-2</v>
      </c>
      <c r="N329" s="619">
        <f t="shared" si="175"/>
        <v>6.8364035789157118E-2</v>
      </c>
      <c r="O329" s="619">
        <f t="shared" si="175"/>
        <v>9.0561857310596891E-2</v>
      </c>
      <c r="P329" s="619">
        <f t="shared" si="175"/>
        <v>9.3765854370681856E-2</v>
      </c>
      <c r="Q329" s="619">
        <f t="shared" si="170"/>
        <v>7.5352552750825932E-2</v>
      </c>
      <c r="R329" s="619"/>
      <c r="S329" s="619"/>
      <c r="T329" s="619"/>
      <c r="U329" s="619"/>
      <c r="V329" s="619"/>
      <c r="W329" s="619"/>
      <c r="X329" s="619"/>
      <c r="Y329" s="619"/>
      <c r="Z329" s="619"/>
      <c r="AA329" s="619"/>
      <c r="AB329" s="619"/>
      <c r="AC329" s="619"/>
      <c r="AD329" s="619"/>
      <c r="AE329" s="619"/>
      <c r="AF329" s="619"/>
      <c r="AG329" s="619"/>
      <c r="AH329" s="619"/>
      <c r="AI329" s="619"/>
      <c r="AJ329" s="619"/>
      <c r="AK329" s="619"/>
      <c r="AL329" s="619"/>
      <c r="AM329" s="8"/>
    </row>
    <row r="330" spans="1:39" ht="14.25" customHeight="1">
      <c r="A330" s="619"/>
      <c r="B330" s="253"/>
      <c r="C330" s="258" t="s">
        <v>182</v>
      </c>
      <c r="D330" s="334" t="s">
        <v>174</v>
      </c>
      <c r="E330" s="370">
        <f t="shared" ref="E330:H330" si="176">E243/(E$239+E$242+E$243+E$244)</f>
        <v>9.8232354448762368E-2</v>
      </c>
      <c r="F330" s="370">
        <f t="shared" si="176"/>
        <v>0.13423253247979763</v>
      </c>
      <c r="G330" s="370">
        <f t="shared" si="176"/>
        <v>0.16584121888283948</v>
      </c>
      <c r="H330" s="370">
        <f t="shared" si="176"/>
        <v>0.1725558731040962</v>
      </c>
      <c r="I330" s="370">
        <f t="shared" si="174"/>
        <v>0.1427154947288739</v>
      </c>
      <c r="J330" s="651"/>
      <c r="K330" s="651"/>
      <c r="L330" s="651"/>
      <c r="M330" s="619">
        <f t="shared" ref="M330:P330" si="177">E244/E$245</f>
        <v>0.32918420656466835</v>
      </c>
      <c r="N330" s="619">
        <f t="shared" si="177"/>
        <v>0.31287048833762932</v>
      </c>
      <c r="O330" s="619">
        <f t="shared" si="177"/>
        <v>0.33937558925490785</v>
      </c>
      <c r="P330" s="619">
        <f t="shared" si="177"/>
        <v>0.32681049076432728</v>
      </c>
      <c r="Q330" s="619">
        <f t="shared" si="170"/>
        <v>0.3270601937303832</v>
      </c>
      <c r="R330" s="619"/>
      <c r="S330" s="619"/>
      <c r="T330" s="619"/>
      <c r="U330" s="619"/>
      <c r="V330" s="619"/>
      <c r="W330" s="619"/>
      <c r="X330" s="619"/>
      <c r="Y330" s="619"/>
      <c r="Z330" s="619"/>
      <c r="AA330" s="619"/>
      <c r="AB330" s="619"/>
      <c r="AC330" s="619"/>
      <c r="AD330" s="619"/>
      <c r="AE330" s="619"/>
      <c r="AF330" s="619"/>
      <c r="AG330" s="619"/>
      <c r="AH330" s="619"/>
      <c r="AI330" s="619"/>
      <c r="AJ330" s="619"/>
      <c r="AK330" s="619"/>
      <c r="AL330" s="619"/>
      <c r="AM330" s="8"/>
    </row>
    <row r="331" spans="1:39" ht="14.25" customHeight="1">
      <c r="A331" s="619"/>
      <c r="B331" s="253"/>
      <c r="C331" s="258" t="s">
        <v>183</v>
      </c>
      <c r="D331" s="334" t="s">
        <v>176</v>
      </c>
      <c r="E331" s="370">
        <f t="shared" ref="E331:H331" si="178">E244/(E$239+E$242+E$243+E$244)</f>
        <v>0.66374301062223162</v>
      </c>
      <c r="F331" s="370">
        <f t="shared" si="178"/>
        <v>0.61432005151474656</v>
      </c>
      <c r="G331" s="370">
        <f t="shared" si="178"/>
        <v>0.6214808645993839</v>
      </c>
      <c r="H331" s="370">
        <f t="shared" si="178"/>
        <v>0.60142436659809628</v>
      </c>
      <c r="I331" s="370">
        <f t="shared" si="174"/>
        <v>0.62524207333361459</v>
      </c>
      <c r="J331" s="651"/>
      <c r="K331" s="651"/>
      <c r="L331" s="651"/>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619"/>
      <c r="AM331" s="8"/>
    </row>
    <row r="332" spans="1:39" ht="14.25" customHeight="1">
      <c r="A332" s="619"/>
      <c r="B332" s="253"/>
      <c r="C332" s="258"/>
      <c r="D332" s="259" t="s">
        <v>403</v>
      </c>
      <c r="E332" s="370">
        <f t="shared" ref="E332:H332" si="179">E209-(E233+E240)</f>
        <v>69.740148567843804</v>
      </c>
      <c r="F332" s="370">
        <f t="shared" si="179"/>
        <v>79.490224830477985</v>
      </c>
      <c r="G332" s="370">
        <f t="shared" si="179"/>
        <v>79.440757746024147</v>
      </c>
      <c r="H332" s="370">
        <f t="shared" si="179"/>
        <v>82.560770654998265</v>
      </c>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619"/>
      <c r="AM332" s="8"/>
    </row>
    <row r="333" spans="1:39" ht="14.25" customHeight="1">
      <c r="A333" s="619"/>
      <c r="B333" s="253"/>
      <c r="C333" s="258"/>
      <c r="D333" s="259"/>
      <c r="E333" s="270"/>
      <c r="F333" s="270"/>
      <c r="G333" s="270"/>
      <c r="H333" s="324"/>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619"/>
      <c r="AM333" s="8"/>
    </row>
    <row r="334" spans="1:39" ht="14.25" customHeight="1">
      <c r="A334" s="619"/>
      <c r="B334" s="253"/>
      <c r="C334" s="258"/>
      <c r="D334" s="281" t="s">
        <v>314</v>
      </c>
      <c r="E334" s="260">
        <v>2018</v>
      </c>
      <c r="F334" s="260">
        <v>2019</v>
      </c>
      <c r="G334" s="260">
        <v>2020</v>
      </c>
      <c r="H334" s="261">
        <v>2021</v>
      </c>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619"/>
      <c r="AM334" s="8"/>
    </row>
    <row r="335" spans="1:39" ht="14.25" customHeight="1">
      <c r="A335" s="619"/>
      <c r="B335" s="253"/>
      <c r="C335" s="258"/>
      <c r="D335" s="262" t="s">
        <v>303</v>
      </c>
      <c r="E335" s="370">
        <f t="shared" ref="E335:H335" si="180">E248/E$286</f>
        <v>0</v>
      </c>
      <c r="F335" s="370">
        <f t="shared" si="180"/>
        <v>0</v>
      </c>
      <c r="G335" s="370">
        <f t="shared" si="180"/>
        <v>0</v>
      </c>
      <c r="H335" s="370">
        <f t="shared" si="180"/>
        <v>0</v>
      </c>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619"/>
      <c r="AM335" s="8"/>
    </row>
    <row r="336" spans="1:39" ht="14.25" customHeight="1">
      <c r="A336" s="619"/>
      <c r="B336" s="253"/>
      <c r="C336" s="258"/>
      <c r="D336" s="262" t="s">
        <v>136</v>
      </c>
      <c r="E336" s="370">
        <f t="shared" ref="E336:H336" si="181">E249/E$286</f>
        <v>1.6950765181304216E-3</v>
      </c>
      <c r="F336" s="370">
        <f t="shared" si="181"/>
        <v>1.3462843706262039E-3</v>
      </c>
      <c r="G336" s="370">
        <f t="shared" si="181"/>
        <v>1.3840261924457089E-3</v>
      </c>
      <c r="H336" s="370">
        <f t="shared" si="181"/>
        <v>4.8346643363321679E-4</v>
      </c>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619"/>
      <c r="AM336" s="8"/>
    </row>
    <row r="337" spans="1:39" ht="14.25" customHeight="1">
      <c r="A337" s="619"/>
      <c r="B337" s="253"/>
      <c r="C337" s="258" t="s">
        <v>187</v>
      </c>
      <c r="D337" s="285" t="s">
        <v>188</v>
      </c>
      <c r="E337" s="370">
        <f t="shared" ref="E337:H337" si="182">E250/E$286</f>
        <v>1.6950765181304216E-3</v>
      </c>
      <c r="F337" s="370">
        <f t="shared" si="182"/>
        <v>1.3462843706262039E-3</v>
      </c>
      <c r="G337" s="370">
        <f t="shared" si="182"/>
        <v>1.3840261924457089E-3</v>
      </c>
      <c r="H337" s="370">
        <f t="shared" si="182"/>
        <v>4.8346643363321679E-4</v>
      </c>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619"/>
      <c r="AM337" s="8"/>
    </row>
    <row r="338" spans="1:39" ht="14.25" customHeight="1">
      <c r="A338" s="619"/>
      <c r="B338" s="253"/>
      <c r="C338" s="258"/>
      <c r="D338" s="262" t="s">
        <v>137</v>
      </c>
      <c r="E338" s="370">
        <f t="shared" ref="E338:H338" si="183">E251/E$286</f>
        <v>4.2439898691008998E-3</v>
      </c>
      <c r="F338" s="370">
        <f t="shared" si="183"/>
        <v>5.2042606716973206E-3</v>
      </c>
      <c r="G338" s="370">
        <f t="shared" si="183"/>
        <v>5.1693995517712449E-3</v>
      </c>
      <c r="H338" s="370">
        <f t="shared" si="183"/>
        <v>4.7306439298551847E-3</v>
      </c>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619"/>
      <c r="AM338" s="8"/>
    </row>
    <row r="339" spans="1:39" ht="14.25" customHeight="1">
      <c r="A339" s="619"/>
      <c r="B339" s="253"/>
      <c r="C339" s="258"/>
      <c r="D339" s="266" t="s">
        <v>189</v>
      </c>
      <c r="E339" s="370">
        <f t="shared" ref="E339:H339" si="184">E252/E$286</f>
        <v>4.2439898691008998E-3</v>
      </c>
      <c r="F339" s="370">
        <f t="shared" si="184"/>
        <v>5.2042606716973206E-3</v>
      </c>
      <c r="G339" s="370">
        <f t="shared" si="184"/>
        <v>5.1693995517712449E-3</v>
      </c>
      <c r="H339" s="370">
        <f t="shared" si="184"/>
        <v>4.7306439298551847E-3</v>
      </c>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619"/>
      <c r="AM339" s="8"/>
    </row>
    <row r="340" spans="1:39" ht="14.25" customHeight="1">
      <c r="A340" s="619"/>
      <c r="B340" s="253"/>
      <c r="C340" s="258"/>
      <c r="D340" s="285" t="s">
        <v>190</v>
      </c>
      <c r="E340" s="370">
        <f t="shared" ref="E340:H340" si="185">E253/E$286</f>
        <v>0</v>
      </c>
      <c r="F340" s="370">
        <f t="shared" si="185"/>
        <v>0</v>
      </c>
      <c r="G340" s="370">
        <f t="shared" si="185"/>
        <v>0</v>
      </c>
      <c r="H340" s="370">
        <f t="shared" si="185"/>
        <v>0</v>
      </c>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619"/>
      <c r="AM340" s="8"/>
    </row>
    <row r="341" spans="1:39" ht="14.25" customHeight="1">
      <c r="A341" s="619"/>
      <c r="B341" s="253"/>
      <c r="C341" s="258" t="s">
        <v>191</v>
      </c>
      <c r="D341" s="259" t="s">
        <v>192</v>
      </c>
      <c r="E341" s="370">
        <f t="shared" ref="E341:H341" si="186">E254/E$286</f>
        <v>1.2358520549001276E-3</v>
      </c>
      <c r="F341" s="370">
        <f t="shared" si="186"/>
        <v>1.3666444807882221E-3</v>
      </c>
      <c r="G341" s="370">
        <f t="shared" si="186"/>
        <v>1.2358124935993456E-3</v>
      </c>
      <c r="H341" s="370">
        <f t="shared" si="186"/>
        <v>8.9007410089397344E-4</v>
      </c>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619"/>
      <c r="AM341" s="8"/>
    </row>
    <row r="342" spans="1:39" ht="14.25" customHeight="1">
      <c r="A342" s="619"/>
      <c r="B342" s="253"/>
      <c r="C342" s="258" t="s">
        <v>193</v>
      </c>
      <c r="D342" s="259" t="s">
        <v>194</v>
      </c>
      <c r="E342" s="370">
        <f t="shared" ref="E342:H342" si="187">E255/E$286</f>
        <v>2.6513220584829197E-3</v>
      </c>
      <c r="F342" s="370">
        <f t="shared" si="187"/>
        <v>2.7941386994939019E-3</v>
      </c>
      <c r="G342" s="370">
        <f t="shared" si="187"/>
        <v>3.9036590728338885E-3</v>
      </c>
      <c r="H342" s="370">
        <f t="shared" si="187"/>
        <v>3.7809554425161825E-3</v>
      </c>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619"/>
      <c r="AM342" s="8"/>
    </row>
    <row r="343" spans="1:39" ht="14.25" customHeight="1">
      <c r="A343" s="619"/>
      <c r="B343" s="253"/>
      <c r="C343" s="258"/>
      <c r="D343" s="285" t="s">
        <v>195</v>
      </c>
      <c r="E343" s="370">
        <f t="shared" ref="E343:H343" si="188">E256/E$286</f>
        <v>0</v>
      </c>
      <c r="F343" s="370">
        <f t="shared" si="188"/>
        <v>0</v>
      </c>
      <c r="G343" s="370">
        <f t="shared" si="188"/>
        <v>0</v>
      </c>
      <c r="H343" s="370">
        <f t="shared" si="188"/>
        <v>0</v>
      </c>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619"/>
      <c r="AM343" s="8"/>
    </row>
    <row r="344" spans="1:39" ht="14.25" customHeight="1">
      <c r="A344" s="619"/>
      <c r="B344" s="253"/>
      <c r="C344" s="258" t="s">
        <v>196</v>
      </c>
      <c r="D344" s="259" t="s">
        <v>192</v>
      </c>
      <c r="E344" s="370">
        <f t="shared" ref="E344:H344" si="189">E257/E$286</f>
        <v>3.5681575571785225E-4</v>
      </c>
      <c r="F344" s="370">
        <f t="shared" si="189"/>
        <v>1.0434774914151958E-3</v>
      </c>
      <c r="G344" s="370">
        <f t="shared" si="189"/>
        <v>2.992798533800979E-5</v>
      </c>
      <c r="H344" s="370">
        <f t="shared" si="189"/>
        <v>5.9614386445028757E-5</v>
      </c>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619"/>
      <c r="AM344" s="8"/>
    </row>
    <row r="345" spans="1:39" ht="14.25" customHeight="1">
      <c r="A345" s="619"/>
      <c r="B345" s="253"/>
      <c r="C345" s="258" t="s">
        <v>197</v>
      </c>
      <c r="D345" s="259" t="s">
        <v>194</v>
      </c>
      <c r="E345" s="370">
        <f t="shared" ref="E345:H345" si="190">E258/E$286</f>
        <v>0</v>
      </c>
      <c r="F345" s="370">
        <f t="shared" si="190"/>
        <v>0</v>
      </c>
      <c r="G345" s="370">
        <f t="shared" si="190"/>
        <v>0</v>
      </c>
      <c r="H345" s="370">
        <f t="shared" si="190"/>
        <v>0</v>
      </c>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619"/>
      <c r="AM345" s="8"/>
    </row>
    <row r="346" spans="1:39" ht="14.25" customHeight="1">
      <c r="A346" s="619"/>
      <c r="B346" s="253"/>
      <c r="C346" s="258"/>
      <c r="D346" s="262" t="s">
        <v>143</v>
      </c>
      <c r="E346" s="370">
        <f t="shared" ref="E346:H346" si="191">E259/E$286</f>
        <v>8.560837378525114E-4</v>
      </c>
      <c r="F346" s="370">
        <f t="shared" si="191"/>
        <v>1.0903484650952829E-3</v>
      </c>
      <c r="G346" s="370">
        <f t="shared" si="191"/>
        <v>1.000368369229956E-3</v>
      </c>
      <c r="H346" s="370">
        <f t="shared" si="191"/>
        <v>8.490529756434729E-4</v>
      </c>
      <c r="I346" s="619"/>
      <c r="J346" s="619"/>
      <c r="K346" s="619"/>
      <c r="L346" s="619"/>
      <c r="M346" s="619"/>
      <c r="N346" s="619"/>
      <c r="O346" s="619"/>
      <c r="P346" s="619"/>
      <c r="Q346" s="619"/>
      <c r="R346" s="619"/>
      <c r="S346" s="619"/>
      <c r="T346" s="619"/>
      <c r="U346" s="619"/>
      <c r="V346" s="619"/>
      <c r="W346" s="619"/>
      <c r="X346" s="619"/>
      <c r="Y346" s="619"/>
      <c r="Z346" s="619"/>
      <c r="AA346" s="619"/>
      <c r="AB346" s="619"/>
      <c r="AC346" s="619"/>
      <c r="AD346" s="619"/>
      <c r="AE346" s="619"/>
      <c r="AF346" s="619"/>
      <c r="AG346" s="619"/>
      <c r="AH346" s="619"/>
      <c r="AI346" s="619"/>
      <c r="AJ346" s="619"/>
      <c r="AK346" s="619"/>
      <c r="AL346" s="619"/>
      <c r="AM346" s="8"/>
    </row>
    <row r="347" spans="1:39" ht="14.25" customHeight="1">
      <c r="A347" s="619"/>
      <c r="B347" s="253"/>
      <c r="C347" s="258" t="s">
        <v>198</v>
      </c>
      <c r="D347" s="285" t="s">
        <v>188</v>
      </c>
      <c r="E347" s="370">
        <f t="shared" ref="E347:H347" si="192">E260/E$286</f>
        <v>1.9503342357824344E-4</v>
      </c>
      <c r="F347" s="370">
        <f t="shared" si="192"/>
        <v>1.7599067564343484E-4</v>
      </c>
      <c r="G347" s="370">
        <f t="shared" si="192"/>
        <v>1.8741089853614054E-4</v>
      </c>
      <c r="H347" s="370">
        <f t="shared" si="192"/>
        <v>1.8313485367672268E-4</v>
      </c>
      <c r="I347" s="619"/>
      <c r="J347" s="619"/>
      <c r="K347" s="619"/>
      <c r="L347" s="619"/>
      <c r="M347" s="619"/>
      <c r="N347" s="619"/>
      <c r="O347" s="619"/>
      <c r="P347" s="619"/>
      <c r="Q347" s="619"/>
      <c r="R347" s="619"/>
      <c r="S347" s="619"/>
      <c r="T347" s="619"/>
      <c r="U347" s="619"/>
      <c r="V347" s="619"/>
      <c r="W347" s="619"/>
      <c r="X347" s="619"/>
      <c r="Y347" s="619"/>
      <c r="Z347" s="619"/>
      <c r="AA347" s="619"/>
      <c r="AB347" s="619"/>
      <c r="AC347" s="619"/>
      <c r="AD347" s="619"/>
      <c r="AE347" s="619"/>
      <c r="AF347" s="619"/>
      <c r="AG347" s="619"/>
      <c r="AH347" s="619"/>
      <c r="AI347" s="619"/>
      <c r="AJ347" s="619"/>
      <c r="AK347" s="619"/>
      <c r="AL347" s="619"/>
      <c r="AM347" s="8"/>
    </row>
    <row r="348" spans="1:39" ht="14.25" customHeight="1">
      <c r="A348" s="619"/>
      <c r="B348" s="253"/>
      <c r="C348" s="258" t="s">
        <v>199</v>
      </c>
      <c r="D348" s="285" t="s">
        <v>190</v>
      </c>
      <c r="E348" s="370">
        <f t="shared" ref="E348:H348" si="193">E261/E$286</f>
        <v>6.610503142742679E-4</v>
      </c>
      <c r="F348" s="370">
        <f t="shared" si="193"/>
        <v>9.1435778945184827E-4</v>
      </c>
      <c r="G348" s="370">
        <f t="shared" si="193"/>
        <v>8.1295747069381542E-4</v>
      </c>
      <c r="H348" s="370">
        <f t="shared" si="193"/>
        <v>6.6591812196675022E-4</v>
      </c>
      <c r="I348" s="619"/>
      <c r="J348" s="619"/>
      <c r="K348" s="619"/>
      <c r="L348" s="619"/>
      <c r="M348" s="619"/>
      <c r="N348" s="619"/>
      <c r="O348" s="619"/>
      <c r="P348" s="619"/>
      <c r="Q348" s="619"/>
      <c r="R348" s="619"/>
      <c r="S348" s="619"/>
      <c r="T348" s="619"/>
      <c r="U348" s="619"/>
      <c r="V348" s="619"/>
      <c r="W348" s="619"/>
      <c r="X348" s="619"/>
      <c r="Y348" s="619"/>
      <c r="Z348" s="619"/>
      <c r="AA348" s="619"/>
      <c r="AB348" s="619"/>
      <c r="AC348" s="619"/>
      <c r="AD348" s="619"/>
      <c r="AE348" s="619"/>
      <c r="AF348" s="619"/>
      <c r="AG348" s="619"/>
      <c r="AH348" s="619"/>
      <c r="AI348" s="619"/>
      <c r="AJ348" s="619"/>
      <c r="AK348" s="619"/>
      <c r="AL348" s="619"/>
      <c r="AM348" s="8"/>
    </row>
    <row r="349" spans="1:39" ht="14.25" customHeight="1">
      <c r="A349" s="619"/>
      <c r="B349" s="253"/>
      <c r="C349" s="258"/>
      <c r="D349" s="262" t="s">
        <v>144</v>
      </c>
      <c r="E349" s="370">
        <f t="shared" ref="E349:H349" si="194">E262/E$286</f>
        <v>0.99320484987491608</v>
      </c>
      <c r="F349" s="370">
        <f t="shared" si="194"/>
        <v>0.99235910649258119</v>
      </c>
      <c r="G349" s="370">
        <f t="shared" si="194"/>
        <v>0.99244620588655308</v>
      </c>
      <c r="H349" s="370">
        <f t="shared" si="194"/>
        <v>0.99393683666086818</v>
      </c>
      <c r="I349" s="619"/>
      <c r="J349" s="619"/>
      <c r="K349" s="619"/>
      <c r="L349" s="619"/>
      <c r="M349" s="619"/>
      <c r="N349" s="619"/>
      <c r="O349" s="619"/>
      <c r="P349" s="619"/>
      <c r="Q349" s="619"/>
      <c r="R349" s="619"/>
      <c r="S349" s="619"/>
      <c r="T349" s="619"/>
      <c r="U349" s="619"/>
      <c r="V349" s="619"/>
      <c r="W349" s="619"/>
      <c r="X349" s="619"/>
      <c r="Y349" s="619"/>
      <c r="Z349" s="619"/>
      <c r="AA349" s="619"/>
      <c r="AB349" s="619"/>
      <c r="AC349" s="619"/>
      <c r="AD349" s="619"/>
      <c r="AE349" s="619"/>
      <c r="AF349" s="619"/>
      <c r="AG349" s="619"/>
      <c r="AH349" s="619"/>
      <c r="AI349" s="619"/>
      <c r="AJ349" s="619"/>
      <c r="AK349" s="619"/>
      <c r="AL349" s="619"/>
      <c r="AM349" s="8"/>
    </row>
    <row r="350" spans="1:39" ht="14.25" customHeight="1">
      <c r="A350" s="619"/>
      <c r="B350" s="253"/>
      <c r="C350" s="258"/>
      <c r="D350" s="266" t="s">
        <v>145</v>
      </c>
      <c r="E350" s="370">
        <f t="shared" ref="E350:H350" si="195">E263/E$286</f>
        <v>0.90322656904311693</v>
      </c>
      <c r="F350" s="370">
        <f t="shared" si="195"/>
        <v>0.91367274211956384</v>
      </c>
      <c r="G350" s="370">
        <f t="shared" si="195"/>
        <v>0.92185482594874746</v>
      </c>
      <c r="H350" s="370">
        <f t="shared" si="195"/>
        <v>0.90832530337428619</v>
      </c>
      <c r="I350" s="619"/>
      <c r="J350" s="619"/>
      <c r="K350" s="619"/>
      <c r="L350" s="619"/>
      <c r="M350" s="619"/>
      <c r="N350" s="619"/>
      <c r="O350" s="619"/>
      <c r="P350" s="619"/>
      <c r="Q350" s="619"/>
      <c r="R350" s="619"/>
      <c r="S350" s="619"/>
      <c r="T350" s="619"/>
      <c r="U350" s="619"/>
      <c r="V350" s="619"/>
      <c r="W350" s="619"/>
      <c r="X350" s="619"/>
      <c r="Y350" s="619"/>
      <c r="Z350" s="619"/>
      <c r="AA350" s="619"/>
      <c r="AB350" s="619"/>
      <c r="AC350" s="619"/>
      <c r="AD350" s="619"/>
      <c r="AE350" s="619"/>
      <c r="AF350" s="619"/>
      <c r="AG350" s="619"/>
      <c r="AH350" s="619"/>
      <c r="AI350" s="619"/>
      <c r="AJ350" s="619"/>
      <c r="AK350" s="619"/>
      <c r="AL350" s="619"/>
      <c r="AM350" s="8"/>
    </row>
    <row r="351" spans="1:39" ht="14.25" customHeight="1">
      <c r="A351" s="619"/>
      <c r="B351" s="253"/>
      <c r="C351" s="258"/>
      <c r="D351" s="285" t="s">
        <v>190</v>
      </c>
      <c r="E351" s="370">
        <f t="shared" ref="E351:H351" si="196">E264/E$286</f>
        <v>0</v>
      </c>
      <c r="F351" s="370">
        <f t="shared" si="196"/>
        <v>0</v>
      </c>
      <c r="G351" s="370">
        <f t="shared" si="196"/>
        <v>0</v>
      </c>
      <c r="H351" s="370">
        <f t="shared" si="196"/>
        <v>0</v>
      </c>
      <c r="I351" s="619"/>
      <c r="J351" s="619"/>
      <c r="K351" s="619"/>
      <c r="L351" s="619"/>
      <c r="M351" s="619"/>
      <c r="N351" s="619"/>
      <c r="O351" s="619"/>
      <c r="P351" s="619"/>
      <c r="Q351" s="619"/>
      <c r="R351" s="619"/>
      <c r="S351" s="619"/>
      <c r="T351" s="619"/>
      <c r="U351" s="619"/>
      <c r="V351" s="619"/>
      <c r="W351" s="619"/>
      <c r="X351" s="619"/>
      <c r="Y351" s="619"/>
      <c r="Z351" s="619"/>
      <c r="AA351" s="619"/>
      <c r="AB351" s="619"/>
      <c r="AC351" s="619"/>
      <c r="AD351" s="619"/>
      <c r="AE351" s="619"/>
      <c r="AF351" s="619"/>
      <c r="AG351" s="619"/>
      <c r="AH351" s="619"/>
      <c r="AI351" s="619"/>
      <c r="AJ351" s="619"/>
      <c r="AK351" s="619"/>
      <c r="AL351" s="619"/>
      <c r="AM351" s="8"/>
    </row>
    <row r="352" spans="1:39" ht="14.25" customHeight="1">
      <c r="A352" s="619"/>
      <c r="B352" s="253"/>
      <c r="C352" s="258" t="s">
        <v>200</v>
      </c>
      <c r="D352" s="281" t="s">
        <v>201</v>
      </c>
      <c r="E352" s="370">
        <f t="shared" ref="E352:H352" si="197">E265/E$286</f>
        <v>3.1097268797236299E-2</v>
      </c>
      <c r="F352" s="370">
        <f t="shared" si="197"/>
        <v>2.6374935267106586E-2</v>
      </c>
      <c r="G352" s="370">
        <f t="shared" si="197"/>
        <v>3.0300375201281118E-2</v>
      </c>
      <c r="H352" s="370">
        <f t="shared" si="197"/>
        <v>3.729788254987319E-3</v>
      </c>
      <c r="I352" s="619"/>
      <c r="J352" s="619"/>
      <c r="K352" s="619"/>
      <c r="L352" s="619"/>
      <c r="M352" s="619"/>
      <c r="N352" s="619"/>
      <c r="O352" s="619"/>
      <c r="P352" s="619"/>
      <c r="Q352" s="619"/>
      <c r="R352" s="619"/>
      <c r="S352" s="619"/>
      <c r="T352" s="619"/>
      <c r="U352" s="619"/>
      <c r="V352" s="619"/>
      <c r="W352" s="619"/>
      <c r="X352" s="619"/>
      <c r="Y352" s="619"/>
      <c r="Z352" s="619"/>
      <c r="AA352" s="619"/>
      <c r="AB352" s="619"/>
      <c r="AC352" s="619"/>
      <c r="AD352" s="619"/>
      <c r="AE352" s="619"/>
      <c r="AF352" s="619"/>
      <c r="AG352" s="619"/>
      <c r="AH352" s="619"/>
      <c r="AI352" s="619"/>
      <c r="AJ352" s="619"/>
      <c r="AK352" s="619"/>
      <c r="AL352" s="619"/>
      <c r="AM352" s="8"/>
    </row>
    <row r="353" spans="1:39" ht="14.25" customHeight="1">
      <c r="A353" s="619"/>
      <c r="B353" s="253"/>
      <c r="C353" s="258"/>
      <c r="D353" s="285" t="s">
        <v>188</v>
      </c>
      <c r="E353" s="370">
        <f t="shared" ref="E353:H353" si="198">E266/E$286</f>
        <v>0</v>
      </c>
      <c r="F353" s="370">
        <f t="shared" si="198"/>
        <v>0</v>
      </c>
      <c r="G353" s="370">
        <f t="shared" si="198"/>
        <v>0</v>
      </c>
      <c r="H353" s="370">
        <f t="shared" si="198"/>
        <v>0</v>
      </c>
      <c r="I353" s="619"/>
      <c r="J353" s="619"/>
      <c r="K353" s="619"/>
      <c r="L353" s="619"/>
      <c r="M353" s="619"/>
      <c r="N353" s="619"/>
      <c r="O353" s="619"/>
      <c r="P353" s="619"/>
      <c r="Q353" s="619"/>
      <c r="R353" s="619"/>
      <c r="S353" s="619"/>
      <c r="T353" s="619"/>
      <c r="U353" s="619"/>
      <c r="V353" s="619"/>
      <c r="W353" s="619"/>
      <c r="X353" s="619"/>
      <c r="Y353" s="619"/>
      <c r="Z353" s="619"/>
      <c r="AA353" s="619"/>
      <c r="AB353" s="619"/>
      <c r="AC353" s="619"/>
      <c r="AD353" s="619"/>
      <c r="AE353" s="619"/>
      <c r="AF353" s="619"/>
      <c r="AG353" s="619"/>
      <c r="AH353" s="619"/>
      <c r="AI353" s="619"/>
      <c r="AJ353" s="619"/>
      <c r="AK353" s="619"/>
      <c r="AL353" s="619"/>
      <c r="AM353" s="8"/>
    </row>
    <row r="354" spans="1:39" ht="14.25" customHeight="1">
      <c r="A354" s="619"/>
      <c r="B354" s="253"/>
      <c r="C354" s="258" t="s">
        <v>202</v>
      </c>
      <c r="D354" s="281" t="s">
        <v>201</v>
      </c>
      <c r="E354" s="370">
        <f t="shared" ref="E354:H354" si="199">E267/E$286</f>
        <v>1.2023139594840674E-2</v>
      </c>
      <c r="F354" s="370">
        <f t="shared" si="199"/>
        <v>1.1645578259364259E-2</v>
      </c>
      <c r="G354" s="370">
        <f t="shared" si="199"/>
        <v>1.0672642816068667E-2</v>
      </c>
      <c r="H354" s="370">
        <f t="shared" si="199"/>
        <v>1.1531246106251648E-2</v>
      </c>
      <c r="I354" s="619"/>
      <c r="J354" s="619"/>
      <c r="K354" s="619"/>
      <c r="L354" s="619"/>
      <c r="M354" s="619"/>
      <c r="N354" s="619"/>
      <c r="O354" s="619"/>
      <c r="P354" s="619"/>
      <c r="Q354" s="619"/>
      <c r="R354" s="619"/>
      <c r="S354" s="619"/>
      <c r="T354" s="619"/>
      <c r="U354" s="619"/>
      <c r="V354" s="619"/>
      <c r="W354" s="619"/>
      <c r="X354" s="619"/>
      <c r="Y354" s="619"/>
      <c r="Z354" s="619"/>
      <c r="AA354" s="619"/>
      <c r="AB354" s="619"/>
      <c r="AC354" s="619"/>
      <c r="AD354" s="619"/>
      <c r="AE354" s="619"/>
      <c r="AF354" s="619"/>
      <c r="AG354" s="619"/>
      <c r="AH354" s="619"/>
      <c r="AI354" s="619"/>
      <c r="AJ354" s="619"/>
      <c r="AK354" s="619"/>
      <c r="AL354" s="619"/>
      <c r="AM354" s="8"/>
    </row>
    <row r="355" spans="1:39" ht="14.25" customHeight="1">
      <c r="A355" s="619"/>
      <c r="B355" s="253"/>
      <c r="C355" s="258"/>
      <c r="D355" s="285" t="s">
        <v>203</v>
      </c>
      <c r="E355" s="370">
        <f t="shared" ref="E355:H355" si="200">E268/E$286</f>
        <v>0</v>
      </c>
      <c r="F355" s="370">
        <f t="shared" si="200"/>
        <v>0</v>
      </c>
      <c r="G355" s="370">
        <f t="shared" si="200"/>
        <v>0</v>
      </c>
      <c r="H355" s="370">
        <f t="shared" si="200"/>
        <v>0</v>
      </c>
      <c r="I355" s="619"/>
      <c r="J355" s="619"/>
      <c r="K355" s="619"/>
      <c r="L355" s="619"/>
      <c r="M355" s="619"/>
      <c r="N355" s="619"/>
      <c r="O355" s="619"/>
      <c r="P355" s="619"/>
      <c r="Q355" s="619"/>
      <c r="R355" s="619"/>
      <c r="S355" s="619"/>
      <c r="T355" s="619"/>
      <c r="U355" s="619"/>
      <c r="V355" s="619"/>
      <c r="W355" s="619"/>
      <c r="X355" s="619"/>
      <c r="Y355" s="619"/>
      <c r="Z355" s="619"/>
      <c r="AA355" s="619"/>
      <c r="AB355" s="619"/>
      <c r="AC355" s="619"/>
      <c r="AD355" s="619"/>
      <c r="AE355" s="619"/>
      <c r="AF355" s="619"/>
      <c r="AG355" s="619"/>
      <c r="AH355" s="619"/>
      <c r="AI355" s="619"/>
      <c r="AJ355" s="619"/>
      <c r="AK355" s="619"/>
      <c r="AL355" s="619"/>
      <c r="AM355" s="8"/>
    </row>
    <row r="356" spans="1:39" ht="14.25" customHeight="1">
      <c r="A356" s="619"/>
      <c r="B356" s="253"/>
      <c r="C356" s="258" t="s">
        <v>204</v>
      </c>
      <c r="D356" s="281" t="s">
        <v>205</v>
      </c>
      <c r="E356" s="370">
        <f t="shared" ref="E356:H356" si="201">E269/E$286</f>
        <v>0.44366553805843129</v>
      </c>
      <c r="F356" s="370">
        <f t="shared" si="201"/>
        <v>0.41042345750734488</v>
      </c>
      <c r="G356" s="370">
        <f t="shared" si="201"/>
        <v>0.41463804849856994</v>
      </c>
      <c r="H356" s="370">
        <f t="shared" si="201"/>
        <v>0.43021822703390056</v>
      </c>
      <c r="I356" s="619"/>
      <c r="J356" s="619"/>
      <c r="K356" s="619"/>
      <c r="L356" s="619"/>
      <c r="M356" s="619"/>
      <c r="N356" s="619"/>
      <c r="O356" s="619"/>
      <c r="P356" s="619"/>
      <c r="Q356" s="619"/>
      <c r="R356" s="619"/>
      <c r="S356" s="619"/>
      <c r="T356" s="619"/>
      <c r="U356" s="619"/>
      <c r="V356" s="619"/>
      <c r="W356" s="619"/>
      <c r="X356" s="619"/>
      <c r="Y356" s="619"/>
      <c r="Z356" s="619"/>
      <c r="AA356" s="619"/>
      <c r="AB356" s="619"/>
      <c r="AC356" s="619"/>
      <c r="AD356" s="619"/>
      <c r="AE356" s="619"/>
      <c r="AF356" s="619"/>
      <c r="AG356" s="619"/>
      <c r="AH356" s="619"/>
      <c r="AI356" s="619"/>
      <c r="AJ356" s="619"/>
      <c r="AK356" s="619"/>
      <c r="AL356" s="619"/>
      <c r="AM356" s="8"/>
    </row>
    <row r="357" spans="1:39" ht="14.25" customHeight="1">
      <c r="A357" s="619"/>
      <c r="B357" s="253"/>
      <c r="C357" s="258" t="s">
        <v>206</v>
      </c>
      <c r="D357" s="281" t="s">
        <v>201</v>
      </c>
      <c r="E357" s="370">
        <f t="shared" ref="E357:H357" si="202">E270/E$286</f>
        <v>0.24295688231685283</v>
      </c>
      <c r="F357" s="370">
        <f t="shared" si="202"/>
        <v>0.31112628441845464</v>
      </c>
      <c r="G357" s="370">
        <f t="shared" si="202"/>
        <v>0.30927775844302946</v>
      </c>
      <c r="H357" s="370">
        <f t="shared" si="202"/>
        <v>0.29305759568669043</v>
      </c>
      <c r="I357" s="619"/>
      <c r="J357" s="619"/>
      <c r="K357" s="619"/>
      <c r="L357" s="619"/>
      <c r="M357" s="619"/>
      <c r="N357" s="619"/>
      <c r="O357" s="619"/>
      <c r="P357" s="619"/>
      <c r="Q357" s="619"/>
      <c r="R357" s="619"/>
      <c r="S357" s="619"/>
      <c r="T357" s="619"/>
      <c r="U357" s="619"/>
      <c r="V357" s="619"/>
      <c r="W357" s="619"/>
      <c r="X357" s="619"/>
      <c r="Y357" s="619"/>
      <c r="Z357" s="619"/>
      <c r="AA357" s="619"/>
      <c r="AB357" s="619"/>
      <c r="AC357" s="619"/>
      <c r="AD357" s="619"/>
      <c r="AE357" s="619"/>
      <c r="AF357" s="619"/>
      <c r="AG357" s="619"/>
      <c r="AH357" s="619"/>
      <c r="AI357" s="619"/>
      <c r="AJ357" s="619"/>
      <c r="AK357" s="619"/>
      <c r="AL357" s="619"/>
      <c r="AM357" s="8"/>
    </row>
    <row r="358" spans="1:39" ht="14.25" customHeight="1">
      <c r="A358" s="619"/>
      <c r="B358" s="253"/>
      <c r="C358" s="258" t="s">
        <v>207</v>
      </c>
      <c r="D358" s="281" t="s">
        <v>208</v>
      </c>
      <c r="E358" s="370">
        <f t="shared" ref="E358:H358" si="203">E271/E$286</f>
        <v>1.8507878111799901E-2</v>
      </c>
      <c r="F358" s="370">
        <f t="shared" si="203"/>
        <v>1.6047490042665372E-2</v>
      </c>
      <c r="G358" s="370">
        <f t="shared" si="203"/>
        <v>1.7587762981361492E-2</v>
      </c>
      <c r="H358" s="370">
        <f t="shared" si="203"/>
        <v>1.7597571684285707E-2</v>
      </c>
      <c r="I358" s="619"/>
      <c r="J358" s="619"/>
      <c r="K358" s="619"/>
      <c r="L358" s="619"/>
      <c r="M358" s="619"/>
      <c r="N358" s="619"/>
      <c r="O358" s="619"/>
      <c r="P358" s="619"/>
      <c r="Q358" s="619"/>
      <c r="R358" s="619"/>
      <c r="S358" s="619"/>
      <c r="T358" s="619"/>
      <c r="U358" s="619"/>
      <c r="V358" s="619"/>
      <c r="W358" s="619"/>
      <c r="X358" s="619"/>
      <c r="Y358" s="619"/>
      <c r="Z358" s="619"/>
      <c r="AA358" s="619"/>
      <c r="AB358" s="619"/>
      <c r="AC358" s="619"/>
      <c r="AD358" s="619"/>
      <c r="AE358" s="619"/>
      <c r="AF358" s="619"/>
      <c r="AG358" s="619"/>
      <c r="AH358" s="619"/>
      <c r="AI358" s="619"/>
      <c r="AJ358" s="619"/>
      <c r="AK358" s="619"/>
      <c r="AL358" s="619"/>
      <c r="AM358" s="8"/>
    </row>
    <row r="359" spans="1:39" ht="14.25" customHeight="1">
      <c r="A359" s="619"/>
      <c r="B359" s="253"/>
      <c r="C359" s="258" t="s">
        <v>209</v>
      </c>
      <c r="D359" s="281" t="s">
        <v>210</v>
      </c>
      <c r="E359" s="370">
        <f t="shared" ref="E359:H359" si="204">E272/E$286</f>
        <v>0.15497586216395584</v>
      </c>
      <c r="F359" s="370">
        <f t="shared" si="204"/>
        <v>0.13805499662462817</v>
      </c>
      <c r="G359" s="370">
        <f t="shared" si="204"/>
        <v>0.13937823800843682</v>
      </c>
      <c r="H359" s="370">
        <f t="shared" si="204"/>
        <v>0.15219087460817043</v>
      </c>
      <c r="I359" s="619"/>
      <c r="J359" s="619"/>
      <c r="K359" s="619"/>
      <c r="L359" s="619"/>
      <c r="M359" s="619"/>
      <c r="N359" s="619"/>
      <c r="O359" s="619"/>
      <c r="P359" s="619"/>
      <c r="Q359" s="619"/>
      <c r="R359" s="619"/>
      <c r="S359" s="619"/>
      <c r="T359" s="619"/>
      <c r="U359" s="619"/>
      <c r="V359" s="619"/>
      <c r="W359" s="619"/>
      <c r="X359" s="619"/>
      <c r="Y359" s="619"/>
      <c r="Z359" s="619"/>
      <c r="AA359" s="619"/>
      <c r="AB359" s="619"/>
      <c r="AC359" s="619"/>
      <c r="AD359" s="619"/>
      <c r="AE359" s="619"/>
      <c r="AF359" s="619"/>
      <c r="AG359" s="619"/>
      <c r="AH359" s="619"/>
      <c r="AI359" s="619"/>
      <c r="AJ359" s="619"/>
      <c r="AK359" s="619"/>
      <c r="AL359" s="619"/>
      <c r="AM359" s="8"/>
    </row>
    <row r="360" spans="1:39" ht="14.25" customHeight="1">
      <c r="A360" s="619"/>
      <c r="B360" s="253"/>
      <c r="C360" s="258"/>
      <c r="D360" s="266" t="s">
        <v>153</v>
      </c>
      <c r="E360" s="370">
        <f t="shared" ref="E360:H360" si="205">E273/E$286</f>
        <v>8.2376553862157989E-2</v>
      </c>
      <c r="F360" s="370">
        <f t="shared" si="205"/>
        <v>7.2110835232708795E-2</v>
      </c>
      <c r="G360" s="370">
        <f t="shared" si="205"/>
        <v>6.9308124468972651E-2</v>
      </c>
      <c r="H360" s="370">
        <f t="shared" si="205"/>
        <v>7.8665617655613737E-2</v>
      </c>
      <c r="I360" s="619"/>
      <c r="J360" s="619"/>
      <c r="K360" s="619"/>
      <c r="L360" s="619"/>
      <c r="M360" s="619"/>
      <c r="N360" s="619"/>
      <c r="O360" s="619"/>
      <c r="P360" s="619"/>
      <c r="Q360" s="619"/>
      <c r="R360" s="619"/>
      <c r="S360" s="619"/>
      <c r="T360" s="619"/>
      <c r="U360" s="619"/>
      <c r="V360" s="619"/>
      <c r="W360" s="619"/>
      <c r="X360" s="619"/>
      <c r="Y360" s="619"/>
      <c r="Z360" s="619"/>
      <c r="AA360" s="619"/>
      <c r="AB360" s="619"/>
      <c r="AC360" s="619"/>
      <c r="AD360" s="619"/>
      <c r="AE360" s="619"/>
      <c r="AF360" s="619"/>
      <c r="AG360" s="619"/>
      <c r="AH360" s="619"/>
      <c r="AI360" s="619"/>
      <c r="AJ360" s="619"/>
      <c r="AK360" s="619"/>
      <c r="AL360" s="619"/>
      <c r="AM360" s="8"/>
    </row>
    <row r="361" spans="1:39" ht="14.25" customHeight="1">
      <c r="A361" s="619"/>
      <c r="B361" s="253"/>
      <c r="C361" s="258"/>
      <c r="D361" s="285" t="s">
        <v>203</v>
      </c>
      <c r="E361" s="370">
        <f t="shared" ref="E361:H361" si="206">E274/E$286</f>
        <v>0</v>
      </c>
      <c r="F361" s="370">
        <f t="shared" si="206"/>
        <v>0</v>
      </c>
      <c r="G361" s="370">
        <f t="shared" si="206"/>
        <v>0</v>
      </c>
      <c r="H361" s="370">
        <f t="shared" si="206"/>
        <v>0</v>
      </c>
      <c r="I361" s="619"/>
      <c r="J361" s="619"/>
      <c r="K361" s="619"/>
      <c r="L361" s="619"/>
      <c r="M361" s="619"/>
      <c r="N361" s="619"/>
      <c r="O361" s="619"/>
      <c r="P361" s="619"/>
      <c r="Q361" s="619"/>
      <c r="R361" s="619"/>
      <c r="S361" s="619"/>
      <c r="T361" s="619"/>
      <c r="U361" s="619"/>
      <c r="V361" s="619"/>
      <c r="W361" s="619"/>
      <c r="X361" s="619"/>
      <c r="Y361" s="619"/>
      <c r="Z361" s="619"/>
      <c r="AA361" s="619"/>
      <c r="AB361" s="619"/>
      <c r="AC361" s="619"/>
      <c r="AD361" s="619"/>
      <c r="AE361" s="619"/>
      <c r="AF361" s="619"/>
      <c r="AG361" s="619"/>
      <c r="AH361" s="619"/>
      <c r="AI361" s="619"/>
      <c r="AJ361" s="619"/>
      <c r="AK361" s="619"/>
      <c r="AL361" s="619"/>
      <c r="AM361" s="8"/>
    </row>
    <row r="362" spans="1:39" ht="14.25" customHeight="1">
      <c r="A362" s="619"/>
      <c r="B362" s="253"/>
      <c r="C362" s="258" t="s">
        <v>211</v>
      </c>
      <c r="D362" s="281" t="s">
        <v>201</v>
      </c>
      <c r="E362" s="370">
        <f t="shared" ref="E362:H362" si="207">E275/E$286</f>
        <v>4.0574605543672648E-2</v>
      </c>
      <c r="F362" s="370">
        <f t="shared" si="207"/>
        <v>3.7387939251449287E-2</v>
      </c>
      <c r="G362" s="370">
        <f t="shared" si="207"/>
        <v>3.4769392004657652E-2</v>
      </c>
      <c r="H362" s="370">
        <f t="shared" si="207"/>
        <v>3.4702802097812825E-2</v>
      </c>
      <c r="I362" s="619"/>
      <c r="J362" s="619"/>
      <c r="K362" s="619"/>
      <c r="L362" s="619"/>
      <c r="M362" s="619"/>
      <c r="N362" s="619"/>
      <c r="O362" s="619"/>
      <c r="P362" s="619"/>
      <c r="Q362" s="619"/>
      <c r="R362" s="619"/>
      <c r="S362" s="619"/>
      <c r="T362" s="619"/>
      <c r="U362" s="619"/>
      <c r="V362" s="619"/>
      <c r="W362" s="619"/>
      <c r="X362" s="619"/>
      <c r="Y362" s="619"/>
      <c r="Z362" s="619"/>
      <c r="AA362" s="619"/>
      <c r="AB362" s="619"/>
      <c r="AC362" s="619"/>
      <c r="AD362" s="619"/>
      <c r="AE362" s="619"/>
      <c r="AF362" s="619"/>
      <c r="AG362" s="619"/>
      <c r="AH362" s="619"/>
      <c r="AI362" s="619"/>
      <c r="AJ362" s="619"/>
      <c r="AK362" s="619"/>
      <c r="AL362" s="619"/>
      <c r="AM362" s="8"/>
    </row>
    <row r="363" spans="1:39" ht="14.25" customHeight="1">
      <c r="A363" s="619"/>
      <c r="B363" s="253"/>
      <c r="C363" s="258" t="s">
        <v>212</v>
      </c>
      <c r="D363" s="281" t="s">
        <v>210</v>
      </c>
      <c r="E363" s="370">
        <f t="shared" ref="E363:H363" si="208">E276/E$286</f>
        <v>3.8480769319177592E-2</v>
      </c>
      <c r="F363" s="370">
        <f t="shared" si="208"/>
        <v>3.2901141870637238E-2</v>
      </c>
      <c r="G363" s="370">
        <f t="shared" si="208"/>
        <v>3.2849810931346923E-2</v>
      </c>
      <c r="H363" s="370">
        <f t="shared" si="208"/>
        <v>4.3481827943348955E-2</v>
      </c>
      <c r="I363" s="619"/>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c r="AH363" s="619"/>
      <c r="AI363" s="619"/>
      <c r="AJ363" s="619"/>
      <c r="AK363" s="619"/>
      <c r="AL363" s="619"/>
      <c r="AM363" s="8"/>
    </row>
    <row r="364" spans="1:39" ht="14.25" customHeight="1">
      <c r="A364" s="619"/>
      <c r="B364" s="253"/>
      <c r="C364" s="258" t="s">
        <v>213</v>
      </c>
      <c r="D364" s="281" t="s">
        <v>205</v>
      </c>
      <c r="E364" s="370">
        <f t="shared" ref="E364:H364" si="209">E277/E$286</f>
        <v>3.3211789993077305E-3</v>
      </c>
      <c r="F364" s="370">
        <f t="shared" si="209"/>
        <v>1.8217541106222623E-3</v>
      </c>
      <c r="G364" s="370">
        <f t="shared" si="209"/>
        <v>1.6889215329680761E-3</v>
      </c>
      <c r="H364" s="370">
        <f t="shared" si="209"/>
        <v>4.8098761445195275E-4</v>
      </c>
      <c r="I364" s="619"/>
      <c r="J364" s="619"/>
      <c r="K364" s="619"/>
      <c r="L364" s="619"/>
      <c r="M364" s="619"/>
      <c r="N364" s="619"/>
      <c r="O364" s="619"/>
      <c r="P364" s="619"/>
      <c r="Q364" s="619"/>
      <c r="R364" s="619"/>
      <c r="S364" s="619"/>
      <c r="T364" s="619"/>
      <c r="U364" s="619"/>
      <c r="V364" s="619"/>
      <c r="W364" s="619"/>
      <c r="X364" s="619"/>
      <c r="Y364" s="619"/>
      <c r="Z364" s="619"/>
      <c r="AA364" s="619"/>
      <c r="AB364" s="619"/>
      <c r="AC364" s="619"/>
      <c r="AD364" s="619"/>
      <c r="AE364" s="619"/>
      <c r="AF364" s="619"/>
      <c r="AG364" s="619"/>
      <c r="AH364" s="619"/>
      <c r="AI364" s="619"/>
      <c r="AJ364" s="619"/>
      <c r="AK364" s="619"/>
      <c r="AL364" s="619"/>
      <c r="AM364" s="8"/>
    </row>
    <row r="365" spans="1:39" ht="14.25" customHeight="1">
      <c r="A365" s="619"/>
      <c r="B365" s="253"/>
      <c r="C365" s="258"/>
      <c r="D365" s="266" t="s">
        <v>158</v>
      </c>
      <c r="E365" s="370">
        <f t="shared" ref="E365:H365" si="210">E278/E$286</f>
        <v>7.6017269696412168E-3</v>
      </c>
      <c r="F365" s="370">
        <f t="shared" si="210"/>
        <v>6.5755291403084906E-3</v>
      </c>
      <c r="G365" s="370">
        <f t="shared" si="210"/>
        <v>1.2832554688329877E-3</v>
      </c>
      <c r="H365" s="370">
        <f t="shared" si="210"/>
        <v>6.9459156309683327E-3</v>
      </c>
      <c r="I365" s="619"/>
      <c r="J365" s="619"/>
      <c r="K365" s="619"/>
      <c r="L365" s="619"/>
      <c r="M365" s="619"/>
      <c r="N365" s="619"/>
      <c r="O365" s="619"/>
      <c r="P365" s="619"/>
      <c r="Q365" s="619"/>
      <c r="R365" s="619"/>
      <c r="S365" s="619"/>
      <c r="T365" s="619"/>
      <c r="U365" s="619"/>
      <c r="V365" s="619"/>
      <c r="W365" s="619"/>
      <c r="X365" s="619"/>
      <c r="Y365" s="619"/>
      <c r="Z365" s="619"/>
      <c r="AA365" s="619"/>
      <c r="AB365" s="619"/>
      <c r="AC365" s="619"/>
      <c r="AD365" s="619"/>
      <c r="AE365" s="619"/>
      <c r="AF365" s="619"/>
      <c r="AG365" s="619"/>
      <c r="AH365" s="619"/>
      <c r="AI365" s="619"/>
      <c r="AJ365" s="619"/>
      <c r="AK365" s="619"/>
      <c r="AL365" s="619"/>
      <c r="AM365" s="8"/>
    </row>
    <row r="366" spans="1:39" ht="14.25" customHeight="1">
      <c r="A366" s="619"/>
      <c r="B366" s="253"/>
      <c r="C366" s="258"/>
      <c r="D366" s="285" t="s">
        <v>190</v>
      </c>
      <c r="E366" s="370">
        <f t="shared" ref="E366:H366" si="211">E279/E$286</f>
        <v>0</v>
      </c>
      <c r="F366" s="370">
        <f t="shared" si="211"/>
        <v>0</v>
      </c>
      <c r="G366" s="370">
        <f t="shared" si="211"/>
        <v>0</v>
      </c>
      <c r="H366" s="370">
        <f t="shared" si="211"/>
        <v>0</v>
      </c>
      <c r="I366" s="619"/>
      <c r="J366" s="619"/>
      <c r="K366" s="619"/>
      <c r="L366" s="619"/>
      <c r="M366" s="619"/>
      <c r="N366" s="619"/>
      <c r="O366" s="619"/>
      <c r="P366" s="619"/>
      <c r="Q366" s="619"/>
      <c r="R366" s="619"/>
      <c r="S366" s="619"/>
      <c r="T366" s="619"/>
      <c r="U366" s="619"/>
      <c r="V366" s="619"/>
      <c r="W366" s="619"/>
      <c r="X366" s="619"/>
      <c r="Y366" s="619"/>
      <c r="Z366" s="619"/>
      <c r="AA366" s="619"/>
      <c r="AB366" s="619"/>
      <c r="AC366" s="619"/>
      <c r="AD366" s="619"/>
      <c r="AE366" s="619"/>
      <c r="AF366" s="619"/>
      <c r="AG366" s="619"/>
      <c r="AH366" s="619"/>
      <c r="AI366" s="619"/>
      <c r="AJ366" s="619"/>
      <c r="AK366" s="619"/>
      <c r="AL366" s="619"/>
      <c r="AM366" s="8"/>
    </row>
    <row r="367" spans="1:39" ht="14.25" customHeight="1">
      <c r="A367" s="619"/>
      <c r="B367" s="253"/>
      <c r="C367" s="258" t="s">
        <v>214</v>
      </c>
      <c r="D367" s="281" t="s">
        <v>201</v>
      </c>
      <c r="E367" s="370">
        <f t="shared" ref="E367:H367" si="212">E280/E$286</f>
        <v>4.3697001968345679E-7</v>
      </c>
      <c r="F367" s="370">
        <f t="shared" si="212"/>
        <v>0</v>
      </c>
      <c r="G367" s="370">
        <f t="shared" si="212"/>
        <v>0</v>
      </c>
      <c r="H367" s="370">
        <f t="shared" si="212"/>
        <v>0</v>
      </c>
      <c r="I367" s="619"/>
      <c r="J367" s="619"/>
      <c r="K367" s="619"/>
      <c r="L367" s="619"/>
      <c r="M367" s="619"/>
      <c r="N367" s="619"/>
      <c r="O367" s="619"/>
      <c r="P367" s="619"/>
      <c r="Q367" s="619"/>
      <c r="R367" s="619"/>
      <c r="S367" s="619"/>
      <c r="T367" s="619"/>
      <c r="U367" s="619"/>
      <c r="V367" s="619"/>
      <c r="W367" s="619"/>
      <c r="X367" s="619"/>
      <c r="Y367" s="619"/>
      <c r="Z367" s="619"/>
      <c r="AA367" s="619"/>
      <c r="AB367" s="619"/>
      <c r="AC367" s="619"/>
      <c r="AD367" s="619"/>
      <c r="AE367" s="619"/>
      <c r="AF367" s="619"/>
      <c r="AG367" s="619"/>
      <c r="AH367" s="619"/>
      <c r="AI367" s="619"/>
      <c r="AJ367" s="619"/>
      <c r="AK367" s="619"/>
      <c r="AL367" s="619"/>
      <c r="AM367" s="8"/>
    </row>
    <row r="368" spans="1:39" ht="14.25" customHeight="1">
      <c r="A368" s="619"/>
      <c r="B368" s="253"/>
      <c r="C368" s="258"/>
      <c r="D368" s="285" t="s">
        <v>195</v>
      </c>
      <c r="E368" s="370">
        <f t="shared" ref="E368:H368" si="213">E281/E$286</f>
        <v>0</v>
      </c>
      <c r="F368" s="370">
        <f t="shared" si="213"/>
        <v>0</v>
      </c>
      <c r="G368" s="370">
        <f t="shared" si="213"/>
        <v>0</v>
      </c>
      <c r="H368" s="370">
        <f t="shared" si="213"/>
        <v>0</v>
      </c>
      <c r="I368" s="619"/>
      <c r="J368" s="619"/>
      <c r="K368" s="619"/>
      <c r="L368" s="619"/>
      <c r="M368" s="619"/>
      <c r="N368" s="619"/>
      <c r="O368" s="619"/>
      <c r="P368" s="619"/>
      <c r="Q368" s="619"/>
      <c r="R368" s="619"/>
      <c r="S368" s="619"/>
      <c r="T368" s="619"/>
      <c r="U368" s="619"/>
      <c r="V368" s="619"/>
      <c r="W368" s="619"/>
      <c r="X368" s="619"/>
      <c r="Y368" s="619"/>
      <c r="Z368" s="619"/>
      <c r="AA368" s="619"/>
      <c r="AB368" s="619"/>
      <c r="AC368" s="619"/>
      <c r="AD368" s="619"/>
      <c r="AE368" s="619"/>
      <c r="AF368" s="619"/>
      <c r="AG368" s="619"/>
      <c r="AH368" s="619"/>
      <c r="AI368" s="619"/>
      <c r="AJ368" s="619"/>
      <c r="AK368" s="619"/>
      <c r="AL368" s="619"/>
      <c r="AM368" s="8"/>
    </row>
    <row r="369" spans="1:39" ht="14.25" customHeight="1">
      <c r="A369" s="619"/>
      <c r="B369" s="253"/>
      <c r="C369" s="258" t="s">
        <v>215</v>
      </c>
      <c r="D369" s="281" t="s">
        <v>201</v>
      </c>
      <c r="E369" s="370">
        <f t="shared" ref="E369:H369" si="214">E282/E$286</f>
        <v>7.7568642547359178E-6</v>
      </c>
      <c r="F369" s="370">
        <f t="shared" si="214"/>
        <v>2.9273119760841652E-6</v>
      </c>
      <c r="G369" s="370">
        <f t="shared" si="214"/>
        <v>3.0399172511944935E-8</v>
      </c>
      <c r="H369" s="370">
        <f t="shared" si="214"/>
        <v>0</v>
      </c>
      <c r="I369" s="619"/>
      <c r="J369" s="619"/>
      <c r="K369" s="619"/>
      <c r="L369" s="619"/>
      <c r="M369" s="619"/>
      <c r="N369" s="619"/>
      <c r="O369" s="619"/>
      <c r="P369" s="619"/>
      <c r="Q369" s="619"/>
      <c r="R369" s="619"/>
      <c r="S369" s="619"/>
      <c r="T369" s="619"/>
      <c r="U369" s="619"/>
      <c r="V369" s="619"/>
      <c r="W369" s="619"/>
      <c r="X369" s="619"/>
      <c r="Y369" s="619"/>
      <c r="Z369" s="619"/>
      <c r="AA369" s="619"/>
      <c r="AB369" s="619"/>
      <c r="AC369" s="619"/>
      <c r="AD369" s="619"/>
      <c r="AE369" s="619"/>
      <c r="AF369" s="619"/>
      <c r="AG369" s="619"/>
      <c r="AH369" s="619"/>
      <c r="AI369" s="619"/>
      <c r="AJ369" s="619"/>
      <c r="AK369" s="619"/>
      <c r="AL369" s="619"/>
      <c r="AM369" s="8"/>
    </row>
    <row r="370" spans="1:39" ht="14.25" customHeight="1">
      <c r="A370" s="619"/>
      <c r="B370" s="253"/>
      <c r="C370" s="258"/>
      <c r="D370" s="285" t="s">
        <v>203</v>
      </c>
      <c r="E370" s="370">
        <f t="shared" ref="E370:H370" si="215">E283/E$286</f>
        <v>0</v>
      </c>
      <c r="F370" s="370">
        <f t="shared" si="215"/>
        <v>0</v>
      </c>
      <c r="G370" s="370">
        <f t="shared" si="215"/>
        <v>0</v>
      </c>
      <c r="H370" s="370">
        <f t="shared" si="215"/>
        <v>0</v>
      </c>
      <c r="I370" s="619"/>
      <c r="J370" s="619"/>
      <c r="K370" s="619"/>
      <c r="L370" s="619"/>
      <c r="M370" s="619"/>
      <c r="N370" s="619"/>
      <c r="O370" s="619"/>
      <c r="P370" s="619"/>
      <c r="Q370" s="619"/>
      <c r="R370" s="619"/>
      <c r="S370" s="619"/>
      <c r="T370" s="619"/>
      <c r="U370" s="619"/>
      <c r="V370" s="619"/>
      <c r="W370" s="619"/>
      <c r="X370" s="619"/>
      <c r="Y370" s="619"/>
      <c r="Z370" s="619"/>
      <c r="AA370" s="619"/>
      <c r="AB370" s="619"/>
      <c r="AC370" s="619"/>
      <c r="AD370" s="619"/>
      <c r="AE370" s="619"/>
      <c r="AF370" s="619"/>
      <c r="AG370" s="619"/>
      <c r="AH370" s="619"/>
      <c r="AI370" s="619"/>
      <c r="AJ370" s="619"/>
      <c r="AK370" s="619"/>
      <c r="AL370" s="619"/>
      <c r="AM370" s="8"/>
    </row>
    <row r="371" spans="1:39" ht="14.25" customHeight="1">
      <c r="A371" s="619"/>
      <c r="B371" s="253"/>
      <c r="C371" s="258" t="s">
        <v>216</v>
      </c>
      <c r="D371" s="281" t="s">
        <v>210</v>
      </c>
      <c r="E371" s="370">
        <f t="shared" ref="E371:H371" si="216">E284/E$286</f>
        <v>7.5935331353667972E-3</v>
      </c>
      <c r="F371" s="370">
        <f t="shared" si="216"/>
        <v>6.572601828332407E-3</v>
      </c>
      <c r="G371" s="370">
        <f t="shared" si="216"/>
        <v>1.2832250696604758E-3</v>
      </c>
      <c r="H371" s="370">
        <f t="shared" si="216"/>
        <v>6.9459156309683327E-3</v>
      </c>
      <c r="I371" s="619"/>
      <c r="J371" s="619"/>
      <c r="K371" s="619"/>
      <c r="L371" s="619"/>
      <c r="M371" s="619"/>
      <c r="N371" s="619"/>
      <c r="O371" s="619"/>
      <c r="P371" s="619"/>
      <c r="Q371" s="619"/>
      <c r="R371" s="619"/>
      <c r="S371" s="619"/>
      <c r="T371" s="619"/>
      <c r="U371" s="619"/>
      <c r="V371" s="619"/>
      <c r="W371" s="619"/>
      <c r="X371" s="619"/>
      <c r="Y371" s="619"/>
      <c r="Z371" s="619"/>
      <c r="AA371" s="619"/>
      <c r="AB371" s="619"/>
      <c r="AC371" s="619"/>
      <c r="AD371" s="619"/>
      <c r="AE371" s="619"/>
      <c r="AF371" s="619"/>
      <c r="AG371" s="619"/>
      <c r="AH371" s="619"/>
      <c r="AI371" s="619"/>
      <c r="AJ371" s="619"/>
      <c r="AK371" s="619"/>
      <c r="AL371" s="619"/>
      <c r="AM371" s="8"/>
    </row>
    <row r="372" spans="1:39" ht="14.25" customHeight="1">
      <c r="A372" s="619"/>
      <c r="B372" s="253"/>
      <c r="C372" s="258"/>
      <c r="D372" s="343" t="s">
        <v>310</v>
      </c>
      <c r="E372" s="370">
        <f t="shared" ref="E372:H372" si="217">E285/E$286</f>
        <v>0</v>
      </c>
      <c r="F372" s="370">
        <f t="shared" si="217"/>
        <v>0</v>
      </c>
      <c r="G372" s="370">
        <f t="shared" si="217"/>
        <v>0</v>
      </c>
      <c r="H372" s="370">
        <f t="shared" si="217"/>
        <v>0</v>
      </c>
      <c r="I372" s="619"/>
      <c r="J372" s="619"/>
      <c r="K372" s="619"/>
      <c r="L372" s="619"/>
      <c r="M372" s="619"/>
      <c r="N372" s="619"/>
      <c r="O372" s="619"/>
      <c r="P372" s="619"/>
      <c r="Q372" s="619"/>
      <c r="R372" s="619"/>
      <c r="S372" s="619"/>
      <c r="T372" s="619"/>
      <c r="U372" s="619"/>
      <c r="V372" s="619"/>
      <c r="W372" s="619"/>
      <c r="X372" s="619"/>
      <c r="Y372" s="619"/>
      <c r="Z372" s="619"/>
      <c r="AA372" s="619"/>
      <c r="AB372" s="619"/>
      <c r="AC372" s="619"/>
      <c r="AD372" s="619"/>
      <c r="AE372" s="619"/>
      <c r="AF372" s="619"/>
      <c r="AG372" s="619"/>
      <c r="AH372" s="619"/>
      <c r="AI372" s="619"/>
      <c r="AJ372" s="619"/>
      <c r="AK372" s="619"/>
      <c r="AL372" s="619"/>
      <c r="AM372" s="8"/>
    </row>
    <row r="373" spans="1:39" ht="14.25" customHeight="1">
      <c r="A373" s="619"/>
      <c r="B373" s="253"/>
      <c r="C373" s="258"/>
      <c r="D373" s="259" t="s">
        <v>39</v>
      </c>
      <c r="E373" s="370">
        <f t="shared" ref="E373:H373" si="218">E286/E$286</f>
        <v>1</v>
      </c>
      <c r="F373" s="370">
        <f t="shared" si="218"/>
        <v>1</v>
      </c>
      <c r="G373" s="370">
        <f t="shared" si="218"/>
        <v>1</v>
      </c>
      <c r="H373" s="370">
        <f t="shared" si="218"/>
        <v>1</v>
      </c>
      <c r="I373" s="619"/>
      <c r="J373" s="619"/>
      <c r="K373" s="619"/>
      <c r="L373" s="619"/>
      <c r="M373" s="619"/>
      <c r="N373" s="619"/>
      <c r="O373" s="619"/>
      <c r="P373" s="619"/>
      <c r="Q373" s="619"/>
      <c r="R373" s="619"/>
      <c r="S373" s="619"/>
      <c r="T373" s="619"/>
      <c r="U373" s="619"/>
      <c r="V373" s="619"/>
      <c r="W373" s="619"/>
      <c r="X373" s="619"/>
      <c r="Y373" s="619"/>
      <c r="Z373" s="619"/>
      <c r="AA373" s="619"/>
      <c r="AB373" s="619"/>
      <c r="AC373" s="619"/>
      <c r="AD373" s="619"/>
      <c r="AE373" s="619"/>
      <c r="AF373" s="619"/>
      <c r="AG373" s="619"/>
      <c r="AH373" s="619"/>
      <c r="AI373" s="619"/>
      <c r="AJ373" s="619"/>
      <c r="AK373" s="619"/>
      <c r="AL373" s="619"/>
      <c r="AM373" s="8"/>
    </row>
    <row r="374" spans="1:39" ht="14.25" customHeight="1">
      <c r="A374" s="619"/>
      <c r="B374" s="253"/>
      <c r="C374" s="258"/>
      <c r="D374" s="281"/>
      <c r="E374" s="270"/>
      <c r="F374" s="270"/>
      <c r="G374" s="270"/>
      <c r="H374" s="324"/>
      <c r="I374" s="619"/>
      <c r="J374" s="619"/>
      <c r="K374" s="619"/>
      <c r="L374" s="619"/>
      <c r="M374" s="619"/>
      <c r="N374" s="619"/>
      <c r="O374" s="619"/>
      <c r="P374" s="619"/>
      <c r="Q374" s="619"/>
      <c r="R374" s="619"/>
      <c r="S374" s="619"/>
      <c r="T374" s="619"/>
      <c r="U374" s="619"/>
      <c r="V374" s="619"/>
      <c r="W374" s="619"/>
      <c r="X374" s="619"/>
      <c r="Y374" s="619"/>
      <c r="Z374" s="619"/>
      <c r="AA374" s="619"/>
      <c r="AB374" s="619"/>
      <c r="AC374" s="619"/>
      <c r="AD374" s="619"/>
      <c r="AE374" s="619"/>
      <c r="AF374" s="619"/>
      <c r="AG374" s="619"/>
      <c r="AH374" s="619"/>
      <c r="AI374" s="619"/>
      <c r="AJ374" s="619"/>
      <c r="AK374" s="619"/>
      <c r="AL374" s="619"/>
      <c r="AM374" s="8"/>
    </row>
    <row r="375" spans="1:39" ht="14.25" customHeight="1">
      <c r="A375" s="619"/>
      <c r="B375" s="253"/>
      <c r="C375" s="258"/>
      <c r="D375" s="281" t="s">
        <v>315</v>
      </c>
      <c r="E375" s="260">
        <v>2018</v>
      </c>
      <c r="F375" s="260">
        <v>2019</v>
      </c>
      <c r="G375" s="260">
        <v>2020</v>
      </c>
      <c r="H375" s="261">
        <v>2021</v>
      </c>
      <c r="I375" s="619"/>
      <c r="J375" s="619"/>
      <c r="K375" s="619"/>
      <c r="L375" s="619"/>
      <c r="M375" s="619"/>
      <c r="N375" s="619"/>
      <c r="O375" s="619"/>
      <c r="P375" s="619"/>
      <c r="Q375" s="619"/>
      <c r="R375" s="619"/>
      <c r="S375" s="619"/>
      <c r="T375" s="619"/>
      <c r="U375" s="619"/>
      <c r="V375" s="619"/>
      <c r="W375" s="619"/>
      <c r="X375" s="619"/>
      <c r="Y375" s="619"/>
      <c r="Z375" s="619"/>
      <c r="AA375" s="619"/>
      <c r="AB375" s="619"/>
      <c r="AC375" s="619"/>
      <c r="AD375" s="619"/>
      <c r="AE375" s="619"/>
      <c r="AF375" s="619"/>
      <c r="AG375" s="619"/>
      <c r="AH375" s="619"/>
      <c r="AI375" s="619"/>
      <c r="AJ375" s="619"/>
      <c r="AK375" s="619"/>
      <c r="AL375" s="619"/>
      <c r="AM375" s="8"/>
    </row>
    <row r="376" spans="1:39" ht="14.25" customHeight="1">
      <c r="A376" s="619"/>
      <c r="B376" s="253"/>
      <c r="C376" s="258"/>
      <c r="D376" s="262" t="s">
        <v>303</v>
      </c>
      <c r="E376" s="325">
        <v>1.3759203419650334</v>
      </c>
      <c r="F376" s="325">
        <v>1.4878806610556581</v>
      </c>
      <c r="G376" s="325">
        <v>1.5347486942352482</v>
      </c>
      <c r="H376" s="324">
        <f>Electricidad!H334</f>
        <v>1.3412302309670938</v>
      </c>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619"/>
      <c r="AM376" s="8"/>
    </row>
    <row r="377" spans="1:39" ht="14.25" customHeight="1">
      <c r="A377" s="619"/>
      <c r="B377" s="253"/>
      <c r="C377" s="258"/>
      <c r="D377" s="262" t="s">
        <v>304</v>
      </c>
      <c r="E377" s="325">
        <v>0.28873956767668257</v>
      </c>
      <c r="F377" s="325">
        <v>0.30770207700830282</v>
      </c>
      <c r="G377" s="325">
        <v>0.27739815462260797</v>
      </c>
      <c r="H377" s="324">
        <f>Electricidad!H335</f>
        <v>0.22309603577988338</v>
      </c>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619"/>
      <c r="AM377" s="8"/>
    </row>
    <row r="378" spans="1:39" ht="14.25" customHeight="1">
      <c r="A378" s="619"/>
      <c r="B378" s="253"/>
      <c r="C378" s="258"/>
      <c r="D378" s="262" t="s">
        <v>305</v>
      </c>
      <c r="E378" s="325">
        <v>74.394200959388797</v>
      </c>
      <c r="F378" s="325">
        <v>88.650428907330465</v>
      </c>
      <c r="G378" s="325">
        <v>87.544859283627147</v>
      </c>
      <c r="H378" s="324">
        <f>Electricidad!H336</f>
        <v>92.0108324031292</v>
      </c>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619"/>
      <c r="AM378" s="8"/>
    </row>
    <row r="379" spans="1:39" ht="14.25" customHeight="1">
      <c r="A379" s="619"/>
      <c r="B379" s="253"/>
      <c r="C379" s="258"/>
      <c r="D379" s="266" t="s">
        <v>138</v>
      </c>
      <c r="E379" s="267">
        <v>27.737653219489321</v>
      </c>
      <c r="F379" s="267">
        <v>32.205904521410908</v>
      </c>
      <c r="G379" s="267">
        <v>29.053203455455574</v>
      </c>
      <c r="H379" s="324">
        <f>Electricidad!H337</f>
        <v>31.319432746924779</v>
      </c>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619"/>
      <c r="AL379" s="619"/>
      <c r="AM379" s="8"/>
    </row>
    <row r="380" spans="1:39" ht="14.25" customHeight="1">
      <c r="A380" s="619"/>
      <c r="B380" s="253"/>
      <c r="C380" s="258"/>
      <c r="D380" s="266" t="s">
        <v>141</v>
      </c>
      <c r="E380" s="267">
        <v>46.65654773989948</v>
      </c>
      <c r="F380" s="267">
        <v>56.444524385919557</v>
      </c>
      <c r="G380" s="267">
        <v>58.491655828171581</v>
      </c>
      <c r="H380" s="324">
        <f>Electricidad!H338</f>
        <v>60.691399656204425</v>
      </c>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619"/>
      <c r="AL380" s="619"/>
      <c r="AM380" s="8"/>
    </row>
    <row r="381" spans="1:39" ht="14.25" customHeight="1">
      <c r="A381" s="619"/>
      <c r="B381" s="253"/>
      <c r="C381" s="258"/>
      <c r="D381" s="262" t="s">
        <v>306</v>
      </c>
      <c r="E381" s="325">
        <v>0.1370053864322506</v>
      </c>
      <c r="F381" s="325">
        <v>0.13539036017582318</v>
      </c>
      <c r="G381" s="325">
        <v>0.13591883245652406</v>
      </c>
      <c r="H381" s="324">
        <f>Electricidad!H339</f>
        <v>0.13262911693782733</v>
      </c>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619"/>
      <c r="AM381" s="8"/>
    </row>
    <row r="382" spans="1:39" ht="14.25" customHeight="1">
      <c r="A382" s="619"/>
      <c r="B382" s="253"/>
      <c r="C382" s="258"/>
      <c r="D382" s="262" t="s">
        <v>307</v>
      </c>
      <c r="E382" s="325">
        <v>28.85092373738145</v>
      </c>
      <c r="F382" s="325">
        <v>25.420264924056955</v>
      </c>
      <c r="G382" s="325">
        <v>22.771166533324376</v>
      </c>
      <c r="H382" s="324">
        <f>Electricidad!H340</f>
        <v>22.012632718010565</v>
      </c>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619"/>
      <c r="AL382" s="619"/>
      <c r="AM382" s="8"/>
    </row>
    <row r="383" spans="1:39" ht="14.25" customHeight="1">
      <c r="A383" s="619"/>
      <c r="B383" s="253"/>
      <c r="C383" s="258"/>
      <c r="D383" s="266" t="s">
        <v>145</v>
      </c>
      <c r="E383" s="267">
        <v>17.783066305866768</v>
      </c>
      <c r="F383" s="267">
        <v>16.539100904552505</v>
      </c>
      <c r="G383" s="267">
        <v>15.904758775644144</v>
      </c>
      <c r="H383" s="324">
        <f>Electricidad!H341</f>
        <v>15.598240113590029</v>
      </c>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619"/>
      <c r="AL383" s="619"/>
      <c r="AM383" s="8"/>
    </row>
    <row r="384" spans="1:39" ht="14.25" customHeight="1">
      <c r="A384" s="619"/>
      <c r="B384" s="253"/>
      <c r="C384" s="258"/>
      <c r="D384" s="266" t="s">
        <v>153</v>
      </c>
      <c r="E384" s="267">
        <v>4.8152341705814878</v>
      </c>
      <c r="F384" s="267">
        <v>4.3430085960360021</v>
      </c>
      <c r="G384" s="267">
        <v>3.5369496412052293</v>
      </c>
      <c r="H384" s="324">
        <f>Electricidad!H342</f>
        <v>3.2805018971230027</v>
      </c>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619"/>
      <c r="AL384" s="8"/>
      <c r="AM384" s="8"/>
    </row>
    <row r="385" spans="1:39" ht="14.25" customHeight="1">
      <c r="A385" s="619"/>
      <c r="B385" s="253"/>
      <c r="C385" s="258"/>
      <c r="D385" s="266" t="s">
        <v>158</v>
      </c>
      <c r="E385" s="267">
        <v>6.2526232609331931</v>
      </c>
      <c r="F385" s="267">
        <v>4.5381554234684494</v>
      </c>
      <c r="G385" s="267">
        <v>3.3294581164750046</v>
      </c>
      <c r="H385" s="324">
        <f>Electricidad!H343</f>
        <v>3.1338907072975308</v>
      </c>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619"/>
      <c r="AL385" s="8"/>
      <c r="AM385" s="8"/>
    </row>
    <row r="386" spans="1:39" ht="14.25" customHeight="1">
      <c r="A386" s="619"/>
      <c r="B386" s="253"/>
      <c r="C386" s="258"/>
      <c r="D386" s="262" t="s">
        <v>310</v>
      </c>
      <c r="E386" s="325">
        <v>0.16380518034114624</v>
      </c>
      <c r="F386" s="325">
        <v>0.1480830490411065</v>
      </c>
      <c r="G386" s="325">
        <v>0.15826465809811166</v>
      </c>
      <c r="H386" s="324">
        <f>Electricidad!H344</f>
        <v>0.15157285850587507</v>
      </c>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619"/>
      <c r="AL386" s="8"/>
      <c r="AM386" s="8"/>
    </row>
    <row r="387" spans="1:39" ht="14.25" customHeight="1">
      <c r="A387" s="619"/>
      <c r="B387" s="294"/>
      <c r="C387" s="295"/>
      <c r="D387" s="345" t="s">
        <v>39</v>
      </c>
      <c r="E387" s="346">
        <v>105.21059517318535</v>
      </c>
      <c r="F387" s="346">
        <v>116.1497499786683</v>
      </c>
      <c r="G387" s="346">
        <v>112.422356156364</v>
      </c>
      <c r="H387" s="324">
        <f>Electricidad!H345</f>
        <v>115.87199336333045</v>
      </c>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619"/>
      <c r="AL387" s="8"/>
      <c r="AM387" s="8"/>
    </row>
    <row r="388" spans="1:39" ht="16.5" customHeight="1">
      <c r="A388" s="1"/>
      <c r="B388" s="1"/>
      <c r="C388" s="1"/>
      <c r="D388" s="54"/>
      <c r="E388" s="54"/>
      <c r="F388" s="54"/>
      <c r="G388" s="5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8"/>
    </row>
    <row r="389" spans="1:39" ht="16.5" customHeight="1">
      <c r="A389" s="1"/>
      <c r="B389" s="1"/>
      <c r="C389" s="1"/>
      <c r="D389" s="54"/>
      <c r="E389" s="54"/>
      <c r="F389" s="54"/>
      <c r="G389" s="5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8"/>
    </row>
    <row r="390" spans="1:39" ht="16.5" customHeight="1">
      <c r="A390" s="1"/>
      <c r="B390" s="1"/>
      <c r="C390" s="1"/>
      <c r="D390" s="54" t="s">
        <v>404</v>
      </c>
      <c r="E390" s="619">
        <v>105.365192813878</v>
      </c>
      <c r="F390" s="619">
        <v>117.332909585084</v>
      </c>
      <c r="G390" s="619">
        <v>113.3219106940881</v>
      </c>
      <c r="H390" s="619">
        <v>116.22700923768973</v>
      </c>
      <c r="I390" s="619">
        <v>118.38207857989019</v>
      </c>
      <c r="J390" s="619">
        <v>121.2212625289681</v>
      </c>
      <c r="K390" s="619">
        <v>124.2711363869151</v>
      </c>
      <c r="L390" s="619">
        <v>126.84745553066296</v>
      </c>
      <c r="M390" s="619">
        <v>129.39715410394138</v>
      </c>
      <c r="N390" s="619">
        <v>132.49544730835424</v>
      </c>
      <c r="O390" s="619">
        <v>135.68465562526492</v>
      </c>
      <c r="P390" s="619">
        <v>137.9149547415532</v>
      </c>
      <c r="Q390" s="619">
        <v>140.77848460621396</v>
      </c>
      <c r="R390" s="619">
        <v>144.1106170718312</v>
      </c>
      <c r="S390" s="619">
        <v>147.17860523874478</v>
      </c>
      <c r="T390" s="619">
        <v>150.39341527029035</v>
      </c>
      <c r="U390" s="619">
        <v>153.45101347712307</v>
      </c>
      <c r="V390" s="619">
        <v>156.22207625121229</v>
      </c>
      <c r="W390" s="619">
        <v>159.56873333605321</v>
      </c>
      <c r="X390" s="619">
        <v>162.33639597497347</v>
      </c>
      <c r="Y390" s="619">
        <v>165.51058209190407</v>
      </c>
      <c r="Z390" s="619">
        <v>168.68396260189567</v>
      </c>
      <c r="AA390" s="619">
        <v>171.84037797752487</v>
      </c>
      <c r="AB390" s="619">
        <v>174.82095779155742</v>
      </c>
      <c r="AC390" s="619">
        <v>177.98503828026799</v>
      </c>
      <c r="AD390" s="619">
        <v>180.34607081673005</v>
      </c>
      <c r="AE390" s="619">
        <v>183.51272213934888</v>
      </c>
      <c r="AF390" s="619">
        <v>186.08705096007094</v>
      </c>
      <c r="AG390" s="619">
        <v>189.44745075151829</v>
      </c>
      <c r="AH390" s="619">
        <v>192.07260389236237</v>
      </c>
      <c r="AI390" s="619">
        <v>194.78098333830121</v>
      </c>
      <c r="AJ390" s="619">
        <v>197.44554013619086</v>
      </c>
      <c r="AK390" s="619">
        <v>200.22014521137999</v>
      </c>
      <c r="AL390" s="1"/>
      <c r="AM390" s="8"/>
    </row>
    <row r="391" spans="1:39" ht="16.5" customHeight="1">
      <c r="A391" s="1"/>
      <c r="B391" s="1"/>
      <c r="C391" s="1"/>
      <c r="D391" s="54" t="s">
        <v>405</v>
      </c>
      <c r="E391" s="30">
        <f t="shared" ref="E391:AK391" si="219">E390-E286-E233-E234-E240-E241</f>
        <v>86.855775087016454</v>
      </c>
      <c r="F391" s="30">
        <f t="shared" si="219"/>
        <v>93.427803142943375</v>
      </c>
      <c r="G391" s="30">
        <f t="shared" si="219"/>
        <v>91.089312401120907</v>
      </c>
      <c r="H391" s="30">
        <f t="shared" si="219"/>
        <v>92.334563132168114</v>
      </c>
      <c r="I391" s="30">
        <f t="shared" si="219"/>
        <v>92.465606127151673</v>
      </c>
      <c r="J391" s="30">
        <f t="shared" si="219"/>
        <v>95.298283287238647</v>
      </c>
      <c r="K391" s="30">
        <f t="shared" si="219"/>
        <v>95.970880663877054</v>
      </c>
      <c r="L391" s="30">
        <f t="shared" si="219"/>
        <v>98.540521741864012</v>
      </c>
      <c r="M391" s="30">
        <f t="shared" si="219"/>
        <v>101.07638585092889</v>
      </c>
      <c r="N391" s="30">
        <f t="shared" si="219"/>
        <v>104.16078306260158</v>
      </c>
      <c r="O391" s="30">
        <f t="shared" si="219"/>
        <v>104.10969461615969</v>
      </c>
      <c r="P391" s="30">
        <f t="shared" si="219"/>
        <v>106.32591871602858</v>
      </c>
      <c r="Q391" s="30">
        <f t="shared" si="219"/>
        <v>109.17524212091325</v>
      </c>
      <c r="R391" s="30">
        <f t="shared" si="219"/>
        <v>112.49632314476113</v>
      </c>
      <c r="S391" s="30">
        <f t="shared" si="219"/>
        <v>115.55319343126322</v>
      </c>
      <c r="T391" s="30">
        <f t="shared" si="219"/>
        <v>118.75679576639124</v>
      </c>
      <c r="U391" s="30">
        <f t="shared" si="219"/>
        <v>121.80312735542077</v>
      </c>
      <c r="V391" s="30">
        <f t="shared" si="219"/>
        <v>124.56288479566354</v>
      </c>
      <c r="W391" s="30">
        <f t="shared" si="219"/>
        <v>127.89818483836231</v>
      </c>
      <c r="X391" s="30">
        <f t="shared" si="219"/>
        <v>130.6544737494383</v>
      </c>
      <c r="Y391" s="30">
        <f t="shared" si="219"/>
        <v>133.81724164331891</v>
      </c>
      <c r="Z391" s="30">
        <f t="shared" si="219"/>
        <v>136.97915013625209</v>
      </c>
      <c r="AA391" s="30">
        <f t="shared" si="219"/>
        <v>140.12411222278539</v>
      </c>
      <c r="AB391" s="30">
        <f t="shared" si="219"/>
        <v>143.09487600314731</v>
      </c>
      <c r="AC391" s="30">
        <f t="shared" si="219"/>
        <v>146.24920515873541</v>
      </c>
      <c r="AD391" s="30">
        <f t="shared" si="219"/>
        <v>148.6004858406468</v>
      </c>
      <c r="AE391" s="30">
        <f t="shared" si="219"/>
        <v>151.7574975895856</v>
      </c>
      <c r="AF391" s="30">
        <f t="shared" si="219"/>
        <v>154.32229025321902</v>
      </c>
      <c r="AG391" s="30">
        <f t="shared" si="219"/>
        <v>157.67327020951686</v>
      </c>
      <c r="AH391" s="30">
        <f t="shared" si="219"/>
        <v>160.28915081867564</v>
      </c>
      <c r="AI391" s="30">
        <f t="shared" si="219"/>
        <v>162.98840946853301</v>
      </c>
      <c r="AJ391" s="30">
        <f t="shared" si="219"/>
        <v>165.64396392144545</v>
      </c>
      <c r="AK391" s="30">
        <f t="shared" si="219"/>
        <v>168.40972690392164</v>
      </c>
      <c r="AL391" s="1"/>
      <c r="AM391" s="8"/>
    </row>
    <row r="392" spans="1:39" ht="16.5" customHeight="1">
      <c r="A392" s="1"/>
      <c r="B392" s="1"/>
      <c r="C392" s="1"/>
      <c r="D392" s="54" t="s">
        <v>406</v>
      </c>
      <c r="E392" s="30">
        <f t="shared" ref="E392:H392" si="220">E391-1.01*(E401+E413+E414+E416+E418+E419+E421+E424+E402+E410)</f>
        <v>69.89797608701646</v>
      </c>
      <c r="F392" s="30">
        <f t="shared" si="220"/>
        <v>80.674937142943378</v>
      </c>
      <c r="G392" s="30">
        <f t="shared" si="220"/>
        <v>80.341397401120901</v>
      </c>
      <c r="H392" s="30">
        <f t="shared" si="220"/>
        <v>82.916717132168117</v>
      </c>
      <c r="I392" s="30">
        <f t="shared" ref="I392:AK392" si="221">I391-(I401+I413+I414+I416+I418+I419+I421+I424+I402+I410)/0.98</f>
        <v>79.60693265776392</v>
      </c>
      <c r="J392" s="30">
        <f t="shared" si="221"/>
        <v>82.045630226014154</v>
      </c>
      <c r="K392" s="30">
        <f t="shared" si="221"/>
        <v>82.624860255713784</v>
      </c>
      <c r="L392" s="30">
        <f t="shared" si="221"/>
        <v>84.837154394925236</v>
      </c>
      <c r="M392" s="30">
        <f t="shared" si="221"/>
        <v>87.020263401949293</v>
      </c>
      <c r="N392" s="30">
        <f t="shared" si="221"/>
        <v>89.675783062601582</v>
      </c>
      <c r="O392" s="30">
        <f t="shared" si="221"/>
        <v>89.631735432486209</v>
      </c>
      <c r="P392" s="30">
        <f t="shared" si="221"/>
        <v>91.539796267048985</v>
      </c>
      <c r="Q392" s="30">
        <f t="shared" si="221"/>
        <v>93.992997222954074</v>
      </c>
      <c r="R392" s="30">
        <f t="shared" si="221"/>
        <v>96.85213947129175</v>
      </c>
      <c r="S392" s="30">
        <f t="shared" si="221"/>
        <v>99.483805676161182</v>
      </c>
      <c r="T392" s="30">
        <f t="shared" si="221"/>
        <v>102.24210188884021</v>
      </c>
      <c r="U392" s="30">
        <f t="shared" si="221"/>
        <v>104.86486204929832</v>
      </c>
      <c r="V392" s="30">
        <f t="shared" si="221"/>
        <v>107.24063989770436</v>
      </c>
      <c r="W392" s="30">
        <f t="shared" si="221"/>
        <v>110.11226647101537</v>
      </c>
      <c r="X392" s="30">
        <f t="shared" si="221"/>
        <v>112.48518803515259</v>
      </c>
      <c r="Y392" s="30">
        <f t="shared" si="221"/>
        <v>115.20816001066585</v>
      </c>
      <c r="Z392" s="30">
        <f t="shared" si="221"/>
        <v>117.93037462604801</v>
      </c>
      <c r="AA392" s="30">
        <f t="shared" si="221"/>
        <v>120.63788773298946</v>
      </c>
      <c r="AB392" s="30">
        <f t="shared" si="221"/>
        <v>123.1955902888616</v>
      </c>
      <c r="AC392" s="30">
        <f t="shared" si="221"/>
        <v>125.91114393424562</v>
      </c>
      <c r="AD392" s="30">
        <f t="shared" si="221"/>
        <v>127.93548584064681</v>
      </c>
      <c r="AE392" s="30">
        <f t="shared" si="221"/>
        <v>130.65351799774885</v>
      </c>
      <c r="AF392" s="30">
        <f t="shared" si="221"/>
        <v>132.86178004913739</v>
      </c>
      <c r="AG392" s="30">
        <f t="shared" si="221"/>
        <v>135.74653551563929</v>
      </c>
      <c r="AH392" s="30">
        <f t="shared" si="221"/>
        <v>137.99904877785931</v>
      </c>
      <c r="AI392" s="30">
        <f t="shared" si="221"/>
        <v>140.32279722363506</v>
      </c>
      <c r="AJ392" s="30">
        <f t="shared" si="221"/>
        <v>142.60875983981279</v>
      </c>
      <c r="AK392" s="30">
        <f t="shared" si="221"/>
        <v>144.99003302637061</v>
      </c>
      <c r="AL392" s="1"/>
      <c r="AM392" s="8"/>
    </row>
    <row r="393" spans="1:39" ht="16.5" customHeight="1">
      <c r="A393" s="1"/>
      <c r="B393" s="1"/>
      <c r="C393" s="1"/>
      <c r="D393" s="59" t="s">
        <v>407</v>
      </c>
      <c r="E393" s="30"/>
      <c r="F393" s="30"/>
      <c r="G393" s="30"/>
      <c r="H393" s="30">
        <v>0</v>
      </c>
      <c r="I393" s="30">
        <v>0</v>
      </c>
      <c r="J393" s="30">
        <v>0</v>
      </c>
      <c r="K393" s="30">
        <v>0</v>
      </c>
      <c r="L393" s="30">
        <f t="shared" ref="L393:N393" si="222">L392-K392</f>
        <v>2.2122941392114512</v>
      </c>
      <c r="M393" s="30">
        <f t="shared" si="222"/>
        <v>2.1831090070240577</v>
      </c>
      <c r="N393" s="30">
        <f t="shared" si="222"/>
        <v>2.6555196606522884</v>
      </c>
      <c r="O393" s="30">
        <v>0</v>
      </c>
      <c r="P393" s="30">
        <f t="shared" ref="P393:AK393" si="223">P392-O392</f>
        <v>1.9080608345627752</v>
      </c>
      <c r="Q393" s="30">
        <f t="shared" si="223"/>
        <v>2.4532009559050891</v>
      </c>
      <c r="R393" s="30">
        <f t="shared" si="223"/>
        <v>2.8591422483376761</v>
      </c>
      <c r="S393" s="30">
        <f t="shared" si="223"/>
        <v>2.6316662048694326</v>
      </c>
      <c r="T393" s="30">
        <f t="shared" si="223"/>
        <v>2.7582962126790278</v>
      </c>
      <c r="U393" s="30">
        <f t="shared" si="223"/>
        <v>2.6227601604581139</v>
      </c>
      <c r="V393" s="30">
        <f t="shared" si="223"/>
        <v>2.375777848406031</v>
      </c>
      <c r="W393" s="30">
        <f t="shared" si="223"/>
        <v>2.8716265733110191</v>
      </c>
      <c r="X393" s="30">
        <f t="shared" si="223"/>
        <v>2.372921564137215</v>
      </c>
      <c r="Y393" s="30">
        <f t="shared" si="223"/>
        <v>2.7229719755132606</v>
      </c>
      <c r="Z393" s="30">
        <f t="shared" si="223"/>
        <v>2.7222146153821569</v>
      </c>
      <c r="AA393" s="30">
        <f t="shared" si="223"/>
        <v>2.7075131069414482</v>
      </c>
      <c r="AB393" s="30">
        <f t="shared" si="223"/>
        <v>2.5577025558721402</v>
      </c>
      <c r="AC393" s="30">
        <f t="shared" si="223"/>
        <v>2.7155536453840199</v>
      </c>
      <c r="AD393" s="30">
        <f t="shared" si="223"/>
        <v>2.0243419064011903</v>
      </c>
      <c r="AE393" s="30">
        <f t="shared" si="223"/>
        <v>2.7180321571020443</v>
      </c>
      <c r="AF393" s="30">
        <f t="shared" si="223"/>
        <v>2.2082620513885445</v>
      </c>
      <c r="AG393" s="30">
        <f t="shared" si="223"/>
        <v>2.8847554665019004</v>
      </c>
      <c r="AH393" s="30">
        <f t="shared" si="223"/>
        <v>2.2525132622200204</v>
      </c>
      <c r="AI393" s="30">
        <f t="shared" si="223"/>
        <v>2.3237484457757489</v>
      </c>
      <c r="AJ393" s="30">
        <f t="shared" si="223"/>
        <v>2.2859626161777271</v>
      </c>
      <c r="AK393" s="30">
        <f t="shared" si="223"/>
        <v>2.3812731865578201</v>
      </c>
      <c r="AL393" s="1"/>
      <c r="AM393" s="8"/>
    </row>
    <row r="394" spans="1:39" ht="16.5" customHeight="1">
      <c r="A394" s="1"/>
      <c r="B394" s="1"/>
      <c r="C394" s="1"/>
      <c r="D394" s="59" t="s">
        <v>408</v>
      </c>
      <c r="E394" s="30"/>
      <c r="F394" s="30"/>
      <c r="G394" s="30"/>
      <c r="H394" s="30">
        <f>H393*20%</f>
        <v>0</v>
      </c>
      <c r="I394" s="30">
        <v>0</v>
      </c>
      <c r="J394" s="30">
        <v>0</v>
      </c>
      <c r="K394" s="30">
        <v>0</v>
      </c>
      <c r="L394" s="30">
        <f t="shared" ref="L394:N394" si="224">L393*20%</f>
        <v>0.44245882784229029</v>
      </c>
      <c r="M394" s="30">
        <f t="shared" si="224"/>
        <v>0.43662180140481155</v>
      </c>
      <c r="N394" s="30">
        <f t="shared" si="224"/>
        <v>0.5311039321304577</v>
      </c>
      <c r="O394" s="30">
        <v>0</v>
      </c>
      <c r="P394" s="30">
        <f t="shared" ref="P394:AK394" si="225">P393*20%</f>
        <v>0.38161216691255506</v>
      </c>
      <c r="Q394" s="30">
        <f t="shared" si="225"/>
        <v>0.49064019118101787</v>
      </c>
      <c r="R394" s="30">
        <f t="shared" si="225"/>
        <v>0.57182844966753521</v>
      </c>
      <c r="S394" s="30">
        <f t="shared" si="225"/>
        <v>0.52633324097388656</v>
      </c>
      <c r="T394" s="30">
        <f t="shared" si="225"/>
        <v>0.55165924253580556</v>
      </c>
      <c r="U394" s="30">
        <f t="shared" si="225"/>
        <v>0.52455203209162282</v>
      </c>
      <c r="V394" s="30">
        <f t="shared" si="225"/>
        <v>0.4751555696812062</v>
      </c>
      <c r="W394" s="30">
        <f t="shared" si="225"/>
        <v>0.57432531466220382</v>
      </c>
      <c r="X394" s="30">
        <f t="shared" si="225"/>
        <v>0.47458431282744301</v>
      </c>
      <c r="Y394" s="30">
        <f t="shared" si="225"/>
        <v>0.54459439510265217</v>
      </c>
      <c r="Z394" s="30">
        <f t="shared" si="225"/>
        <v>0.54444292307643138</v>
      </c>
      <c r="AA394" s="30">
        <f t="shared" si="225"/>
        <v>0.54150262138828964</v>
      </c>
      <c r="AB394" s="30">
        <f t="shared" si="225"/>
        <v>0.51154051117442811</v>
      </c>
      <c r="AC394" s="30">
        <f t="shared" si="225"/>
        <v>0.54311072907680402</v>
      </c>
      <c r="AD394" s="30">
        <f t="shared" si="225"/>
        <v>0.40486838128023805</v>
      </c>
      <c r="AE394" s="30">
        <f t="shared" si="225"/>
        <v>0.54360643142040888</v>
      </c>
      <c r="AF394" s="30">
        <f t="shared" si="225"/>
        <v>0.44165241027770891</v>
      </c>
      <c r="AG394" s="30">
        <f t="shared" si="225"/>
        <v>0.57695109330038008</v>
      </c>
      <c r="AH394" s="30">
        <f t="shared" si="225"/>
        <v>0.45050265244400411</v>
      </c>
      <c r="AI394" s="30">
        <f t="shared" si="225"/>
        <v>0.4647496891551498</v>
      </c>
      <c r="AJ394" s="30">
        <f t="shared" si="225"/>
        <v>0.45719252323554543</v>
      </c>
      <c r="AK394" s="30">
        <f t="shared" si="225"/>
        <v>0.47625463731156403</v>
      </c>
      <c r="AL394" s="1"/>
      <c r="AM394" s="8"/>
    </row>
    <row r="395" spans="1:39" ht="16.5" customHeight="1">
      <c r="A395" s="1"/>
      <c r="B395" s="1"/>
      <c r="C395" s="1"/>
      <c r="D395" s="59" t="s">
        <v>409</v>
      </c>
      <c r="E395" s="54"/>
      <c r="F395" s="54"/>
      <c r="G395" s="54"/>
      <c r="H395" s="1">
        <f t="shared" ref="H395:AK395" si="226">H393*80%</f>
        <v>0</v>
      </c>
      <c r="I395" s="1">
        <f t="shared" si="226"/>
        <v>0</v>
      </c>
      <c r="J395" s="1">
        <f t="shared" si="226"/>
        <v>0</v>
      </c>
      <c r="K395" s="1">
        <f t="shared" si="226"/>
        <v>0</v>
      </c>
      <c r="L395" s="1">
        <f t="shared" si="226"/>
        <v>1.7698353113691612</v>
      </c>
      <c r="M395" s="1">
        <f t="shared" si="226"/>
        <v>1.7464872056192462</v>
      </c>
      <c r="N395" s="1">
        <f t="shared" si="226"/>
        <v>2.1244157285218308</v>
      </c>
      <c r="O395" s="1">
        <f t="shared" si="226"/>
        <v>0</v>
      </c>
      <c r="P395" s="1">
        <f t="shared" si="226"/>
        <v>1.5264486676502202</v>
      </c>
      <c r="Q395" s="1">
        <f t="shared" si="226"/>
        <v>1.9625607647240715</v>
      </c>
      <c r="R395" s="1">
        <f t="shared" si="226"/>
        <v>2.2873137986701408</v>
      </c>
      <c r="S395" s="1">
        <f t="shared" si="226"/>
        <v>2.1053329638955462</v>
      </c>
      <c r="T395" s="1">
        <f t="shared" si="226"/>
        <v>2.2066369701432222</v>
      </c>
      <c r="U395" s="1">
        <f t="shared" si="226"/>
        <v>2.0982081283664913</v>
      </c>
      <c r="V395" s="1">
        <f t="shared" si="226"/>
        <v>1.9006222787248248</v>
      </c>
      <c r="W395" s="1">
        <f t="shared" si="226"/>
        <v>2.2973012586488153</v>
      </c>
      <c r="X395" s="1">
        <f t="shared" si="226"/>
        <v>1.898337251309772</v>
      </c>
      <c r="Y395" s="1">
        <f t="shared" si="226"/>
        <v>2.1783775804106087</v>
      </c>
      <c r="Z395" s="1">
        <f t="shared" si="226"/>
        <v>2.1777716923057255</v>
      </c>
      <c r="AA395" s="1">
        <f t="shared" si="226"/>
        <v>2.1660104855531586</v>
      </c>
      <c r="AB395" s="1">
        <f t="shared" si="226"/>
        <v>2.0461620446977125</v>
      </c>
      <c r="AC395" s="1">
        <f t="shared" si="226"/>
        <v>2.1724429163072161</v>
      </c>
      <c r="AD395" s="1">
        <f t="shared" si="226"/>
        <v>1.6194735251209522</v>
      </c>
      <c r="AE395" s="1">
        <f t="shared" si="226"/>
        <v>2.1744257256816355</v>
      </c>
      <c r="AF395" s="1">
        <f t="shared" si="226"/>
        <v>1.7666096411108356</v>
      </c>
      <c r="AG395" s="1">
        <f t="shared" si="226"/>
        <v>2.3078043732015203</v>
      </c>
      <c r="AH395" s="1">
        <f t="shared" si="226"/>
        <v>1.8020106097760165</v>
      </c>
      <c r="AI395" s="1">
        <f t="shared" si="226"/>
        <v>1.8589987566205992</v>
      </c>
      <c r="AJ395" s="1">
        <f t="shared" si="226"/>
        <v>1.8287700929421817</v>
      </c>
      <c r="AK395" s="1">
        <f t="shared" si="226"/>
        <v>1.9050185492462561</v>
      </c>
      <c r="AL395" s="1"/>
      <c r="AM395" s="8"/>
    </row>
    <row r="396" spans="1:39" ht="14.25" customHeight="1">
      <c r="A396" s="619"/>
      <c r="B396" s="23"/>
      <c r="C396" s="249"/>
      <c r="D396" s="321" t="s">
        <v>410</v>
      </c>
      <c r="E396" s="305"/>
      <c r="F396" s="305"/>
      <c r="G396" s="305"/>
      <c r="H396" s="322"/>
      <c r="I396" s="619"/>
      <c r="J396" s="619"/>
      <c r="K396" s="619"/>
      <c r="L396" s="619"/>
      <c r="M396" s="619"/>
      <c r="N396" s="619"/>
      <c r="O396" s="619"/>
      <c r="P396" s="619"/>
      <c r="Q396" s="619"/>
      <c r="R396" s="619"/>
      <c r="S396" s="619"/>
      <c r="T396" s="619"/>
      <c r="U396" s="619"/>
      <c r="V396" s="619"/>
      <c r="W396" s="619"/>
      <c r="X396" s="619"/>
      <c r="Y396" s="619"/>
      <c r="Z396" s="619"/>
      <c r="AA396" s="619"/>
      <c r="AB396" s="619"/>
      <c r="AC396" s="619"/>
      <c r="AD396" s="619"/>
      <c r="AE396" s="619"/>
      <c r="AF396" s="619"/>
      <c r="AG396" s="619"/>
      <c r="AH396" s="619"/>
      <c r="AI396" s="619"/>
      <c r="AJ396" s="619"/>
      <c r="AK396" s="619"/>
      <c r="AL396" s="619"/>
      <c r="AM396" s="8"/>
    </row>
    <row r="397" spans="1:39" ht="14.25" customHeight="1">
      <c r="A397" s="619"/>
      <c r="B397" s="253"/>
      <c r="C397" s="258"/>
      <c r="D397" s="259"/>
      <c r="E397" s="323"/>
      <c r="F397" s="323"/>
      <c r="G397" s="323"/>
      <c r="H397" s="324"/>
      <c r="I397" s="619"/>
      <c r="J397" s="619"/>
      <c r="K397" s="619"/>
      <c r="L397" s="619"/>
      <c r="M397" s="619"/>
      <c r="N397" s="619"/>
      <c r="O397" s="619"/>
      <c r="P397" s="619"/>
      <c r="Q397" s="619"/>
      <c r="R397" s="619"/>
      <c r="S397" s="619"/>
      <c r="T397" s="619"/>
      <c r="U397" s="619"/>
      <c r="V397" s="619"/>
      <c r="W397" s="619"/>
      <c r="X397" s="619"/>
      <c r="Y397" s="619"/>
      <c r="Z397" s="619"/>
      <c r="AA397" s="619"/>
      <c r="AB397" s="619"/>
      <c r="AC397" s="619"/>
      <c r="AD397" s="619"/>
      <c r="AE397" s="619"/>
      <c r="AF397" s="619"/>
      <c r="AG397" s="619"/>
      <c r="AH397" s="619"/>
      <c r="AI397" s="619"/>
      <c r="AJ397" s="619"/>
      <c r="AK397" s="619"/>
      <c r="AL397" s="619"/>
      <c r="AM397" s="8"/>
    </row>
    <row r="398" spans="1:39" ht="14.25" customHeight="1">
      <c r="A398" s="619"/>
      <c r="B398" s="253"/>
      <c r="C398" s="258"/>
      <c r="D398" s="281" t="s">
        <v>302</v>
      </c>
      <c r="E398" s="260">
        <v>2018</v>
      </c>
      <c r="F398" s="260">
        <v>2019</v>
      </c>
      <c r="G398" s="260">
        <v>2020</v>
      </c>
      <c r="H398" s="261">
        <v>2021</v>
      </c>
      <c r="I398" s="260">
        <v>2022</v>
      </c>
      <c r="J398" s="260">
        <v>2023</v>
      </c>
      <c r="K398" s="260">
        <v>2024</v>
      </c>
      <c r="L398" s="261">
        <v>2025</v>
      </c>
      <c r="M398" s="260">
        <v>2026</v>
      </c>
      <c r="N398" s="260">
        <v>2027</v>
      </c>
      <c r="O398" s="260">
        <v>2028</v>
      </c>
      <c r="P398" s="261">
        <v>2029</v>
      </c>
      <c r="Q398" s="260">
        <v>2030</v>
      </c>
      <c r="R398" s="260">
        <v>2031</v>
      </c>
      <c r="S398" s="260">
        <v>2032</v>
      </c>
      <c r="T398" s="261">
        <v>2033</v>
      </c>
      <c r="U398" s="260">
        <v>2034</v>
      </c>
      <c r="V398" s="260">
        <v>2035</v>
      </c>
      <c r="W398" s="260">
        <v>2036</v>
      </c>
      <c r="X398" s="261">
        <v>2037</v>
      </c>
      <c r="Y398" s="260">
        <v>2038</v>
      </c>
      <c r="Z398" s="260">
        <v>2039</v>
      </c>
      <c r="AA398" s="260">
        <v>2040</v>
      </c>
      <c r="AB398" s="261">
        <v>2041</v>
      </c>
      <c r="AC398" s="260">
        <v>2042</v>
      </c>
      <c r="AD398" s="260">
        <v>2043</v>
      </c>
      <c r="AE398" s="260">
        <v>2044</v>
      </c>
      <c r="AF398" s="261">
        <v>2045</v>
      </c>
      <c r="AG398" s="260">
        <v>2046</v>
      </c>
      <c r="AH398" s="260">
        <v>2047</v>
      </c>
      <c r="AI398" s="260">
        <v>2048</v>
      </c>
      <c r="AJ398" s="261">
        <v>2049</v>
      </c>
      <c r="AK398" s="260">
        <v>2050</v>
      </c>
      <c r="AL398" s="619"/>
      <c r="AM398" s="8"/>
    </row>
    <row r="399" spans="1:39" ht="14.25" customHeight="1">
      <c r="A399" s="619"/>
      <c r="B399" s="253"/>
      <c r="C399" s="258"/>
      <c r="D399" s="262" t="s">
        <v>303</v>
      </c>
      <c r="E399" s="370">
        <f t="shared" ref="E399:H399" si="227">ROUND(E205*0.99,4)</f>
        <v>1.3622000000000001</v>
      </c>
      <c r="F399" s="370">
        <f t="shared" si="227"/>
        <v>1.4730000000000001</v>
      </c>
      <c r="G399" s="370">
        <f t="shared" si="227"/>
        <v>1.5194000000000001</v>
      </c>
      <c r="H399" s="370">
        <f t="shared" si="227"/>
        <v>1.3278000000000001</v>
      </c>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c r="AF399" s="418"/>
      <c r="AG399" s="418"/>
      <c r="AH399" s="418"/>
      <c r="AI399" s="418"/>
      <c r="AJ399" s="418"/>
      <c r="AK399" s="418"/>
      <c r="AL399" s="619"/>
      <c r="AM399" s="8"/>
    </row>
    <row r="400" spans="1:39" ht="14.25" customHeight="1">
      <c r="A400" s="619"/>
      <c r="B400" s="253"/>
      <c r="C400" s="258"/>
      <c r="D400" s="266" t="s">
        <v>132</v>
      </c>
      <c r="E400" s="370">
        <f t="shared" ref="E400:H400" si="228">ROUND(E206*0.99,4)</f>
        <v>0</v>
      </c>
      <c r="F400" s="370">
        <f t="shared" si="228"/>
        <v>0</v>
      </c>
      <c r="G400" s="370">
        <f t="shared" si="228"/>
        <v>0</v>
      </c>
      <c r="H400" s="370">
        <f t="shared" si="228"/>
        <v>0</v>
      </c>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c r="AF400" s="418"/>
      <c r="AG400" s="418"/>
      <c r="AH400" s="418"/>
      <c r="AI400" s="418"/>
      <c r="AJ400" s="418"/>
      <c r="AK400" s="418"/>
      <c r="AL400" s="619"/>
      <c r="AM400" s="8"/>
    </row>
    <row r="401" spans="1:39" ht="14.25" customHeight="1">
      <c r="A401" s="619"/>
      <c r="B401" s="253"/>
      <c r="C401" s="258" t="s">
        <v>133</v>
      </c>
      <c r="D401" s="281" t="s">
        <v>134</v>
      </c>
      <c r="E401" s="370">
        <f t="shared" ref="E401:H401" si="229">ROUND(E207*0.99,4)</f>
        <v>1.3622000000000001</v>
      </c>
      <c r="F401" s="370">
        <f t="shared" si="229"/>
        <v>1.4730000000000001</v>
      </c>
      <c r="G401" s="370">
        <f t="shared" si="229"/>
        <v>1.5194000000000001</v>
      </c>
      <c r="H401" s="370">
        <f t="shared" si="229"/>
        <v>1.3278000000000001</v>
      </c>
      <c r="I401" s="418">
        <f t="shared" ref="I401:AK401" si="230">ROUND(I$391*$I294*0.98,4)</f>
        <v>1.4427000000000001</v>
      </c>
      <c r="J401" s="418">
        <f t="shared" si="230"/>
        <v>1.4869000000000001</v>
      </c>
      <c r="K401" s="418">
        <f t="shared" si="230"/>
        <v>1.4974000000000001</v>
      </c>
      <c r="L401" s="418">
        <f t="shared" si="230"/>
        <v>1.5375000000000001</v>
      </c>
      <c r="M401" s="418">
        <f t="shared" si="230"/>
        <v>1.5770999999999999</v>
      </c>
      <c r="N401" s="418">
        <f t="shared" si="230"/>
        <v>1.6252</v>
      </c>
      <c r="O401" s="418">
        <f t="shared" si="230"/>
        <v>1.6244000000000001</v>
      </c>
      <c r="P401" s="418">
        <f t="shared" si="230"/>
        <v>1.659</v>
      </c>
      <c r="Q401" s="418">
        <f t="shared" si="230"/>
        <v>1.7034</v>
      </c>
      <c r="R401" s="418">
        <f t="shared" si="230"/>
        <v>1.7552000000000001</v>
      </c>
      <c r="S401" s="418">
        <f t="shared" si="230"/>
        <v>1.8028999999999999</v>
      </c>
      <c r="T401" s="418">
        <f t="shared" si="230"/>
        <v>1.8529</v>
      </c>
      <c r="U401" s="418">
        <f t="shared" si="230"/>
        <v>1.9004000000000001</v>
      </c>
      <c r="V401" s="418">
        <f t="shared" si="230"/>
        <v>1.9435</v>
      </c>
      <c r="W401" s="418">
        <f t="shared" si="230"/>
        <v>1.9955000000000001</v>
      </c>
      <c r="X401" s="418">
        <f t="shared" si="230"/>
        <v>2.0386000000000002</v>
      </c>
      <c r="Y401" s="418">
        <f t="shared" si="230"/>
        <v>2.0878999999999999</v>
      </c>
      <c r="Z401" s="418">
        <f t="shared" si="230"/>
        <v>2.1372</v>
      </c>
      <c r="AA401" s="418">
        <f t="shared" si="230"/>
        <v>2.1863000000000001</v>
      </c>
      <c r="AB401" s="418">
        <f t="shared" si="230"/>
        <v>2.2326999999999999</v>
      </c>
      <c r="AC401" s="418">
        <f t="shared" si="230"/>
        <v>2.2818999999999998</v>
      </c>
      <c r="AD401" s="418">
        <f t="shared" si="230"/>
        <v>2.3186</v>
      </c>
      <c r="AE401" s="418">
        <f t="shared" si="230"/>
        <v>2.3677999999999999</v>
      </c>
      <c r="AF401" s="418">
        <f t="shared" si="230"/>
        <v>2.4077999999999999</v>
      </c>
      <c r="AG401" s="418">
        <f t="shared" si="230"/>
        <v>2.4601000000000002</v>
      </c>
      <c r="AH401" s="418">
        <f t="shared" si="230"/>
        <v>2.5009000000000001</v>
      </c>
      <c r="AI401" s="418">
        <f t="shared" si="230"/>
        <v>2.5430000000000001</v>
      </c>
      <c r="AJ401" s="418">
        <f t="shared" si="230"/>
        <v>2.5844999999999998</v>
      </c>
      <c r="AK401" s="418">
        <f t="shared" si="230"/>
        <v>2.6276000000000002</v>
      </c>
      <c r="AL401" s="619"/>
      <c r="AM401" s="8"/>
    </row>
    <row r="402" spans="1:39" ht="14.25" customHeight="1">
      <c r="A402" s="619"/>
      <c r="B402" s="253"/>
      <c r="C402" s="258" t="s">
        <v>135</v>
      </c>
      <c r="D402" s="262" t="s">
        <v>304</v>
      </c>
      <c r="E402" s="370">
        <f t="shared" ref="E402:H402" si="231">ROUND(E208*0.99,4)</f>
        <v>0.26250000000000001</v>
      </c>
      <c r="F402" s="370">
        <f t="shared" si="231"/>
        <v>0.28489999999999999</v>
      </c>
      <c r="G402" s="370">
        <f t="shared" si="231"/>
        <v>0.25519999999999998</v>
      </c>
      <c r="H402" s="370">
        <f t="shared" si="231"/>
        <v>0.21390000000000001</v>
      </c>
      <c r="I402" s="418">
        <f t="shared" ref="I402:AK402" si="232">ROUND(I$391*$I295*0.98,4)</f>
        <v>0.25829999999999997</v>
      </c>
      <c r="J402" s="418">
        <f t="shared" si="232"/>
        <v>0.26619999999999999</v>
      </c>
      <c r="K402" s="418">
        <f t="shared" si="232"/>
        <v>0.2681</v>
      </c>
      <c r="L402" s="418">
        <f t="shared" si="232"/>
        <v>0.2752</v>
      </c>
      <c r="M402" s="418">
        <f t="shared" si="232"/>
        <v>0.2823</v>
      </c>
      <c r="N402" s="418">
        <f t="shared" si="232"/>
        <v>0.29089999999999999</v>
      </c>
      <c r="O402" s="418">
        <f t="shared" si="232"/>
        <v>0.2908</v>
      </c>
      <c r="P402" s="418">
        <f t="shared" si="232"/>
        <v>0.29699999999999999</v>
      </c>
      <c r="Q402" s="418">
        <f t="shared" si="232"/>
        <v>0.3049</v>
      </c>
      <c r="R402" s="418">
        <f t="shared" si="232"/>
        <v>0.31419999999999998</v>
      </c>
      <c r="S402" s="418">
        <f t="shared" si="232"/>
        <v>0.32279999999999998</v>
      </c>
      <c r="T402" s="418">
        <f t="shared" si="232"/>
        <v>0.33169999999999999</v>
      </c>
      <c r="U402" s="418">
        <f t="shared" si="232"/>
        <v>0.3402</v>
      </c>
      <c r="V402" s="418">
        <f t="shared" si="232"/>
        <v>0.34789999999999999</v>
      </c>
      <c r="W402" s="418">
        <f t="shared" si="232"/>
        <v>0.35720000000000002</v>
      </c>
      <c r="X402" s="418">
        <f t="shared" si="232"/>
        <v>0.3649</v>
      </c>
      <c r="Y402" s="418">
        <f t="shared" si="232"/>
        <v>0.37380000000000002</v>
      </c>
      <c r="Z402" s="418">
        <f t="shared" si="232"/>
        <v>0.3826</v>
      </c>
      <c r="AA402" s="418">
        <f t="shared" si="232"/>
        <v>0.39140000000000003</v>
      </c>
      <c r="AB402" s="418">
        <f t="shared" si="232"/>
        <v>0.3997</v>
      </c>
      <c r="AC402" s="418">
        <f t="shared" si="232"/>
        <v>0.40849999999999997</v>
      </c>
      <c r="AD402" s="418">
        <f t="shared" si="232"/>
        <v>0.41510000000000002</v>
      </c>
      <c r="AE402" s="418">
        <f t="shared" si="232"/>
        <v>0.4239</v>
      </c>
      <c r="AF402" s="418">
        <f t="shared" si="232"/>
        <v>0.43099999999999999</v>
      </c>
      <c r="AG402" s="418">
        <f t="shared" si="232"/>
        <v>0.44040000000000001</v>
      </c>
      <c r="AH402" s="418">
        <f t="shared" si="232"/>
        <v>0.44769999999999999</v>
      </c>
      <c r="AI402" s="418">
        <f t="shared" si="232"/>
        <v>0.45519999999999999</v>
      </c>
      <c r="AJ402" s="418">
        <f t="shared" si="232"/>
        <v>0.4627</v>
      </c>
      <c r="AK402" s="418">
        <f t="shared" si="232"/>
        <v>0.47039999999999998</v>
      </c>
      <c r="AL402" s="619"/>
      <c r="AM402" s="8"/>
    </row>
    <row r="403" spans="1:39" ht="14.25" customHeight="1">
      <c r="A403" s="619"/>
      <c r="B403" s="253"/>
      <c r="C403" s="258"/>
      <c r="D403" s="262" t="s">
        <v>305</v>
      </c>
      <c r="E403" s="370">
        <f t="shared" ref="E403:H403" si="233">ROUND(E209*0.99,4)</f>
        <v>73.591800000000006</v>
      </c>
      <c r="F403" s="370">
        <f t="shared" si="233"/>
        <v>87.6875</v>
      </c>
      <c r="G403" s="370">
        <f t="shared" si="233"/>
        <v>86.596599999999995</v>
      </c>
      <c r="H403" s="370">
        <f t="shared" si="233"/>
        <v>91.022800000000004</v>
      </c>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c r="AF403" s="418"/>
      <c r="AG403" s="418"/>
      <c r="AH403" s="418"/>
      <c r="AI403" s="418"/>
      <c r="AJ403" s="418"/>
      <c r="AK403" s="418"/>
      <c r="AL403" s="619"/>
      <c r="AM403" s="8"/>
    </row>
    <row r="404" spans="1:39" ht="14.25" customHeight="1">
      <c r="A404" s="619"/>
      <c r="B404" s="253"/>
      <c r="C404" s="258"/>
      <c r="D404" s="266" t="s">
        <v>138</v>
      </c>
      <c r="E404" s="370">
        <f t="shared" ref="E404:H404" si="234">ROUND(E210*0.99,4)</f>
        <v>27.4603</v>
      </c>
      <c r="F404" s="370">
        <f t="shared" si="234"/>
        <v>31.883900000000001</v>
      </c>
      <c r="G404" s="370">
        <f t="shared" si="234"/>
        <v>28.762699999999999</v>
      </c>
      <c r="H404" s="370">
        <f t="shared" si="234"/>
        <v>31.0062</v>
      </c>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619"/>
      <c r="AM404" s="8"/>
    </row>
    <row r="405" spans="1:39" ht="14.25" customHeight="1">
      <c r="A405" s="619"/>
      <c r="B405" s="253"/>
      <c r="C405" s="258"/>
      <c r="D405" s="259" t="s">
        <v>139</v>
      </c>
      <c r="E405" s="370">
        <f t="shared" ref="E405:H405" si="235">ROUND(E211*0.99,4)</f>
        <v>23.925799999999999</v>
      </c>
      <c r="F405" s="370">
        <f t="shared" si="235"/>
        <v>27.144400000000001</v>
      </c>
      <c r="G405" s="370">
        <f t="shared" si="235"/>
        <v>25.124400000000001</v>
      </c>
      <c r="H405" s="370">
        <f t="shared" si="235"/>
        <v>26.671399999999998</v>
      </c>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c r="AF405" s="418"/>
      <c r="AG405" s="418"/>
      <c r="AH405" s="418"/>
      <c r="AI405" s="418"/>
      <c r="AJ405" s="418"/>
      <c r="AK405" s="418"/>
      <c r="AL405" s="619"/>
      <c r="AM405" s="8"/>
    </row>
    <row r="406" spans="1:39" ht="14.25" customHeight="1">
      <c r="A406" s="619"/>
      <c r="B406" s="253"/>
      <c r="C406" s="258"/>
      <c r="D406" s="259" t="s">
        <v>140</v>
      </c>
      <c r="E406" s="370">
        <f t="shared" ref="E406:H406" si="236">ROUND(E212*0.99,4)</f>
        <v>3.5344000000000002</v>
      </c>
      <c r="F406" s="370">
        <f t="shared" si="236"/>
        <v>4.7394999999999996</v>
      </c>
      <c r="G406" s="370">
        <f t="shared" si="236"/>
        <v>3.6381999999999999</v>
      </c>
      <c r="H406" s="370">
        <f t="shared" si="236"/>
        <v>4.3348000000000004</v>
      </c>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c r="AF406" s="418"/>
      <c r="AG406" s="418"/>
      <c r="AH406" s="418"/>
      <c r="AI406" s="418"/>
      <c r="AJ406" s="418"/>
      <c r="AK406" s="418"/>
      <c r="AL406" s="619"/>
      <c r="AM406" s="8"/>
    </row>
    <row r="407" spans="1:39" ht="14.25" customHeight="1">
      <c r="A407" s="619"/>
      <c r="B407" s="253"/>
      <c r="C407" s="258"/>
      <c r="D407" s="266" t="s">
        <v>141</v>
      </c>
      <c r="E407" s="370">
        <f t="shared" ref="E407:H407" si="237">ROUND(E213*0.99,4)</f>
        <v>46.131500000000003</v>
      </c>
      <c r="F407" s="370">
        <f t="shared" si="237"/>
        <v>55.803699999999999</v>
      </c>
      <c r="G407" s="370">
        <f t="shared" si="237"/>
        <v>57.834000000000003</v>
      </c>
      <c r="H407" s="370">
        <f t="shared" si="237"/>
        <v>60.016500000000001</v>
      </c>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c r="AF407" s="418"/>
      <c r="AG407" s="418"/>
      <c r="AH407" s="418"/>
      <c r="AI407" s="418"/>
      <c r="AJ407" s="418"/>
      <c r="AK407" s="418"/>
      <c r="AL407" s="619"/>
      <c r="AM407" s="8"/>
    </row>
    <row r="408" spans="1:39" ht="14.25" customHeight="1">
      <c r="A408" s="619"/>
      <c r="B408" s="253"/>
      <c r="C408" s="258"/>
      <c r="D408" s="259" t="s">
        <v>139</v>
      </c>
      <c r="E408" s="370">
        <f t="shared" ref="E408:H408" si="238">ROUND(E214*0.99,4)</f>
        <v>43.7836</v>
      </c>
      <c r="F408" s="370">
        <f t="shared" si="238"/>
        <v>50.048099999999998</v>
      </c>
      <c r="G408" s="370">
        <f t="shared" si="238"/>
        <v>51.935499999999998</v>
      </c>
      <c r="H408" s="370">
        <f t="shared" si="238"/>
        <v>53.197200000000002</v>
      </c>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c r="AF408" s="418"/>
      <c r="AG408" s="418"/>
      <c r="AH408" s="418"/>
      <c r="AI408" s="418"/>
      <c r="AJ408" s="418"/>
      <c r="AK408" s="418"/>
      <c r="AL408" s="619"/>
      <c r="AM408" s="8"/>
    </row>
    <row r="409" spans="1:39" ht="14.25" customHeight="1">
      <c r="A409" s="619"/>
      <c r="B409" s="253"/>
      <c r="C409" s="258"/>
      <c r="D409" s="259" t="s">
        <v>140</v>
      </c>
      <c r="E409" s="370">
        <f t="shared" ref="E409:H409" si="239">ROUND(E215*0.99,4)</f>
        <v>2.3479000000000001</v>
      </c>
      <c r="F409" s="370">
        <f t="shared" si="239"/>
        <v>5.7556000000000003</v>
      </c>
      <c r="G409" s="370">
        <f t="shared" si="239"/>
        <v>5.8985000000000003</v>
      </c>
      <c r="H409" s="370">
        <f t="shared" si="239"/>
        <v>6.8193000000000001</v>
      </c>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c r="AF409" s="418"/>
      <c r="AG409" s="418"/>
      <c r="AH409" s="418"/>
      <c r="AI409" s="418"/>
      <c r="AJ409" s="418"/>
      <c r="AK409" s="418"/>
      <c r="AL409" s="619"/>
      <c r="AM409" s="8"/>
    </row>
    <row r="410" spans="1:39" ht="14.25" customHeight="1">
      <c r="A410" s="619"/>
      <c r="B410" s="253"/>
      <c r="C410" s="258" t="s">
        <v>142</v>
      </c>
      <c r="D410" s="262" t="s">
        <v>306</v>
      </c>
      <c r="E410" s="370">
        <f t="shared" ref="E410:H410" si="240">ROUND(E216*0.99,4)</f>
        <v>0.12379999999999999</v>
      </c>
      <c r="F410" s="370">
        <f t="shared" si="240"/>
        <v>0.11799999999999999</v>
      </c>
      <c r="G410" s="370">
        <f t="shared" si="240"/>
        <v>0.12039999999999999</v>
      </c>
      <c r="H410" s="370">
        <f t="shared" si="240"/>
        <v>0.1191</v>
      </c>
      <c r="I410" s="418">
        <f t="shared" ref="I410:AK410" si="241">ROUND(I$391*$I303*0.98,4)</f>
        <v>0.12230000000000001</v>
      </c>
      <c r="J410" s="418">
        <f t="shared" si="241"/>
        <v>0.12609999999999999</v>
      </c>
      <c r="K410" s="418">
        <f t="shared" si="241"/>
        <v>0.12690000000000001</v>
      </c>
      <c r="L410" s="418">
        <f t="shared" si="241"/>
        <v>0.1303</v>
      </c>
      <c r="M410" s="418">
        <f t="shared" si="241"/>
        <v>0.13370000000000001</v>
      </c>
      <c r="N410" s="418">
        <f t="shared" si="241"/>
        <v>0.13780000000000001</v>
      </c>
      <c r="O410" s="418">
        <f t="shared" si="241"/>
        <v>0.13769999999999999</v>
      </c>
      <c r="P410" s="418">
        <f t="shared" si="241"/>
        <v>0.1406</v>
      </c>
      <c r="Q410" s="418">
        <f t="shared" si="241"/>
        <v>0.1444</v>
      </c>
      <c r="R410" s="418">
        <f t="shared" si="241"/>
        <v>0.14879999999999999</v>
      </c>
      <c r="S410" s="418">
        <f t="shared" si="241"/>
        <v>0.15290000000000001</v>
      </c>
      <c r="T410" s="418">
        <f t="shared" si="241"/>
        <v>0.15709999999999999</v>
      </c>
      <c r="U410" s="418">
        <f t="shared" si="241"/>
        <v>0.16109999999999999</v>
      </c>
      <c r="V410" s="418">
        <f t="shared" si="241"/>
        <v>0.1648</v>
      </c>
      <c r="W410" s="418">
        <f t="shared" si="241"/>
        <v>0.16919999999999999</v>
      </c>
      <c r="X410" s="418">
        <f t="shared" si="241"/>
        <v>0.17280000000000001</v>
      </c>
      <c r="Y410" s="418">
        <f t="shared" si="241"/>
        <v>0.17699999999999999</v>
      </c>
      <c r="Z410" s="418">
        <f t="shared" si="241"/>
        <v>0.1812</v>
      </c>
      <c r="AA410" s="418">
        <f t="shared" si="241"/>
        <v>0.18540000000000001</v>
      </c>
      <c r="AB410" s="418">
        <f t="shared" si="241"/>
        <v>0.1893</v>
      </c>
      <c r="AC410" s="418">
        <f t="shared" si="241"/>
        <v>0.19350000000000001</v>
      </c>
      <c r="AD410" s="418">
        <f t="shared" si="241"/>
        <v>0.1966</v>
      </c>
      <c r="AE410" s="418">
        <f t="shared" si="241"/>
        <v>0.20069999999999999</v>
      </c>
      <c r="AF410" s="418">
        <f t="shared" si="241"/>
        <v>0.2041</v>
      </c>
      <c r="AG410" s="418">
        <f t="shared" si="241"/>
        <v>0.20860000000000001</v>
      </c>
      <c r="AH410" s="418">
        <f t="shared" si="241"/>
        <v>0.21199999999999999</v>
      </c>
      <c r="AI410" s="418">
        <f t="shared" si="241"/>
        <v>0.21560000000000001</v>
      </c>
      <c r="AJ410" s="418">
        <f t="shared" si="241"/>
        <v>0.21909999999999999</v>
      </c>
      <c r="AK410" s="418">
        <f t="shared" si="241"/>
        <v>0.2228</v>
      </c>
      <c r="AL410" s="619"/>
      <c r="AM410" s="8"/>
    </row>
    <row r="411" spans="1:39" ht="14.25" customHeight="1">
      <c r="A411" s="619"/>
      <c r="B411" s="253"/>
      <c r="C411" s="258"/>
      <c r="D411" s="262" t="s">
        <v>307</v>
      </c>
      <c r="E411" s="370">
        <f t="shared" ref="E411:H411" si="242">ROUND(E217*0.99,4)</f>
        <v>14.880699999999999</v>
      </c>
      <c r="F411" s="370">
        <f t="shared" si="242"/>
        <v>10.603999999999999</v>
      </c>
      <c r="G411" s="370">
        <f t="shared" si="242"/>
        <v>8.5897000000000006</v>
      </c>
      <c r="H411" s="370">
        <f t="shared" si="242"/>
        <v>7.5137</v>
      </c>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c r="AF411" s="418"/>
      <c r="AG411" s="418"/>
      <c r="AH411" s="418"/>
      <c r="AI411" s="418"/>
      <c r="AJ411" s="418"/>
      <c r="AK411" s="418"/>
      <c r="AL411" s="619"/>
      <c r="AM411" s="8"/>
    </row>
    <row r="412" spans="1:39" ht="14.25" customHeight="1">
      <c r="A412" s="619"/>
      <c r="B412" s="253"/>
      <c r="C412" s="258"/>
      <c r="D412" s="266" t="s">
        <v>145</v>
      </c>
      <c r="E412" s="370">
        <f t="shared" ref="E412:H412" si="243">ROUND(E218*0.99,4)</f>
        <v>5.1630000000000003</v>
      </c>
      <c r="F412" s="370">
        <f t="shared" si="243"/>
        <v>3.0425</v>
      </c>
      <c r="G412" s="370">
        <f t="shared" si="243"/>
        <v>2.7892000000000001</v>
      </c>
      <c r="H412" s="370">
        <f t="shared" si="243"/>
        <v>2.3933</v>
      </c>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c r="AF412" s="418"/>
      <c r="AG412" s="418"/>
      <c r="AH412" s="418"/>
      <c r="AI412" s="418"/>
      <c r="AJ412" s="418"/>
      <c r="AK412" s="418"/>
      <c r="AL412" s="619"/>
      <c r="AM412" s="8"/>
    </row>
    <row r="413" spans="1:39" ht="14.25" customHeight="1">
      <c r="A413" s="3"/>
      <c r="B413" s="328"/>
      <c r="C413" s="258" t="s">
        <v>146</v>
      </c>
      <c r="D413" s="281" t="s">
        <v>155</v>
      </c>
      <c r="E413" s="370">
        <f t="shared" ref="E413:H413" si="244">ROUND(E219*0.99,4)</f>
        <v>0.78739999999999999</v>
      </c>
      <c r="F413" s="370">
        <f t="shared" si="244"/>
        <v>8.4199999999999997E-2</v>
      </c>
      <c r="G413" s="370">
        <f t="shared" si="244"/>
        <v>0.28570000000000001</v>
      </c>
      <c r="H413" s="370">
        <f t="shared" si="244"/>
        <v>0.1363</v>
      </c>
      <c r="I413" s="418">
        <f t="shared" ref="I413:AK413" si="245">ROUND(I$391*$I306*0.98,4)</f>
        <v>0.3357</v>
      </c>
      <c r="J413" s="418">
        <f t="shared" si="245"/>
        <v>0.34589999999999999</v>
      </c>
      <c r="K413" s="418">
        <f t="shared" si="245"/>
        <v>0.34839999999999999</v>
      </c>
      <c r="L413" s="418">
        <f t="shared" si="245"/>
        <v>0.35770000000000002</v>
      </c>
      <c r="M413" s="418">
        <f t="shared" si="245"/>
        <v>0.3669</v>
      </c>
      <c r="N413" s="418">
        <f t="shared" si="245"/>
        <v>0.37809999999999999</v>
      </c>
      <c r="O413" s="418">
        <f t="shared" si="245"/>
        <v>0.37790000000000001</v>
      </c>
      <c r="P413" s="418">
        <f t="shared" si="245"/>
        <v>0.38600000000000001</v>
      </c>
      <c r="Q413" s="418">
        <f t="shared" si="245"/>
        <v>0.39629999999999999</v>
      </c>
      <c r="R413" s="418">
        <f t="shared" si="245"/>
        <v>0.40839999999999999</v>
      </c>
      <c r="S413" s="418">
        <f t="shared" si="245"/>
        <v>0.41949999999999998</v>
      </c>
      <c r="T413" s="418">
        <f t="shared" si="245"/>
        <v>0.43109999999999998</v>
      </c>
      <c r="U413" s="418">
        <f t="shared" si="245"/>
        <v>0.44209999999999999</v>
      </c>
      <c r="V413" s="418">
        <f t="shared" si="245"/>
        <v>0.45219999999999999</v>
      </c>
      <c r="W413" s="418">
        <f t="shared" si="245"/>
        <v>0.46429999999999999</v>
      </c>
      <c r="X413" s="418">
        <f t="shared" si="245"/>
        <v>0.4743</v>
      </c>
      <c r="Y413" s="418">
        <f t="shared" si="245"/>
        <v>0.48580000000000001</v>
      </c>
      <c r="Z413" s="418">
        <f t="shared" si="245"/>
        <v>0.49719999999999998</v>
      </c>
      <c r="AA413" s="418">
        <f t="shared" si="245"/>
        <v>0.50870000000000004</v>
      </c>
      <c r="AB413" s="418">
        <f t="shared" si="245"/>
        <v>0.51939999999999997</v>
      </c>
      <c r="AC413" s="418">
        <f t="shared" si="245"/>
        <v>0.53090000000000004</v>
      </c>
      <c r="AD413" s="418">
        <f t="shared" si="245"/>
        <v>0.53939999999999999</v>
      </c>
      <c r="AE413" s="418">
        <f t="shared" si="245"/>
        <v>0.55089999999999995</v>
      </c>
      <c r="AF413" s="418">
        <f t="shared" si="245"/>
        <v>0.56020000000000003</v>
      </c>
      <c r="AG413" s="418">
        <f t="shared" si="245"/>
        <v>0.57240000000000002</v>
      </c>
      <c r="AH413" s="418">
        <f t="shared" si="245"/>
        <v>0.58179999999999998</v>
      </c>
      <c r="AI413" s="418">
        <f t="shared" si="245"/>
        <v>0.59160000000000001</v>
      </c>
      <c r="AJ413" s="418">
        <f t="shared" si="245"/>
        <v>0.60129999999999995</v>
      </c>
      <c r="AK413" s="418">
        <f t="shared" si="245"/>
        <v>0.61129999999999995</v>
      </c>
      <c r="AL413" s="3"/>
      <c r="AM413" s="8"/>
    </row>
    <row r="414" spans="1:39" ht="14.25" customHeight="1">
      <c r="A414" s="619"/>
      <c r="B414" s="253"/>
      <c r="C414" s="258" t="s">
        <v>148</v>
      </c>
      <c r="D414" s="281" t="s">
        <v>160</v>
      </c>
      <c r="E414" s="370">
        <f t="shared" ref="E414:H414" si="246">ROUND(E220*0.99,4)</f>
        <v>3.5322</v>
      </c>
      <c r="F414" s="370">
        <f t="shared" si="246"/>
        <v>2.3904999999999998</v>
      </c>
      <c r="G414" s="370">
        <f t="shared" si="246"/>
        <v>1.9511000000000001</v>
      </c>
      <c r="H414" s="370">
        <f t="shared" si="246"/>
        <v>1.5739000000000001</v>
      </c>
      <c r="I414" s="418">
        <f t="shared" ref="I414:AK414" si="247">ROUND(I$391*$I307*0.98,4)</f>
        <v>2.4154</v>
      </c>
      <c r="J414" s="418">
        <f t="shared" si="247"/>
        <v>2.4893999999999998</v>
      </c>
      <c r="K414" s="418">
        <f t="shared" si="247"/>
        <v>2.5070000000000001</v>
      </c>
      <c r="L414" s="418">
        <f t="shared" si="247"/>
        <v>2.5741000000000001</v>
      </c>
      <c r="M414" s="418">
        <f t="shared" si="247"/>
        <v>2.6404000000000001</v>
      </c>
      <c r="N414" s="418">
        <f t="shared" si="247"/>
        <v>2.7208999999999999</v>
      </c>
      <c r="O414" s="418">
        <f t="shared" si="247"/>
        <v>2.7195999999999998</v>
      </c>
      <c r="P414" s="418">
        <f t="shared" si="247"/>
        <v>2.7774999999999999</v>
      </c>
      <c r="Q414" s="418">
        <f t="shared" si="247"/>
        <v>2.8519000000000001</v>
      </c>
      <c r="R414" s="418">
        <f t="shared" si="247"/>
        <v>2.9386999999999999</v>
      </c>
      <c r="S414" s="418">
        <f t="shared" si="247"/>
        <v>3.0185</v>
      </c>
      <c r="T414" s="418">
        <f t="shared" si="247"/>
        <v>3.1021999999999998</v>
      </c>
      <c r="U414" s="418">
        <f t="shared" si="247"/>
        <v>3.1818</v>
      </c>
      <c r="V414" s="418">
        <f t="shared" si="247"/>
        <v>3.2538999999999998</v>
      </c>
      <c r="W414" s="418">
        <f t="shared" si="247"/>
        <v>3.3410000000000002</v>
      </c>
      <c r="X414" s="418">
        <f t="shared" si="247"/>
        <v>3.4129999999999998</v>
      </c>
      <c r="Y414" s="418">
        <f t="shared" si="247"/>
        <v>3.4956</v>
      </c>
      <c r="Z414" s="418">
        <f t="shared" si="247"/>
        <v>3.5781999999999998</v>
      </c>
      <c r="AA414" s="418">
        <f t="shared" si="247"/>
        <v>3.6604000000000001</v>
      </c>
      <c r="AB414" s="418">
        <f t="shared" si="247"/>
        <v>3.738</v>
      </c>
      <c r="AC414" s="418">
        <f t="shared" si="247"/>
        <v>3.8203999999999998</v>
      </c>
      <c r="AD414" s="418">
        <f t="shared" si="247"/>
        <v>3.8818000000000001</v>
      </c>
      <c r="AE414" s="418">
        <f t="shared" si="247"/>
        <v>3.9643000000000002</v>
      </c>
      <c r="AF414" s="418">
        <f t="shared" si="247"/>
        <v>4.0312999999999999</v>
      </c>
      <c r="AG414" s="418">
        <f t="shared" si="247"/>
        <v>4.1188000000000002</v>
      </c>
      <c r="AH414" s="418">
        <f t="shared" si="247"/>
        <v>4.1871</v>
      </c>
      <c r="AI414" s="418">
        <f t="shared" si="247"/>
        <v>4.2576999999999998</v>
      </c>
      <c r="AJ414" s="418">
        <f t="shared" si="247"/>
        <v>4.327</v>
      </c>
      <c r="AK414" s="418">
        <f t="shared" si="247"/>
        <v>4.3993000000000002</v>
      </c>
      <c r="AL414" s="619"/>
      <c r="AM414" s="8"/>
    </row>
    <row r="415" spans="1:39" ht="13.5" customHeight="1">
      <c r="A415" s="619"/>
      <c r="B415" s="253"/>
      <c r="C415" s="258"/>
      <c r="D415" s="259" t="s">
        <v>308</v>
      </c>
      <c r="E415" s="370">
        <f t="shared" ref="E415:H415" si="248">ROUND(E221*0.99,4)</f>
        <v>1.6000000000000001E-3</v>
      </c>
      <c r="F415" s="370">
        <f t="shared" si="248"/>
        <v>0</v>
      </c>
      <c r="G415" s="370">
        <f t="shared" si="248"/>
        <v>0</v>
      </c>
      <c r="H415" s="370">
        <f t="shared" si="248"/>
        <v>0</v>
      </c>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c r="AF415" s="418"/>
      <c r="AG415" s="418"/>
      <c r="AH415" s="418"/>
      <c r="AI415" s="418"/>
      <c r="AJ415" s="418"/>
      <c r="AK415" s="418"/>
      <c r="AL415" s="619"/>
      <c r="AM415" s="8"/>
    </row>
    <row r="416" spans="1:39" ht="14.25" customHeight="1">
      <c r="A416" s="619"/>
      <c r="B416" s="253"/>
      <c r="C416" s="258" t="s">
        <v>151</v>
      </c>
      <c r="D416" s="259" t="s">
        <v>309</v>
      </c>
      <c r="E416" s="370">
        <f t="shared" ref="E416:H416" si="249">ROUND(E222*0.99,4)</f>
        <v>0.84189999999999998</v>
      </c>
      <c r="F416" s="370">
        <f t="shared" si="249"/>
        <v>0.56789999999999996</v>
      </c>
      <c r="G416" s="370">
        <f t="shared" si="249"/>
        <v>0.55249999999999999</v>
      </c>
      <c r="H416" s="370">
        <f t="shared" si="249"/>
        <v>0.68310000000000004</v>
      </c>
      <c r="I416" s="418">
        <f t="shared" ref="I416:AK416" si="250">ROUND(I$391*$I309*0.98,4)</f>
        <v>0.67410000000000003</v>
      </c>
      <c r="J416" s="418">
        <f t="shared" si="250"/>
        <v>0.69469999999999998</v>
      </c>
      <c r="K416" s="418">
        <f t="shared" si="250"/>
        <v>0.6996</v>
      </c>
      <c r="L416" s="418">
        <f t="shared" si="250"/>
        <v>0.71840000000000004</v>
      </c>
      <c r="M416" s="418">
        <f t="shared" si="250"/>
        <v>0.7369</v>
      </c>
      <c r="N416" s="418">
        <f t="shared" si="250"/>
        <v>0.75929999999999997</v>
      </c>
      <c r="O416" s="418">
        <f t="shared" si="250"/>
        <v>0.75900000000000001</v>
      </c>
      <c r="P416" s="418">
        <f t="shared" si="250"/>
        <v>0.77510000000000001</v>
      </c>
      <c r="Q416" s="418">
        <f t="shared" si="250"/>
        <v>0.79590000000000005</v>
      </c>
      <c r="R416" s="418">
        <f t="shared" si="250"/>
        <v>0.82010000000000005</v>
      </c>
      <c r="S416" s="418">
        <f t="shared" si="250"/>
        <v>0.84240000000000004</v>
      </c>
      <c r="T416" s="418">
        <f t="shared" si="250"/>
        <v>0.86570000000000003</v>
      </c>
      <c r="U416" s="418">
        <f t="shared" si="250"/>
        <v>0.88800000000000001</v>
      </c>
      <c r="V416" s="418">
        <f t="shared" si="250"/>
        <v>0.90810000000000002</v>
      </c>
      <c r="W416" s="418">
        <f t="shared" si="250"/>
        <v>0.93240000000000001</v>
      </c>
      <c r="X416" s="418">
        <f t="shared" si="250"/>
        <v>0.95250000000000001</v>
      </c>
      <c r="Y416" s="418">
        <f t="shared" si="250"/>
        <v>0.97550000000000003</v>
      </c>
      <c r="Z416" s="418">
        <f t="shared" si="250"/>
        <v>0.99860000000000004</v>
      </c>
      <c r="AA416" s="418">
        <f t="shared" si="250"/>
        <v>1.0215000000000001</v>
      </c>
      <c r="AB416" s="418">
        <f t="shared" si="250"/>
        <v>1.0431999999999999</v>
      </c>
      <c r="AC416" s="418">
        <f t="shared" si="250"/>
        <v>1.0662</v>
      </c>
      <c r="AD416" s="418">
        <f t="shared" si="250"/>
        <v>1.0832999999999999</v>
      </c>
      <c r="AE416" s="418">
        <f t="shared" si="250"/>
        <v>1.1063000000000001</v>
      </c>
      <c r="AF416" s="418">
        <f t="shared" si="250"/>
        <v>1.125</v>
      </c>
      <c r="AG416" s="418">
        <f t="shared" si="250"/>
        <v>1.1495</v>
      </c>
      <c r="AH416" s="418">
        <f t="shared" si="250"/>
        <v>1.1685000000000001</v>
      </c>
      <c r="AI416" s="418">
        <f t="shared" si="250"/>
        <v>1.1881999999999999</v>
      </c>
      <c r="AJ416" s="418">
        <f t="shared" si="250"/>
        <v>1.2076</v>
      </c>
      <c r="AK416" s="418">
        <f t="shared" si="250"/>
        <v>1.2277</v>
      </c>
      <c r="AL416" s="619"/>
      <c r="AM416" s="8"/>
    </row>
    <row r="417" spans="1:60" ht="14.25" customHeight="1">
      <c r="A417" s="619"/>
      <c r="B417" s="253"/>
      <c r="C417" s="258"/>
      <c r="D417" s="266" t="s">
        <v>153</v>
      </c>
      <c r="E417" s="370">
        <f t="shared" ref="E417:H417" si="251">ROUND(E223*0.99,4)</f>
        <v>3.6322999999999999</v>
      </c>
      <c r="F417" s="370">
        <f t="shared" si="251"/>
        <v>3.1652</v>
      </c>
      <c r="G417" s="370">
        <f t="shared" si="251"/>
        <v>2.5223</v>
      </c>
      <c r="H417" s="370">
        <f t="shared" si="251"/>
        <v>2.1175999999999999</v>
      </c>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c r="AF417" s="418"/>
      <c r="AG417" s="418"/>
      <c r="AH417" s="418"/>
      <c r="AI417" s="418"/>
      <c r="AJ417" s="418"/>
      <c r="AK417" s="418"/>
      <c r="AL417" s="619"/>
      <c r="AM417" s="8"/>
      <c r="AN417" s="8"/>
      <c r="AO417" s="8"/>
      <c r="AP417" s="8"/>
      <c r="AQ417" s="8"/>
      <c r="AR417" s="8"/>
      <c r="AS417" s="8"/>
      <c r="AT417" s="8"/>
      <c r="AU417" s="8"/>
      <c r="AV417" s="8"/>
      <c r="AW417" s="8"/>
      <c r="AX417" s="8"/>
      <c r="AY417" s="8"/>
      <c r="AZ417" s="8"/>
      <c r="BA417" s="8"/>
      <c r="BB417" s="8"/>
      <c r="BC417" s="8"/>
      <c r="BD417" s="8"/>
      <c r="BE417" s="8"/>
      <c r="BF417" s="8"/>
      <c r="BG417" s="8"/>
      <c r="BH417" s="8"/>
    </row>
    <row r="418" spans="1:60" ht="14.25" customHeight="1">
      <c r="A418" s="619"/>
      <c r="B418" s="253"/>
      <c r="C418" s="258" t="s">
        <v>154</v>
      </c>
      <c r="D418" s="281" t="s">
        <v>155</v>
      </c>
      <c r="E418" s="370">
        <f t="shared" ref="E418:H418" si="252">ROUND(E224*0.99,4)</f>
        <v>0.42680000000000001</v>
      </c>
      <c r="F418" s="370">
        <f t="shared" si="252"/>
        <v>0.24390000000000001</v>
      </c>
      <c r="G418" s="370">
        <f t="shared" si="252"/>
        <v>8.2199999999999995E-2</v>
      </c>
      <c r="H418" s="370">
        <f t="shared" si="252"/>
        <v>5.5300000000000002E-2</v>
      </c>
      <c r="I418" s="418">
        <f t="shared" ref="I418:AK418" si="253">ROUND(I$391*$I311*0.98,4)</f>
        <v>0.20810000000000001</v>
      </c>
      <c r="J418" s="418">
        <f t="shared" si="253"/>
        <v>0.2145</v>
      </c>
      <c r="K418" s="418">
        <f t="shared" si="253"/>
        <v>0.216</v>
      </c>
      <c r="L418" s="418">
        <f t="shared" si="253"/>
        <v>0.2218</v>
      </c>
      <c r="M418" s="418">
        <f t="shared" si="253"/>
        <v>0.22750000000000001</v>
      </c>
      <c r="N418" s="418">
        <f t="shared" si="253"/>
        <v>0.2344</v>
      </c>
      <c r="O418" s="418">
        <f t="shared" si="253"/>
        <v>0.23430000000000001</v>
      </c>
      <c r="P418" s="418">
        <f t="shared" si="253"/>
        <v>0.23930000000000001</v>
      </c>
      <c r="Q418" s="418">
        <f t="shared" si="253"/>
        <v>0.2457</v>
      </c>
      <c r="R418" s="418">
        <f t="shared" si="253"/>
        <v>0.25319999999999998</v>
      </c>
      <c r="S418" s="418">
        <f t="shared" si="253"/>
        <v>0.2601</v>
      </c>
      <c r="T418" s="418">
        <f t="shared" si="253"/>
        <v>0.26729999999999998</v>
      </c>
      <c r="U418" s="418">
        <f t="shared" si="253"/>
        <v>0.27410000000000001</v>
      </c>
      <c r="V418" s="418">
        <f t="shared" si="253"/>
        <v>0.28029999999999999</v>
      </c>
      <c r="W418" s="418">
        <f t="shared" si="253"/>
        <v>0.2878</v>
      </c>
      <c r="X418" s="418">
        <f t="shared" si="253"/>
        <v>0.29399999999999998</v>
      </c>
      <c r="Y418" s="418">
        <f t="shared" si="253"/>
        <v>0.30120000000000002</v>
      </c>
      <c r="Z418" s="418">
        <f t="shared" si="253"/>
        <v>0.30830000000000002</v>
      </c>
      <c r="AA418" s="418">
        <f t="shared" si="253"/>
        <v>0.31530000000000002</v>
      </c>
      <c r="AB418" s="418">
        <f t="shared" si="253"/>
        <v>0.32200000000000001</v>
      </c>
      <c r="AC418" s="418">
        <f t="shared" si="253"/>
        <v>0.3291</v>
      </c>
      <c r="AD418" s="418">
        <f t="shared" si="253"/>
        <v>0.33439999999999998</v>
      </c>
      <c r="AE418" s="418">
        <f t="shared" si="253"/>
        <v>0.34150000000000003</v>
      </c>
      <c r="AF418" s="418">
        <f t="shared" si="253"/>
        <v>0.3473</v>
      </c>
      <c r="AG418" s="418">
        <f t="shared" si="253"/>
        <v>0.3548</v>
      </c>
      <c r="AH418" s="418">
        <f t="shared" si="253"/>
        <v>0.36070000000000002</v>
      </c>
      <c r="AI418" s="418">
        <f t="shared" si="253"/>
        <v>0.36680000000000001</v>
      </c>
      <c r="AJ418" s="418">
        <f t="shared" si="253"/>
        <v>0.37280000000000002</v>
      </c>
      <c r="AK418" s="418">
        <f t="shared" si="253"/>
        <v>0.379</v>
      </c>
      <c r="AL418" s="619"/>
      <c r="AM418" s="8"/>
      <c r="AN418" s="8"/>
      <c r="AO418" s="8"/>
      <c r="AP418" s="8"/>
      <c r="AQ418" s="8"/>
      <c r="AR418" s="8"/>
      <c r="AS418" s="8"/>
      <c r="AT418" s="8"/>
      <c r="AU418" s="8"/>
      <c r="AV418" s="8"/>
      <c r="AW418" s="8"/>
      <c r="AX418" s="8"/>
      <c r="AY418" s="8"/>
      <c r="AZ418" s="8"/>
      <c r="BA418" s="8"/>
      <c r="BB418" s="8"/>
      <c r="BC418" s="8"/>
      <c r="BD418" s="8"/>
      <c r="BE418" s="8"/>
      <c r="BF418" s="8"/>
      <c r="BG418" s="8"/>
      <c r="BH418" s="8"/>
    </row>
    <row r="419" spans="1:60" ht="14.25" customHeight="1">
      <c r="A419" s="619"/>
      <c r="B419" s="253"/>
      <c r="C419" s="258" t="s">
        <v>156</v>
      </c>
      <c r="D419" s="281" t="s">
        <v>157</v>
      </c>
      <c r="E419" s="370">
        <f t="shared" ref="E419:H419" si="254">ROUND(E225*0.99,4)</f>
        <v>3.2054999999999998</v>
      </c>
      <c r="F419" s="370">
        <f t="shared" si="254"/>
        <v>2.9213</v>
      </c>
      <c r="G419" s="370">
        <f t="shared" si="254"/>
        <v>2.4401999999999999</v>
      </c>
      <c r="H419" s="370">
        <f t="shared" si="254"/>
        <v>2.0623</v>
      </c>
      <c r="I419" s="418">
        <f t="shared" ref="I419:AK419" si="255">ROUND(I$391*$I312*0.98,4)</f>
        <v>2.7067000000000001</v>
      </c>
      <c r="J419" s="418">
        <f t="shared" si="255"/>
        <v>2.7896999999999998</v>
      </c>
      <c r="K419" s="418">
        <f t="shared" si="255"/>
        <v>2.8092999999999999</v>
      </c>
      <c r="L419" s="418">
        <f t="shared" si="255"/>
        <v>2.8845999999999998</v>
      </c>
      <c r="M419" s="418">
        <f t="shared" si="255"/>
        <v>2.9588000000000001</v>
      </c>
      <c r="N419" s="418">
        <f t="shared" si="255"/>
        <v>3.0491000000000001</v>
      </c>
      <c r="O419" s="418">
        <f t="shared" si="255"/>
        <v>3.0476000000000001</v>
      </c>
      <c r="P419" s="418">
        <f t="shared" si="255"/>
        <v>3.1124999999999998</v>
      </c>
      <c r="Q419" s="418">
        <f t="shared" si="255"/>
        <v>3.1959</v>
      </c>
      <c r="R419" s="418">
        <f t="shared" si="255"/>
        <v>3.2930999999999999</v>
      </c>
      <c r="S419" s="418">
        <f t="shared" si="255"/>
        <v>3.3826000000000001</v>
      </c>
      <c r="T419" s="418">
        <f t="shared" si="255"/>
        <v>3.4763999999999999</v>
      </c>
      <c r="U419" s="418">
        <f t="shared" si="255"/>
        <v>3.5655000000000001</v>
      </c>
      <c r="V419" s="418">
        <f t="shared" si="255"/>
        <v>3.6463000000000001</v>
      </c>
      <c r="W419" s="418">
        <f t="shared" si="255"/>
        <v>3.7440000000000002</v>
      </c>
      <c r="X419" s="418">
        <f t="shared" si="255"/>
        <v>3.8246000000000002</v>
      </c>
      <c r="Y419" s="418">
        <f t="shared" si="255"/>
        <v>3.9171999999999998</v>
      </c>
      <c r="Z419" s="418">
        <f t="shared" si="255"/>
        <v>4.0098000000000003</v>
      </c>
      <c r="AA419" s="418">
        <f t="shared" si="255"/>
        <v>4.1017999999999999</v>
      </c>
      <c r="AB419" s="418">
        <f t="shared" si="255"/>
        <v>4.1887999999999996</v>
      </c>
      <c r="AC419" s="418">
        <f t="shared" si="255"/>
        <v>4.2811000000000003</v>
      </c>
      <c r="AD419" s="418">
        <f t="shared" si="255"/>
        <v>4.3499999999999996</v>
      </c>
      <c r="AE419" s="418">
        <f t="shared" si="255"/>
        <v>4.4424000000000001</v>
      </c>
      <c r="AF419" s="418">
        <f t="shared" si="255"/>
        <v>4.5175000000000001</v>
      </c>
      <c r="AG419" s="418">
        <f t="shared" si="255"/>
        <v>4.6155999999999997</v>
      </c>
      <c r="AH419" s="418">
        <f t="shared" si="255"/>
        <v>4.6920999999999999</v>
      </c>
      <c r="AI419" s="418">
        <f t="shared" si="255"/>
        <v>4.7710999999999997</v>
      </c>
      <c r="AJ419" s="418">
        <f t="shared" si="255"/>
        <v>4.8489000000000004</v>
      </c>
      <c r="AK419" s="418">
        <f t="shared" si="255"/>
        <v>4.9298000000000002</v>
      </c>
      <c r="AL419" s="619"/>
      <c r="AM419" s="8"/>
      <c r="AN419" s="8"/>
      <c r="AO419" s="8"/>
      <c r="AP419" s="8"/>
      <c r="AQ419" s="8"/>
      <c r="AR419" s="8"/>
      <c r="AS419" s="8"/>
      <c r="AT419" s="8"/>
      <c r="AU419" s="8"/>
      <c r="AV419" s="8"/>
      <c r="AW419" s="8"/>
      <c r="AX419" s="8"/>
      <c r="AY419" s="8"/>
      <c r="AZ419" s="8"/>
      <c r="BA419" s="8"/>
      <c r="BB419" s="8"/>
      <c r="BC419" s="8"/>
      <c r="BD419" s="8"/>
      <c r="BE419" s="8"/>
      <c r="BF419" s="8"/>
      <c r="BG419" s="8"/>
      <c r="BH419" s="8"/>
    </row>
    <row r="420" spans="1:60" ht="14.25" customHeight="1">
      <c r="A420" s="619"/>
      <c r="B420" s="253"/>
      <c r="C420" s="258"/>
      <c r="D420" s="266" t="s">
        <v>158</v>
      </c>
      <c r="E420" s="370">
        <f t="shared" ref="E420:H420" si="256">ROUND(E226*0.99,4)</f>
        <v>6.0853999999999999</v>
      </c>
      <c r="F420" s="370">
        <f t="shared" si="256"/>
        <v>4.3963000000000001</v>
      </c>
      <c r="G420" s="370">
        <f t="shared" si="256"/>
        <v>3.2780999999999998</v>
      </c>
      <c r="H420" s="370">
        <f t="shared" si="256"/>
        <v>3.0028000000000001</v>
      </c>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c r="AF420" s="418"/>
      <c r="AG420" s="418"/>
      <c r="AH420" s="418"/>
      <c r="AI420" s="418"/>
      <c r="AJ420" s="418"/>
      <c r="AK420" s="418"/>
      <c r="AL420" s="619"/>
      <c r="AM420" s="8"/>
      <c r="AN420" s="8"/>
      <c r="AO420" s="8"/>
      <c r="AP420" s="8"/>
      <c r="AQ420" s="8"/>
      <c r="AR420" s="8"/>
      <c r="AS420" s="8"/>
      <c r="AT420" s="8"/>
      <c r="AU420" s="8"/>
      <c r="AV420" s="8"/>
      <c r="AW420" s="8"/>
      <c r="AX420" s="8"/>
      <c r="AY420" s="8"/>
      <c r="AZ420" s="8"/>
      <c r="BA420" s="8"/>
      <c r="BB420" s="8"/>
      <c r="BC420" s="8"/>
      <c r="BD420" s="8"/>
      <c r="BE420" s="8"/>
      <c r="BF420" s="8"/>
      <c r="BG420" s="8"/>
      <c r="BH420" s="8"/>
    </row>
    <row r="421" spans="1:60" ht="13.5" customHeight="1">
      <c r="A421" s="619"/>
      <c r="B421" s="253"/>
      <c r="C421" s="258" t="s">
        <v>159</v>
      </c>
      <c r="D421" s="281" t="s">
        <v>160</v>
      </c>
      <c r="E421" s="370">
        <f t="shared" ref="E421:H421" si="257">ROUND(E227*0.99,4)</f>
        <v>6.0853999999999999</v>
      </c>
      <c r="F421" s="370">
        <f t="shared" si="257"/>
        <v>4.3963000000000001</v>
      </c>
      <c r="G421" s="370">
        <f t="shared" si="257"/>
        <v>3.2780999999999998</v>
      </c>
      <c r="H421" s="370">
        <f t="shared" si="257"/>
        <v>3.0028000000000001</v>
      </c>
      <c r="I421" s="418">
        <f t="shared" ref="I421:AK421" si="258">ROUND(I$391*$I314*0.98,4)</f>
        <v>4.2816999999999998</v>
      </c>
      <c r="J421" s="418">
        <f t="shared" si="258"/>
        <v>4.4128999999999996</v>
      </c>
      <c r="K421" s="418">
        <f t="shared" si="258"/>
        <v>4.444</v>
      </c>
      <c r="L421" s="418">
        <f t="shared" si="258"/>
        <v>4.5629999999999997</v>
      </c>
      <c r="M421" s="418">
        <f t="shared" si="258"/>
        <v>4.6803999999999997</v>
      </c>
      <c r="N421" s="418">
        <f t="shared" si="258"/>
        <v>4.8232999999999997</v>
      </c>
      <c r="O421" s="418">
        <f t="shared" si="258"/>
        <v>4.8209</v>
      </c>
      <c r="P421" s="418">
        <f t="shared" si="258"/>
        <v>4.9234999999999998</v>
      </c>
      <c r="Q421" s="418">
        <f t="shared" si="258"/>
        <v>5.0555000000000003</v>
      </c>
      <c r="R421" s="418">
        <f t="shared" si="258"/>
        <v>5.2092000000000001</v>
      </c>
      <c r="S421" s="418">
        <f t="shared" si="258"/>
        <v>5.3507999999999996</v>
      </c>
      <c r="T421" s="418">
        <f t="shared" si="258"/>
        <v>5.4991000000000003</v>
      </c>
      <c r="U421" s="418">
        <f t="shared" si="258"/>
        <v>5.6402000000000001</v>
      </c>
      <c r="V421" s="418">
        <f t="shared" si="258"/>
        <v>5.7679999999999998</v>
      </c>
      <c r="W421" s="418">
        <f t="shared" si="258"/>
        <v>5.9223999999999997</v>
      </c>
      <c r="X421" s="418">
        <f t="shared" si="258"/>
        <v>6.0500999999999996</v>
      </c>
      <c r="Y421" s="418">
        <f t="shared" si="258"/>
        <v>6.1965000000000003</v>
      </c>
      <c r="Z421" s="418">
        <f t="shared" si="258"/>
        <v>6.3429000000000002</v>
      </c>
      <c r="AA421" s="418">
        <f t="shared" si="258"/>
        <v>6.4885999999999999</v>
      </c>
      <c r="AB421" s="418">
        <f t="shared" si="258"/>
        <v>6.6261000000000001</v>
      </c>
      <c r="AC421" s="418">
        <f t="shared" si="258"/>
        <v>6.7721999999999998</v>
      </c>
      <c r="AD421" s="418">
        <f t="shared" si="258"/>
        <v>6.8811</v>
      </c>
      <c r="AE421" s="418">
        <f t="shared" si="258"/>
        <v>7.0273000000000003</v>
      </c>
      <c r="AF421" s="418">
        <f t="shared" si="258"/>
        <v>7.1459999999999999</v>
      </c>
      <c r="AG421" s="418">
        <f t="shared" si="258"/>
        <v>7.3011999999999997</v>
      </c>
      <c r="AH421" s="418">
        <f t="shared" si="258"/>
        <v>7.4222999999999999</v>
      </c>
      <c r="AI421" s="418">
        <f t="shared" si="258"/>
        <v>7.5472999999999999</v>
      </c>
      <c r="AJ421" s="418">
        <f t="shared" si="258"/>
        <v>7.6703000000000001</v>
      </c>
      <c r="AK421" s="418">
        <f t="shared" si="258"/>
        <v>7.7984</v>
      </c>
      <c r="AL421" s="619"/>
      <c r="AM421" s="8"/>
      <c r="AN421" s="8"/>
      <c r="AO421" s="8"/>
      <c r="AP421" s="8"/>
      <c r="AQ421" s="8"/>
      <c r="AR421" s="8"/>
      <c r="AS421" s="8"/>
      <c r="AT421" s="8"/>
      <c r="AU421" s="8"/>
      <c r="AV421" s="8"/>
      <c r="AW421" s="8"/>
      <c r="AX421" s="8"/>
      <c r="AY421" s="8"/>
      <c r="AZ421" s="8"/>
      <c r="BA421" s="8"/>
      <c r="BB421" s="8"/>
      <c r="BC421" s="8"/>
      <c r="BD421" s="8"/>
      <c r="BE421" s="8"/>
      <c r="BF421" s="8"/>
      <c r="BG421" s="8"/>
      <c r="BH421" s="8"/>
    </row>
    <row r="422" spans="1:60" ht="13.5" customHeight="1">
      <c r="A422" s="619"/>
      <c r="B422" s="253"/>
      <c r="C422" s="258"/>
      <c r="D422" s="262" t="s">
        <v>310</v>
      </c>
      <c r="E422" s="370">
        <f t="shared" ref="E422:H422" si="259">ROUND(E228*0.99,4)</f>
        <v>0.16220000000000001</v>
      </c>
      <c r="F422" s="370">
        <f t="shared" si="259"/>
        <v>0.14660000000000001</v>
      </c>
      <c r="G422" s="370">
        <f t="shared" si="259"/>
        <v>0.15670000000000001</v>
      </c>
      <c r="H422" s="370">
        <f t="shared" si="259"/>
        <v>0.15010000000000001</v>
      </c>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c r="AF422" s="418"/>
      <c r="AG422" s="418"/>
      <c r="AH422" s="418"/>
      <c r="AI422" s="418"/>
      <c r="AJ422" s="418"/>
      <c r="AK422" s="418"/>
      <c r="AL422" s="619"/>
      <c r="AM422" s="8"/>
      <c r="AN422" s="8"/>
      <c r="AO422" s="8"/>
      <c r="AP422" s="8"/>
      <c r="AQ422" s="8"/>
      <c r="AR422" s="8"/>
      <c r="AS422" s="8"/>
      <c r="AT422" s="8"/>
      <c r="AU422" s="8"/>
      <c r="AV422" s="8"/>
      <c r="AW422" s="8"/>
      <c r="AX422" s="8"/>
      <c r="AY422" s="8"/>
      <c r="AZ422" s="8"/>
      <c r="BA422" s="8"/>
      <c r="BB422" s="8"/>
      <c r="BC422" s="8"/>
      <c r="BD422" s="8"/>
      <c r="BE422" s="8"/>
      <c r="BF422" s="8"/>
      <c r="BG422" s="8"/>
      <c r="BH422" s="8"/>
    </row>
    <row r="423" spans="1:60" ht="13.5" customHeight="1">
      <c r="A423" s="619"/>
      <c r="B423" s="253"/>
      <c r="C423" s="258"/>
      <c r="D423" s="266" t="s">
        <v>162</v>
      </c>
      <c r="E423" s="370">
        <f t="shared" ref="E423:H423" si="260">ROUND(E229*0.99,4)</f>
        <v>0</v>
      </c>
      <c r="F423" s="370">
        <f t="shared" si="260"/>
        <v>0</v>
      </c>
      <c r="G423" s="370">
        <f t="shared" si="260"/>
        <v>0</v>
      </c>
      <c r="H423" s="370">
        <f t="shared" si="260"/>
        <v>0</v>
      </c>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c r="AF423" s="418"/>
      <c r="AG423" s="418"/>
      <c r="AH423" s="418"/>
      <c r="AI423" s="418"/>
      <c r="AJ423" s="418"/>
      <c r="AK423" s="418"/>
      <c r="AL423" s="619"/>
      <c r="AM423" s="8"/>
      <c r="AN423" s="8"/>
      <c r="AO423" s="8"/>
      <c r="AP423" s="8"/>
      <c r="AQ423" s="8"/>
      <c r="AR423" s="8"/>
      <c r="AS423" s="8"/>
      <c r="AT423" s="8"/>
      <c r="AU423" s="8"/>
      <c r="AV423" s="8"/>
      <c r="AW423" s="8"/>
      <c r="AX423" s="8"/>
      <c r="AY423" s="8"/>
      <c r="AZ423" s="8"/>
      <c r="BA423" s="8"/>
      <c r="BB423" s="8"/>
      <c r="BC423" s="8"/>
      <c r="BD423" s="8"/>
      <c r="BE423" s="8"/>
      <c r="BF423" s="8"/>
      <c r="BG423" s="8"/>
      <c r="BH423" s="8"/>
    </row>
    <row r="424" spans="1:60" ht="14.25" customHeight="1">
      <c r="A424" s="619"/>
      <c r="B424" s="253"/>
      <c r="C424" s="258" t="s">
        <v>163</v>
      </c>
      <c r="D424" s="281" t="s">
        <v>161</v>
      </c>
      <c r="E424" s="370">
        <f t="shared" ref="E424:H424" si="261">ROUND(E230*0.99,4)</f>
        <v>0.16220000000000001</v>
      </c>
      <c r="F424" s="370">
        <f t="shared" si="261"/>
        <v>0.14660000000000001</v>
      </c>
      <c r="G424" s="370">
        <f t="shared" si="261"/>
        <v>0.15670000000000001</v>
      </c>
      <c r="H424" s="370">
        <f t="shared" si="261"/>
        <v>0.15010000000000001</v>
      </c>
      <c r="I424" s="418">
        <f t="shared" ref="I424:AK424" si="262">ROUND(I$391*$I317*0.98,4)</f>
        <v>0.1565</v>
      </c>
      <c r="J424" s="418">
        <f t="shared" si="262"/>
        <v>0.1613</v>
      </c>
      <c r="K424" s="418">
        <f t="shared" si="262"/>
        <v>0.16239999999999999</v>
      </c>
      <c r="L424" s="418">
        <f t="shared" si="262"/>
        <v>0.16669999999999999</v>
      </c>
      <c r="M424" s="418">
        <f t="shared" si="262"/>
        <v>0.17100000000000001</v>
      </c>
      <c r="N424" s="418">
        <f t="shared" si="262"/>
        <v>0.17630000000000001</v>
      </c>
      <c r="O424" s="418">
        <f t="shared" si="262"/>
        <v>0.1762</v>
      </c>
      <c r="P424" s="418">
        <f t="shared" si="262"/>
        <v>0.1799</v>
      </c>
      <c r="Q424" s="418">
        <f t="shared" si="262"/>
        <v>0.1847</v>
      </c>
      <c r="R424" s="418">
        <f t="shared" si="262"/>
        <v>0.19040000000000001</v>
      </c>
      <c r="S424" s="418">
        <f t="shared" si="262"/>
        <v>0.19550000000000001</v>
      </c>
      <c r="T424" s="418">
        <f t="shared" si="262"/>
        <v>0.2009</v>
      </c>
      <c r="U424" s="418">
        <f t="shared" si="262"/>
        <v>0.20610000000000001</v>
      </c>
      <c r="V424" s="418">
        <f t="shared" si="262"/>
        <v>0.21079999999999999</v>
      </c>
      <c r="W424" s="418">
        <f t="shared" si="262"/>
        <v>0.21640000000000001</v>
      </c>
      <c r="X424" s="418">
        <f t="shared" si="262"/>
        <v>0.22109999999999999</v>
      </c>
      <c r="Y424" s="418">
        <f t="shared" si="262"/>
        <v>0.22639999999999999</v>
      </c>
      <c r="Z424" s="418">
        <f t="shared" si="262"/>
        <v>0.23180000000000001</v>
      </c>
      <c r="AA424" s="418">
        <f t="shared" si="262"/>
        <v>0.23710000000000001</v>
      </c>
      <c r="AB424" s="418">
        <f t="shared" si="262"/>
        <v>0.24210000000000001</v>
      </c>
      <c r="AC424" s="418">
        <f t="shared" si="262"/>
        <v>0.2475</v>
      </c>
      <c r="AD424" s="418">
        <f t="shared" si="262"/>
        <v>0.25140000000000001</v>
      </c>
      <c r="AE424" s="418">
        <f t="shared" si="262"/>
        <v>0.25679999999999997</v>
      </c>
      <c r="AF424" s="418">
        <f t="shared" si="262"/>
        <v>0.2611</v>
      </c>
      <c r="AG424" s="418">
        <f t="shared" si="262"/>
        <v>0.26679999999999998</v>
      </c>
      <c r="AH424" s="418">
        <f t="shared" si="262"/>
        <v>0.2712</v>
      </c>
      <c r="AI424" s="418">
        <f t="shared" si="262"/>
        <v>0.27579999999999999</v>
      </c>
      <c r="AJ424" s="418">
        <f t="shared" si="262"/>
        <v>0.28029999999999999</v>
      </c>
      <c r="AK424" s="418">
        <f t="shared" si="262"/>
        <v>0.28499999999999998</v>
      </c>
      <c r="AL424" s="619"/>
      <c r="AM424" s="8"/>
      <c r="AN424" s="8"/>
      <c r="AO424" s="8"/>
      <c r="AP424" s="8"/>
      <c r="AQ424" s="8"/>
      <c r="AR424" s="8"/>
      <c r="AS424" s="8"/>
      <c r="AT424" s="8"/>
      <c r="AU424" s="8"/>
      <c r="AV424" s="8"/>
      <c r="AW424" s="8"/>
      <c r="AX424" s="8"/>
      <c r="AY424" s="8"/>
      <c r="AZ424" s="8"/>
      <c r="BA424" s="8"/>
      <c r="BB424" s="8"/>
      <c r="BC424" s="8"/>
      <c r="BD424" s="8"/>
      <c r="BE424" s="8"/>
      <c r="BF424" s="8"/>
      <c r="BG424" s="8"/>
      <c r="BH424" s="8"/>
    </row>
    <row r="425" spans="1:60" ht="14.25" customHeight="1">
      <c r="A425" s="619"/>
      <c r="B425" s="253"/>
      <c r="C425" s="258"/>
      <c r="D425" s="272" t="s">
        <v>311</v>
      </c>
      <c r="E425" s="370">
        <f t="shared" ref="E425:H425" si="263">ROUND(E231*0.99,4)</f>
        <v>0</v>
      </c>
      <c r="F425" s="370">
        <f t="shared" si="263"/>
        <v>0</v>
      </c>
      <c r="G425" s="370">
        <f t="shared" si="263"/>
        <v>0</v>
      </c>
      <c r="H425" s="370">
        <f t="shared" si="263"/>
        <v>0</v>
      </c>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c r="AF425" s="418"/>
      <c r="AG425" s="418"/>
      <c r="AH425" s="418"/>
      <c r="AI425" s="418"/>
      <c r="AJ425" s="418"/>
      <c r="AK425" s="418"/>
      <c r="AL425" s="619"/>
      <c r="AM425" s="8"/>
      <c r="AN425" s="8"/>
      <c r="AO425" s="8"/>
      <c r="AP425" s="8"/>
      <c r="AQ425" s="8"/>
      <c r="AR425" s="8"/>
      <c r="AS425" s="8"/>
      <c r="AT425" s="8"/>
      <c r="AU425" s="8"/>
      <c r="AV425" s="8"/>
      <c r="AW425" s="8"/>
      <c r="AX425" s="8"/>
      <c r="AY425" s="8"/>
      <c r="AZ425" s="8"/>
      <c r="BA425" s="8"/>
      <c r="BB425" s="8"/>
      <c r="BC425" s="8"/>
      <c r="BD425" s="8"/>
      <c r="BE425" s="8"/>
      <c r="BF425" s="8"/>
      <c r="BG425" s="8"/>
      <c r="BH425" s="8"/>
    </row>
    <row r="426" spans="1:60" ht="14.25" customHeight="1">
      <c r="A426" s="619"/>
      <c r="B426" s="253"/>
      <c r="C426" s="258" t="s">
        <v>165</v>
      </c>
      <c r="D426" s="334" t="s">
        <v>166</v>
      </c>
      <c r="E426" s="370">
        <f t="shared" ref="E426:H426" si="264">ROUND(E232*0.99,4)</f>
        <v>0.37169999999999997</v>
      </c>
      <c r="F426" s="370">
        <f t="shared" si="264"/>
        <v>0.53610000000000002</v>
      </c>
      <c r="G426" s="370">
        <f t="shared" si="264"/>
        <v>0.50819999999999999</v>
      </c>
      <c r="H426" s="370">
        <f t="shared" si="264"/>
        <v>0.53559999999999997</v>
      </c>
      <c r="I426" s="418">
        <f t="shared" ref="I426:AK426" si="265">ROUND(I$394*$I319*0.98,4)+H426</f>
        <v>0.53559999999999997</v>
      </c>
      <c r="J426" s="418">
        <f t="shared" si="265"/>
        <v>0.53559999999999997</v>
      </c>
      <c r="K426" s="418">
        <f t="shared" si="265"/>
        <v>0.53559999999999997</v>
      </c>
      <c r="L426" s="418">
        <f t="shared" si="265"/>
        <v>0.54359999999999997</v>
      </c>
      <c r="M426" s="418">
        <f t="shared" si="265"/>
        <v>0.55149999999999999</v>
      </c>
      <c r="N426" s="418">
        <f t="shared" si="265"/>
        <v>0.56120000000000003</v>
      </c>
      <c r="O426" s="418">
        <f t="shared" si="265"/>
        <v>0.56120000000000003</v>
      </c>
      <c r="P426" s="418">
        <f t="shared" si="265"/>
        <v>0.56810000000000005</v>
      </c>
      <c r="Q426" s="418">
        <f t="shared" si="265"/>
        <v>0.57700000000000007</v>
      </c>
      <c r="R426" s="418">
        <f t="shared" si="265"/>
        <v>0.58740000000000003</v>
      </c>
      <c r="S426" s="418">
        <f t="shared" si="265"/>
        <v>0.59700000000000009</v>
      </c>
      <c r="T426" s="418">
        <f t="shared" si="265"/>
        <v>0.6070000000000001</v>
      </c>
      <c r="U426" s="418">
        <f t="shared" si="265"/>
        <v>0.61650000000000005</v>
      </c>
      <c r="V426" s="418">
        <f t="shared" si="265"/>
        <v>0.6251000000000001</v>
      </c>
      <c r="W426" s="418">
        <f t="shared" si="265"/>
        <v>0.63550000000000006</v>
      </c>
      <c r="X426" s="418">
        <f t="shared" si="265"/>
        <v>0.64410000000000012</v>
      </c>
      <c r="Y426" s="418">
        <f t="shared" si="265"/>
        <v>0.65400000000000014</v>
      </c>
      <c r="Z426" s="418">
        <f t="shared" si="265"/>
        <v>0.66390000000000016</v>
      </c>
      <c r="AA426" s="418">
        <f t="shared" si="265"/>
        <v>0.67370000000000019</v>
      </c>
      <c r="AB426" s="418">
        <f t="shared" si="265"/>
        <v>0.68300000000000016</v>
      </c>
      <c r="AC426" s="418">
        <f t="shared" si="265"/>
        <v>0.69290000000000018</v>
      </c>
      <c r="AD426" s="418">
        <f t="shared" si="265"/>
        <v>0.70030000000000014</v>
      </c>
      <c r="AE426" s="418">
        <f t="shared" si="265"/>
        <v>0.71020000000000016</v>
      </c>
      <c r="AF426" s="418">
        <f t="shared" si="265"/>
        <v>0.71820000000000017</v>
      </c>
      <c r="AG426" s="418">
        <f t="shared" si="265"/>
        <v>0.72870000000000013</v>
      </c>
      <c r="AH426" s="418">
        <f t="shared" si="265"/>
        <v>0.73690000000000011</v>
      </c>
      <c r="AI426" s="418">
        <f t="shared" si="265"/>
        <v>0.74530000000000007</v>
      </c>
      <c r="AJ426" s="418">
        <f t="shared" si="265"/>
        <v>0.75360000000000005</v>
      </c>
      <c r="AK426" s="418">
        <f t="shared" si="265"/>
        <v>0.76230000000000009</v>
      </c>
      <c r="AL426" s="619"/>
      <c r="AM426" s="8"/>
      <c r="AN426" s="8"/>
      <c r="AO426" s="8"/>
      <c r="AP426" s="8"/>
      <c r="AQ426" s="8"/>
      <c r="AR426" s="8"/>
      <c r="AS426" s="8"/>
      <c r="AT426" s="8"/>
      <c r="AU426" s="8"/>
      <c r="AV426" s="8"/>
      <c r="AW426" s="8"/>
      <c r="AX426" s="8"/>
      <c r="AY426" s="8"/>
      <c r="AZ426" s="8"/>
      <c r="BA426" s="8"/>
      <c r="BB426" s="8"/>
      <c r="BC426" s="8"/>
      <c r="BD426" s="8"/>
      <c r="BE426" s="8"/>
      <c r="BF426" s="8"/>
      <c r="BG426" s="8"/>
      <c r="BH426" s="8"/>
    </row>
    <row r="427" spans="1:60" ht="14.25" customHeight="1">
      <c r="A427" s="419"/>
      <c r="B427" s="420"/>
      <c r="C427" s="419" t="s">
        <v>167</v>
      </c>
      <c r="D427" s="416" t="s">
        <v>168</v>
      </c>
      <c r="E427" s="370">
        <f t="shared" ref="E427:H427" si="266">ROUND(E233*0.99,4)</f>
        <v>3.1627999999999998</v>
      </c>
      <c r="F427" s="370">
        <f t="shared" si="266"/>
        <v>4.2034000000000002</v>
      </c>
      <c r="G427" s="370">
        <f t="shared" si="266"/>
        <v>3.13</v>
      </c>
      <c r="H427" s="370">
        <f t="shared" si="266"/>
        <v>3.7991999999999999</v>
      </c>
      <c r="I427" s="370">
        <f t="shared" ref="I427:AK427" si="267">ROUND(0.98*I233,4)</f>
        <v>6.1421000000000001</v>
      </c>
      <c r="J427" s="370">
        <f t="shared" si="267"/>
        <v>6.1421000000000001</v>
      </c>
      <c r="K427" s="370">
        <f t="shared" si="267"/>
        <v>7.2431000000000001</v>
      </c>
      <c r="L427" s="370">
        <f t="shared" si="267"/>
        <v>7.2431000000000001</v>
      </c>
      <c r="M427" s="370">
        <f t="shared" si="267"/>
        <v>7.2431000000000001</v>
      </c>
      <c r="N427" s="370">
        <f t="shared" si="267"/>
        <v>7.2431000000000001</v>
      </c>
      <c r="O427" s="370">
        <f t="shared" si="267"/>
        <v>7.2431000000000001</v>
      </c>
      <c r="P427" s="370">
        <f t="shared" si="267"/>
        <v>7.2431000000000001</v>
      </c>
      <c r="Q427" s="370">
        <f t="shared" si="267"/>
        <v>7.2431000000000001</v>
      </c>
      <c r="R427" s="370">
        <f t="shared" si="267"/>
        <v>7.2431000000000001</v>
      </c>
      <c r="S427" s="370">
        <f t="shared" si="267"/>
        <v>7.2431000000000001</v>
      </c>
      <c r="T427" s="370">
        <f t="shared" si="267"/>
        <v>7.2431000000000001</v>
      </c>
      <c r="U427" s="370">
        <f t="shared" si="267"/>
        <v>7.2431000000000001</v>
      </c>
      <c r="V427" s="370">
        <f t="shared" si="267"/>
        <v>7.2431000000000001</v>
      </c>
      <c r="W427" s="370">
        <f t="shared" si="267"/>
        <v>7.2431000000000001</v>
      </c>
      <c r="X427" s="370">
        <f t="shared" si="267"/>
        <v>7.2431000000000001</v>
      </c>
      <c r="Y427" s="370">
        <f t="shared" si="267"/>
        <v>7.2431000000000001</v>
      </c>
      <c r="Z427" s="370">
        <f t="shared" si="267"/>
        <v>7.2431000000000001</v>
      </c>
      <c r="AA427" s="370">
        <f t="shared" si="267"/>
        <v>7.2431000000000001</v>
      </c>
      <c r="AB427" s="370">
        <f t="shared" si="267"/>
        <v>7.2431000000000001</v>
      </c>
      <c r="AC427" s="370">
        <f t="shared" si="267"/>
        <v>7.2431000000000001</v>
      </c>
      <c r="AD427" s="370">
        <f t="shared" si="267"/>
        <v>7.2431000000000001</v>
      </c>
      <c r="AE427" s="370">
        <f t="shared" si="267"/>
        <v>7.2431000000000001</v>
      </c>
      <c r="AF427" s="370">
        <f t="shared" si="267"/>
        <v>7.2431000000000001</v>
      </c>
      <c r="AG427" s="370">
        <f t="shared" si="267"/>
        <v>7.2431000000000001</v>
      </c>
      <c r="AH427" s="370">
        <f t="shared" si="267"/>
        <v>7.2431000000000001</v>
      </c>
      <c r="AI427" s="370">
        <f t="shared" si="267"/>
        <v>7.2431000000000001</v>
      </c>
      <c r="AJ427" s="370">
        <f t="shared" si="267"/>
        <v>7.2431000000000001</v>
      </c>
      <c r="AK427" s="370">
        <f t="shared" si="267"/>
        <v>7.2431000000000001</v>
      </c>
      <c r="AL427" s="419"/>
      <c r="AM427" s="421"/>
      <c r="AN427" s="421"/>
      <c r="AO427" s="421"/>
      <c r="AP427" s="421"/>
      <c r="AQ427" s="421"/>
      <c r="AR427" s="421"/>
      <c r="AS427" s="421"/>
      <c r="AT427" s="421"/>
      <c r="AU427" s="421"/>
      <c r="AV427" s="421"/>
      <c r="AW427" s="421"/>
      <c r="AX427" s="421"/>
      <c r="AY427" s="421"/>
      <c r="AZ427" s="421"/>
      <c r="BA427" s="421"/>
      <c r="BB427" s="421"/>
      <c r="BC427" s="421"/>
      <c r="BD427" s="421"/>
      <c r="BE427" s="421"/>
      <c r="BF427" s="421"/>
      <c r="BG427" s="421"/>
      <c r="BH427" s="421"/>
    </row>
    <row r="428" spans="1:60" ht="14.25" customHeight="1">
      <c r="A428" s="419"/>
      <c r="B428" s="420"/>
      <c r="C428" s="419" t="s">
        <v>169</v>
      </c>
      <c r="D428" s="416" t="s">
        <v>170</v>
      </c>
      <c r="E428" s="370">
        <f t="shared" ref="E428:H428" si="268">ROUND(E234*0.99,4)</f>
        <v>0</v>
      </c>
      <c r="F428" s="370">
        <f t="shared" si="268"/>
        <v>0</v>
      </c>
      <c r="G428" s="370">
        <f t="shared" si="268"/>
        <v>0</v>
      </c>
      <c r="H428" s="370">
        <f t="shared" si="268"/>
        <v>0</v>
      </c>
      <c r="I428" s="370">
        <f t="shared" ref="I428:AK428" si="269">ROUND(0.98*I234,4)</f>
        <v>0</v>
      </c>
      <c r="J428" s="370">
        <f t="shared" si="269"/>
        <v>0</v>
      </c>
      <c r="K428" s="370">
        <f t="shared" si="269"/>
        <v>0</v>
      </c>
      <c r="L428" s="370">
        <f t="shared" si="269"/>
        <v>0</v>
      </c>
      <c r="M428" s="370">
        <f t="shared" si="269"/>
        <v>0</v>
      </c>
      <c r="N428" s="370">
        <f t="shared" si="269"/>
        <v>0</v>
      </c>
      <c r="O428" s="370">
        <f t="shared" si="269"/>
        <v>0</v>
      </c>
      <c r="P428" s="370">
        <f t="shared" si="269"/>
        <v>0</v>
      </c>
      <c r="Q428" s="370">
        <f t="shared" si="269"/>
        <v>0</v>
      </c>
      <c r="R428" s="370">
        <f t="shared" si="269"/>
        <v>0</v>
      </c>
      <c r="S428" s="370">
        <f t="shared" si="269"/>
        <v>0</v>
      </c>
      <c r="T428" s="370">
        <f t="shared" si="269"/>
        <v>0</v>
      </c>
      <c r="U428" s="370">
        <f t="shared" si="269"/>
        <v>0</v>
      </c>
      <c r="V428" s="370">
        <f t="shared" si="269"/>
        <v>0</v>
      </c>
      <c r="W428" s="370">
        <f t="shared" si="269"/>
        <v>0</v>
      </c>
      <c r="X428" s="370">
        <f t="shared" si="269"/>
        <v>0</v>
      </c>
      <c r="Y428" s="370">
        <f t="shared" si="269"/>
        <v>0</v>
      </c>
      <c r="Z428" s="370">
        <f t="shared" si="269"/>
        <v>0</v>
      </c>
      <c r="AA428" s="370">
        <f t="shared" si="269"/>
        <v>0</v>
      </c>
      <c r="AB428" s="370">
        <f t="shared" si="269"/>
        <v>0</v>
      </c>
      <c r="AC428" s="370">
        <f t="shared" si="269"/>
        <v>0</v>
      </c>
      <c r="AD428" s="370">
        <f t="shared" si="269"/>
        <v>0</v>
      </c>
      <c r="AE428" s="370">
        <f t="shared" si="269"/>
        <v>0</v>
      </c>
      <c r="AF428" s="370">
        <f t="shared" si="269"/>
        <v>0</v>
      </c>
      <c r="AG428" s="370">
        <f t="shared" si="269"/>
        <v>0</v>
      </c>
      <c r="AH428" s="370">
        <f t="shared" si="269"/>
        <v>0</v>
      </c>
      <c r="AI428" s="370">
        <f t="shared" si="269"/>
        <v>0</v>
      </c>
      <c r="AJ428" s="370">
        <f t="shared" si="269"/>
        <v>0</v>
      </c>
      <c r="AK428" s="370">
        <f t="shared" si="269"/>
        <v>0</v>
      </c>
      <c r="AL428" s="419"/>
      <c r="AM428" s="421"/>
      <c r="AN428" s="421"/>
      <c r="AO428" s="421"/>
      <c r="AP428" s="421"/>
      <c r="AQ428" s="421"/>
      <c r="AR428" s="421"/>
      <c r="AS428" s="421"/>
      <c r="AT428" s="421"/>
      <c r="AU428" s="421"/>
      <c r="AV428" s="421"/>
      <c r="AW428" s="421"/>
      <c r="AX428" s="421"/>
      <c r="AY428" s="421"/>
      <c r="AZ428" s="421"/>
      <c r="BA428" s="421"/>
      <c r="BB428" s="421"/>
      <c r="BC428" s="421"/>
      <c r="BD428" s="421"/>
      <c r="BE428" s="421"/>
      <c r="BF428" s="421"/>
      <c r="BG428" s="421"/>
      <c r="BH428" s="421"/>
    </row>
    <row r="429" spans="1:60" ht="14.25" customHeight="1">
      <c r="A429" s="619"/>
      <c r="B429" s="253"/>
      <c r="C429" s="258" t="s">
        <v>171</v>
      </c>
      <c r="D429" s="334" t="s">
        <v>172</v>
      </c>
      <c r="E429" s="370">
        <f t="shared" ref="E429:H429" si="270">ROUND(E235*0.99,4)</f>
        <v>0</v>
      </c>
      <c r="F429" s="370">
        <f t="shared" si="270"/>
        <v>0</v>
      </c>
      <c r="G429" s="370">
        <f t="shared" si="270"/>
        <v>0</v>
      </c>
      <c r="H429" s="370">
        <f t="shared" si="270"/>
        <v>0</v>
      </c>
      <c r="I429" s="418">
        <f t="shared" ref="I429:AK429" si="271">ROUND(I$394*$I322*0.98,4)+H429</f>
        <v>0</v>
      </c>
      <c r="J429" s="418">
        <f t="shared" si="271"/>
        <v>0</v>
      </c>
      <c r="K429" s="418">
        <f t="shared" si="271"/>
        <v>0</v>
      </c>
      <c r="L429" s="418">
        <f t="shared" si="271"/>
        <v>0</v>
      </c>
      <c r="M429" s="418">
        <f t="shared" si="271"/>
        <v>0</v>
      </c>
      <c r="N429" s="418">
        <f t="shared" si="271"/>
        <v>0</v>
      </c>
      <c r="O429" s="418">
        <f t="shared" si="271"/>
        <v>0</v>
      </c>
      <c r="P429" s="418">
        <f t="shared" si="271"/>
        <v>0</v>
      </c>
      <c r="Q429" s="418">
        <f t="shared" si="271"/>
        <v>0</v>
      </c>
      <c r="R429" s="418">
        <f t="shared" si="271"/>
        <v>0</v>
      </c>
      <c r="S429" s="418">
        <f t="shared" si="271"/>
        <v>0</v>
      </c>
      <c r="T429" s="418">
        <f t="shared" si="271"/>
        <v>0</v>
      </c>
      <c r="U429" s="418">
        <f t="shared" si="271"/>
        <v>0</v>
      </c>
      <c r="V429" s="418">
        <f t="shared" si="271"/>
        <v>0</v>
      </c>
      <c r="W429" s="418">
        <f t="shared" si="271"/>
        <v>0</v>
      </c>
      <c r="X429" s="418">
        <f t="shared" si="271"/>
        <v>0</v>
      </c>
      <c r="Y429" s="418">
        <f t="shared" si="271"/>
        <v>0</v>
      </c>
      <c r="Z429" s="418">
        <f t="shared" si="271"/>
        <v>0</v>
      </c>
      <c r="AA429" s="418">
        <f t="shared" si="271"/>
        <v>0</v>
      </c>
      <c r="AB429" s="418">
        <f t="shared" si="271"/>
        <v>0</v>
      </c>
      <c r="AC429" s="418">
        <f t="shared" si="271"/>
        <v>0</v>
      </c>
      <c r="AD429" s="418">
        <f t="shared" si="271"/>
        <v>0</v>
      </c>
      <c r="AE429" s="418">
        <f t="shared" si="271"/>
        <v>0</v>
      </c>
      <c r="AF429" s="418">
        <f t="shared" si="271"/>
        <v>0</v>
      </c>
      <c r="AG429" s="418">
        <f t="shared" si="271"/>
        <v>0</v>
      </c>
      <c r="AH429" s="418">
        <f t="shared" si="271"/>
        <v>0</v>
      </c>
      <c r="AI429" s="418">
        <f t="shared" si="271"/>
        <v>0</v>
      </c>
      <c r="AJ429" s="418">
        <f t="shared" si="271"/>
        <v>0</v>
      </c>
      <c r="AK429" s="418">
        <f t="shared" si="271"/>
        <v>0</v>
      </c>
      <c r="AL429" s="619"/>
      <c r="AM429" s="8"/>
      <c r="AN429" s="8"/>
      <c r="AO429" s="8"/>
      <c r="AP429" s="8"/>
      <c r="AQ429" s="8"/>
      <c r="AR429" s="8"/>
      <c r="AS429" s="8"/>
      <c r="AT429" s="8"/>
      <c r="AU429" s="8"/>
      <c r="AV429" s="8"/>
      <c r="AW429" s="8"/>
      <c r="AX429" s="8"/>
      <c r="AY429" s="8"/>
      <c r="AZ429" s="8"/>
      <c r="BA429" s="8"/>
      <c r="BB429" s="8"/>
      <c r="BC429" s="8"/>
      <c r="BD429" s="8"/>
      <c r="BE429" s="8"/>
      <c r="BF429" s="8"/>
      <c r="BG429" s="8"/>
      <c r="BH429" s="8"/>
    </row>
    <row r="430" spans="1:60" ht="14.25" customHeight="1">
      <c r="A430" s="619"/>
      <c r="B430" s="253"/>
      <c r="C430" s="258" t="s">
        <v>173</v>
      </c>
      <c r="D430" s="334" t="s">
        <v>174</v>
      </c>
      <c r="E430" s="370">
        <f t="shared" ref="E430:H430" si="272">ROUND(E236*0.99,4)</f>
        <v>6.4595000000000002</v>
      </c>
      <c r="F430" s="370">
        <f t="shared" si="272"/>
        <v>7.1673999999999998</v>
      </c>
      <c r="G430" s="370">
        <f t="shared" si="272"/>
        <v>6.6074999999999999</v>
      </c>
      <c r="H430" s="370">
        <f t="shared" si="272"/>
        <v>7.1260000000000003</v>
      </c>
      <c r="I430" s="418">
        <f t="shared" ref="I430:AK430" si="273">ROUND(I$394*$I323*0.98,4)+H430</f>
        <v>7.1260000000000003</v>
      </c>
      <c r="J430" s="418">
        <f t="shared" si="273"/>
        <v>7.1260000000000003</v>
      </c>
      <c r="K430" s="418">
        <f t="shared" si="273"/>
        <v>7.1260000000000003</v>
      </c>
      <c r="L430" s="418">
        <f t="shared" si="273"/>
        <v>7.2392000000000003</v>
      </c>
      <c r="M430" s="418">
        <f t="shared" si="273"/>
        <v>7.3509000000000002</v>
      </c>
      <c r="N430" s="418">
        <f t="shared" si="273"/>
        <v>7.4868000000000006</v>
      </c>
      <c r="O430" s="418">
        <f t="shared" si="273"/>
        <v>7.4868000000000006</v>
      </c>
      <c r="P430" s="418">
        <f t="shared" si="273"/>
        <v>7.5845000000000002</v>
      </c>
      <c r="Q430" s="418">
        <f t="shared" si="273"/>
        <v>7.7101000000000006</v>
      </c>
      <c r="R430" s="418">
        <f t="shared" si="273"/>
        <v>7.8564000000000007</v>
      </c>
      <c r="S430" s="418">
        <f t="shared" si="273"/>
        <v>7.9911000000000003</v>
      </c>
      <c r="T430" s="418">
        <f t="shared" si="273"/>
        <v>8.1323000000000008</v>
      </c>
      <c r="U430" s="418">
        <f t="shared" si="273"/>
        <v>8.2665000000000006</v>
      </c>
      <c r="V430" s="418">
        <f t="shared" si="273"/>
        <v>8.3881000000000014</v>
      </c>
      <c r="W430" s="418">
        <f t="shared" si="273"/>
        <v>8.5351000000000017</v>
      </c>
      <c r="X430" s="418">
        <f t="shared" si="273"/>
        <v>8.6565000000000012</v>
      </c>
      <c r="Y430" s="418">
        <f t="shared" si="273"/>
        <v>8.7959000000000014</v>
      </c>
      <c r="Z430" s="418">
        <f t="shared" si="273"/>
        <v>8.9352000000000018</v>
      </c>
      <c r="AA430" s="418">
        <f t="shared" si="273"/>
        <v>9.0738000000000021</v>
      </c>
      <c r="AB430" s="418">
        <f t="shared" si="273"/>
        <v>9.2047000000000025</v>
      </c>
      <c r="AC430" s="418">
        <f t="shared" si="273"/>
        <v>9.3437000000000019</v>
      </c>
      <c r="AD430" s="418">
        <f t="shared" si="273"/>
        <v>9.447300000000002</v>
      </c>
      <c r="AE430" s="418">
        <f t="shared" si="273"/>
        <v>9.5864000000000011</v>
      </c>
      <c r="AF430" s="418">
        <f t="shared" si="273"/>
        <v>9.6994000000000007</v>
      </c>
      <c r="AG430" s="418">
        <f t="shared" si="273"/>
        <v>9.8470000000000013</v>
      </c>
      <c r="AH430" s="418">
        <f t="shared" si="273"/>
        <v>9.9623000000000008</v>
      </c>
      <c r="AI430" s="418">
        <f t="shared" si="273"/>
        <v>10.081200000000001</v>
      </c>
      <c r="AJ430" s="418">
        <f t="shared" si="273"/>
        <v>10.198200000000002</v>
      </c>
      <c r="AK430" s="418">
        <f t="shared" si="273"/>
        <v>10.320100000000002</v>
      </c>
      <c r="AL430" s="619"/>
      <c r="AM430" s="8"/>
      <c r="AN430" s="8"/>
      <c r="AO430" s="8"/>
      <c r="AP430" s="8"/>
      <c r="AQ430" s="8"/>
      <c r="AR430" s="8"/>
      <c r="AS430" s="8"/>
      <c r="AT430" s="8"/>
      <c r="AU430" s="8"/>
      <c r="AV430" s="8"/>
      <c r="AW430" s="8"/>
      <c r="AX430" s="8"/>
      <c r="AY430" s="8"/>
      <c r="AZ430" s="8"/>
      <c r="BA430" s="8"/>
      <c r="BB430" s="8"/>
      <c r="BC430" s="8"/>
      <c r="BD430" s="8"/>
      <c r="BE430" s="8"/>
      <c r="BF430" s="8"/>
      <c r="BG430" s="8"/>
      <c r="BH430" s="8"/>
    </row>
    <row r="431" spans="1:60" ht="14.25" customHeight="1">
      <c r="A431" s="619"/>
      <c r="B431" s="253"/>
      <c r="C431" s="258" t="s">
        <v>175</v>
      </c>
      <c r="D431" s="334" t="s">
        <v>176</v>
      </c>
      <c r="E431" s="370">
        <f t="shared" ref="E431:H431" si="274">ROUND(E237*0.99,4)</f>
        <v>17.4664</v>
      </c>
      <c r="F431" s="370">
        <f t="shared" si="274"/>
        <v>19.977</v>
      </c>
      <c r="G431" s="370">
        <f t="shared" si="274"/>
        <v>18.5169</v>
      </c>
      <c r="H431" s="370">
        <f t="shared" si="274"/>
        <v>19.545400000000001</v>
      </c>
      <c r="I431" s="418">
        <f t="shared" ref="I431:AK431" si="275">ROUND(I$394*$I324*0.98,4)+H431</f>
        <v>19.545400000000001</v>
      </c>
      <c r="J431" s="418">
        <f t="shared" si="275"/>
        <v>19.545400000000001</v>
      </c>
      <c r="K431" s="418">
        <f t="shared" si="275"/>
        <v>19.545400000000001</v>
      </c>
      <c r="L431" s="418">
        <f t="shared" si="275"/>
        <v>19.857700000000001</v>
      </c>
      <c r="M431" s="418">
        <f t="shared" si="275"/>
        <v>20.165900000000001</v>
      </c>
      <c r="N431" s="418">
        <f t="shared" si="275"/>
        <v>20.540800000000001</v>
      </c>
      <c r="O431" s="418">
        <f t="shared" si="275"/>
        <v>20.540800000000001</v>
      </c>
      <c r="P431" s="418">
        <f t="shared" si="275"/>
        <v>20.810200000000002</v>
      </c>
      <c r="Q431" s="418">
        <f t="shared" si="275"/>
        <v>21.156600000000001</v>
      </c>
      <c r="R431" s="418">
        <f t="shared" si="275"/>
        <v>21.560300000000002</v>
      </c>
      <c r="S431" s="418">
        <f t="shared" si="275"/>
        <v>21.931900000000002</v>
      </c>
      <c r="T431" s="418">
        <f t="shared" si="275"/>
        <v>22.321300000000001</v>
      </c>
      <c r="U431" s="418">
        <f t="shared" si="275"/>
        <v>22.691600000000001</v>
      </c>
      <c r="V431" s="418">
        <f t="shared" si="275"/>
        <v>23.027000000000001</v>
      </c>
      <c r="W431" s="418">
        <f t="shared" si="275"/>
        <v>23.432400000000001</v>
      </c>
      <c r="X431" s="418">
        <f t="shared" si="275"/>
        <v>23.767400000000002</v>
      </c>
      <c r="Y431" s="418">
        <f t="shared" si="275"/>
        <v>24.151800000000001</v>
      </c>
      <c r="Z431" s="418">
        <f t="shared" si="275"/>
        <v>24.536100000000001</v>
      </c>
      <c r="AA431" s="418">
        <f t="shared" si="275"/>
        <v>24.918400000000002</v>
      </c>
      <c r="AB431" s="418">
        <f t="shared" si="275"/>
        <v>25.279500000000002</v>
      </c>
      <c r="AC431" s="418">
        <f t="shared" si="275"/>
        <v>25.662900000000004</v>
      </c>
      <c r="AD431" s="418">
        <f t="shared" si="275"/>
        <v>25.948700000000002</v>
      </c>
      <c r="AE431" s="418">
        <f t="shared" si="275"/>
        <v>26.332400000000003</v>
      </c>
      <c r="AF431" s="418">
        <f t="shared" si="275"/>
        <v>26.644200000000005</v>
      </c>
      <c r="AG431" s="418">
        <f t="shared" si="275"/>
        <v>27.051500000000004</v>
      </c>
      <c r="AH431" s="418">
        <f t="shared" si="275"/>
        <v>27.369500000000006</v>
      </c>
      <c r="AI431" s="418">
        <f t="shared" si="275"/>
        <v>27.697600000000005</v>
      </c>
      <c r="AJ431" s="418">
        <f t="shared" si="275"/>
        <v>28.020300000000006</v>
      </c>
      <c r="AK431" s="418">
        <f t="shared" si="275"/>
        <v>28.356500000000008</v>
      </c>
      <c r="AL431" s="619"/>
      <c r="AM431" s="8"/>
      <c r="AN431" s="8"/>
      <c r="AO431" s="8"/>
      <c r="AP431" s="8"/>
      <c r="AQ431" s="8"/>
      <c r="AR431" s="8"/>
      <c r="AS431" s="8"/>
      <c r="AT431" s="8"/>
      <c r="AU431" s="8"/>
      <c r="AV431" s="8"/>
      <c r="AW431" s="8"/>
      <c r="AX431" s="8"/>
      <c r="AY431" s="8"/>
      <c r="AZ431" s="8"/>
      <c r="BA431" s="8"/>
      <c r="BB431" s="8"/>
      <c r="BC431" s="8"/>
      <c r="BD431" s="8"/>
      <c r="BE431" s="8"/>
      <c r="BF431" s="8"/>
      <c r="BG431" s="8"/>
      <c r="BH431" s="8"/>
    </row>
    <row r="432" spans="1:60" ht="14.25" customHeight="1">
      <c r="A432" s="619"/>
      <c r="B432" s="253"/>
      <c r="C432" s="258"/>
      <c r="D432" s="272" t="s">
        <v>312</v>
      </c>
      <c r="E432" s="370">
        <f t="shared" ref="E432:H432" si="276">ROUND(E238*0.99,4)</f>
        <v>0</v>
      </c>
      <c r="F432" s="370">
        <f t="shared" si="276"/>
        <v>0</v>
      </c>
      <c r="G432" s="370">
        <f t="shared" si="276"/>
        <v>0</v>
      </c>
      <c r="H432" s="370">
        <f t="shared" si="276"/>
        <v>0</v>
      </c>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c r="AF432" s="418"/>
      <c r="AG432" s="418"/>
      <c r="AH432" s="418"/>
      <c r="AI432" s="418"/>
      <c r="AJ432" s="418"/>
      <c r="AK432" s="418"/>
      <c r="AL432" s="619"/>
      <c r="AM432" s="8"/>
      <c r="AN432" s="8"/>
      <c r="AO432" s="8"/>
      <c r="AP432" s="8"/>
      <c r="AQ432" s="8"/>
      <c r="AR432" s="8"/>
      <c r="AS432" s="8"/>
      <c r="AT432" s="8"/>
      <c r="AU432" s="8"/>
      <c r="AV432" s="8"/>
      <c r="AW432" s="8"/>
      <c r="AX432" s="8"/>
      <c r="AY432" s="8"/>
      <c r="AZ432" s="8"/>
      <c r="BA432" s="8"/>
      <c r="BB432" s="8"/>
      <c r="BC432" s="8"/>
      <c r="BD432" s="8"/>
      <c r="BE432" s="8"/>
      <c r="BF432" s="8"/>
      <c r="BG432" s="8"/>
      <c r="BH432" s="8"/>
    </row>
    <row r="433" spans="1:60" ht="14.25" customHeight="1">
      <c r="A433" s="619"/>
      <c r="B433" s="253"/>
      <c r="C433" s="258" t="s">
        <v>178</v>
      </c>
      <c r="D433" s="334" t="s">
        <v>166</v>
      </c>
      <c r="E433" s="370">
        <f t="shared" ref="E433:H433" si="277">ROUND(E239*0.99,4)</f>
        <v>0.96160000000000001</v>
      </c>
      <c r="F433" s="370">
        <f t="shared" si="277"/>
        <v>0.9667</v>
      </c>
      <c r="G433" s="370">
        <f t="shared" si="277"/>
        <v>1.0782</v>
      </c>
      <c r="H433" s="370">
        <f t="shared" si="277"/>
        <v>1.331</v>
      </c>
      <c r="I433" s="418">
        <f t="shared" ref="I433:AK433" si="278">ROUND(I$395*$I326*0.98,4)+H433</f>
        <v>1.331</v>
      </c>
      <c r="J433" s="418">
        <f t="shared" si="278"/>
        <v>1.331</v>
      </c>
      <c r="K433" s="418">
        <f t="shared" si="278"/>
        <v>1.331</v>
      </c>
      <c r="L433" s="418">
        <f t="shared" si="278"/>
        <v>1.3678999999999999</v>
      </c>
      <c r="M433" s="418">
        <f t="shared" si="278"/>
        <v>1.4043999999999999</v>
      </c>
      <c r="N433" s="418">
        <f t="shared" si="278"/>
        <v>1.4486999999999999</v>
      </c>
      <c r="O433" s="418">
        <f t="shared" si="278"/>
        <v>1.4486999999999999</v>
      </c>
      <c r="P433" s="418">
        <f t="shared" si="278"/>
        <v>1.4805999999999999</v>
      </c>
      <c r="Q433" s="418">
        <f t="shared" si="278"/>
        <v>1.5215999999999998</v>
      </c>
      <c r="R433" s="418">
        <f t="shared" si="278"/>
        <v>1.5692999999999999</v>
      </c>
      <c r="S433" s="418">
        <f t="shared" si="278"/>
        <v>1.6132</v>
      </c>
      <c r="T433" s="418">
        <f t="shared" si="278"/>
        <v>1.6593</v>
      </c>
      <c r="U433" s="418">
        <f t="shared" si="278"/>
        <v>1.7031000000000001</v>
      </c>
      <c r="V433" s="418">
        <f t="shared" si="278"/>
        <v>1.7428000000000001</v>
      </c>
      <c r="W433" s="418">
        <f t="shared" si="278"/>
        <v>1.7907000000000002</v>
      </c>
      <c r="X433" s="418">
        <f t="shared" si="278"/>
        <v>1.8303000000000003</v>
      </c>
      <c r="Y433" s="418">
        <f t="shared" si="278"/>
        <v>1.8758000000000004</v>
      </c>
      <c r="Z433" s="418">
        <f t="shared" si="278"/>
        <v>1.9213000000000005</v>
      </c>
      <c r="AA433" s="418">
        <f t="shared" si="278"/>
        <v>1.9665000000000004</v>
      </c>
      <c r="AB433" s="418">
        <f t="shared" si="278"/>
        <v>2.0092000000000003</v>
      </c>
      <c r="AC433" s="418">
        <f t="shared" si="278"/>
        <v>2.0545000000000004</v>
      </c>
      <c r="AD433" s="418">
        <f t="shared" si="278"/>
        <v>2.0883000000000003</v>
      </c>
      <c r="AE433" s="418">
        <f t="shared" si="278"/>
        <v>2.1337000000000002</v>
      </c>
      <c r="AF433" s="418">
        <f t="shared" si="278"/>
        <v>2.1706000000000003</v>
      </c>
      <c r="AG433" s="418">
        <f t="shared" si="278"/>
        <v>2.2188000000000003</v>
      </c>
      <c r="AH433" s="418">
        <f t="shared" si="278"/>
        <v>2.2564000000000002</v>
      </c>
      <c r="AI433" s="418">
        <f t="shared" si="278"/>
        <v>2.2952000000000004</v>
      </c>
      <c r="AJ433" s="418">
        <f t="shared" si="278"/>
        <v>2.3334000000000001</v>
      </c>
      <c r="AK433" s="418">
        <f t="shared" si="278"/>
        <v>2.3732000000000002</v>
      </c>
      <c r="AL433" s="619"/>
      <c r="AM433" s="8"/>
      <c r="AN433" s="8"/>
      <c r="AO433" s="8"/>
      <c r="AP433" s="8"/>
      <c r="AQ433" s="8"/>
      <c r="AR433" s="8"/>
      <c r="AS433" s="8"/>
      <c r="AT433" s="8"/>
      <c r="AU433" s="8"/>
      <c r="AV433" s="8"/>
      <c r="AW433" s="8"/>
      <c r="AX433" s="8"/>
      <c r="AY433" s="8"/>
      <c r="AZ433" s="8"/>
      <c r="BA433" s="8"/>
      <c r="BB433" s="8"/>
      <c r="BC433" s="8"/>
      <c r="BD433" s="8"/>
      <c r="BE433" s="8"/>
      <c r="BF433" s="8"/>
      <c r="BG433" s="8"/>
      <c r="BH433" s="8"/>
    </row>
    <row r="434" spans="1:60" ht="14.25" customHeight="1">
      <c r="A434" s="419"/>
      <c r="B434" s="420"/>
      <c r="C434" s="419" t="s">
        <v>179</v>
      </c>
      <c r="D434" s="416" t="s">
        <v>168</v>
      </c>
      <c r="E434" s="370">
        <f t="shared" ref="E434:H434" si="279">ROUND(E240*0.99,4)</f>
        <v>1.3863000000000001</v>
      </c>
      <c r="F434" s="370">
        <f t="shared" si="279"/>
        <v>4.7888000000000002</v>
      </c>
      <c r="G434" s="370">
        <f t="shared" si="279"/>
        <v>4.8202999999999996</v>
      </c>
      <c r="H434" s="370">
        <f t="shared" si="279"/>
        <v>5.4884000000000004</v>
      </c>
      <c r="I434" s="370">
        <f t="shared" ref="I434:AK434" si="280">ROUND(0.98*I240,4)</f>
        <v>5.4329999999999998</v>
      </c>
      <c r="J434" s="370">
        <f t="shared" si="280"/>
        <v>5.4329999999999998</v>
      </c>
      <c r="K434" s="370">
        <f t="shared" si="280"/>
        <v>6.6553000000000004</v>
      </c>
      <c r="L434" s="370">
        <f t="shared" si="280"/>
        <v>6.6553000000000004</v>
      </c>
      <c r="M434" s="370">
        <f t="shared" si="280"/>
        <v>6.6553000000000004</v>
      </c>
      <c r="N434" s="370">
        <f t="shared" si="280"/>
        <v>6.6553000000000004</v>
      </c>
      <c r="O434" s="370">
        <f t="shared" si="280"/>
        <v>9.8170999999999999</v>
      </c>
      <c r="P434" s="370">
        <f t="shared" si="280"/>
        <v>9.8170999999999999</v>
      </c>
      <c r="Q434" s="370">
        <f t="shared" si="280"/>
        <v>9.8170999999999999</v>
      </c>
      <c r="R434" s="370">
        <f t="shared" si="280"/>
        <v>9.8170999999999999</v>
      </c>
      <c r="S434" s="370">
        <f t="shared" si="280"/>
        <v>9.8170999999999999</v>
      </c>
      <c r="T434" s="370">
        <f t="shared" si="280"/>
        <v>9.8170999999999999</v>
      </c>
      <c r="U434" s="370">
        <f t="shared" si="280"/>
        <v>9.8170999999999999</v>
      </c>
      <c r="V434" s="370">
        <f t="shared" si="280"/>
        <v>9.8170999999999999</v>
      </c>
      <c r="W434" s="370">
        <f t="shared" si="280"/>
        <v>9.8170999999999999</v>
      </c>
      <c r="X434" s="370">
        <f t="shared" si="280"/>
        <v>9.8170999999999999</v>
      </c>
      <c r="Y434" s="370">
        <f t="shared" si="280"/>
        <v>9.8170999999999999</v>
      </c>
      <c r="Z434" s="370">
        <f t="shared" si="280"/>
        <v>9.8170999999999999</v>
      </c>
      <c r="AA434" s="370">
        <f t="shared" si="280"/>
        <v>9.8170999999999999</v>
      </c>
      <c r="AB434" s="370">
        <f t="shared" si="280"/>
        <v>9.8170999999999999</v>
      </c>
      <c r="AC434" s="370">
        <f t="shared" si="280"/>
        <v>9.8170999999999999</v>
      </c>
      <c r="AD434" s="370">
        <f t="shared" si="280"/>
        <v>9.8170999999999999</v>
      </c>
      <c r="AE434" s="370">
        <f t="shared" si="280"/>
        <v>9.8170999999999999</v>
      </c>
      <c r="AF434" s="370">
        <f t="shared" si="280"/>
        <v>9.8170999999999999</v>
      </c>
      <c r="AG434" s="370">
        <f t="shared" si="280"/>
        <v>9.8170999999999999</v>
      </c>
      <c r="AH434" s="370">
        <f t="shared" si="280"/>
        <v>9.8170999999999999</v>
      </c>
      <c r="AI434" s="370">
        <f t="shared" si="280"/>
        <v>9.8170999999999999</v>
      </c>
      <c r="AJ434" s="370">
        <f t="shared" si="280"/>
        <v>9.8170999999999999</v>
      </c>
      <c r="AK434" s="370">
        <f t="shared" si="280"/>
        <v>9.8170999999999999</v>
      </c>
      <c r="AL434" s="419"/>
      <c r="AM434" s="421"/>
      <c r="AN434" s="421"/>
      <c r="AO434" s="421"/>
      <c r="AP434" s="421"/>
      <c r="AQ434" s="421"/>
      <c r="AR434" s="421"/>
      <c r="AS434" s="421"/>
      <c r="AT434" s="421"/>
      <c r="AU434" s="421"/>
      <c r="AV434" s="421"/>
      <c r="AW434" s="421"/>
      <c r="AX434" s="421"/>
      <c r="AY434" s="421"/>
      <c r="AZ434" s="421"/>
      <c r="BA434" s="421"/>
      <c r="BB434" s="421"/>
      <c r="BC434" s="421"/>
      <c r="BD434" s="421"/>
      <c r="BE434" s="421"/>
      <c r="BF434" s="421"/>
      <c r="BG434" s="421"/>
      <c r="BH434" s="421"/>
    </row>
    <row r="435" spans="1:60" ht="14.25" customHeight="1">
      <c r="A435" s="419"/>
      <c r="B435" s="420"/>
      <c r="C435" s="419" t="s">
        <v>180</v>
      </c>
      <c r="D435" s="416" t="s">
        <v>170</v>
      </c>
      <c r="E435" s="370">
        <f t="shared" ref="E435:H435" si="281">ROUND(E241*0.99,4)</f>
        <v>0</v>
      </c>
      <c r="F435" s="370">
        <f t="shared" si="281"/>
        <v>0</v>
      </c>
      <c r="G435" s="370">
        <f t="shared" si="281"/>
        <v>0</v>
      </c>
      <c r="H435" s="370">
        <f t="shared" si="281"/>
        <v>0</v>
      </c>
      <c r="I435" s="370">
        <f t="shared" ref="I435:AK435" si="282">0.98*I241</f>
        <v>0</v>
      </c>
      <c r="J435" s="370">
        <f t="shared" si="282"/>
        <v>0</v>
      </c>
      <c r="K435" s="370">
        <f t="shared" si="282"/>
        <v>0</v>
      </c>
      <c r="L435" s="370">
        <f t="shared" si="282"/>
        <v>0</v>
      </c>
      <c r="M435" s="370">
        <f t="shared" si="282"/>
        <v>0</v>
      </c>
      <c r="N435" s="370">
        <f t="shared" si="282"/>
        <v>0</v>
      </c>
      <c r="O435" s="370">
        <f t="shared" si="282"/>
        <v>0</v>
      </c>
      <c r="P435" s="370">
        <f t="shared" si="282"/>
        <v>0</v>
      </c>
      <c r="Q435" s="370">
        <f t="shared" si="282"/>
        <v>0</v>
      </c>
      <c r="R435" s="370">
        <f t="shared" si="282"/>
        <v>0</v>
      </c>
      <c r="S435" s="370">
        <f t="shared" si="282"/>
        <v>0</v>
      </c>
      <c r="T435" s="370">
        <f t="shared" si="282"/>
        <v>0</v>
      </c>
      <c r="U435" s="370">
        <f t="shared" si="282"/>
        <v>0</v>
      </c>
      <c r="V435" s="370">
        <f t="shared" si="282"/>
        <v>0</v>
      </c>
      <c r="W435" s="370">
        <f t="shared" si="282"/>
        <v>0</v>
      </c>
      <c r="X435" s="370">
        <f t="shared" si="282"/>
        <v>0</v>
      </c>
      <c r="Y435" s="370">
        <f t="shared" si="282"/>
        <v>0</v>
      </c>
      <c r="Z435" s="370">
        <f t="shared" si="282"/>
        <v>0</v>
      </c>
      <c r="AA435" s="370">
        <f t="shared" si="282"/>
        <v>0</v>
      </c>
      <c r="AB435" s="370">
        <f t="shared" si="282"/>
        <v>0</v>
      </c>
      <c r="AC435" s="370">
        <f t="shared" si="282"/>
        <v>0</v>
      </c>
      <c r="AD435" s="370">
        <f t="shared" si="282"/>
        <v>0</v>
      </c>
      <c r="AE435" s="370">
        <f t="shared" si="282"/>
        <v>0</v>
      </c>
      <c r="AF435" s="370">
        <f t="shared" si="282"/>
        <v>0</v>
      </c>
      <c r="AG435" s="370">
        <f t="shared" si="282"/>
        <v>0</v>
      </c>
      <c r="AH435" s="370">
        <f t="shared" si="282"/>
        <v>0</v>
      </c>
      <c r="AI435" s="370">
        <f t="shared" si="282"/>
        <v>0</v>
      </c>
      <c r="AJ435" s="370">
        <f t="shared" si="282"/>
        <v>0</v>
      </c>
      <c r="AK435" s="370">
        <f t="shared" si="282"/>
        <v>0</v>
      </c>
      <c r="AL435" s="419"/>
      <c r="AM435" s="421"/>
      <c r="AN435" s="421"/>
      <c r="AO435" s="421"/>
      <c r="AP435" s="421"/>
      <c r="AQ435" s="421"/>
      <c r="AR435" s="421"/>
      <c r="AS435" s="421"/>
      <c r="AT435" s="421"/>
      <c r="AU435" s="421"/>
      <c r="AV435" s="421"/>
      <c r="AW435" s="421"/>
      <c r="AX435" s="421"/>
      <c r="AY435" s="421"/>
      <c r="AZ435" s="421"/>
      <c r="BA435" s="421"/>
      <c r="BB435" s="421"/>
      <c r="BC435" s="421"/>
      <c r="BD435" s="421"/>
      <c r="BE435" s="421"/>
      <c r="BF435" s="421"/>
      <c r="BG435" s="421"/>
      <c r="BH435" s="421"/>
    </row>
    <row r="436" spans="1:60" ht="14.25" customHeight="1">
      <c r="A436" s="619"/>
      <c r="B436" s="253"/>
      <c r="C436" s="258" t="s">
        <v>181</v>
      </c>
      <c r="D436" s="334" t="s">
        <v>172</v>
      </c>
      <c r="E436" s="370">
        <f t="shared" ref="E436:H436" si="283">ROUND(E242*0.99,4)</f>
        <v>9.6889000000000003</v>
      </c>
      <c r="F436" s="370">
        <f t="shared" si="283"/>
        <v>11.860799999999999</v>
      </c>
      <c r="G436" s="370">
        <f t="shared" si="283"/>
        <v>10.1967</v>
      </c>
      <c r="H436" s="370">
        <f t="shared" si="283"/>
        <v>10.993499999999999</v>
      </c>
      <c r="I436" s="418">
        <f t="shared" ref="I436:AK436" si="284">ROUND(I$395*$I329*0.98,4)+H436</f>
        <v>10.993499999999999</v>
      </c>
      <c r="J436" s="418">
        <f t="shared" si="284"/>
        <v>10.993499999999999</v>
      </c>
      <c r="K436" s="418">
        <f t="shared" si="284"/>
        <v>10.993499999999999</v>
      </c>
      <c r="L436" s="418">
        <f t="shared" si="284"/>
        <v>11.359</v>
      </c>
      <c r="M436" s="418">
        <f t="shared" si="284"/>
        <v>11.7197</v>
      </c>
      <c r="N436" s="418">
        <f t="shared" si="284"/>
        <v>12.1585</v>
      </c>
      <c r="O436" s="418">
        <f t="shared" si="284"/>
        <v>12.1585</v>
      </c>
      <c r="P436" s="418">
        <f t="shared" si="284"/>
        <v>12.473800000000001</v>
      </c>
      <c r="Q436" s="418">
        <f t="shared" si="284"/>
        <v>12.879100000000001</v>
      </c>
      <c r="R436" s="418">
        <f t="shared" si="284"/>
        <v>13.351500000000001</v>
      </c>
      <c r="S436" s="418">
        <f t="shared" si="284"/>
        <v>13.786300000000001</v>
      </c>
      <c r="T436" s="418">
        <f t="shared" si="284"/>
        <v>14.242000000000001</v>
      </c>
      <c r="U436" s="418">
        <f t="shared" si="284"/>
        <v>14.6753</v>
      </c>
      <c r="V436" s="418">
        <f t="shared" si="284"/>
        <v>15.0678</v>
      </c>
      <c r="W436" s="418">
        <f t="shared" si="284"/>
        <v>15.542300000000001</v>
      </c>
      <c r="X436" s="418">
        <f t="shared" si="284"/>
        <v>15.9344</v>
      </c>
      <c r="Y436" s="418">
        <f t="shared" si="284"/>
        <v>16.3843</v>
      </c>
      <c r="Z436" s="418">
        <f t="shared" si="284"/>
        <v>16.834099999999999</v>
      </c>
      <c r="AA436" s="418">
        <f t="shared" si="284"/>
        <v>17.281399999999998</v>
      </c>
      <c r="AB436" s="418">
        <f t="shared" si="284"/>
        <v>17.703999999999997</v>
      </c>
      <c r="AC436" s="418">
        <f t="shared" si="284"/>
        <v>18.152699999999996</v>
      </c>
      <c r="AD436" s="418">
        <f t="shared" si="284"/>
        <v>18.487199999999994</v>
      </c>
      <c r="AE436" s="418">
        <f t="shared" si="284"/>
        <v>18.936299999999996</v>
      </c>
      <c r="AF436" s="418">
        <f t="shared" si="284"/>
        <v>19.301199999999994</v>
      </c>
      <c r="AG436" s="418">
        <f t="shared" si="284"/>
        <v>19.777799999999996</v>
      </c>
      <c r="AH436" s="418">
        <f t="shared" si="284"/>
        <v>20.149999999999995</v>
      </c>
      <c r="AI436" s="418">
        <f t="shared" si="284"/>
        <v>20.533899999999996</v>
      </c>
      <c r="AJ436" s="418">
        <f t="shared" si="284"/>
        <v>20.911599999999996</v>
      </c>
      <c r="AK436" s="418">
        <f t="shared" si="284"/>
        <v>21.304999999999996</v>
      </c>
      <c r="AL436" s="619"/>
      <c r="AM436" s="8"/>
      <c r="AN436" s="8"/>
      <c r="AO436" s="8"/>
      <c r="AP436" s="8"/>
      <c r="AQ436" s="8"/>
      <c r="AR436" s="8"/>
      <c r="AS436" s="8"/>
      <c r="AT436" s="8"/>
      <c r="AU436" s="8"/>
      <c r="AV436" s="8"/>
      <c r="AW436" s="8"/>
      <c r="AX436" s="8"/>
      <c r="AY436" s="8"/>
      <c r="AZ436" s="8"/>
      <c r="BA436" s="8"/>
      <c r="BB436" s="8"/>
      <c r="BC436" s="8"/>
      <c r="BD436" s="8"/>
      <c r="BE436" s="8"/>
      <c r="BF436" s="8"/>
      <c r="BG436" s="8"/>
      <c r="BH436" s="8"/>
    </row>
    <row r="437" spans="1:60" ht="14.25" customHeight="1">
      <c r="A437" s="619"/>
      <c r="B437" s="253"/>
      <c r="C437" s="258" t="s">
        <v>182</v>
      </c>
      <c r="D437" s="334" t="s">
        <v>174</v>
      </c>
      <c r="E437" s="370">
        <f t="shared" ref="E437:H437" si="285">ROUND(E243*0.99,4)</f>
        <v>4.3954000000000004</v>
      </c>
      <c r="F437" s="370">
        <f t="shared" si="285"/>
        <v>6.8478000000000003</v>
      </c>
      <c r="G437" s="370">
        <f t="shared" si="285"/>
        <v>8.7919</v>
      </c>
      <c r="H437" s="370">
        <f t="shared" si="285"/>
        <v>9.4092000000000002</v>
      </c>
      <c r="I437" s="418">
        <f t="shared" ref="I437:AK437" si="286">ROUND(I$395*$I330*0.98,4)+H437</f>
        <v>9.4092000000000002</v>
      </c>
      <c r="J437" s="418">
        <f t="shared" si="286"/>
        <v>9.4092000000000002</v>
      </c>
      <c r="K437" s="418">
        <f t="shared" si="286"/>
        <v>9.4092000000000002</v>
      </c>
      <c r="L437" s="418">
        <f t="shared" si="286"/>
        <v>9.6567000000000007</v>
      </c>
      <c r="M437" s="418">
        <f t="shared" si="286"/>
        <v>9.9010000000000016</v>
      </c>
      <c r="N437" s="418">
        <f t="shared" si="286"/>
        <v>10.198100000000002</v>
      </c>
      <c r="O437" s="418">
        <f t="shared" si="286"/>
        <v>10.198100000000002</v>
      </c>
      <c r="P437" s="418">
        <f t="shared" si="286"/>
        <v>10.411600000000002</v>
      </c>
      <c r="Q437" s="418">
        <f t="shared" si="286"/>
        <v>10.686100000000001</v>
      </c>
      <c r="R437" s="418">
        <f t="shared" si="286"/>
        <v>11.006000000000002</v>
      </c>
      <c r="S437" s="418">
        <f t="shared" si="286"/>
        <v>11.300500000000001</v>
      </c>
      <c r="T437" s="418">
        <f t="shared" si="286"/>
        <v>11.609100000000002</v>
      </c>
      <c r="U437" s="418">
        <f t="shared" si="286"/>
        <v>11.902600000000001</v>
      </c>
      <c r="V437" s="418">
        <f t="shared" si="286"/>
        <v>12.168400000000002</v>
      </c>
      <c r="W437" s="418">
        <f t="shared" si="286"/>
        <v>12.489700000000003</v>
      </c>
      <c r="X437" s="418">
        <f t="shared" si="286"/>
        <v>12.755200000000002</v>
      </c>
      <c r="Y437" s="418">
        <f t="shared" si="286"/>
        <v>13.059900000000003</v>
      </c>
      <c r="Z437" s="418">
        <f t="shared" si="286"/>
        <v>13.364500000000003</v>
      </c>
      <c r="AA437" s="418">
        <f t="shared" si="286"/>
        <v>13.667400000000002</v>
      </c>
      <c r="AB437" s="418">
        <f t="shared" si="286"/>
        <v>13.953600000000002</v>
      </c>
      <c r="AC437" s="418">
        <f t="shared" si="286"/>
        <v>14.257400000000002</v>
      </c>
      <c r="AD437" s="418">
        <f t="shared" si="286"/>
        <v>14.483900000000002</v>
      </c>
      <c r="AE437" s="418">
        <f t="shared" si="286"/>
        <v>14.788000000000002</v>
      </c>
      <c r="AF437" s="418">
        <f t="shared" si="286"/>
        <v>15.035100000000002</v>
      </c>
      <c r="AG437" s="418">
        <f t="shared" si="286"/>
        <v>15.357900000000001</v>
      </c>
      <c r="AH437" s="418">
        <f t="shared" si="286"/>
        <v>15.609900000000001</v>
      </c>
      <c r="AI437" s="418">
        <f t="shared" si="286"/>
        <v>15.869900000000001</v>
      </c>
      <c r="AJ437" s="418">
        <f t="shared" si="286"/>
        <v>16.125700000000002</v>
      </c>
      <c r="AK437" s="418">
        <f t="shared" si="286"/>
        <v>16.392100000000003</v>
      </c>
      <c r="AL437" s="619"/>
      <c r="AM437" s="8"/>
      <c r="AN437" s="8"/>
      <c r="AO437" s="8"/>
      <c r="AP437" s="8"/>
      <c r="AQ437" s="8"/>
      <c r="AR437" s="8"/>
      <c r="AS437" s="8"/>
      <c r="AT437" s="8"/>
      <c r="AU437" s="8"/>
      <c r="AV437" s="8"/>
      <c r="AW437" s="8"/>
      <c r="AX437" s="8"/>
      <c r="AY437" s="8"/>
      <c r="AZ437" s="8"/>
      <c r="BA437" s="8"/>
      <c r="BB437" s="8"/>
      <c r="BC437" s="8"/>
      <c r="BD437" s="8"/>
      <c r="BE437" s="8"/>
      <c r="BF437" s="8"/>
      <c r="BG437" s="8"/>
      <c r="BH437" s="8"/>
    </row>
    <row r="438" spans="1:60" ht="14.25" customHeight="1">
      <c r="A438" s="619"/>
      <c r="B438" s="253"/>
      <c r="C438" s="258" t="s">
        <v>183</v>
      </c>
      <c r="D438" s="334" t="s">
        <v>176</v>
      </c>
      <c r="E438" s="370">
        <f t="shared" ref="E438:H438" si="287">ROUND(E244*0.99,4)</f>
        <v>29.699300000000001</v>
      </c>
      <c r="F438" s="370">
        <f t="shared" si="287"/>
        <v>31.339400000000001</v>
      </c>
      <c r="G438" s="370">
        <f t="shared" si="287"/>
        <v>32.947000000000003</v>
      </c>
      <c r="H438" s="370">
        <f t="shared" si="287"/>
        <v>32.794600000000003</v>
      </c>
      <c r="I438" s="422">
        <v>30</v>
      </c>
      <c r="J438" s="422">
        <f>ROUND(J$395*$I331*0.98,4)+32</f>
        <v>32</v>
      </c>
      <c r="K438" s="418">
        <f t="shared" ref="K438:AK438" si="288">ROUND(K$395*$I331*0.98,4)+J438</f>
        <v>32</v>
      </c>
      <c r="L438" s="418">
        <f t="shared" si="288"/>
        <v>33.084400000000002</v>
      </c>
      <c r="M438" s="418">
        <f t="shared" si="288"/>
        <v>34.154499999999999</v>
      </c>
      <c r="N438" s="418">
        <f t="shared" si="288"/>
        <v>35.456199999999995</v>
      </c>
      <c r="O438" s="418">
        <f t="shared" si="288"/>
        <v>35.456199999999995</v>
      </c>
      <c r="P438" s="418">
        <f t="shared" si="288"/>
        <v>36.391499999999994</v>
      </c>
      <c r="Q438" s="418">
        <f t="shared" si="288"/>
        <v>37.593999999999994</v>
      </c>
      <c r="R438" s="418">
        <f t="shared" si="288"/>
        <v>38.995499999999993</v>
      </c>
      <c r="S438" s="418">
        <f t="shared" si="288"/>
        <v>40.285499999999992</v>
      </c>
      <c r="T438" s="418">
        <f t="shared" si="288"/>
        <v>41.637599999999992</v>
      </c>
      <c r="U438" s="418">
        <f t="shared" si="288"/>
        <v>42.92329999999999</v>
      </c>
      <c r="V438" s="418">
        <f t="shared" si="288"/>
        <v>44.087899999999991</v>
      </c>
      <c r="W438" s="418">
        <f t="shared" si="288"/>
        <v>45.495499999999993</v>
      </c>
      <c r="X438" s="418">
        <f t="shared" si="288"/>
        <v>46.658699999999996</v>
      </c>
      <c r="Y438" s="418">
        <f t="shared" si="288"/>
        <v>47.993499999999997</v>
      </c>
      <c r="Z438" s="418">
        <f t="shared" si="288"/>
        <v>49.3279</v>
      </c>
      <c r="AA438" s="418">
        <f t="shared" si="288"/>
        <v>50.655099999999997</v>
      </c>
      <c r="AB438" s="418">
        <f t="shared" si="288"/>
        <v>51.908899999999996</v>
      </c>
      <c r="AC438" s="418">
        <f t="shared" si="288"/>
        <v>53.239999999999995</v>
      </c>
      <c r="AD438" s="418">
        <f t="shared" si="288"/>
        <v>54.232299999999995</v>
      </c>
      <c r="AE438" s="418">
        <f t="shared" si="288"/>
        <v>55.564699999999995</v>
      </c>
      <c r="AF438" s="418">
        <f t="shared" si="288"/>
        <v>56.647199999999998</v>
      </c>
      <c r="AG438" s="418">
        <f t="shared" si="288"/>
        <v>58.061299999999996</v>
      </c>
      <c r="AH438" s="418">
        <f t="shared" si="288"/>
        <v>59.165499999999994</v>
      </c>
      <c r="AI438" s="418">
        <f t="shared" si="288"/>
        <v>60.304599999999994</v>
      </c>
      <c r="AJ438" s="418">
        <f t="shared" si="288"/>
        <v>61.425199999999997</v>
      </c>
      <c r="AK438" s="418">
        <f t="shared" si="288"/>
        <v>62.592499999999994</v>
      </c>
      <c r="AL438" s="619"/>
      <c r="AM438" s="8"/>
      <c r="AN438" s="8"/>
      <c r="AO438" s="8"/>
      <c r="AP438" s="8"/>
      <c r="AQ438" s="8"/>
      <c r="AR438" s="8"/>
      <c r="AS438" s="8"/>
      <c r="AT438" s="8"/>
      <c r="AU438" s="8"/>
      <c r="AV438" s="8"/>
      <c r="AW438" s="8"/>
      <c r="AX438" s="8"/>
      <c r="AY438" s="8"/>
      <c r="AZ438" s="8"/>
      <c r="BA438" s="8"/>
      <c r="BB438" s="8"/>
      <c r="BC438" s="8"/>
      <c r="BD438" s="8"/>
      <c r="BE438" s="8"/>
      <c r="BF438" s="8"/>
      <c r="BG438" s="8"/>
      <c r="BH438" s="8"/>
    </row>
    <row r="439" spans="1:60" ht="14.25" customHeight="1">
      <c r="A439" s="619"/>
      <c r="B439" s="253"/>
      <c r="C439" s="258"/>
      <c r="D439" s="259" t="s">
        <v>39</v>
      </c>
      <c r="E439" s="270">
        <f t="shared" ref="E439:AK439" si="289">E402+E401+E410+E413+E414+E416+E418+E419+E421+E424+E426+E427+E428+E429+E430+E431+E433+E434+E435+E436+E437+E438</f>
        <v>90.381799999999998</v>
      </c>
      <c r="F439" s="270">
        <f t="shared" si="289"/>
        <v>100.31400000000001</v>
      </c>
      <c r="G439" s="270">
        <f t="shared" si="289"/>
        <v>97.238200000000006</v>
      </c>
      <c r="H439" s="270">
        <f t="shared" si="289"/>
        <v>100.34750000000001</v>
      </c>
      <c r="I439" s="270">
        <f t="shared" si="289"/>
        <v>103.1173</v>
      </c>
      <c r="J439" s="270">
        <f t="shared" si="289"/>
        <v>105.50340000000001</v>
      </c>
      <c r="K439" s="270">
        <f t="shared" si="289"/>
        <v>107.9182</v>
      </c>
      <c r="L439" s="270">
        <f t="shared" si="289"/>
        <v>110.4362</v>
      </c>
      <c r="M439" s="270">
        <f t="shared" si="289"/>
        <v>112.9213</v>
      </c>
      <c r="N439" s="270">
        <f t="shared" si="289"/>
        <v>115.94399999999999</v>
      </c>
      <c r="O439" s="270">
        <f t="shared" si="289"/>
        <v>119.0989</v>
      </c>
      <c r="P439" s="270">
        <f t="shared" si="289"/>
        <v>121.2709</v>
      </c>
      <c r="Q439" s="270">
        <f t="shared" si="289"/>
        <v>124.06329999999998</v>
      </c>
      <c r="R439" s="270">
        <f t="shared" si="289"/>
        <v>127.31789999999999</v>
      </c>
      <c r="S439" s="270">
        <f t="shared" si="289"/>
        <v>130.31369999999998</v>
      </c>
      <c r="T439" s="270">
        <f t="shared" si="289"/>
        <v>133.45319999999998</v>
      </c>
      <c r="U439" s="270">
        <f t="shared" si="289"/>
        <v>136.43859999999998</v>
      </c>
      <c r="V439" s="270">
        <f t="shared" si="289"/>
        <v>139.1431</v>
      </c>
      <c r="W439" s="270">
        <f t="shared" si="289"/>
        <v>142.41159999999999</v>
      </c>
      <c r="X439" s="270">
        <f t="shared" si="289"/>
        <v>145.11270000000002</v>
      </c>
      <c r="Y439" s="270">
        <f t="shared" si="289"/>
        <v>148.2123</v>
      </c>
      <c r="Z439" s="270">
        <f t="shared" si="289"/>
        <v>151.31100000000004</v>
      </c>
      <c r="AA439" s="270">
        <f t="shared" si="289"/>
        <v>154.393</v>
      </c>
      <c r="AB439" s="270">
        <f t="shared" si="289"/>
        <v>157.30439999999999</v>
      </c>
      <c r="AC439" s="270">
        <f t="shared" si="289"/>
        <v>160.3956</v>
      </c>
      <c r="AD439" s="270">
        <f t="shared" si="289"/>
        <v>162.69990000000001</v>
      </c>
      <c r="AE439" s="270">
        <f t="shared" si="289"/>
        <v>165.7938</v>
      </c>
      <c r="AF439" s="270">
        <f t="shared" si="289"/>
        <v>168.30739999999997</v>
      </c>
      <c r="AG439" s="270">
        <f t="shared" si="289"/>
        <v>171.59139999999999</v>
      </c>
      <c r="AH439" s="270">
        <f t="shared" si="289"/>
        <v>174.15499999999997</v>
      </c>
      <c r="AI439" s="270">
        <f t="shared" si="289"/>
        <v>176.80019999999999</v>
      </c>
      <c r="AJ439" s="270">
        <f t="shared" si="289"/>
        <v>179.40269999999998</v>
      </c>
      <c r="AK439" s="270">
        <f t="shared" si="289"/>
        <v>182.11319999999998</v>
      </c>
      <c r="AL439" s="619"/>
      <c r="AM439" s="8"/>
      <c r="AN439" s="8"/>
      <c r="AO439" s="8"/>
      <c r="AP439" s="8"/>
      <c r="AQ439" s="8"/>
      <c r="AR439" s="8"/>
      <c r="AS439" s="8"/>
      <c r="AT439" s="8"/>
      <c r="AU439" s="8"/>
      <c r="AV439" s="8"/>
      <c r="AW439" s="8"/>
      <c r="AX439" s="8"/>
      <c r="AY439" s="8"/>
      <c r="AZ439" s="8"/>
      <c r="BA439" s="8"/>
      <c r="BB439" s="8"/>
      <c r="BC439" s="8"/>
      <c r="BD439" s="8"/>
      <c r="BE439" s="8"/>
      <c r="BF439" s="8"/>
      <c r="BG439" s="8"/>
      <c r="BH439" s="8"/>
    </row>
    <row r="440" spans="1:60" ht="14.25" customHeight="1">
      <c r="A440" s="619"/>
      <c r="B440" s="253"/>
      <c r="C440" s="258"/>
      <c r="D440" s="259"/>
      <c r="E440" s="270"/>
      <c r="F440" s="270"/>
      <c r="G440" s="270"/>
      <c r="H440" s="324"/>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c r="AL440" s="619"/>
      <c r="AM440" s="8"/>
      <c r="AN440" s="8"/>
      <c r="AO440" s="8"/>
      <c r="AP440" s="8"/>
      <c r="AQ440" s="8"/>
      <c r="AR440" s="8"/>
      <c r="AS440" s="8"/>
      <c r="AT440" s="8"/>
      <c r="AU440" s="8"/>
      <c r="AV440" s="8"/>
      <c r="AW440" s="8"/>
      <c r="AX440" s="8"/>
      <c r="AY440" s="8"/>
      <c r="AZ440" s="8"/>
      <c r="BA440" s="8"/>
      <c r="BB440" s="8"/>
      <c r="BC440" s="8"/>
      <c r="BD440" s="8"/>
      <c r="BE440" s="8"/>
      <c r="BF440" s="8"/>
      <c r="BG440" s="8"/>
      <c r="BH440" s="8"/>
    </row>
    <row r="441" spans="1:60" ht="14.25" customHeight="1">
      <c r="A441" s="619"/>
      <c r="B441" s="253"/>
      <c r="C441" s="258"/>
      <c r="D441" s="281" t="s">
        <v>314</v>
      </c>
      <c r="E441" s="260">
        <v>2018</v>
      </c>
      <c r="F441" s="260">
        <v>2019</v>
      </c>
      <c r="G441" s="260">
        <v>2020</v>
      </c>
      <c r="H441" s="261">
        <v>2021</v>
      </c>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c r="AL441" s="619"/>
      <c r="AM441" s="8"/>
      <c r="AN441" s="8"/>
      <c r="AO441" s="8"/>
      <c r="AP441" s="8"/>
      <c r="AQ441" s="8"/>
      <c r="AR441" s="8"/>
      <c r="AS441" s="8"/>
      <c r="AT441" s="8"/>
      <c r="AU441" s="8"/>
      <c r="AV441" s="8"/>
      <c r="AW441" s="8"/>
      <c r="AX441" s="8"/>
      <c r="AY441" s="8"/>
      <c r="AZ441" s="8"/>
      <c r="BA441" s="8"/>
      <c r="BB441" s="8"/>
      <c r="BC441" s="8"/>
      <c r="BD441" s="8"/>
      <c r="BE441" s="8"/>
      <c r="BF441" s="8"/>
      <c r="BG441" s="8"/>
      <c r="BH441" s="8"/>
    </row>
    <row r="442" spans="1:60" ht="14.25" customHeight="1">
      <c r="A442" s="619"/>
      <c r="B442" s="253"/>
      <c r="C442" s="258"/>
      <c r="D442" s="262" t="s">
        <v>303</v>
      </c>
      <c r="E442" s="370">
        <f t="shared" ref="E442:H442" si="290">ROUND(0.99*E248,4)</f>
        <v>0</v>
      </c>
      <c r="F442" s="370">
        <f t="shared" si="290"/>
        <v>0</v>
      </c>
      <c r="G442" s="370">
        <f t="shared" si="290"/>
        <v>0</v>
      </c>
      <c r="H442" s="370">
        <f t="shared" si="290"/>
        <v>0</v>
      </c>
      <c r="I442" s="370">
        <f t="shared" ref="I442:AK442" si="291">0.98*I248</f>
        <v>0</v>
      </c>
      <c r="J442" s="370">
        <f t="shared" si="291"/>
        <v>0</v>
      </c>
      <c r="K442" s="370">
        <f t="shared" si="291"/>
        <v>0</v>
      </c>
      <c r="L442" s="370">
        <f t="shared" si="291"/>
        <v>0</v>
      </c>
      <c r="M442" s="370">
        <f t="shared" si="291"/>
        <v>0</v>
      </c>
      <c r="N442" s="370">
        <f t="shared" si="291"/>
        <v>0</v>
      </c>
      <c r="O442" s="370">
        <f t="shared" si="291"/>
        <v>0</v>
      </c>
      <c r="P442" s="370">
        <f t="shared" si="291"/>
        <v>0</v>
      </c>
      <c r="Q442" s="370">
        <f t="shared" si="291"/>
        <v>0</v>
      </c>
      <c r="R442" s="370">
        <f t="shared" si="291"/>
        <v>0</v>
      </c>
      <c r="S442" s="370">
        <f t="shared" si="291"/>
        <v>0</v>
      </c>
      <c r="T442" s="370">
        <f t="shared" si="291"/>
        <v>0</v>
      </c>
      <c r="U442" s="370">
        <f t="shared" si="291"/>
        <v>0</v>
      </c>
      <c r="V442" s="370">
        <f t="shared" si="291"/>
        <v>0</v>
      </c>
      <c r="W442" s="370">
        <f t="shared" si="291"/>
        <v>0</v>
      </c>
      <c r="X442" s="370">
        <f t="shared" si="291"/>
        <v>0</v>
      </c>
      <c r="Y442" s="370">
        <f t="shared" si="291"/>
        <v>0</v>
      </c>
      <c r="Z442" s="370">
        <f t="shared" si="291"/>
        <v>0</v>
      </c>
      <c r="AA442" s="370">
        <f t="shared" si="291"/>
        <v>0</v>
      </c>
      <c r="AB442" s="370">
        <f t="shared" si="291"/>
        <v>0</v>
      </c>
      <c r="AC442" s="370">
        <f t="shared" si="291"/>
        <v>0</v>
      </c>
      <c r="AD442" s="370">
        <f t="shared" si="291"/>
        <v>0</v>
      </c>
      <c r="AE442" s="370">
        <f t="shared" si="291"/>
        <v>0</v>
      </c>
      <c r="AF442" s="370">
        <f t="shared" si="291"/>
        <v>0</v>
      </c>
      <c r="AG442" s="370">
        <f t="shared" si="291"/>
        <v>0</v>
      </c>
      <c r="AH442" s="370">
        <f t="shared" si="291"/>
        <v>0</v>
      </c>
      <c r="AI442" s="370">
        <f t="shared" si="291"/>
        <v>0</v>
      </c>
      <c r="AJ442" s="370">
        <f t="shared" si="291"/>
        <v>0</v>
      </c>
      <c r="AK442" s="370">
        <f t="shared" si="291"/>
        <v>0</v>
      </c>
      <c r="AL442" s="619"/>
      <c r="AM442" s="8"/>
      <c r="AN442" s="8"/>
      <c r="AO442" s="8"/>
      <c r="AP442" s="8"/>
      <c r="AQ442" s="8"/>
      <c r="AR442" s="8"/>
      <c r="AS442" s="8"/>
      <c r="AT442" s="8"/>
      <c r="AU442" s="8"/>
      <c r="AV442" s="8"/>
      <c r="AW442" s="8"/>
      <c r="AX442" s="8"/>
      <c r="AY442" s="8"/>
      <c r="AZ442" s="8"/>
      <c r="BA442" s="8"/>
      <c r="BB442" s="8"/>
      <c r="BC442" s="8"/>
      <c r="BD442" s="8"/>
      <c r="BE442" s="8"/>
      <c r="BF442" s="8"/>
      <c r="BG442" s="8"/>
      <c r="BH442" s="8"/>
    </row>
    <row r="443" spans="1:60" ht="14.25" customHeight="1">
      <c r="A443" s="619"/>
      <c r="B443" s="253"/>
      <c r="C443" s="258"/>
      <c r="D443" s="262" t="s">
        <v>136</v>
      </c>
      <c r="E443" s="370">
        <f t="shared" ref="E443:H443" si="292">ROUND(0.99*E249,4)</f>
        <v>2.3400000000000001E-2</v>
      </c>
      <c r="F443" s="370">
        <f t="shared" si="292"/>
        <v>1.9800000000000002E-2</v>
      </c>
      <c r="G443" s="370">
        <f t="shared" si="292"/>
        <v>1.95E-2</v>
      </c>
      <c r="H443" s="370">
        <f t="shared" si="292"/>
        <v>6.8999999999999999E-3</v>
      </c>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c r="AF443" s="418"/>
      <c r="AG443" s="418"/>
      <c r="AH443" s="418"/>
      <c r="AI443" s="418"/>
      <c r="AJ443" s="418"/>
      <c r="AK443" s="418"/>
      <c r="AL443" s="619"/>
      <c r="AM443" s="8"/>
      <c r="AN443" s="8"/>
      <c r="AO443" s="8"/>
      <c r="AP443" s="8"/>
      <c r="AQ443" s="8"/>
      <c r="AR443" s="8"/>
      <c r="AS443" s="8"/>
      <c r="AT443" s="8"/>
      <c r="AU443" s="8"/>
      <c r="AV443" s="8"/>
      <c r="AW443" s="8"/>
      <c r="AX443" s="8"/>
      <c r="AY443" s="8"/>
      <c r="AZ443" s="8"/>
      <c r="BA443" s="8"/>
      <c r="BB443" s="8"/>
      <c r="BC443" s="8"/>
      <c r="BD443" s="8"/>
      <c r="BE443" s="8"/>
      <c r="BF443" s="8"/>
      <c r="BG443" s="8"/>
      <c r="BH443" s="8"/>
    </row>
    <row r="444" spans="1:60" ht="14.25" customHeight="1">
      <c r="A444" s="619"/>
      <c r="B444" s="253"/>
      <c r="C444" s="258" t="s">
        <v>187</v>
      </c>
      <c r="D444" s="285" t="s">
        <v>188</v>
      </c>
      <c r="E444" s="370">
        <f t="shared" ref="E444:H444" si="293">ROUND(0.99*E250,4)</f>
        <v>2.3400000000000001E-2</v>
      </c>
      <c r="F444" s="370">
        <f t="shared" si="293"/>
        <v>1.9800000000000002E-2</v>
      </c>
      <c r="G444" s="370">
        <f t="shared" si="293"/>
        <v>1.95E-2</v>
      </c>
      <c r="H444" s="370">
        <f t="shared" si="293"/>
        <v>6.8999999999999999E-3</v>
      </c>
      <c r="I444" s="370">
        <f t="shared" ref="I444:AK444" si="294">0.98*I250</f>
        <v>2.5032941665453091E-2</v>
      </c>
      <c r="J444" s="370">
        <f t="shared" si="294"/>
        <v>2.5656274336524211E-2</v>
      </c>
      <c r="K444" s="370">
        <f t="shared" si="294"/>
        <v>2.6279607007595317E-2</v>
      </c>
      <c r="L444" s="370">
        <f t="shared" si="294"/>
        <v>2.6902939678666447E-2</v>
      </c>
      <c r="M444" s="370">
        <f t="shared" si="294"/>
        <v>2.7526272349737566E-2</v>
      </c>
      <c r="N444" s="370">
        <f t="shared" si="294"/>
        <v>2.8149605020808686E-2</v>
      </c>
      <c r="O444" s="370">
        <f t="shared" si="294"/>
        <v>2.8772937691879805E-2</v>
      </c>
      <c r="P444" s="370">
        <f t="shared" si="294"/>
        <v>2.9396270362950921E-2</v>
      </c>
      <c r="Q444" s="370">
        <f t="shared" si="294"/>
        <v>3.0019603034022034E-2</v>
      </c>
      <c r="R444" s="370">
        <f t="shared" si="294"/>
        <v>3.0256758513020583E-2</v>
      </c>
      <c r="S444" s="370">
        <f t="shared" si="294"/>
        <v>3.0493913992019124E-2</v>
      </c>
      <c r="T444" s="370">
        <f t="shared" si="294"/>
        <v>3.0731069471017676E-2</v>
      </c>
      <c r="U444" s="370">
        <f t="shared" si="294"/>
        <v>3.0968224950016221E-2</v>
      </c>
      <c r="V444" s="370">
        <f t="shared" si="294"/>
        <v>3.1205380429014766E-2</v>
      </c>
      <c r="W444" s="370">
        <f t="shared" si="294"/>
        <v>3.1442535908013304E-2</v>
      </c>
      <c r="X444" s="370">
        <f t="shared" si="294"/>
        <v>3.1679691387011842E-2</v>
      </c>
      <c r="Y444" s="370">
        <f t="shared" si="294"/>
        <v>3.1916846866010401E-2</v>
      </c>
      <c r="Z444" s="370">
        <f t="shared" si="294"/>
        <v>3.2154002345008939E-2</v>
      </c>
      <c r="AA444" s="370">
        <f t="shared" si="294"/>
        <v>3.2391157824007477E-2</v>
      </c>
      <c r="AB444" s="370">
        <f t="shared" si="294"/>
        <v>3.2423549391851325E-2</v>
      </c>
      <c r="AC444" s="370">
        <f t="shared" si="294"/>
        <v>3.245594095969518E-2</v>
      </c>
      <c r="AD444" s="370">
        <f t="shared" si="294"/>
        <v>3.2488332527539042E-2</v>
      </c>
      <c r="AE444" s="370">
        <f t="shared" si="294"/>
        <v>3.2520724095382897E-2</v>
      </c>
      <c r="AF444" s="370">
        <f t="shared" si="294"/>
        <v>3.2553115663226752E-2</v>
      </c>
      <c r="AG444" s="370">
        <f t="shared" si="294"/>
        <v>3.25855072310706E-2</v>
      </c>
      <c r="AH444" s="370">
        <f t="shared" si="294"/>
        <v>3.2617898798914462E-2</v>
      </c>
      <c r="AI444" s="370">
        <f t="shared" si="294"/>
        <v>3.2650290366758317E-2</v>
      </c>
      <c r="AJ444" s="370">
        <f t="shared" si="294"/>
        <v>3.2682681934602179E-2</v>
      </c>
      <c r="AK444" s="370">
        <f t="shared" si="294"/>
        <v>3.2715073502446013E-2</v>
      </c>
      <c r="AL444" s="619"/>
      <c r="AM444" s="8"/>
      <c r="AN444" s="8"/>
      <c r="AO444" s="8"/>
      <c r="AP444" s="8"/>
      <c r="AQ444" s="8"/>
      <c r="AR444" s="8"/>
      <c r="AS444" s="8"/>
      <c r="AT444" s="8"/>
      <c r="AU444" s="8"/>
      <c r="AV444" s="8"/>
      <c r="AW444" s="8"/>
      <c r="AX444" s="8"/>
      <c r="AY444" s="8"/>
      <c r="AZ444" s="8"/>
      <c r="BA444" s="8"/>
      <c r="BB444" s="8"/>
      <c r="BC444" s="8"/>
      <c r="BD444" s="8"/>
      <c r="BE444" s="8"/>
      <c r="BF444" s="8"/>
      <c r="BG444" s="8"/>
      <c r="BH444" s="8"/>
    </row>
    <row r="445" spans="1:60" ht="14.25" customHeight="1">
      <c r="A445" s="619"/>
      <c r="B445" s="253"/>
      <c r="C445" s="258"/>
      <c r="D445" s="262" t="s">
        <v>137</v>
      </c>
      <c r="E445" s="370">
        <f t="shared" ref="E445:H445" si="295">ROUND(0.99*E251,4)</f>
        <v>5.8500000000000003E-2</v>
      </c>
      <c r="F445" s="370">
        <f t="shared" si="295"/>
        <v>7.6399999999999996E-2</v>
      </c>
      <c r="G445" s="370">
        <f t="shared" si="295"/>
        <v>7.2700000000000001E-2</v>
      </c>
      <c r="H445" s="370">
        <f t="shared" si="295"/>
        <v>6.8000000000000005E-2</v>
      </c>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c r="AF445" s="418"/>
      <c r="AG445" s="418"/>
      <c r="AH445" s="418"/>
      <c r="AI445" s="418"/>
      <c r="AJ445" s="418"/>
      <c r="AK445" s="418"/>
      <c r="AL445" s="619"/>
      <c r="AM445" s="8"/>
      <c r="AN445" s="8"/>
      <c r="AO445" s="8"/>
      <c r="AP445" s="8"/>
      <c r="AQ445" s="8"/>
      <c r="AR445" s="8"/>
      <c r="AS445" s="8"/>
      <c r="AT445" s="8"/>
      <c r="AU445" s="8"/>
      <c r="AV445" s="8"/>
      <c r="AW445" s="8"/>
      <c r="AX445" s="8"/>
      <c r="AY445" s="8"/>
      <c r="AZ445" s="8"/>
      <c r="BA445" s="8"/>
      <c r="BB445" s="8"/>
      <c r="BC445" s="8"/>
      <c r="BD445" s="8"/>
      <c r="BE445" s="8"/>
      <c r="BF445" s="8"/>
      <c r="BG445" s="8"/>
      <c r="BH445" s="8"/>
    </row>
    <row r="446" spans="1:60" ht="14.25" customHeight="1">
      <c r="A446" s="619"/>
      <c r="B446" s="253"/>
      <c r="C446" s="258"/>
      <c r="D446" s="266" t="s">
        <v>189</v>
      </c>
      <c r="E446" s="370">
        <f t="shared" ref="E446:H446" si="296">ROUND(0.99*E252,4)</f>
        <v>5.8500000000000003E-2</v>
      </c>
      <c r="F446" s="370">
        <f t="shared" si="296"/>
        <v>7.6399999999999996E-2</v>
      </c>
      <c r="G446" s="370">
        <f t="shared" si="296"/>
        <v>7.2700000000000001E-2</v>
      </c>
      <c r="H446" s="370">
        <f t="shared" si="296"/>
        <v>6.8000000000000005E-2</v>
      </c>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c r="AF446" s="418"/>
      <c r="AG446" s="418"/>
      <c r="AH446" s="418"/>
      <c r="AI446" s="418"/>
      <c r="AJ446" s="418"/>
      <c r="AK446" s="418"/>
      <c r="AL446" s="619"/>
      <c r="AM446" s="8"/>
      <c r="AN446" s="8"/>
      <c r="AO446" s="8"/>
      <c r="AP446" s="8"/>
      <c r="AQ446" s="8"/>
      <c r="AR446" s="8"/>
      <c r="AS446" s="8"/>
      <c r="AT446" s="8"/>
      <c r="AU446" s="8"/>
      <c r="AV446" s="8"/>
      <c r="AW446" s="8"/>
      <c r="AX446" s="8"/>
      <c r="AY446" s="8"/>
      <c r="AZ446" s="8"/>
      <c r="BA446" s="8"/>
      <c r="BB446" s="8"/>
      <c r="BC446" s="8"/>
      <c r="BD446" s="8"/>
      <c r="BE446" s="8"/>
      <c r="BF446" s="8"/>
      <c r="BG446" s="8"/>
      <c r="BH446" s="8"/>
    </row>
    <row r="447" spans="1:60" ht="14.25" customHeight="1">
      <c r="A447" s="619"/>
      <c r="B447" s="253"/>
      <c r="C447" s="258"/>
      <c r="D447" s="285" t="s">
        <v>190</v>
      </c>
      <c r="E447" s="370">
        <f t="shared" ref="E447:H447" si="297">ROUND(0.99*E253,4)</f>
        <v>0</v>
      </c>
      <c r="F447" s="370">
        <f t="shared" si="297"/>
        <v>0</v>
      </c>
      <c r="G447" s="370">
        <f t="shared" si="297"/>
        <v>0</v>
      </c>
      <c r="H447" s="370">
        <f t="shared" si="297"/>
        <v>0</v>
      </c>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c r="AF447" s="418"/>
      <c r="AG447" s="418"/>
      <c r="AH447" s="418"/>
      <c r="AI447" s="418"/>
      <c r="AJ447" s="418"/>
      <c r="AK447" s="418"/>
      <c r="AL447" s="619"/>
      <c r="AM447" s="8"/>
      <c r="AN447" s="8"/>
      <c r="AO447" s="8"/>
      <c r="AP447" s="8"/>
      <c r="AQ447" s="8"/>
      <c r="AR447" s="8"/>
      <c r="AS447" s="8"/>
      <c r="AT447" s="8"/>
      <c r="AU447" s="8"/>
      <c r="AV447" s="8"/>
      <c r="AW447" s="8"/>
      <c r="AX447" s="8"/>
      <c r="AY447" s="8"/>
      <c r="AZ447" s="8"/>
      <c r="BA447" s="8"/>
      <c r="BB447" s="8"/>
      <c r="BC447" s="8"/>
      <c r="BD447" s="8"/>
      <c r="BE447" s="8"/>
      <c r="BF447" s="8"/>
      <c r="BG447" s="8"/>
      <c r="BH447" s="8"/>
    </row>
    <row r="448" spans="1:60" ht="14.25" customHeight="1">
      <c r="A448" s="619"/>
      <c r="B448" s="253"/>
      <c r="C448" s="258" t="s">
        <v>191</v>
      </c>
      <c r="D448" s="259" t="s">
        <v>192</v>
      </c>
      <c r="E448" s="370">
        <f t="shared" ref="E448:H448" si="298">ROUND(0.99*E254,4)</f>
        <v>1.7000000000000001E-2</v>
      </c>
      <c r="F448" s="370">
        <f t="shared" si="298"/>
        <v>2.01E-2</v>
      </c>
      <c r="G448" s="370">
        <f t="shared" si="298"/>
        <v>1.7399999999999999E-2</v>
      </c>
      <c r="H448" s="370">
        <f t="shared" si="298"/>
        <v>1.2800000000000001E-2</v>
      </c>
      <c r="I448" s="370">
        <f t="shared" ref="I448:AK448" si="299">0.98*I254</f>
        <v>1.9878316770684395E-2</v>
      </c>
      <c r="J448" s="370">
        <f t="shared" si="299"/>
        <v>2.0209142698978517E-2</v>
      </c>
      <c r="K448" s="370">
        <f t="shared" si="299"/>
        <v>2.0545592147800981E-2</v>
      </c>
      <c r="L448" s="370">
        <f t="shared" si="299"/>
        <v>2.0883278908048277E-2</v>
      </c>
      <c r="M448" s="370">
        <f t="shared" si="299"/>
        <v>2.1225858439199562E-2</v>
      </c>
      <c r="N448" s="370">
        <f t="shared" si="299"/>
        <v>2.1570861252477494E-2</v>
      </c>
      <c r="O448" s="370">
        <f t="shared" si="299"/>
        <v>2.1920294770152213E-2</v>
      </c>
      <c r="P448" s="370">
        <f t="shared" si="299"/>
        <v>2.2272348376058491E-2</v>
      </c>
      <c r="Q448" s="370">
        <f t="shared" si="299"/>
        <v>2.2629578838202814E-2</v>
      </c>
      <c r="R448" s="370">
        <f t="shared" si="299"/>
        <v>2.2987873764671134E-2</v>
      </c>
      <c r="S448" s="370">
        <f t="shared" si="299"/>
        <v>2.3348785356656132E-2</v>
      </c>
      <c r="T448" s="370">
        <f t="shared" si="299"/>
        <v>2.3713234324457343E-2</v>
      </c>
      <c r="U448" s="370">
        <f t="shared" si="299"/>
        <v>2.4080003892939156E-2</v>
      </c>
      <c r="V448" s="370">
        <f t="shared" si="299"/>
        <v>2.4448298280894711E-2</v>
      </c>
      <c r="W448" s="370">
        <f t="shared" si="299"/>
        <v>2.4818629184196812E-2</v>
      </c>
      <c r="X448" s="370">
        <f t="shared" si="299"/>
        <v>2.5189617248753592E-2</v>
      </c>
      <c r="Y448" s="370">
        <f t="shared" si="299"/>
        <v>2.5562357743322859E-2</v>
      </c>
      <c r="Z448" s="370">
        <f t="shared" si="299"/>
        <v>2.5937216898395499E-2</v>
      </c>
      <c r="AA448" s="370">
        <f t="shared" si="299"/>
        <v>2.6311338458414043E-2</v>
      </c>
      <c r="AB448" s="370">
        <f t="shared" si="299"/>
        <v>2.6687428079481781E-2</v>
      </c>
      <c r="AC448" s="370">
        <f t="shared" si="299"/>
        <v>2.7060969489330185E-2</v>
      </c>
      <c r="AD448" s="370">
        <f t="shared" si="299"/>
        <v>2.7434531435467806E-2</v>
      </c>
      <c r="AE448" s="370">
        <f t="shared" si="299"/>
        <v>2.780367123399579E-2</v>
      </c>
      <c r="AF448" s="370">
        <f t="shared" si="299"/>
        <v>2.8168738001830711E-2</v>
      </c>
      <c r="AG448" s="370">
        <f t="shared" si="299"/>
        <v>2.8529223465814622E-2</v>
      </c>
      <c r="AH448" s="370">
        <f t="shared" si="299"/>
        <v>2.8883907428097058E-2</v>
      </c>
      <c r="AI448" s="370">
        <f t="shared" si="299"/>
        <v>2.9232615330219747E-2</v>
      </c>
      <c r="AJ448" s="370">
        <f t="shared" si="299"/>
        <v>2.9576658071977159E-2</v>
      </c>
      <c r="AK448" s="370">
        <f t="shared" si="299"/>
        <v>2.9914389327517745E-2</v>
      </c>
      <c r="AL448" s="619"/>
      <c r="AM448" s="8"/>
      <c r="AN448" s="8"/>
      <c r="AO448" s="8"/>
      <c r="AP448" s="8"/>
      <c r="AQ448" s="8"/>
      <c r="AR448" s="8"/>
      <c r="AS448" s="8"/>
      <c r="AT448" s="8"/>
      <c r="AU448" s="8"/>
      <c r="AV448" s="8"/>
      <c r="AW448" s="8"/>
      <c r="AX448" s="8"/>
      <c r="AY448" s="8"/>
      <c r="AZ448" s="8"/>
      <c r="BA448" s="8"/>
      <c r="BB448" s="8"/>
      <c r="BC448" s="8"/>
      <c r="BD448" s="8"/>
      <c r="BE448" s="8"/>
      <c r="BF448" s="8"/>
      <c r="BG448" s="8"/>
      <c r="BH448" s="8"/>
    </row>
    <row r="449" spans="1:39" ht="14.25" customHeight="1">
      <c r="A449" s="619"/>
      <c r="B449" s="253"/>
      <c r="C449" s="258" t="s">
        <v>193</v>
      </c>
      <c r="D449" s="259" t="s">
        <v>194</v>
      </c>
      <c r="E449" s="370">
        <f t="shared" ref="E449:H449" si="300">ROUND(0.99*E255,4)</f>
        <v>3.6499999999999998E-2</v>
      </c>
      <c r="F449" s="370">
        <f t="shared" si="300"/>
        <v>4.1000000000000002E-2</v>
      </c>
      <c r="G449" s="370">
        <f t="shared" si="300"/>
        <v>5.4899999999999997E-2</v>
      </c>
      <c r="H449" s="370">
        <f t="shared" si="300"/>
        <v>5.4300000000000001E-2</v>
      </c>
      <c r="I449" s="370">
        <f t="shared" ref="I449:AK449" si="301">0.98*I255</f>
        <v>4.963894323128306E-2</v>
      </c>
      <c r="J449" s="370">
        <f t="shared" si="301"/>
        <v>5.0465061944626376E-2</v>
      </c>
      <c r="K449" s="370">
        <f t="shared" si="301"/>
        <v>5.1305223376952716E-2</v>
      </c>
      <c r="L449" s="370">
        <f t="shared" si="301"/>
        <v>5.2148474549335272E-2</v>
      </c>
      <c r="M449" s="370">
        <f t="shared" si="301"/>
        <v>5.3003943656462923E-2</v>
      </c>
      <c r="N449" s="370">
        <f t="shared" si="301"/>
        <v>5.3865464038721458E-2</v>
      </c>
      <c r="O449" s="370">
        <f t="shared" si="301"/>
        <v>5.473804851089082E-2</v>
      </c>
      <c r="P449" s="370">
        <f t="shared" si="301"/>
        <v>5.5617175710620449E-2</v>
      </c>
      <c r="Q449" s="370">
        <f t="shared" si="301"/>
        <v>5.6509230245993282E-2</v>
      </c>
      <c r="R449" s="370">
        <f t="shared" si="301"/>
        <v>5.7403942897984353E-2</v>
      </c>
      <c r="S449" s="370">
        <f t="shared" si="301"/>
        <v>5.8305189730536888E-2</v>
      </c>
      <c r="T449" s="370">
        <f t="shared" si="301"/>
        <v>5.9215269886320712E-2</v>
      </c>
      <c r="U449" s="370">
        <f t="shared" si="301"/>
        <v>6.0131144907272172E-2</v>
      </c>
      <c r="V449" s="370">
        <f t="shared" si="301"/>
        <v>6.1050827616176737E-2</v>
      </c>
      <c r="W449" s="370">
        <f t="shared" si="301"/>
        <v>6.1975595789350892E-2</v>
      </c>
      <c r="X449" s="370">
        <f t="shared" si="301"/>
        <v>6.2902004986289325E-2</v>
      </c>
      <c r="Y449" s="370">
        <f t="shared" si="301"/>
        <v>6.3832790246599228E-2</v>
      </c>
      <c r="Z449" s="370">
        <f t="shared" si="301"/>
        <v>6.4768866099149225E-2</v>
      </c>
      <c r="AA449" s="370">
        <f t="shared" si="301"/>
        <v>6.5703100073463763E-2</v>
      </c>
      <c r="AB449" s="370">
        <f t="shared" si="301"/>
        <v>6.6642248572072446E-2</v>
      </c>
      <c r="AC449" s="370">
        <f t="shared" si="301"/>
        <v>6.7575033830095096E-2</v>
      </c>
      <c r="AD449" s="370">
        <f t="shared" si="301"/>
        <v>6.8507870370110344E-2</v>
      </c>
      <c r="AE449" s="370">
        <f t="shared" si="301"/>
        <v>6.9429664187711695E-2</v>
      </c>
      <c r="AF449" s="370">
        <f t="shared" si="301"/>
        <v>7.0341287076773937E-2</v>
      </c>
      <c r="AG449" s="370">
        <f t="shared" si="301"/>
        <v>7.1241469807979296E-2</v>
      </c>
      <c r="AH449" s="370">
        <f t="shared" si="301"/>
        <v>7.2127165376265526E-2</v>
      </c>
      <c r="AI449" s="370">
        <f t="shared" si="301"/>
        <v>7.2997937884695163E-2</v>
      </c>
      <c r="AJ449" s="370">
        <f t="shared" si="301"/>
        <v>7.3857060833797991E-2</v>
      </c>
      <c r="AK449" s="370">
        <f t="shared" si="301"/>
        <v>7.4700423117164599E-2</v>
      </c>
      <c r="AL449" s="619"/>
      <c r="AM449" s="8"/>
    </row>
    <row r="450" spans="1:39" ht="14.25" customHeight="1">
      <c r="A450" s="619"/>
      <c r="B450" s="253"/>
      <c r="C450" s="258"/>
      <c r="D450" s="285" t="s">
        <v>195</v>
      </c>
      <c r="E450" s="370">
        <f t="shared" ref="E450:H450" si="302">ROUND(0.99*E256,4)</f>
        <v>0</v>
      </c>
      <c r="F450" s="370">
        <f t="shared" si="302"/>
        <v>0</v>
      </c>
      <c r="G450" s="370">
        <f t="shared" si="302"/>
        <v>0</v>
      </c>
      <c r="H450" s="370">
        <f t="shared" si="302"/>
        <v>0</v>
      </c>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619"/>
      <c r="AM450" s="8"/>
    </row>
    <row r="451" spans="1:39" ht="14.25" customHeight="1">
      <c r="A451" s="619"/>
      <c r="B451" s="253"/>
      <c r="C451" s="258" t="s">
        <v>196</v>
      </c>
      <c r="D451" s="259" t="s">
        <v>192</v>
      </c>
      <c r="E451" s="370">
        <f t="shared" ref="E451:H451" si="303">ROUND(0.99*E257,4)</f>
        <v>4.8999999999999998E-3</v>
      </c>
      <c r="F451" s="370">
        <f t="shared" si="303"/>
        <v>1.5299999999999999E-2</v>
      </c>
      <c r="G451" s="370">
        <f t="shared" si="303"/>
        <v>4.0000000000000002E-4</v>
      </c>
      <c r="H451" s="370">
        <f t="shared" si="303"/>
        <v>8.9999999999999998E-4</v>
      </c>
      <c r="I451" s="370">
        <f t="shared" ref="I451:AK451" si="304">0.98*I257</f>
        <v>4.16536462231341E-4</v>
      </c>
      <c r="J451" s="370">
        <f t="shared" si="304"/>
        <v>4.16536462231341E-4</v>
      </c>
      <c r="K451" s="370">
        <f t="shared" si="304"/>
        <v>4.16536462231341E-4</v>
      </c>
      <c r="L451" s="370">
        <f t="shared" si="304"/>
        <v>4.16536462231341E-4</v>
      </c>
      <c r="M451" s="370">
        <f t="shared" si="304"/>
        <v>4.16536462231341E-4</v>
      </c>
      <c r="N451" s="370">
        <f t="shared" si="304"/>
        <v>4.16536462231341E-4</v>
      </c>
      <c r="O451" s="370">
        <f t="shared" si="304"/>
        <v>4.16536462231341E-4</v>
      </c>
      <c r="P451" s="370">
        <f t="shared" si="304"/>
        <v>4.16536462231341E-4</v>
      </c>
      <c r="Q451" s="370">
        <f t="shared" si="304"/>
        <v>4.16536462231341E-4</v>
      </c>
      <c r="R451" s="370">
        <f t="shared" si="304"/>
        <v>4.16536462231341E-4</v>
      </c>
      <c r="S451" s="370">
        <f t="shared" si="304"/>
        <v>4.16536462231341E-4</v>
      </c>
      <c r="T451" s="370">
        <f t="shared" si="304"/>
        <v>4.16536462231341E-4</v>
      </c>
      <c r="U451" s="370">
        <f t="shared" si="304"/>
        <v>4.16536462231341E-4</v>
      </c>
      <c r="V451" s="370">
        <f t="shared" si="304"/>
        <v>4.16536462231341E-4</v>
      </c>
      <c r="W451" s="370">
        <f t="shared" si="304"/>
        <v>4.16536462231341E-4</v>
      </c>
      <c r="X451" s="370">
        <f t="shared" si="304"/>
        <v>4.16536462231341E-4</v>
      </c>
      <c r="Y451" s="370">
        <f t="shared" si="304"/>
        <v>4.16536462231341E-4</v>
      </c>
      <c r="Z451" s="370">
        <f t="shared" si="304"/>
        <v>4.16536462231341E-4</v>
      </c>
      <c r="AA451" s="370">
        <f t="shared" si="304"/>
        <v>4.16536462231341E-4</v>
      </c>
      <c r="AB451" s="370">
        <f t="shared" si="304"/>
        <v>4.16536462231341E-4</v>
      </c>
      <c r="AC451" s="370">
        <f t="shared" si="304"/>
        <v>4.16536462231341E-4</v>
      </c>
      <c r="AD451" s="370">
        <f t="shared" si="304"/>
        <v>4.16536462231341E-4</v>
      </c>
      <c r="AE451" s="370">
        <f t="shared" si="304"/>
        <v>4.16536462231341E-4</v>
      </c>
      <c r="AF451" s="370">
        <f t="shared" si="304"/>
        <v>4.16536462231341E-4</v>
      </c>
      <c r="AG451" s="370">
        <f t="shared" si="304"/>
        <v>4.16536462231341E-4</v>
      </c>
      <c r="AH451" s="370">
        <f t="shared" si="304"/>
        <v>4.16536462231341E-4</v>
      </c>
      <c r="AI451" s="370">
        <f t="shared" si="304"/>
        <v>4.16536462231341E-4</v>
      </c>
      <c r="AJ451" s="370">
        <f t="shared" si="304"/>
        <v>4.16536462231341E-4</v>
      </c>
      <c r="AK451" s="370">
        <f t="shared" si="304"/>
        <v>4.16536462231341E-4</v>
      </c>
      <c r="AL451" s="619"/>
      <c r="AM451" s="8"/>
    </row>
    <row r="452" spans="1:39" ht="14.25" customHeight="1">
      <c r="A452" s="619"/>
      <c r="B452" s="253"/>
      <c r="C452" s="258" t="s">
        <v>197</v>
      </c>
      <c r="D452" s="259" t="s">
        <v>194</v>
      </c>
      <c r="E452" s="370">
        <f t="shared" ref="E452:H452" si="305">ROUND(0.99*E258,4)</f>
        <v>0</v>
      </c>
      <c r="F452" s="370">
        <f t="shared" si="305"/>
        <v>0</v>
      </c>
      <c r="G452" s="370">
        <f t="shared" si="305"/>
        <v>0</v>
      </c>
      <c r="H452" s="370">
        <f t="shared" si="305"/>
        <v>0</v>
      </c>
      <c r="I452" s="370">
        <f t="shared" ref="I452:AK452" si="306">0.98*I258</f>
        <v>0</v>
      </c>
      <c r="J452" s="370">
        <f t="shared" si="306"/>
        <v>0</v>
      </c>
      <c r="K452" s="370">
        <f t="shared" si="306"/>
        <v>0</v>
      </c>
      <c r="L452" s="370">
        <f t="shared" si="306"/>
        <v>0</v>
      </c>
      <c r="M452" s="370">
        <f t="shared" si="306"/>
        <v>0</v>
      </c>
      <c r="N452" s="370">
        <f t="shared" si="306"/>
        <v>0</v>
      </c>
      <c r="O452" s="370">
        <f t="shared" si="306"/>
        <v>0</v>
      </c>
      <c r="P452" s="370">
        <f t="shared" si="306"/>
        <v>0</v>
      </c>
      <c r="Q452" s="370">
        <f t="shared" si="306"/>
        <v>0</v>
      </c>
      <c r="R452" s="370">
        <f t="shared" si="306"/>
        <v>0</v>
      </c>
      <c r="S452" s="370">
        <f t="shared" si="306"/>
        <v>0</v>
      </c>
      <c r="T452" s="370">
        <f t="shared" si="306"/>
        <v>0</v>
      </c>
      <c r="U452" s="370">
        <f t="shared" si="306"/>
        <v>0</v>
      </c>
      <c r="V452" s="370">
        <f t="shared" si="306"/>
        <v>0</v>
      </c>
      <c r="W452" s="370">
        <f t="shared" si="306"/>
        <v>0</v>
      </c>
      <c r="X452" s="370">
        <f t="shared" si="306"/>
        <v>0</v>
      </c>
      <c r="Y452" s="370">
        <f t="shared" si="306"/>
        <v>0</v>
      </c>
      <c r="Z452" s="370">
        <f t="shared" si="306"/>
        <v>0</v>
      </c>
      <c r="AA452" s="370">
        <f t="shared" si="306"/>
        <v>0</v>
      </c>
      <c r="AB452" s="370">
        <f t="shared" si="306"/>
        <v>0</v>
      </c>
      <c r="AC452" s="370">
        <f t="shared" si="306"/>
        <v>0</v>
      </c>
      <c r="AD452" s="370">
        <f t="shared" si="306"/>
        <v>0</v>
      </c>
      <c r="AE452" s="370">
        <f t="shared" si="306"/>
        <v>0</v>
      </c>
      <c r="AF452" s="370">
        <f t="shared" si="306"/>
        <v>0</v>
      </c>
      <c r="AG452" s="370">
        <f t="shared" si="306"/>
        <v>0</v>
      </c>
      <c r="AH452" s="370">
        <f t="shared" si="306"/>
        <v>0</v>
      </c>
      <c r="AI452" s="370">
        <f t="shared" si="306"/>
        <v>0</v>
      </c>
      <c r="AJ452" s="370">
        <f t="shared" si="306"/>
        <v>0</v>
      </c>
      <c r="AK452" s="370">
        <f t="shared" si="306"/>
        <v>0</v>
      </c>
      <c r="AL452" s="619"/>
      <c r="AM452" s="8"/>
    </row>
    <row r="453" spans="1:39" ht="14.25" customHeight="1">
      <c r="A453" s="619"/>
      <c r="B453" s="253"/>
      <c r="C453" s="258"/>
      <c r="D453" s="262" t="s">
        <v>143</v>
      </c>
      <c r="E453" s="370">
        <f t="shared" ref="E453:H453" si="307">ROUND(0.99*E259,4)</f>
        <v>1.18E-2</v>
      </c>
      <c r="F453" s="370">
        <f t="shared" si="307"/>
        <v>1.6E-2</v>
      </c>
      <c r="G453" s="370">
        <f t="shared" si="307"/>
        <v>1.41E-2</v>
      </c>
      <c r="H453" s="370">
        <f t="shared" si="307"/>
        <v>1.2200000000000001E-2</v>
      </c>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c r="AF453" s="418"/>
      <c r="AG453" s="418"/>
      <c r="AH453" s="418"/>
      <c r="AI453" s="418"/>
      <c r="AJ453" s="418"/>
      <c r="AK453" s="418"/>
      <c r="AL453" s="619"/>
      <c r="AM453" s="8"/>
    </row>
    <row r="454" spans="1:39" ht="14.25" customHeight="1">
      <c r="A454" s="619"/>
      <c r="B454" s="253"/>
      <c r="C454" s="258" t="s">
        <v>198</v>
      </c>
      <c r="D454" s="285" t="s">
        <v>188</v>
      </c>
      <c r="E454" s="370">
        <f t="shared" ref="E454:H454" si="308">ROUND(0.99*E260,4)</f>
        <v>2.7000000000000001E-3</v>
      </c>
      <c r="F454" s="370">
        <f t="shared" si="308"/>
        <v>2.5999999999999999E-3</v>
      </c>
      <c r="G454" s="370">
        <f t="shared" si="308"/>
        <v>2.5999999999999999E-3</v>
      </c>
      <c r="H454" s="370">
        <f t="shared" si="308"/>
        <v>2.5999999999999999E-3</v>
      </c>
      <c r="I454" s="370">
        <f t="shared" ref="I454:AK454" si="309">0.98*I260</f>
        <v>2.4656730511153488E-3</v>
      </c>
      <c r="J454" s="370">
        <f t="shared" si="309"/>
        <v>2.5270695337772675E-3</v>
      </c>
      <c r="K454" s="370">
        <f t="shared" si="309"/>
        <v>2.5884660164391862E-3</v>
      </c>
      <c r="L454" s="370">
        <f t="shared" si="309"/>
        <v>2.6498624991011044E-3</v>
      </c>
      <c r="M454" s="370">
        <f t="shared" si="309"/>
        <v>2.7112589817630231E-3</v>
      </c>
      <c r="N454" s="370">
        <f t="shared" si="309"/>
        <v>2.7726554644249418E-3</v>
      </c>
      <c r="O454" s="370">
        <f t="shared" si="309"/>
        <v>2.8340519470868601E-3</v>
      </c>
      <c r="P454" s="370">
        <f t="shared" si="309"/>
        <v>2.8954484297487788E-3</v>
      </c>
      <c r="Q454" s="370">
        <f t="shared" si="309"/>
        <v>2.9568449124106962E-3</v>
      </c>
      <c r="R454" s="370">
        <f t="shared" si="309"/>
        <v>2.9802040477974116E-3</v>
      </c>
      <c r="S454" s="370">
        <f t="shared" si="309"/>
        <v>3.0035631831841275E-3</v>
      </c>
      <c r="T454" s="370">
        <f t="shared" si="309"/>
        <v>3.0269223185708416E-3</v>
      </c>
      <c r="U454" s="370">
        <f t="shared" si="309"/>
        <v>3.050281453957557E-3</v>
      </c>
      <c r="V454" s="370">
        <f t="shared" si="309"/>
        <v>3.0736405893442729E-3</v>
      </c>
      <c r="W454" s="370">
        <f t="shared" si="309"/>
        <v>3.0969997247309879E-3</v>
      </c>
      <c r="X454" s="370">
        <f t="shared" si="309"/>
        <v>3.1203588601177033E-3</v>
      </c>
      <c r="Y454" s="370">
        <f t="shared" si="309"/>
        <v>3.1437179955044183E-3</v>
      </c>
      <c r="Z454" s="370">
        <f t="shared" si="309"/>
        <v>3.1670771308911342E-3</v>
      </c>
      <c r="AA454" s="370">
        <f t="shared" si="309"/>
        <v>3.1904362662778475E-3</v>
      </c>
      <c r="AB454" s="370">
        <f t="shared" si="309"/>
        <v>3.1936267429299062E-3</v>
      </c>
      <c r="AC454" s="370">
        <f t="shared" si="309"/>
        <v>3.1968172195819648E-3</v>
      </c>
      <c r="AD454" s="370">
        <f t="shared" si="309"/>
        <v>3.2000076962340235E-3</v>
      </c>
      <c r="AE454" s="370">
        <f t="shared" si="309"/>
        <v>3.2031981728860809E-3</v>
      </c>
      <c r="AF454" s="370">
        <f t="shared" si="309"/>
        <v>3.2063886495381404E-3</v>
      </c>
      <c r="AG454" s="370">
        <f t="shared" si="309"/>
        <v>3.2095791261901982E-3</v>
      </c>
      <c r="AH454" s="370">
        <f t="shared" si="309"/>
        <v>3.2127696028422569E-3</v>
      </c>
      <c r="AI454" s="370">
        <f t="shared" si="309"/>
        <v>3.2159600794943156E-3</v>
      </c>
      <c r="AJ454" s="370">
        <f t="shared" si="309"/>
        <v>3.2191505561463738E-3</v>
      </c>
      <c r="AK454" s="370">
        <f t="shared" si="309"/>
        <v>3.2223410327984307E-3</v>
      </c>
      <c r="AL454" s="619"/>
      <c r="AM454" s="8"/>
    </row>
    <row r="455" spans="1:39" ht="14.25" customHeight="1">
      <c r="A455" s="619"/>
      <c r="B455" s="253"/>
      <c r="C455" s="258" t="s">
        <v>199</v>
      </c>
      <c r="D455" s="285" t="s">
        <v>190</v>
      </c>
      <c r="E455" s="370">
        <f t="shared" ref="E455:H455" si="310">ROUND(0.99*E261,4)</f>
        <v>9.1000000000000004E-3</v>
      </c>
      <c r="F455" s="370">
        <f t="shared" si="310"/>
        <v>1.34E-2</v>
      </c>
      <c r="G455" s="370">
        <f t="shared" si="310"/>
        <v>1.14E-2</v>
      </c>
      <c r="H455" s="370">
        <f t="shared" si="310"/>
        <v>9.5999999999999992E-3</v>
      </c>
      <c r="I455" s="370">
        <f t="shared" ref="I455:AK455" si="311">0.98*I261</f>
        <v>1.119173893840812E-2</v>
      </c>
      <c r="J455" s="370">
        <f t="shared" si="311"/>
        <v>1.1377998040033093E-2</v>
      </c>
      <c r="K455" s="370">
        <f t="shared" si="311"/>
        <v>1.1567423253476993E-2</v>
      </c>
      <c r="L455" s="370">
        <f t="shared" si="311"/>
        <v>1.1757545088602293E-2</v>
      </c>
      <c r="M455" s="370">
        <f t="shared" si="311"/>
        <v>1.195042161444284E-2</v>
      </c>
      <c r="N455" s="370">
        <f t="shared" si="311"/>
        <v>1.2144662478182229E-2</v>
      </c>
      <c r="O455" s="370">
        <f t="shared" si="311"/>
        <v>1.2341397883461237E-2</v>
      </c>
      <c r="P455" s="370">
        <f t="shared" si="311"/>
        <v>1.2539608430917597E-2</v>
      </c>
      <c r="Q455" s="370">
        <f t="shared" si="311"/>
        <v>1.274073361265644E-2</v>
      </c>
      <c r="R455" s="370">
        <f t="shared" si="311"/>
        <v>1.294245810101469E-2</v>
      </c>
      <c r="S455" s="370">
        <f t="shared" si="311"/>
        <v>1.3145655804519355E-2</v>
      </c>
      <c r="T455" s="370">
        <f t="shared" si="311"/>
        <v>1.3350845094490768E-2</v>
      </c>
      <c r="U455" s="370">
        <f t="shared" si="311"/>
        <v>1.35573409114331E-2</v>
      </c>
      <c r="V455" s="370">
        <f t="shared" si="311"/>
        <v>1.3764695220655003E-2</v>
      </c>
      <c r="W455" s="370">
        <f t="shared" si="311"/>
        <v>1.3973196113280593E-2</v>
      </c>
      <c r="X455" s="370">
        <f t="shared" si="311"/>
        <v>1.4182066995844856E-2</v>
      </c>
      <c r="Y455" s="370">
        <f t="shared" si="311"/>
        <v>1.4391924518245568E-2</v>
      </c>
      <c r="Z455" s="370">
        <f t="shared" si="311"/>
        <v>1.46029748727923E-2</v>
      </c>
      <c r="AA455" s="370">
        <f t="shared" si="311"/>
        <v>1.4813609952173495E-2</v>
      </c>
      <c r="AB455" s="370">
        <f t="shared" si="311"/>
        <v>1.5025353074339765E-2</v>
      </c>
      <c r="AC455" s="370">
        <f t="shared" si="311"/>
        <v>1.5235661521978227E-2</v>
      </c>
      <c r="AD455" s="370">
        <f t="shared" si="311"/>
        <v>1.5445981531802275E-2</v>
      </c>
      <c r="AE455" s="370">
        <f t="shared" si="311"/>
        <v>1.565381181766403E-2</v>
      </c>
      <c r="AF455" s="370">
        <f t="shared" si="311"/>
        <v>1.5859348936718413E-2</v>
      </c>
      <c r="AG455" s="370">
        <f t="shared" si="311"/>
        <v>1.6062306724872216E-2</v>
      </c>
      <c r="AH455" s="370">
        <f t="shared" si="311"/>
        <v>1.6261998195598724E-2</v>
      </c>
      <c r="AI455" s="370">
        <f t="shared" si="311"/>
        <v>1.6458325070320457E-2</v>
      </c>
      <c r="AJ455" s="370">
        <f t="shared" si="311"/>
        <v>1.6652025401883819E-2</v>
      </c>
      <c r="AK455" s="370">
        <f t="shared" si="311"/>
        <v>1.6842172288411218E-2</v>
      </c>
      <c r="AL455" s="619"/>
      <c r="AM455" s="8"/>
    </row>
    <row r="456" spans="1:39" ht="14.25" customHeight="1">
      <c r="A456" s="619"/>
      <c r="B456" s="253"/>
      <c r="C456" s="258"/>
      <c r="D456" s="262" t="s">
        <v>144</v>
      </c>
      <c r="E456" s="370">
        <f t="shared" ref="E456:H456" si="312">ROUND(0.99*E262,4)</f>
        <v>13.681699999999999</v>
      </c>
      <c r="F456" s="370">
        <f t="shared" si="312"/>
        <v>14.5617</v>
      </c>
      <c r="G456" s="370">
        <f t="shared" si="312"/>
        <v>13.953799999999999</v>
      </c>
      <c r="H456" s="370">
        <f t="shared" si="312"/>
        <v>14.2788</v>
      </c>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c r="AF456" s="418"/>
      <c r="AG456" s="418"/>
      <c r="AH456" s="418"/>
      <c r="AI456" s="418"/>
      <c r="AJ456" s="418"/>
      <c r="AK456" s="418"/>
      <c r="AL456" s="619"/>
      <c r="AM456" s="8"/>
    </row>
    <row r="457" spans="1:39" ht="14.25" customHeight="1">
      <c r="A457" s="619"/>
      <c r="B457" s="253"/>
      <c r="C457" s="258"/>
      <c r="D457" s="266" t="s">
        <v>145</v>
      </c>
      <c r="E457" s="370">
        <f t="shared" ref="E457:H457" si="313">ROUND(0.99*E263,4)</f>
        <v>12.4422</v>
      </c>
      <c r="F457" s="370">
        <f t="shared" si="313"/>
        <v>13.4071</v>
      </c>
      <c r="G457" s="370">
        <f t="shared" si="313"/>
        <v>12.9613</v>
      </c>
      <c r="H457" s="370">
        <f t="shared" si="313"/>
        <v>13.0489</v>
      </c>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c r="AF457" s="418"/>
      <c r="AG457" s="418"/>
      <c r="AH457" s="418"/>
      <c r="AI457" s="418"/>
      <c r="AJ457" s="418"/>
      <c r="AK457" s="418"/>
      <c r="AL457" s="619"/>
      <c r="AM457" s="8"/>
    </row>
    <row r="458" spans="1:39" ht="14.25" customHeight="1">
      <c r="A458" s="619"/>
      <c r="B458" s="253"/>
      <c r="C458" s="258"/>
      <c r="D458" s="285" t="s">
        <v>190</v>
      </c>
      <c r="E458" s="370">
        <f t="shared" ref="E458:H458" si="314">ROUND(0.99*E264,4)</f>
        <v>0</v>
      </c>
      <c r="F458" s="370">
        <f t="shared" si="314"/>
        <v>0</v>
      </c>
      <c r="G458" s="370">
        <f t="shared" si="314"/>
        <v>0</v>
      </c>
      <c r="H458" s="370">
        <f t="shared" si="314"/>
        <v>0</v>
      </c>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c r="AF458" s="418"/>
      <c r="AG458" s="418"/>
      <c r="AH458" s="418"/>
      <c r="AI458" s="418"/>
      <c r="AJ458" s="418"/>
      <c r="AK458" s="418"/>
      <c r="AL458" s="619"/>
      <c r="AM458" s="8"/>
    </row>
    <row r="459" spans="1:39" ht="14.25" customHeight="1">
      <c r="A459" s="619"/>
      <c r="B459" s="253"/>
      <c r="C459" s="258" t="s">
        <v>200</v>
      </c>
      <c r="D459" s="281" t="s">
        <v>201</v>
      </c>
      <c r="E459" s="370">
        <f t="shared" ref="E459:H459" si="315">ROUND(0.99*E265,4)</f>
        <v>0.4284</v>
      </c>
      <c r="F459" s="370">
        <f t="shared" si="315"/>
        <v>0.38700000000000001</v>
      </c>
      <c r="G459" s="370">
        <f t="shared" si="315"/>
        <v>0.42599999999999999</v>
      </c>
      <c r="H459" s="370">
        <f t="shared" si="315"/>
        <v>5.3600000000000002E-2</v>
      </c>
      <c r="I459" s="370">
        <f t="shared" ref="I459:AK459" si="316">0.98*I265</f>
        <v>0.43470439689599988</v>
      </c>
      <c r="J459" s="370">
        <f t="shared" si="316"/>
        <v>0.43470439689599988</v>
      </c>
      <c r="K459" s="370">
        <f t="shared" si="316"/>
        <v>0.43470439689599988</v>
      </c>
      <c r="L459" s="370">
        <f t="shared" si="316"/>
        <v>0.43484439210606746</v>
      </c>
      <c r="M459" s="370">
        <f t="shared" si="316"/>
        <v>0.44197779240337665</v>
      </c>
      <c r="N459" s="370">
        <f t="shared" si="316"/>
        <v>0.44916165176163603</v>
      </c>
      <c r="O459" s="370">
        <f t="shared" si="316"/>
        <v>0.45643776995379354</v>
      </c>
      <c r="P459" s="370">
        <f t="shared" si="316"/>
        <v>0.46376844522385691</v>
      </c>
      <c r="Q459" s="370">
        <f t="shared" si="316"/>
        <v>0.47120691615732002</v>
      </c>
      <c r="R459" s="370">
        <f t="shared" si="316"/>
        <v>0.47866755201727385</v>
      </c>
      <c r="S459" s="370">
        <f t="shared" si="316"/>
        <v>0.4861826736852734</v>
      </c>
      <c r="T459" s="370">
        <f t="shared" si="316"/>
        <v>0.49377145275368511</v>
      </c>
      <c r="U459" s="370">
        <f t="shared" si="316"/>
        <v>0.50140855278724406</v>
      </c>
      <c r="V459" s="370">
        <f t="shared" si="316"/>
        <v>0.50907740354347708</v>
      </c>
      <c r="W459" s="370">
        <f t="shared" si="316"/>
        <v>0.51678865986646882</v>
      </c>
      <c r="X459" s="370">
        <f t="shared" si="316"/>
        <v>0.52451360000259994</v>
      </c>
      <c r="Y459" s="370">
        <f t="shared" si="316"/>
        <v>0.53227503030710166</v>
      </c>
      <c r="Z459" s="370">
        <f t="shared" si="316"/>
        <v>0.54008057665500464</v>
      </c>
      <c r="AA459" s="370">
        <f t="shared" si="316"/>
        <v>0.54787076434805626</v>
      </c>
      <c r="AB459" s="370">
        <f t="shared" si="316"/>
        <v>0.55570193221066477</v>
      </c>
      <c r="AC459" s="370">
        <f t="shared" si="316"/>
        <v>0.56348003966242954</v>
      </c>
      <c r="AD459" s="370">
        <f t="shared" si="316"/>
        <v>0.57125857473335517</v>
      </c>
      <c r="AE459" s="370">
        <f t="shared" si="316"/>
        <v>0.57894502914503265</v>
      </c>
      <c r="AF459" s="370">
        <f t="shared" si="316"/>
        <v>0.58654667242319247</v>
      </c>
      <c r="AG459" s="370">
        <f t="shared" si="316"/>
        <v>0.59405292099360973</v>
      </c>
      <c r="AH459" s="370">
        <f t="shared" si="316"/>
        <v>0.60143836715115895</v>
      </c>
      <c r="AI459" s="370">
        <f t="shared" si="316"/>
        <v>0.60869937613297553</v>
      </c>
      <c r="AJ459" s="370">
        <f t="shared" si="316"/>
        <v>0.61586324429547701</v>
      </c>
      <c r="AK459" s="370">
        <f t="shared" si="316"/>
        <v>0.62289569083595631</v>
      </c>
      <c r="AL459" s="619"/>
      <c r="AM459" s="8"/>
    </row>
    <row r="460" spans="1:39" ht="14.25" customHeight="1">
      <c r="A460" s="619"/>
      <c r="B460" s="253"/>
      <c r="C460" s="258"/>
      <c r="D460" s="285" t="s">
        <v>188</v>
      </c>
      <c r="E460" s="370">
        <f t="shared" ref="E460:H460" si="317">ROUND(0.99*E266,4)</f>
        <v>0</v>
      </c>
      <c r="F460" s="370">
        <f t="shared" si="317"/>
        <v>0</v>
      </c>
      <c r="G460" s="370">
        <f t="shared" si="317"/>
        <v>0</v>
      </c>
      <c r="H460" s="370">
        <f t="shared" si="317"/>
        <v>0</v>
      </c>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c r="AF460" s="418"/>
      <c r="AG460" s="418"/>
      <c r="AH460" s="418"/>
      <c r="AI460" s="418"/>
      <c r="AJ460" s="418"/>
      <c r="AK460" s="418"/>
      <c r="AL460" s="619"/>
      <c r="AM460" s="8"/>
    </row>
    <row r="461" spans="1:39" ht="13.5" customHeight="1">
      <c r="A461" s="619"/>
      <c r="B461" s="253"/>
      <c r="C461" s="258" t="s">
        <v>202</v>
      </c>
      <c r="D461" s="281" t="s">
        <v>201</v>
      </c>
      <c r="E461" s="370">
        <f t="shared" ref="E461:H461" si="318">ROUND(0.99*E267,4)</f>
        <v>0.1656</v>
      </c>
      <c r="F461" s="370">
        <f t="shared" si="318"/>
        <v>0.1709</v>
      </c>
      <c r="G461" s="370">
        <f t="shared" si="318"/>
        <v>0.15010000000000001</v>
      </c>
      <c r="H461" s="370">
        <f t="shared" si="318"/>
        <v>0.16569999999999999</v>
      </c>
      <c r="I461" s="370">
        <f t="shared" ref="I461:AK461" si="319">0.98*I267</f>
        <v>0.17464392128761003</v>
      </c>
      <c r="J461" s="370">
        <f t="shared" si="319"/>
        <v>0.17899264160172218</v>
      </c>
      <c r="K461" s="370">
        <f t="shared" si="319"/>
        <v>0.18334136191583431</v>
      </c>
      <c r="L461" s="370">
        <f t="shared" si="319"/>
        <v>0.18769008222994649</v>
      </c>
      <c r="M461" s="370">
        <f t="shared" si="319"/>
        <v>0.19203880254405861</v>
      </c>
      <c r="N461" s="370">
        <f t="shared" si="319"/>
        <v>0.19638752285817079</v>
      </c>
      <c r="O461" s="370">
        <f t="shared" si="319"/>
        <v>0.20073624317228295</v>
      </c>
      <c r="P461" s="370">
        <f t="shared" si="319"/>
        <v>0.2050849634863951</v>
      </c>
      <c r="Q461" s="370">
        <f t="shared" si="319"/>
        <v>0.20943368380050723</v>
      </c>
      <c r="R461" s="370">
        <f t="shared" si="319"/>
        <v>0.21108821419332582</v>
      </c>
      <c r="S461" s="370">
        <f t="shared" si="319"/>
        <v>0.21274274458614437</v>
      </c>
      <c r="T461" s="370">
        <f t="shared" si="319"/>
        <v>0.21439727497896299</v>
      </c>
      <c r="U461" s="370">
        <f t="shared" si="319"/>
        <v>0.21605180537178162</v>
      </c>
      <c r="V461" s="370">
        <f t="shared" si="319"/>
        <v>0.21770633576460019</v>
      </c>
      <c r="W461" s="370">
        <f t="shared" si="319"/>
        <v>0.21936086615741879</v>
      </c>
      <c r="X461" s="370">
        <f t="shared" si="319"/>
        <v>0.22101539655023739</v>
      </c>
      <c r="Y461" s="370">
        <f t="shared" si="319"/>
        <v>0.22266992694305604</v>
      </c>
      <c r="Z461" s="370">
        <f t="shared" si="319"/>
        <v>0.22432445733587464</v>
      </c>
      <c r="AA461" s="370">
        <f t="shared" si="319"/>
        <v>0.22597898772869315</v>
      </c>
      <c r="AB461" s="370">
        <f t="shared" si="319"/>
        <v>0.22620496957695155</v>
      </c>
      <c r="AC461" s="370">
        <f t="shared" si="319"/>
        <v>0.22643095142521003</v>
      </c>
      <c r="AD461" s="370">
        <f t="shared" si="319"/>
        <v>0.22665693327346842</v>
      </c>
      <c r="AE461" s="370">
        <f t="shared" si="319"/>
        <v>0.2268829151217269</v>
      </c>
      <c r="AF461" s="370">
        <f t="shared" si="319"/>
        <v>0.22710889696998535</v>
      </c>
      <c r="AG461" s="370">
        <f t="shared" si="319"/>
        <v>0.22733487881824374</v>
      </c>
      <c r="AH461" s="370">
        <f t="shared" si="319"/>
        <v>0.22756086066650219</v>
      </c>
      <c r="AI461" s="370">
        <f t="shared" si="319"/>
        <v>0.22778684251476056</v>
      </c>
      <c r="AJ461" s="370">
        <f t="shared" si="319"/>
        <v>0.22801282436301909</v>
      </c>
      <c r="AK461" s="370">
        <f t="shared" si="319"/>
        <v>0.22823880621127729</v>
      </c>
      <c r="AL461" s="619"/>
      <c r="AM461" s="8"/>
    </row>
    <row r="462" spans="1:39" ht="14.25" customHeight="1">
      <c r="A462" s="619"/>
      <c r="B462" s="253"/>
      <c r="C462" s="258"/>
      <c r="D462" s="285" t="s">
        <v>203</v>
      </c>
      <c r="E462" s="370">
        <f t="shared" ref="E462:H462" si="320">ROUND(0.99*E268,4)</f>
        <v>0</v>
      </c>
      <c r="F462" s="370">
        <f t="shared" si="320"/>
        <v>0</v>
      </c>
      <c r="G462" s="370">
        <f t="shared" si="320"/>
        <v>0</v>
      </c>
      <c r="H462" s="370">
        <f t="shared" si="320"/>
        <v>0</v>
      </c>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c r="AF462" s="418"/>
      <c r="AG462" s="418"/>
      <c r="AH462" s="418"/>
      <c r="AI462" s="418"/>
      <c r="AJ462" s="418"/>
      <c r="AK462" s="418"/>
      <c r="AL462" s="619"/>
      <c r="AM462" s="8"/>
    </row>
    <row r="463" spans="1:39" ht="14.25" customHeight="1">
      <c r="A463" s="619"/>
      <c r="B463" s="253"/>
      <c r="C463" s="258" t="s">
        <v>204</v>
      </c>
      <c r="D463" s="281" t="s">
        <v>205</v>
      </c>
      <c r="E463" s="370">
        <f t="shared" ref="E463:H463" si="321">ROUND(0.99*E269,4)</f>
        <v>6.1116000000000001</v>
      </c>
      <c r="F463" s="370">
        <f t="shared" si="321"/>
        <v>6.0225</v>
      </c>
      <c r="G463" s="370">
        <f t="shared" si="321"/>
        <v>5.8297999999999996</v>
      </c>
      <c r="H463" s="370">
        <f t="shared" si="321"/>
        <v>6.1805000000000003</v>
      </c>
      <c r="I463" s="370">
        <f t="shared" ref="I463:AK463" si="322">0.98*I269</f>
        <v>5.7506836657653464</v>
      </c>
      <c r="J463" s="370">
        <f t="shared" si="322"/>
        <v>5.7506836657653464</v>
      </c>
      <c r="K463" s="370">
        <f t="shared" si="322"/>
        <v>5.7506836657653464</v>
      </c>
      <c r="L463" s="370">
        <f t="shared" si="322"/>
        <v>5.7506836657653464</v>
      </c>
      <c r="M463" s="370">
        <f t="shared" si="322"/>
        <v>5.7506836657653464</v>
      </c>
      <c r="N463" s="370">
        <f t="shared" si="322"/>
        <v>5.7506836657653464</v>
      </c>
      <c r="O463" s="370">
        <f t="shared" si="322"/>
        <v>5.7506836657653464</v>
      </c>
      <c r="P463" s="370">
        <f t="shared" si="322"/>
        <v>5.7506836657653464</v>
      </c>
      <c r="Q463" s="370">
        <f t="shared" si="322"/>
        <v>5.7506836657653464</v>
      </c>
      <c r="R463" s="370">
        <f t="shared" si="322"/>
        <v>5.7506836657653464</v>
      </c>
      <c r="S463" s="370">
        <f t="shared" si="322"/>
        <v>5.7506836657653464</v>
      </c>
      <c r="T463" s="370">
        <f t="shared" si="322"/>
        <v>5.7506836657653464</v>
      </c>
      <c r="U463" s="370">
        <f t="shared" si="322"/>
        <v>5.7506836657653464</v>
      </c>
      <c r="V463" s="370">
        <f t="shared" si="322"/>
        <v>5.7506836657653464</v>
      </c>
      <c r="W463" s="370">
        <f t="shared" si="322"/>
        <v>5.7506836657653464</v>
      </c>
      <c r="X463" s="370">
        <f t="shared" si="322"/>
        <v>5.7506836657653464</v>
      </c>
      <c r="Y463" s="370">
        <f t="shared" si="322"/>
        <v>5.7506836657653464</v>
      </c>
      <c r="Z463" s="370">
        <f t="shared" si="322"/>
        <v>5.7506836657653464</v>
      </c>
      <c r="AA463" s="370">
        <f t="shared" si="322"/>
        <v>5.7506836657653464</v>
      </c>
      <c r="AB463" s="370">
        <f t="shared" si="322"/>
        <v>5.7506836657653464</v>
      </c>
      <c r="AC463" s="370">
        <f t="shared" si="322"/>
        <v>5.7506836657653464</v>
      </c>
      <c r="AD463" s="370">
        <f t="shared" si="322"/>
        <v>5.7506836657653464</v>
      </c>
      <c r="AE463" s="370">
        <f t="shared" si="322"/>
        <v>5.7506836657653464</v>
      </c>
      <c r="AF463" s="370">
        <f t="shared" si="322"/>
        <v>5.7506836657653464</v>
      </c>
      <c r="AG463" s="370">
        <f t="shared" si="322"/>
        <v>5.7506836657653464</v>
      </c>
      <c r="AH463" s="370">
        <f t="shared" si="322"/>
        <v>5.7506836657653464</v>
      </c>
      <c r="AI463" s="370">
        <f t="shared" si="322"/>
        <v>5.7506836657653464</v>
      </c>
      <c r="AJ463" s="370">
        <f t="shared" si="322"/>
        <v>5.7506836657653464</v>
      </c>
      <c r="AK463" s="370">
        <f t="shared" si="322"/>
        <v>5.7506836657653464</v>
      </c>
      <c r="AL463" s="619"/>
      <c r="AM463" s="8"/>
    </row>
    <row r="464" spans="1:39" ht="14.25" customHeight="1">
      <c r="A464" s="619"/>
      <c r="B464" s="253"/>
      <c r="C464" s="258" t="s">
        <v>206</v>
      </c>
      <c r="D464" s="281" t="s">
        <v>201</v>
      </c>
      <c r="E464" s="370">
        <f t="shared" ref="E464:H464" si="323">ROUND(0.99*E270,4)</f>
        <v>3.3468</v>
      </c>
      <c r="F464" s="370">
        <f t="shared" si="323"/>
        <v>4.5654000000000003</v>
      </c>
      <c r="G464" s="370">
        <f t="shared" si="323"/>
        <v>4.3483999999999998</v>
      </c>
      <c r="H464" s="370">
        <f t="shared" si="323"/>
        <v>4.21</v>
      </c>
      <c r="I464" s="370">
        <f t="shared" ref="I464:AK464" si="324">0.98*I270</f>
        <v>4.1675164635054305</v>
      </c>
      <c r="J464" s="370">
        <f t="shared" si="324"/>
        <v>4.1675164635054305</v>
      </c>
      <c r="K464" s="370">
        <f t="shared" si="324"/>
        <v>4.1675164635054305</v>
      </c>
      <c r="L464" s="370">
        <f t="shared" si="324"/>
        <v>4.1675164635054305</v>
      </c>
      <c r="M464" s="370">
        <f t="shared" si="324"/>
        <v>4.1675164635054305</v>
      </c>
      <c r="N464" s="370">
        <f t="shared" si="324"/>
        <v>4.1675164635054305</v>
      </c>
      <c r="O464" s="370">
        <f t="shared" si="324"/>
        <v>4.1675164635054305</v>
      </c>
      <c r="P464" s="370">
        <f t="shared" si="324"/>
        <v>4.1675164635054305</v>
      </c>
      <c r="Q464" s="370">
        <f t="shared" si="324"/>
        <v>4.1675164635054305</v>
      </c>
      <c r="R464" s="370">
        <f t="shared" si="324"/>
        <v>4.1675164635054305</v>
      </c>
      <c r="S464" s="370">
        <f t="shared" si="324"/>
        <v>4.1675164635054305</v>
      </c>
      <c r="T464" s="370">
        <f t="shared" si="324"/>
        <v>4.1675164635054305</v>
      </c>
      <c r="U464" s="370">
        <f t="shared" si="324"/>
        <v>4.1675164635054305</v>
      </c>
      <c r="V464" s="370">
        <f t="shared" si="324"/>
        <v>4.1675164635054305</v>
      </c>
      <c r="W464" s="370">
        <f t="shared" si="324"/>
        <v>4.1675164635054305</v>
      </c>
      <c r="X464" s="370">
        <f t="shared" si="324"/>
        <v>4.1675164635054305</v>
      </c>
      <c r="Y464" s="370">
        <f t="shared" si="324"/>
        <v>4.1675164635054305</v>
      </c>
      <c r="Z464" s="370">
        <f t="shared" si="324"/>
        <v>4.1675164635054305</v>
      </c>
      <c r="AA464" s="370">
        <f t="shared" si="324"/>
        <v>4.1675164635054305</v>
      </c>
      <c r="AB464" s="370">
        <f t="shared" si="324"/>
        <v>4.1675164635054305</v>
      </c>
      <c r="AC464" s="370">
        <f t="shared" si="324"/>
        <v>4.1675164635054305</v>
      </c>
      <c r="AD464" s="370">
        <f t="shared" si="324"/>
        <v>4.1675164635054305</v>
      </c>
      <c r="AE464" s="370">
        <f t="shared" si="324"/>
        <v>4.1675164635054305</v>
      </c>
      <c r="AF464" s="370">
        <f t="shared" si="324"/>
        <v>4.1675164635054305</v>
      </c>
      <c r="AG464" s="370">
        <f t="shared" si="324"/>
        <v>4.1675164635054305</v>
      </c>
      <c r="AH464" s="370">
        <f t="shared" si="324"/>
        <v>4.1675164635054305</v>
      </c>
      <c r="AI464" s="370">
        <f t="shared" si="324"/>
        <v>4.1675164635054305</v>
      </c>
      <c r="AJ464" s="370">
        <f t="shared" si="324"/>
        <v>4.1675164635054305</v>
      </c>
      <c r="AK464" s="370">
        <f t="shared" si="324"/>
        <v>4.1675164635054305</v>
      </c>
      <c r="AL464" s="619"/>
      <c r="AM464" s="8"/>
    </row>
    <row r="465" spans="1:39" ht="14.25" customHeight="1">
      <c r="A465" s="619"/>
      <c r="B465" s="253"/>
      <c r="C465" s="258" t="s">
        <v>207</v>
      </c>
      <c r="D465" s="281" t="s">
        <v>208</v>
      </c>
      <c r="E465" s="370">
        <f t="shared" ref="E465:H465" si="325">ROUND(0.99*E271,4)</f>
        <v>0.255</v>
      </c>
      <c r="F465" s="370">
        <f t="shared" si="325"/>
        <v>0.23549999999999999</v>
      </c>
      <c r="G465" s="370">
        <f t="shared" si="325"/>
        <v>0.24729999999999999</v>
      </c>
      <c r="H465" s="370">
        <f t="shared" si="325"/>
        <v>0.25280000000000002</v>
      </c>
      <c r="I465" s="370">
        <f t="shared" ref="I465:AK465" si="326">0.98*I271</f>
        <v>0.2447857578142891</v>
      </c>
      <c r="J465" s="370">
        <f t="shared" si="326"/>
        <v>0.2447857578142891</v>
      </c>
      <c r="K465" s="370">
        <f t="shared" si="326"/>
        <v>0.2447857578142891</v>
      </c>
      <c r="L465" s="370">
        <f t="shared" si="326"/>
        <v>0.2447857578142891</v>
      </c>
      <c r="M465" s="370">
        <f t="shared" si="326"/>
        <v>0.2447857578142891</v>
      </c>
      <c r="N465" s="370">
        <f t="shared" si="326"/>
        <v>0.2447857578142891</v>
      </c>
      <c r="O465" s="370">
        <f t="shared" si="326"/>
        <v>0.2447857578142891</v>
      </c>
      <c r="P465" s="370">
        <f t="shared" si="326"/>
        <v>0.2447857578142891</v>
      </c>
      <c r="Q465" s="370">
        <f t="shared" si="326"/>
        <v>0.2447857578142891</v>
      </c>
      <c r="R465" s="370">
        <f t="shared" si="326"/>
        <v>0.2447857578142891</v>
      </c>
      <c r="S465" s="370">
        <f t="shared" si="326"/>
        <v>0.2447857578142891</v>
      </c>
      <c r="T465" s="370">
        <f t="shared" si="326"/>
        <v>0.2447857578142891</v>
      </c>
      <c r="U465" s="370">
        <f t="shared" si="326"/>
        <v>0.2447857578142891</v>
      </c>
      <c r="V465" s="370">
        <f t="shared" si="326"/>
        <v>0.2447857578142891</v>
      </c>
      <c r="W465" s="370">
        <f t="shared" si="326"/>
        <v>0.2447857578142891</v>
      </c>
      <c r="X465" s="370">
        <f t="shared" si="326"/>
        <v>0.2447857578142891</v>
      </c>
      <c r="Y465" s="370">
        <f t="shared" si="326"/>
        <v>0.2447857578142891</v>
      </c>
      <c r="Z465" s="370">
        <f t="shared" si="326"/>
        <v>0.2447857578142891</v>
      </c>
      <c r="AA465" s="370">
        <f t="shared" si="326"/>
        <v>0.2447857578142891</v>
      </c>
      <c r="AB465" s="370">
        <f t="shared" si="326"/>
        <v>0.2447857578142891</v>
      </c>
      <c r="AC465" s="370">
        <f t="shared" si="326"/>
        <v>0.2447857578142891</v>
      </c>
      <c r="AD465" s="370">
        <f t="shared" si="326"/>
        <v>0.2447857578142891</v>
      </c>
      <c r="AE465" s="370">
        <f t="shared" si="326"/>
        <v>0.2447857578142891</v>
      </c>
      <c r="AF465" s="370">
        <f t="shared" si="326"/>
        <v>0.2447857578142891</v>
      </c>
      <c r="AG465" s="370">
        <f t="shared" si="326"/>
        <v>0.2447857578142891</v>
      </c>
      <c r="AH465" s="370">
        <f t="shared" si="326"/>
        <v>0.2447857578142891</v>
      </c>
      <c r="AI465" s="370">
        <f t="shared" si="326"/>
        <v>0.2447857578142891</v>
      </c>
      <c r="AJ465" s="370">
        <f t="shared" si="326"/>
        <v>0.2447857578142891</v>
      </c>
      <c r="AK465" s="370">
        <f t="shared" si="326"/>
        <v>0.2447857578142891</v>
      </c>
      <c r="AL465" s="619"/>
      <c r="AM465" s="8"/>
    </row>
    <row r="466" spans="1:39" ht="14.25" customHeight="1">
      <c r="A466" s="619"/>
      <c r="B466" s="253"/>
      <c r="C466" s="258" t="s">
        <v>209</v>
      </c>
      <c r="D466" s="281" t="s">
        <v>210</v>
      </c>
      <c r="E466" s="370">
        <f t="shared" ref="E466:H466" si="327">ROUND(0.99*E272,4)</f>
        <v>2.1347999999999998</v>
      </c>
      <c r="F466" s="370">
        <f t="shared" si="327"/>
        <v>2.0257999999999998</v>
      </c>
      <c r="G466" s="370">
        <f t="shared" si="327"/>
        <v>1.9597</v>
      </c>
      <c r="H466" s="370">
        <f t="shared" si="327"/>
        <v>2.1863999999999999</v>
      </c>
      <c r="I466" s="370">
        <f t="shared" ref="I466:AK466" si="328">0.98*I272</f>
        <v>1.957712487504361</v>
      </c>
      <c r="J466" s="370">
        <f t="shared" si="328"/>
        <v>1.957712487504361</v>
      </c>
      <c r="K466" s="370">
        <f t="shared" si="328"/>
        <v>1.957712487504361</v>
      </c>
      <c r="L466" s="370">
        <f t="shared" si="328"/>
        <v>1.957712487504361</v>
      </c>
      <c r="M466" s="370">
        <f t="shared" si="328"/>
        <v>1.957712487504361</v>
      </c>
      <c r="N466" s="370">
        <f t="shared" si="328"/>
        <v>1.957712487504361</v>
      </c>
      <c r="O466" s="370">
        <f t="shared" si="328"/>
        <v>1.957712487504361</v>
      </c>
      <c r="P466" s="370">
        <f t="shared" si="328"/>
        <v>1.957712487504361</v>
      </c>
      <c r="Q466" s="370">
        <f t="shared" si="328"/>
        <v>1.957712487504361</v>
      </c>
      <c r="R466" s="370">
        <f t="shared" si="328"/>
        <v>1.957712487504361</v>
      </c>
      <c r="S466" s="370">
        <f t="shared" si="328"/>
        <v>1.957712487504361</v>
      </c>
      <c r="T466" s="370">
        <f t="shared" si="328"/>
        <v>1.957712487504361</v>
      </c>
      <c r="U466" s="370">
        <f t="shared" si="328"/>
        <v>1.957712487504361</v>
      </c>
      <c r="V466" s="370">
        <f t="shared" si="328"/>
        <v>1.957712487504361</v>
      </c>
      <c r="W466" s="370">
        <f t="shared" si="328"/>
        <v>1.957712487504361</v>
      </c>
      <c r="X466" s="370">
        <f t="shared" si="328"/>
        <v>1.957712487504361</v>
      </c>
      <c r="Y466" s="370">
        <f t="shared" si="328"/>
        <v>1.957712487504361</v>
      </c>
      <c r="Z466" s="370">
        <f t="shared" si="328"/>
        <v>1.957712487504361</v>
      </c>
      <c r="AA466" s="370">
        <f t="shared" si="328"/>
        <v>1.957712487504361</v>
      </c>
      <c r="AB466" s="370">
        <f t="shared" si="328"/>
        <v>1.957712487504361</v>
      </c>
      <c r="AC466" s="370">
        <f t="shared" si="328"/>
        <v>1.957712487504361</v>
      </c>
      <c r="AD466" s="370">
        <f t="shared" si="328"/>
        <v>1.957712487504361</v>
      </c>
      <c r="AE466" s="370">
        <f t="shared" si="328"/>
        <v>1.957712487504361</v>
      </c>
      <c r="AF466" s="370">
        <f t="shared" si="328"/>
        <v>1.957712487504361</v>
      </c>
      <c r="AG466" s="370">
        <f t="shared" si="328"/>
        <v>1.957712487504361</v>
      </c>
      <c r="AH466" s="370">
        <f t="shared" si="328"/>
        <v>1.957712487504361</v>
      </c>
      <c r="AI466" s="370">
        <f t="shared" si="328"/>
        <v>1.957712487504361</v>
      </c>
      <c r="AJ466" s="370">
        <f t="shared" si="328"/>
        <v>1.957712487504361</v>
      </c>
      <c r="AK466" s="370">
        <f t="shared" si="328"/>
        <v>1.957712487504361</v>
      </c>
      <c r="AL466" s="619"/>
      <c r="AM466" s="8"/>
    </row>
    <row r="467" spans="1:39" ht="14.25" customHeight="1">
      <c r="A467" s="619"/>
      <c r="B467" s="253"/>
      <c r="C467" s="258"/>
      <c r="D467" s="266" t="s">
        <v>153</v>
      </c>
      <c r="E467" s="370">
        <f t="shared" ref="E467:H467" si="329">ROUND(0.99*E273,4)</f>
        <v>1.1348</v>
      </c>
      <c r="F467" s="370">
        <f t="shared" si="329"/>
        <v>1.0581</v>
      </c>
      <c r="G467" s="370">
        <f t="shared" si="329"/>
        <v>0.97450000000000003</v>
      </c>
      <c r="H467" s="370">
        <f t="shared" si="329"/>
        <v>1.1301000000000001</v>
      </c>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c r="AF467" s="418"/>
      <c r="AG467" s="418"/>
      <c r="AH467" s="418"/>
      <c r="AI467" s="418"/>
      <c r="AJ467" s="418"/>
      <c r="AK467" s="418"/>
      <c r="AL467" s="619"/>
      <c r="AM467" s="8"/>
    </row>
    <row r="468" spans="1:39" ht="14.25" customHeight="1">
      <c r="A468" s="619"/>
      <c r="B468" s="253"/>
      <c r="C468" s="258"/>
      <c r="D468" s="285" t="s">
        <v>203</v>
      </c>
      <c r="E468" s="370">
        <f t="shared" ref="E468:H468" si="330">ROUND(0.99*E274,4)</f>
        <v>0</v>
      </c>
      <c r="F468" s="370">
        <f t="shared" si="330"/>
        <v>0</v>
      </c>
      <c r="G468" s="370">
        <f t="shared" si="330"/>
        <v>0</v>
      </c>
      <c r="H468" s="370">
        <f t="shared" si="330"/>
        <v>0</v>
      </c>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c r="AF468" s="418"/>
      <c r="AG468" s="418"/>
      <c r="AH468" s="418"/>
      <c r="AI468" s="418"/>
      <c r="AJ468" s="418"/>
      <c r="AK468" s="418"/>
      <c r="AL468" s="619"/>
      <c r="AM468" s="8"/>
    </row>
    <row r="469" spans="1:39" ht="14.25" customHeight="1">
      <c r="A469" s="619"/>
      <c r="B469" s="253"/>
      <c r="C469" s="258" t="s">
        <v>211</v>
      </c>
      <c r="D469" s="281" t="s">
        <v>201</v>
      </c>
      <c r="E469" s="370">
        <f t="shared" ref="E469:H469" si="331">ROUND(0.99*E275,4)</f>
        <v>0.55889999999999995</v>
      </c>
      <c r="F469" s="370">
        <f t="shared" si="331"/>
        <v>0.54859999999999998</v>
      </c>
      <c r="G469" s="370">
        <f t="shared" si="331"/>
        <v>0.4889</v>
      </c>
      <c r="H469" s="370">
        <f t="shared" si="331"/>
        <v>0.4985</v>
      </c>
      <c r="I469" s="370">
        <f t="shared" ref="I469:AK469" si="332">0.98*I275</f>
        <v>0.48339200999209281</v>
      </c>
      <c r="J469" s="370">
        <f t="shared" si="332"/>
        <v>0.48339200999209281</v>
      </c>
      <c r="K469" s="370">
        <f t="shared" si="332"/>
        <v>0.48339200999209281</v>
      </c>
      <c r="L469" s="370">
        <f t="shared" si="332"/>
        <v>0.48339200999209281</v>
      </c>
      <c r="M469" s="370">
        <f t="shared" si="332"/>
        <v>0.48339200999209281</v>
      </c>
      <c r="N469" s="370">
        <f t="shared" si="332"/>
        <v>0.48339200999209281</v>
      </c>
      <c r="O469" s="370">
        <f t="shared" si="332"/>
        <v>0.48339200999209281</v>
      </c>
      <c r="P469" s="370">
        <f t="shared" si="332"/>
        <v>0.48339200999209281</v>
      </c>
      <c r="Q469" s="370">
        <f t="shared" si="332"/>
        <v>0.48339200999209281</v>
      </c>
      <c r="R469" s="370">
        <f t="shared" si="332"/>
        <v>0.48339200999209281</v>
      </c>
      <c r="S469" s="370">
        <f t="shared" si="332"/>
        <v>0.48339200999209281</v>
      </c>
      <c r="T469" s="370">
        <f t="shared" si="332"/>
        <v>0.48339200999209281</v>
      </c>
      <c r="U469" s="370">
        <f t="shared" si="332"/>
        <v>0.48339200999209281</v>
      </c>
      <c r="V469" s="370">
        <f t="shared" si="332"/>
        <v>0.48339200999209281</v>
      </c>
      <c r="W469" s="370">
        <f t="shared" si="332"/>
        <v>0.48339200999209281</v>
      </c>
      <c r="X469" s="370">
        <f t="shared" si="332"/>
        <v>0.48339200999209281</v>
      </c>
      <c r="Y469" s="370">
        <f t="shared" si="332"/>
        <v>0.48339200999209281</v>
      </c>
      <c r="Z469" s="370">
        <f t="shared" si="332"/>
        <v>0.48339200999209281</v>
      </c>
      <c r="AA469" s="370">
        <f t="shared" si="332"/>
        <v>0.48339200999209281</v>
      </c>
      <c r="AB469" s="370">
        <f t="shared" si="332"/>
        <v>0.48339200999209281</v>
      </c>
      <c r="AC469" s="370">
        <f t="shared" si="332"/>
        <v>0.48339200999209281</v>
      </c>
      <c r="AD469" s="370">
        <f t="shared" si="332"/>
        <v>0.48339200999209281</v>
      </c>
      <c r="AE469" s="370">
        <f t="shared" si="332"/>
        <v>0.48339200999209281</v>
      </c>
      <c r="AF469" s="370">
        <f t="shared" si="332"/>
        <v>0.48339200999209281</v>
      </c>
      <c r="AG469" s="370">
        <f t="shared" si="332"/>
        <v>0.48339200999209281</v>
      </c>
      <c r="AH469" s="370">
        <f t="shared" si="332"/>
        <v>0.48339200999209281</v>
      </c>
      <c r="AI469" s="370">
        <f t="shared" si="332"/>
        <v>0.48339200999209281</v>
      </c>
      <c r="AJ469" s="370">
        <f t="shared" si="332"/>
        <v>0.48339200999209281</v>
      </c>
      <c r="AK469" s="370">
        <f t="shared" si="332"/>
        <v>0.48339200999209281</v>
      </c>
      <c r="AL469" s="619"/>
      <c r="AM469" s="8"/>
    </row>
    <row r="470" spans="1:39" ht="14.25" customHeight="1">
      <c r="A470" s="619"/>
      <c r="B470" s="253"/>
      <c r="C470" s="258" t="s">
        <v>212</v>
      </c>
      <c r="D470" s="281" t="s">
        <v>210</v>
      </c>
      <c r="E470" s="370">
        <f t="shared" ref="E470:H470" si="333">ROUND(0.99*E276,4)</f>
        <v>0.53010000000000002</v>
      </c>
      <c r="F470" s="370">
        <f t="shared" si="333"/>
        <v>0.48280000000000001</v>
      </c>
      <c r="G470" s="370">
        <f t="shared" si="333"/>
        <v>0.46189999999999998</v>
      </c>
      <c r="H470" s="370">
        <f t="shared" si="333"/>
        <v>0.62470000000000003</v>
      </c>
      <c r="I470" s="370">
        <f t="shared" ref="I470:AK470" si="334">0.98*I276</f>
        <v>0.43937019849397208</v>
      </c>
      <c r="J470" s="370">
        <f t="shared" si="334"/>
        <v>0.43937019849397208</v>
      </c>
      <c r="K470" s="370">
        <f t="shared" si="334"/>
        <v>0.43937019849397208</v>
      </c>
      <c r="L470" s="370">
        <f t="shared" si="334"/>
        <v>0.43937019849397208</v>
      </c>
      <c r="M470" s="370">
        <f t="shared" si="334"/>
        <v>0.43937019849397208</v>
      </c>
      <c r="N470" s="370">
        <f t="shared" si="334"/>
        <v>0.43937019849397208</v>
      </c>
      <c r="O470" s="370">
        <f t="shared" si="334"/>
        <v>0.43937019849397208</v>
      </c>
      <c r="P470" s="370">
        <f t="shared" si="334"/>
        <v>0.43937019849397208</v>
      </c>
      <c r="Q470" s="370">
        <f t="shared" si="334"/>
        <v>0.43937019849397208</v>
      </c>
      <c r="R470" s="370">
        <f t="shared" si="334"/>
        <v>0.43937019849397208</v>
      </c>
      <c r="S470" s="370">
        <f t="shared" si="334"/>
        <v>0.43937019849397208</v>
      </c>
      <c r="T470" s="370">
        <f t="shared" si="334"/>
        <v>0.43937019849397208</v>
      </c>
      <c r="U470" s="370">
        <f t="shared" si="334"/>
        <v>0.43937019849397208</v>
      </c>
      <c r="V470" s="370">
        <f t="shared" si="334"/>
        <v>0.43937019849397208</v>
      </c>
      <c r="W470" s="370">
        <f t="shared" si="334"/>
        <v>0.43937019849397208</v>
      </c>
      <c r="X470" s="370">
        <f t="shared" si="334"/>
        <v>0.43937019849397208</v>
      </c>
      <c r="Y470" s="370">
        <f t="shared" si="334"/>
        <v>0.43937019849397208</v>
      </c>
      <c r="Z470" s="370">
        <f t="shared" si="334"/>
        <v>0.43937019849397208</v>
      </c>
      <c r="AA470" s="370">
        <f t="shared" si="334"/>
        <v>0.43937019849397208</v>
      </c>
      <c r="AB470" s="370">
        <f t="shared" si="334"/>
        <v>0.43937019849397208</v>
      </c>
      <c r="AC470" s="370">
        <f t="shared" si="334"/>
        <v>0.43937019849397208</v>
      </c>
      <c r="AD470" s="370">
        <f t="shared" si="334"/>
        <v>0.43937019849397208</v>
      </c>
      <c r="AE470" s="370">
        <f t="shared" si="334"/>
        <v>0.43937019849397208</v>
      </c>
      <c r="AF470" s="370">
        <f t="shared" si="334"/>
        <v>0.43937019849397208</v>
      </c>
      <c r="AG470" s="370">
        <f t="shared" si="334"/>
        <v>0.43937019849397208</v>
      </c>
      <c r="AH470" s="370">
        <f t="shared" si="334"/>
        <v>0.43937019849397208</v>
      </c>
      <c r="AI470" s="370">
        <f t="shared" si="334"/>
        <v>0.43937019849397208</v>
      </c>
      <c r="AJ470" s="370">
        <f t="shared" si="334"/>
        <v>0.43937019849397208</v>
      </c>
      <c r="AK470" s="370">
        <f t="shared" si="334"/>
        <v>0.43937019849397208</v>
      </c>
      <c r="AL470" s="619"/>
      <c r="AM470" s="8"/>
    </row>
    <row r="471" spans="1:39" ht="14.25" customHeight="1">
      <c r="A471" s="619"/>
      <c r="B471" s="253"/>
      <c r="C471" s="258" t="s">
        <v>213</v>
      </c>
      <c r="D471" s="281" t="s">
        <v>205</v>
      </c>
      <c r="E471" s="370">
        <f t="shared" ref="E471:H471" si="335">ROUND(0.99*E277,4)</f>
        <v>4.58E-2</v>
      </c>
      <c r="F471" s="370">
        <f t="shared" si="335"/>
        <v>2.6700000000000002E-2</v>
      </c>
      <c r="G471" s="370">
        <f t="shared" si="335"/>
        <v>2.3699999999999999E-2</v>
      </c>
      <c r="H471" s="370">
        <f t="shared" si="335"/>
        <v>6.8999999999999999E-3</v>
      </c>
      <c r="I471" s="370">
        <f t="shared" ref="I471:AK471" si="336">0.98*I277</f>
        <v>4.373788975272213E-2</v>
      </c>
      <c r="J471" s="370">
        <f t="shared" si="336"/>
        <v>4.373788975272213E-2</v>
      </c>
      <c r="K471" s="370">
        <f t="shared" si="336"/>
        <v>4.373788975272213E-2</v>
      </c>
      <c r="L471" s="370">
        <f t="shared" si="336"/>
        <v>4.373788975272213E-2</v>
      </c>
      <c r="M471" s="370">
        <f t="shared" si="336"/>
        <v>4.373788975272213E-2</v>
      </c>
      <c r="N471" s="370">
        <f t="shared" si="336"/>
        <v>4.373788975272213E-2</v>
      </c>
      <c r="O471" s="370">
        <f t="shared" si="336"/>
        <v>4.373788975272213E-2</v>
      </c>
      <c r="P471" s="370">
        <f t="shared" si="336"/>
        <v>4.373788975272213E-2</v>
      </c>
      <c r="Q471" s="370">
        <f t="shared" si="336"/>
        <v>4.373788975272213E-2</v>
      </c>
      <c r="R471" s="370">
        <f t="shared" si="336"/>
        <v>4.373788975272213E-2</v>
      </c>
      <c r="S471" s="370">
        <f t="shared" si="336"/>
        <v>4.373788975272213E-2</v>
      </c>
      <c r="T471" s="370">
        <f t="shared" si="336"/>
        <v>4.373788975272213E-2</v>
      </c>
      <c r="U471" s="370">
        <f t="shared" si="336"/>
        <v>4.373788975272213E-2</v>
      </c>
      <c r="V471" s="370">
        <f t="shared" si="336"/>
        <v>4.373788975272213E-2</v>
      </c>
      <c r="W471" s="370">
        <f t="shared" si="336"/>
        <v>4.373788975272213E-2</v>
      </c>
      <c r="X471" s="370">
        <f t="shared" si="336"/>
        <v>4.373788975272213E-2</v>
      </c>
      <c r="Y471" s="370">
        <f t="shared" si="336"/>
        <v>4.373788975272213E-2</v>
      </c>
      <c r="Z471" s="370">
        <f t="shared" si="336"/>
        <v>4.373788975272213E-2</v>
      </c>
      <c r="AA471" s="370">
        <f t="shared" si="336"/>
        <v>4.373788975272213E-2</v>
      </c>
      <c r="AB471" s="370">
        <f t="shared" si="336"/>
        <v>4.373788975272213E-2</v>
      </c>
      <c r="AC471" s="370">
        <f t="shared" si="336"/>
        <v>4.373788975272213E-2</v>
      </c>
      <c r="AD471" s="370">
        <f t="shared" si="336"/>
        <v>4.373788975272213E-2</v>
      </c>
      <c r="AE471" s="370">
        <f t="shared" si="336"/>
        <v>4.373788975272213E-2</v>
      </c>
      <c r="AF471" s="370">
        <f t="shared" si="336"/>
        <v>4.373788975272213E-2</v>
      </c>
      <c r="AG471" s="370">
        <f t="shared" si="336"/>
        <v>4.373788975272213E-2</v>
      </c>
      <c r="AH471" s="370">
        <f t="shared" si="336"/>
        <v>4.373788975272213E-2</v>
      </c>
      <c r="AI471" s="370">
        <f t="shared" si="336"/>
        <v>4.373788975272213E-2</v>
      </c>
      <c r="AJ471" s="370">
        <f t="shared" si="336"/>
        <v>4.373788975272213E-2</v>
      </c>
      <c r="AK471" s="370">
        <f t="shared" si="336"/>
        <v>4.373788975272213E-2</v>
      </c>
      <c r="AL471" s="619"/>
      <c r="AM471" s="8"/>
    </row>
    <row r="472" spans="1:39" ht="14.25" customHeight="1">
      <c r="A472" s="619"/>
      <c r="B472" s="253"/>
      <c r="C472" s="258"/>
      <c r="D472" s="266" t="s">
        <v>158</v>
      </c>
      <c r="E472" s="370">
        <f t="shared" ref="E472:H472" si="337">ROUND(0.99*E278,4)</f>
        <v>0.1047</v>
      </c>
      <c r="F472" s="370">
        <f t="shared" si="337"/>
        <v>9.6500000000000002E-2</v>
      </c>
      <c r="G472" s="370">
        <f t="shared" si="337"/>
        <v>1.7999999999999999E-2</v>
      </c>
      <c r="H472" s="370">
        <f t="shared" si="337"/>
        <v>9.98E-2</v>
      </c>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c r="AF472" s="418"/>
      <c r="AG472" s="418"/>
      <c r="AH472" s="418"/>
      <c r="AI472" s="418"/>
      <c r="AJ472" s="418"/>
      <c r="AK472" s="418"/>
      <c r="AL472" s="619"/>
      <c r="AM472" s="8"/>
    </row>
    <row r="473" spans="1:39" ht="14.25" customHeight="1">
      <c r="A473" s="619"/>
      <c r="B473" s="253"/>
      <c r="C473" s="258"/>
      <c r="D473" s="285" t="s">
        <v>190</v>
      </c>
      <c r="E473" s="370">
        <f t="shared" ref="E473:H473" si="338">ROUND(0.99*E279,4)</f>
        <v>0</v>
      </c>
      <c r="F473" s="370">
        <f t="shared" si="338"/>
        <v>0</v>
      </c>
      <c r="G473" s="370">
        <f t="shared" si="338"/>
        <v>0</v>
      </c>
      <c r="H473" s="370">
        <f t="shared" si="338"/>
        <v>0</v>
      </c>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c r="AF473" s="418"/>
      <c r="AG473" s="418"/>
      <c r="AH473" s="418"/>
      <c r="AI473" s="418"/>
      <c r="AJ473" s="418"/>
      <c r="AK473" s="418"/>
      <c r="AL473" s="619"/>
      <c r="AM473" s="8"/>
    </row>
    <row r="474" spans="1:39" ht="14.25" customHeight="1">
      <c r="A474" s="619"/>
      <c r="B474" s="253"/>
      <c r="C474" s="258" t="s">
        <v>214</v>
      </c>
      <c r="D474" s="281" t="s">
        <v>201</v>
      </c>
      <c r="E474" s="370">
        <f t="shared" ref="E474:H474" si="339">ROUND(0.99*E280,4)</f>
        <v>0</v>
      </c>
      <c r="F474" s="370">
        <f t="shared" si="339"/>
        <v>0</v>
      </c>
      <c r="G474" s="370">
        <f t="shared" si="339"/>
        <v>0</v>
      </c>
      <c r="H474" s="370">
        <f t="shared" si="339"/>
        <v>0</v>
      </c>
      <c r="I474" s="370">
        <f t="shared" ref="I474:AK474" si="340">0.98*I280</f>
        <v>0</v>
      </c>
      <c r="J474" s="370">
        <f t="shared" si="340"/>
        <v>0</v>
      </c>
      <c r="K474" s="370">
        <f t="shared" si="340"/>
        <v>0</v>
      </c>
      <c r="L474" s="370">
        <f t="shared" si="340"/>
        <v>0</v>
      </c>
      <c r="M474" s="370">
        <f t="shared" si="340"/>
        <v>0</v>
      </c>
      <c r="N474" s="370">
        <f t="shared" si="340"/>
        <v>0</v>
      </c>
      <c r="O474" s="370">
        <f t="shared" si="340"/>
        <v>0</v>
      </c>
      <c r="P474" s="370">
        <f t="shared" si="340"/>
        <v>0</v>
      </c>
      <c r="Q474" s="370">
        <f t="shared" si="340"/>
        <v>0</v>
      </c>
      <c r="R474" s="370">
        <f t="shared" si="340"/>
        <v>0</v>
      </c>
      <c r="S474" s="370">
        <f t="shared" si="340"/>
        <v>0</v>
      </c>
      <c r="T474" s="370">
        <f t="shared" si="340"/>
        <v>0</v>
      </c>
      <c r="U474" s="370">
        <f t="shared" si="340"/>
        <v>0</v>
      </c>
      <c r="V474" s="370">
        <f t="shared" si="340"/>
        <v>0</v>
      </c>
      <c r="W474" s="370">
        <f t="shared" si="340"/>
        <v>0</v>
      </c>
      <c r="X474" s="370">
        <f t="shared" si="340"/>
        <v>0</v>
      </c>
      <c r="Y474" s="370">
        <f t="shared" si="340"/>
        <v>0</v>
      </c>
      <c r="Z474" s="370">
        <f t="shared" si="340"/>
        <v>0</v>
      </c>
      <c r="AA474" s="370">
        <f t="shared" si="340"/>
        <v>0</v>
      </c>
      <c r="AB474" s="370">
        <f t="shared" si="340"/>
        <v>0</v>
      </c>
      <c r="AC474" s="370">
        <f t="shared" si="340"/>
        <v>0</v>
      </c>
      <c r="AD474" s="370">
        <f t="shared" si="340"/>
        <v>0</v>
      </c>
      <c r="AE474" s="370">
        <f t="shared" si="340"/>
        <v>0</v>
      </c>
      <c r="AF474" s="370">
        <f t="shared" si="340"/>
        <v>0</v>
      </c>
      <c r="AG474" s="370">
        <f t="shared" si="340"/>
        <v>0</v>
      </c>
      <c r="AH474" s="370">
        <f t="shared" si="340"/>
        <v>0</v>
      </c>
      <c r="AI474" s="370">
        <f t="shared" si="340"/>
        <v>0</v>
      </c>
      <c r="AJ474" s="370">
        <f t="shared" si="340"/>
        <v>0</v>
      </c>
      <c r="AK474" s="370">
        <f t="shared" si="340"/>
        <v>0</v>
      </c>
      <c r="AL474" s="619"/>
      <c r="AM474" s="8"/>
    </row>
    <row r="475" spans="1:39" ht="14.25" customHeight="1">
      <c r="A475" s="619"/>
      <c r="B475" s="253"/>
      <c r="C475" s="258"/>
      <c r="D475" s="285" t="s">
        <v>195</v>
      </c>
      <c r="E475" s="370">
        <f t="shared" ref="E475:H475" si="341">ROUND(0.99*E281,4)</f>
        <v>0</v>
      </c>
      <c r="F475" s="370">
        <f t="shared" si="341"/>
        <v>0</v>
      </c>
      <c r="G475" s="370">
        <f t="shared" si="341"/>
        <v>0</v>
      </c>
      <c r="H475" s="370">
        <f t="shared" si="341"/>
        <v>0</v>
      </c>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c r="AF475" s="418"/>
      <c r="AG475" s="418"/>
      <c r="AH475" s="418"/>
      <c r="AI475" s="418"/>
      <c r="AJ475" s="418"/>
      <c r="AK475" s="418"/>
      <c r="AL475" s="619"/>
      <c r="AM475" s="8"/>
    </row>
    <row r="476" spans="1:39" ht="14.25" customHeight="1">
      <c r="A476" s="619"/>
      <c r="B476" s="253"/>
      <c r="C476" s="258" t="s">
        <v>215</v>
      </c>
      <c r="D476" s="281" t="s">
        <v>201</v>
      </c>
      <c r="E476" s="370">
        <f t="shared" ref="E476:H476" si="342">ROUND(0.99*E282,4)</f>
        <v>1E-4</v>
      </c>
      <c r="F476" s="370">
        <f t="shared" si="342"/>
        <v>0</v>
      </c>
      <c r="G476" s="370">
        <f t="shared" si="342"/>
        <v>0</v>
      </c>
      <c r="H476" s="370">
        <f t="shared" si="342"/>
        <v>0</v>
      </c>
      <c r="I476" s="370">
        <f t="shared" ref="I476:AK476" si="343">0.98*I282</f>
        <v>4.2309442583173291E-7</v>
      </c>
      <c r="J476" s="370">
        <f t="shared" si="343"/>
        <v>4.2309442583173291E-7</v>
      </c>
      <c r="K476" s="370">
        <f t="shared" si="343"/>
        <v>4.2309442583173291E-7</v>
      </c>
      <c r="L476" s="370">
        <f t="shared" si="343"/>
        <v>4.2309442583173291E-7</v>
      </c>
      <c r="M476" s="370">
        <f t="shared" si="343"/>
        <v>4.2309442583173291E-7</v>
      </c>
      <c r="N476" s="370">
        <f t="shared" si="343"/>
        <v>4.2309442583173291E-7</v>
      </c>
      <c r="O476" s="370">
        <f t="shared" si="343"/>
        <v>4.2309442583173291E-7</v>
      </c>
      <c r="P476" s="370">
        <f t="shared" si="343"/>
        <v>4.2309442583173291E-7</v>
      </c>
      <c r="Q476" s="370">
        <f t="shared" si="343"/>
        <v>4.2309442583173291E-7</v>
      </c>
      <c r="R476" s="370">
        <f t="shared" si="343"/>
        <v>4.2309442583173291E-7</v>
      </c>
      <c r="S476" s="370">
        <f t="shared" si="343"/>
        <v>4.2309442583173291E-7</v>
      </c>
      <c r="T476" s="370">
        <f t="shared" si="343"/>
        <v>4.2309442583173291E-7</v>
      </c>
      <c r="U476" s="370">
        <f t="shared" si="343"/>
        <v>4.2309442583173291E-7</v>
      </c>
      <c r="V476" s="370">
        <f t="shared" si="343"/>
        <v>4.2309442583173291E-7</v>
      </c>
      <c r="W476" s="370">
        <f t="shared" si="343"/>
        <v>4.2309442583173291E-7</v>
      </c>
      <c r="X476" s="370">
        <f t="shared" si="343"/>
        <v>4.2309442583173291E-7</v>
      </c>
      <c r="Y476" s="370">
        <f t="shared" si="343"/>
        <v>4.2309442583173291E-7</v>
      </c>
      <c r="Z476" s="370">
        <f t="shared" si="343"/>
        <v>4.2309442583173291E-7</v>
      </c>
      <c r="AA476" s="370">
        <f t="shared" si="343"/>
        <v>4.2309442583173291E-7</v>
      </c>
      <c r="AB476" s="370">
        <f t="shared" si="343"/>
        <v>4.2309442583173291E-7</v>
      </c>
      <c r="AC476" s="370">
        <f t="shared" si="343"/>
        <v>4.2309442583173291E-7</v>
      </c>
      <c r="AD476" s="370">
        <f t="shared" si="343"/>
        <v>4.2309442583173291E-7</v>
      </c>
      <c r="AE476" s="370">
        <f t="shared" si="343"/>
        <v>4.2309442583173291E-7</v>
      </c>
      <c r="AF476" s="370">
        <f t="shared" si="343"/>
        <v>4.2309442583173291E-7</v>
      </c>
      <c r="AG476" s="370">
        <f t="shared" si="343"/>
        <v>4.2309442583173291E-7</v>
      </c>
      <c r="AH476" s="370">
        <f t="shared" si="343"/>
        <v>4.2309442583173291E-7</v>
      </c>
      <c r="AI476" s="370">
        <f t="shared" si="343"/>
        <v>4.2309442583173291E-7</v>
      </c>
      <c r="AJ476" s="370">
        <f t="shared" si="343"/>
        <v>4.2309442583173291E-7</v>
      </c>
      <c r="AK476" s="370">
        <f t="shared" si="343"/>
        <v>4.2309442583173291E-7</v>
      </c>
      <c r="AL476" s="619"/>
      <c r="AM476" s="8"/>
    </row>
    <row r="477" spans="1:39" ht="14.25" customHeight="1">
      <c r="A477" s="619"/>
      <c r="B477" s="253"/>
      <c r="C477" s="258"/>
      <c r="D477" s="285" t="s">
        <v>203</v>
      </c>
      <c r="E477" s="370">
        <f t="shared" ref="E477:H477" si="344">ROUND(0.99*E283,4)</f>
        <v>0</v>
      </c>
      <c r="F477" s="370">
        <f t="shared" si="344"/>
        <v>0</v>
      </c>
      <c r="G477" s="370">
        <f t="shared" si="344"/>
        <v>0</v>
      </c>
      <c r="H477" s="370">
        <f t="shared" si="344"/>
        <v>0</v>
      </c>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c r="AF477" s="418"/>
      <c r="AG477" s="418"/>
      <c r="AH477" s="418"/>
      <c r="AI477" s="418"/>
      <c r="AJ477" s="418"/>
      <c r="AK477" s="418"/>
      <c r="AL477" s="619"/>
      <c r="AM477" s="8"/>
    </row>
    <row r="478" spans="1:39" ht="14.25" customHeight="1">
      <c r="A478" s="619"/>
      <c r="B478" s="253"/>
      <c r="C478" s="258" t="s">
        <v>216</v>
      </c>
      <c r="D478" s="281" t="s">
        <v>210</v>
      </c>
      <c r="E478" s="370">
        <f t="shared" ref="E478:H478" si="345">ROUND(0.99*E284,4)</f>
        <v>0.1046</v>
      </c>
      <c r="F478" s="370">
        <f t="shared" si="345"/>
        <v>9.64E-2</v>
      </c>
      <c r="G478" s="370">
        <f t="shared" si="345"/>
        <v>1.7999999999999999E-2</v>
      </c>
      <c r="H478" s="370">
        <f t="shared" si="345"/>
        <v>9.98E-2</v>
      </c>
      <c r="I478" s="370">
        <f t="shared" ref="I478:AK478" si="346">0.98*I284</f>
        <v>1.7840058528144846E-2</v>
      </c>
      <c r="J478" s="370">
        <f t="shared" si="346"/>
        <v>1.7840058528144846E-2</v>
      </c>
      <c r="K478" s="370">
        <f t="shared" si="346"/>
        <v>1.7840058528144846E-2</v>
      </c>
      <c r="L478" s="370">
        <f t="shared" si="346"/>
        <v>1.7840058528144846E-2</v>
      </c>
      <c r="M478" s="370">
        <f t="shared" si="346"/>
        <v>1.7840058528144846E-2</v>
      </c>
      <c r="N478" s="370">
        <f t="shared" si="346"/>
        <v>1.7840058528144846E-2</v>
      </c>
      <c r="O478" s="370">
        <f t="shared" si="346"/>
        <v>1.7840058528144846E-2</v>
      </c>
      <c r="P478" s="370">
        <f t="shared" si="346"/>
        <v>1.7840058528144846E-2</v>
      </c>
      <c r="Q478" s="370">
        <f t="shared" si="346"/>
        <v>1.7840058528144846E-2</v>
      </c>
      <c r="R478" s="370">
        <f t="shared" si="346"/>
        <v>1.7840058528144846E-2</v>
      </c>
      <c r="S478" s="370">
        <f t="shared" si="346"/>
        <v>1.7840058528144846E-2</v>
      </c>
      <c r="T478" s="370">
        <f t="shared" si="346"/>
        <v>1.7840058528144846E-2</v>
      </c>
      <c r="U478" s="370">
        <f t="shared" si="346"/>
        <v>1.7840058528144846E-2</v>
      </c>
      <c r="V478" s="370">
        <f t="shared" si="346"/>
        <v>1.7840058528144846E-2</v>
      </c>
      <c r="W478" s="370">
        <f t="shared" si="346"/>
        <v>1.7840058528144846E-2</v>
      </c>
      <c r="X478" s="370">
        <f t="shared" si="346"/>
        <v>1.7840058528144846E-2</v>
      </c>
      <c r="Y478" s="370">
        <f t="shared" si="346"/>
        <v>1.7840058528144846E-2</v>
      </c>
      <c r="Z478" s="370">
        <f t="shared" si="346"/>
        <v>1.7840058528144846E-2</v>
      </c>
      <c r="AA478" s="370">
        <f t="shared" si="346"/>
        <v>1.7840058528144846E-2</v>
      </c>
      <c r="AB478" s="370">
        <f t="shared" si="346"/>
        <v>1.7840058528144846E-2</v>
      </c>
      <c r="AC478" s="370">
        <f t="shared" si="346"/>
        <v>1.7840058528144846E-2</v>
      </c>
      <c r="AD478" s="370">
        <f t="shared" si="346"/>
        <v>1.7840058528144846E-2</v>
      </c>
      <c r="AE478" s="370">
        <f t="shared" si="346"/>
        <v>1.7840058528144846E-2</v>
      </c>
      <c r="AF478" s="370">
        <f t="shared" si="346"/>
        <v>1.7840058528144846E-2</v>
      </c>
      <c r="AG478" s="370">
        <f t="shared" si="346"/>
        <v>1.7840058528144846E-2</v>
      </c>
      <c r="AH478" s="370">
        <f t="shared" si="346"/>
        <v>1.7840058528144846E-2</v>
      </c>
      <c r="AI478" s="370">
        <f t="shared" si="346"/>
        <v>1.7840058528144846E-2</v>
      </c>
      <c r="AJ478" s="370">
        <f t="shared" si="346"/>
        <v>1.7840058528144846E-2</v>
      </c>
      <c r="AK478" s="370">
        <f t="shared" si="346"/>
        <v>1.7840058528144846E-2</v>
      </c>
      <c r="AL478" s="619"/>
      <c r="AM478" s="8"/>
    </row>
    <row r="479" spans="1:39" ht="14.25" customHeight="1">
      <c r="A479" s="619"/>
      <c r="B479" s="253"/>
      <c r="C479" s="258"/>
      <c r="D479" s="343" t="s">
        <v>310</v>
      </c>
      <c r="E479" s="370">
        <f t="shared" ref="E479:H479" si="347">ROUND(0.99*E285,4)</f>
        <v>0</v>
      </c>
      <c r="F479" s="370">
        <f t="shared" si="347"/>
        <v>0</v>
      </c>
      <c r="G479" s="370">
        <f t="shared" si="347"/>
        <v>0</v>
      </c>
      <c r="H479" s="370">
        <f t="shared" si="347"/>
        <v>0</v>
      </c>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c r="AF479" s="418"/>
      <c r="AG479" s="418"/>
      <c r="AH479" s="418"/>
      <c r="AI479" s="418"/>
      <c r="AJ479" s="418"/>
      <c r="AK479" s="418"/>
      <c r="AL479" s="619"/>
      <c r="AM479" s="8"/>
    </row>
    <row r="480" spans="1:39" ht="14.25" customHeight="1">
      <c r="A480" s="619"/>
      <c r="B480" s="253"/>
      <c r="C480" s="258"/>
      <c r="D480" s="259" t="s">
        <v>39</v>
      </c>
      <c r="E480" s="282">
        <f t="shared" ref="E480:AK480" si="348">SUM(E444+E448+E449+E451+E452+E454+E455+E459+E463+E464+E465+E466+E469+E470+E471+E474+E476+E478+E461)</f>
        <v>13.775299999999998</v>
      </c>
      <c r="F480" s="282">
        <f t="shared" si="348"/>
        <v>14.673799999999998</v>
      </c>
      <c r="G480" s="282">
        <f t="shared" si="348"/>
        <v>14.059999999999999</v>
      </c>
      <c r="H480" s="282">
        <f t="shared" si="348"/>
        <v>14.366000000000001</v>
      </c>
      <c r="I480" s="282">
        <f t="shared" si="348"/>
        <v>13.823011422753568</v>
      </c>
      <c r="J480" s="282">
        <f t="shared" si="348"/>
        <v>13.829388075964678</v>
      </c>
      <c r="K480" s="282">
        <f t="shared" si="348"/>
        <v>13.835787561527114</v>
      </c>
      <c r="L480" s="282">
        <f t="shared" si="348"/>
        <v>13.842332065972784</v>
      </c>
      <c r="M480" s="282">
        <f t="shared" si="348"/>
        <v>13.855889840902057</v>
      </c>
      <c r="N480" s="282">
        <f t="shared" si="348"/>
        <v>13.869507913787437</v>
      </c>
      <c r="O480" s="282">
        <f t="shared" si="348"/>
        <v>13.883236234842563</v>
      </c>
      <c r="P480" s="282">
        <f t="shared" si="348"/>
        <v>13.897029750933566</v>
      </c>
      <c r="Q480" s="282">
        <f t="shared" si="348"/>
        <v>13.910952081514127</v>
      </c>
      <c r="R480" s="282">
        <f t="shared" si="348"/>
        <v>13.921782494448104</v>
      </c>
      <c r="S480" s="282">
        <f t="shared" si="348"/>
        <v>13.932678017251348</v>
      </c>
      <c r="T480" s="282">
        <f t="shared" si="348"/>
        <v>13.943661559740521</v>
      </c>
      <c r="U480" s="282">
        <f t="shared" si="348"/>
        <v>13.95470284518766</v>
      </c>
      <c r="V480" s="282">
        <f t="shared" si="348"/>
        <v>13.965782072357179</v>
      </c>
      <c r="W480" s="282">
        <f t="shared" si="348"/>
        <v>13.976911973656478</v>
      </c>
      <c r="X480" s="282">
        <f t="shared" si="348"/>
        <v>13.98805822694387</v>
      </c>
      <c r="Y480" s="282">
        <f t="shared" si="348"/>
        <v>13.999248085532855</v>
      </c>
      <c r="Z480" s="282">
        <f t="shared" si="348"/>
        <v>14.010490662250133</v>
      </c>
      <c r="AA480" s="282">
        <f t="shared" si="348"/>
        <v>14.021714885564101</v>
      </c>
      <c r="AB480" s="282">
        <f t="shared" si="348"/>
        <v>14.031334598561308</v>
      </c>
      <c r="AC480" s="282">
        <f t="shared" si="348"/>
        <v>14.040890905021335</v>
      </c>
      <c r="AD480" s="282">
        <f t="shared" si="348"/>
        <v>14.050447722480992</v>
      </c>
      <c r="AE480" s="282">
        <f t="shared" si="348"/>
        <v>14.059894504687417</v>
      </c>
      <c r="AF480" s="282">
        <f t="shared" si="348"/>
        <v>14.069239938634281</v>
      </c>
      <c r="AG480" s="282">
        <f t="shared" si="348"/>
        <v>14.078471377080795</v>
      </c>
      <c r="AH480" s="282">
        <f t="shared" si="348"/>
        <v>14.087558458132394</v>
      </c>
      <c r="AI480" s="282">
        <f t="shared" si="348"/>
        <v>14.096496838292239</v>
      </c>
      <c r="AJ480" s="282">
        <f t="shared" si="348"/>
        <v>14.10531913636992</v>
      </c>
      <c r="AK480" s="282">
        <f t="shared" si="348"/>
        <v>14.113984387228587</v>
      </c>
      <c r="AL480" s="619"/>
      <c r="AM480" s="8"/>
    </row>
    <row r="481" spans="1:38" ht="16.5" customHeight="1">
      <c r="A481" s="1"/>
      <c r="B481" s="1"/>
      <c r="C481" s="1"/>
      <c r="D481" s="54"/>
      <c r="E481" s="54"/>
      <c r="F481" s="54"/>
      <c r="G481" s="5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6.5" customHeight="1">
      <c r="A482" s="1"/>
      <c r="B482" s="1"/>
      <c r="C482" s="1"/>
      <c r="D482" s="54"/>
      <c r="E482" s="54"/>
      <c r="F482" s="54"/>
      <c r="G482" s="5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6.5" customHeight="1">
      <c r="A483" s="1"/>
      <c r="B483" s="1"/>
      <c r="C483" s="1"/>
      <c r="D483" s="54"/>
      <c r="E483" s="60">
        <f t="shared" ref="E483:AK483" si="349">E439+E480</f>
        <v>104.1571</v>
      </c>
      <c r="F483" s="60">
        <f t="shared" si="349"/>
        <v>114.98780000000001</v>
      </c>
      <c r="G483" s="60">
        <f t="shared" si="349"/>
        <v>111.29820000000001</v>
      </c>
      <c r="H483" s="60">
        <f t="shared" si="349"/>
        <v>114.71350000000001</v>
      </c>
      <c r="I483" s="60">
        <f t="shared" si="349"/>
        <v>116.94031142275357</v>
      </c>
      <c r="J483" s="60">
        <f t="shared" si="349"/>
        <v>119.33278807596469</v>
      </c>
      <c r="K483" s="60">
        <f t="shared" si="349"/>
        <v>121.75398756152711</v>
      </c>
      <c r="L483" s="60">
        <f t="shared" si="349"/>
        <v>124.27853206597278</v>
      </c>
      <c r="M483" s="60">
        <f t="shared" si="349"/>
        <v>126.77718984090205</v>
      </c>
      <c r="N483" s="60">
        <f t="shared" si="349"/>
        <v>129.81350791378742</v>
      </c>
      <c r="O483" s="60">
        <f t="shared" si="349"/>
        <v>132.98213623484256</v>
      </c>
      <c r="P483" s="60">
        <f t="shared" si="349"/>
        <v>135.16792975093355</v>
      </c>
      <c r="Q483" s="60">
        <f t="shared" si="349"/>
        <v>137.97425208151412</v>
      </c>
      <c r="R483" s="60">
        <f t="shared" si="349"/>
        <v>141.23968249444809</v>
      </c>
      <c r="S483" s="60">
        <f t="shared" si="349"/>
        <v>144.24637801725135</v>
      </c>
      <c r="T483" s="60">
        <f t="shared" si="349"/>
        <v>147.3968615597405</v>
      </c>
      <c r="U483" s="60">
        <f t="shared" si="349"/>
        <v>150.39330284518763</v>
      </c>
      <c r="V483" s="60">
        <f t="shared" si="349"/>
        <v>153.10888207235718</v>
      </c>
      <c r="W483" s="60">
        <f t="shared" si="349"/>
        <v>156.38851197365648</v>
      </c>
      <c r="X483" s="60">
        <f t="shared" si="349"/>
        <v>159.1007582269439</v>
      </c>
      <c r="Y483" s="60">
        <f t="shared" si="349"/>
        <v>162.21154808553285</v>
      </c>
      <c r="Z483" s="60">
        <f t="shared" si="349"/>
        <v>165.32149066225017</v>
      </c>
      <c r="AA483" s="60">
        <f t="shared" si="349"/>
        <v>168.41471488556411</v>
      </c>
      <c r="AB483" s="60">
        <f t="shared" si="349"/>
        <v>171.33573459856129</v>
      </c>
      <c r="AC483" s="60">
        <f t="shared" si="349"/>
        <v>174.43649090502134</v>
      </c>
      <c r="AD483" s="60">
        <f t="shared" si="349"/>
        <v>176.750347722481</v>
      </c>
      <c r="AE483" s="60">
        <f t="shared" si="349"/>
        <v>179.85369450468741</v>
      </c>
      <c r="AF483" s="60">
        <f t="shared" si="349"/>
        <v>182.37663993863424</v>
      </c>
      <c r="AG483" s="60">
        <f t="shared" si="349"/>
        <v>185.6698713770808</v>
      </c>
      <c r="AH483" s="60">
        <f t="shared" si="349"/>
        <v>188.24255845813238</v>
      </c>
      <c r="AI483" s="60">
        <f t="shared" si="349"/>
        <v>190.89669683829223</v>
      </c>
      <c r="AJ483" s="60">
        <f t="shared" si="349"/>
        <v>193.50801913636991</v>
      </c>
      <c r="AK483" s="60">
        <f t="shared" si="349"/>
        <v>196.22718438722856</v>
      </c>
      <c r="AL483" s="1"/>
    </row>
    <row r="484" spans="1:38" ht="16.5" customHeight="1">
      <c r="A484" s="1"/>
      <c r="B484" s="1"/>
      <c r="C484" s="1"/>
      <c r="D484" s="54"/>
      <c r="E484" s="619">
        <v>105.365192813878</v>
      </c>
      <c r="F484" s="619">
        <v>117.332909585084</v>
      </c>
      <c r="G484" s="619">
        <v>113.3219106940881</v>
      </c>
      <c r="H484" s="619">
        <v>116.22700923769</v>
      </c>
      <c r="I484" s="619">
        <v>118.38207857989001</v>
      </c>
      <c r="J484" s="619">
        <v>121.2212625289681</v>
      </c>
      <c r="K484" s="619">
        <v>124.2711363869151</v>
      </c>
      <c r="L484" s="619">
        <v>126.84745553066296</v>
      </c>
      <c r="M484" s="619">
        <v>129.39715410394138</v>
      </c>
      <c r="N484" s="619">
        <v>132.49544730835424</v>
      </c>
      <c r="O484" s="619">
        <v>135.68465562526492</v>
      </c>
      <c r="P484" s="619">
        <v>137.9149547415532</v>
      </c>
      <c r="Q484" s="619">
        <v>140.77848460621396</v>
      </c>
      <c r="R484" s="619">
        <v>144.1106170718312</v>
      </c>
      <c r="S484" s="619">
        <v>147.17860523874478</v>
      </c>
      <c r="T484" s="619">
        <v>150.39341527029035</v>
      </c>
      <c r="U484" s="619">
        <v>153.45101347712307</v>
      </c>
      <c r="V484" s="619">
        <v>156.22207625121229</v>
      </c>
      <c r="W484" s="619">
        <v>159.56873333605321</v>
      </c>
      <c r="X484" s="619">
        <v>162.33639597497347</v>
      </c>
      <c r="Y484" s="619">
        <v>165.51058209190407</v>
      </c>
      <c r="Z484" s="619">
        <v>168.68396260189567</v>
      </c>
      <c r="AA484" s="619">
        <v>171.84037797752487</v>
      </c>
      <c r="AB484" s="619">
        <v>174.82095779155742</v>
      </c>
      <c r="AC484" s="619">
        <v>177.98503828026799</v>
      </c>
      <c r="AD484" s="619">
        <v>180.34607081673005</v>
      </c>
      <c r="AE484" s="619">
        <v>183.51272213934888</v>
      </c>
      <c r="AF484" s="619">
        <v>186.08705096007094</v>
      </c>
      <c r="AG484" s="619">
        <v>189.44745075151829</v>
      </c>
      <c r="AH484" s="619">
        <v>192.07260389236237</v>
      </c>
      <c r="AI484" s="619">
        <v>194.78098333830121</v>
      </c>
      <c r="AJ484" s="619">
        <v>197.44554013619086</v>
      </c>
      <c r="AK484" s="619">
        <v>200.22014521137999</v>
      </c>
      <c r="AL484" s="1"/>
    </row>
    <row r="485" spans="1:38" ht="16.5" customHeight="1">
      <c r="A485" s="1"/>
      <c r="B485" s="1"/>
      <c r="C485" s="1"/>
      <c r="D485" s="54"/>
      <c r="E485" s="60">
        <f t="shared" ref="E485:AK485" si="350">E484-E483</f>
        <v>1.2080928138779967</v>
      </c>
      <c r="F485" s="60">
        <f t="shared" si="350"/>
        <v>2.3451095850839891</v>
      </c>
      <c r="G485" s="60">
        <f t="shared" si="350"/>
        <v>2.0237106940880949</v>
      </c>
      <c r="H485" s="60">
        <f t="shared" si="350"/>
        <v>1.5135092376899877</v>
      </c>
      <c r="I485" s="60">
        <f t="shared" si="350"/>
        <v>1.4417671571364394</v>
      </c>
      <c r="J485" s="60">
        <f t="shared" si="350"/>
        <v>1.8884744530034112</v>
      </c>
      <c r="K485" s="60">
        <f t="shared" si="350"/>
        <v>2.5171488253879915</v>
      </c>
      <c r="L485" s="60">
        <f t="shared" si="350"/>
        <v>2.5689234646901724</v>
      </c>
      <c r="M485" s="60">
        <f t="shared" si="350"/>
        <v>2.6199642630393214</v>
      </c>
      <c r="N485" s="60">
        <f t="shared" si="350"/>
        <v>2.6819393945668253</v>
      </c>
      <c r="O485" s="60">
        <f t="shared" si="350"/>
        <v>2.702519390422367</v>
      </c>
      <c r="P485" s="60">
        <f t="shared" si="350"/>
        <v>2.74702499061965</v>
      </c>
      <c r="Q485" s="60">
        <f t="shared" si="350"/>
        <v>2.8042325246998416</v>
      </c>
      <c r="R485" s="60">
        <f t="shared" si="350"/>
        <v>2.8709345773831103</v>
      </c>
      <c r="S485" s="60">
        <f t="shared" si="350"/>
        <v>2.9322272214934344</v>
      </c>
      <c r="T485" s="60">
        <f t="shared" si="350"/>
        <v>2.996553710549847</v>
      </c>
      <c r="U485" s="60">
        <f t="shared" si="350"/>
        <v>3.0577106319354357</v>
      </c>
      <c r="V485" s="60">
        <f t="shared" si="350"/>
        <v>3.1131941788551103</v>
      </c>
      <c r="W485" s="60">
        <f t="shared" si="350"/>
        <v>3.1802213623967361</v>
      </c>
      <c r="X485" s="60">
        <f t="shared" si="350"/>
        <v>3.2356377480295748</v>
      </c>
      <c r="Y485" s="60">
        <f t="shared" si="350"/>
        <v>3.2990340063712154</v>
      </c>
      <c r="Z485" s="60">
        <f t="shared" si="350"/>
        <v>3.3624719396455021</v>
      </c>
      <c r="AA485" s="60">
        <f t="shared" si="350"/>
        <v>3.4256630919607574</v>
      </c>
      <c r="AB485" s="60">
        <f t="shared" si="350"/>
        <v>3.4852231929961306</v>
      </c>
      <c r="AC485" s="60">
        <f t="shared" si="350"/>
        <v>3.5485473752466419</v>
      </c>
      <c r="AD485" s="60">
        <f t="shared" si="350"/>
        <v>3.5957230942490526</v>
      </c>
      <c r="AE485" s="60">
        <f t="shared" si="350"/>
        <v>3.6590276346614701</v>
      </c>
      <c r="AF485" s="60">
        <f t="shared" si="350"/>
        <v>3.7104110214366983</v>
      </c>
      <c r="AG485" s="60">
        <f t="shared" si="350"/>
        <v>3.7775793744374937</v>
      </c>
      <c r="AH485" s="60">
        <f t="shared" si="350"/>
        <v>3.8300454342299872</v>
      </c>
      <c r="AI485" s="60">
        <f t="shared" si="350"/>
        <v>3.884286500008983</v>
      </c>
      <c r="AJ485" s="60">
        <f t="shared" si="350"/>
        <v>3.9375209998209471</v>
      </c>
      <c r="AK485" s="60">
        <f t="shared" si="350"/>
        <v>3.9929608241514245</v>
      </c>
      <c r="AL485" s="1"/>
    </row>
    <row r="486" spans="1:38" ht="16.5" customHeight="1">
      <c r="A486" s="1"/>
      <c r="B486" s="1"/>
      <c r="C486" s="1"/>
      <c r="D486" s="54"/>
      <c r="E486" s="54"/>
      <c r="F486" s="54"/>
      <c r="G486" s="5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6.5" customHeight="1">
      <c r="A487" s="1"/>
      <c r="B487" s="1"/>
      <c r="C487" s="1"/>
      <c r="D487" s="54"/>
      <c r="E487" s="54"/>
      <c r="F487" s="54"/>
      <c r="G487" s="5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6.5" customHeight="1">
      <c r="A488" s="1"/>
      <c r="B488" s="1"/>
      <c r="C488" s="1">
        <v>1</v>
      </c>
      <c r="D488" s="54">
        <v>2</v>
      </c>
      <c r="E488" s="1">
        <v>3</v>
      </c>
      <c r="F488" s="54">
        <v>4</v>
      </c>
      <c r="G488" s="1">
        <v>5</v>
      </c>
      <c r="H488" s="54">
        <v>6</v>
      </c>
      <c r="I488" s="1">
        <v>7</v>
      </c>
      <c r="J488" s="54">
        <v>8</v>
      </c>
      <c r="K488" s="1">
        <v>9</v>
      </c>
      <c r="L488" s="54">
        <v>10</v>
      </c>
      <c r="M488" s="1">
        <v>11</v>
      </c>
      <c r="N488" s="54">
        <v>12</v>
      </c>
      <c r="O488" s="1">
        <v>13</v>
      </c>
      <c r="P488" s="54">
        <v>14</v>
      </c>
      <c r="Q488" s="1">
        <v>15</v>
      </c>
      <c r="R488" s="54">
        <v>16</v>
      </c>
      <c r="S488" s="1">
        <v>17</v>
      </c>
      <c r="T488" s="54">
        <v>18</v>
      </c>
      <c r="U488" s="1">
        <v>19</v>
      </c>
      <c r="V488" s="54">
        <v>20</v>
      </c>
      <c r="W488" s="1">
        <v>21</v>
      </c>
      <c r="X488" s="54">
        <v>22</v>
      </c>
      <c r="Y488" s="1">
        <v>23</v>
      </c>
      <c r="Z488" s="54">
        <v>24</v>
      </c>
      <c r="AA488" s="1">
        <v>25</v>
      </c>
      <c r="AB488" s="54">
        <v>26</v>
      </c>
      <c r="AC488" s="1">
        <v>27</v>
      </c>
      <c r="AD488" s="54">
        <v>28</v>
      </c>
      <c r="AE488" s="1">
        <v>29</v>
      </c>
      <c r="AF488" s="54">
        <v>30</v>
      </c>
      <c r="AG488" s="1">
        <v>31</v>
      </c>
      <c r="AH488" s="54">
        <v>32</v>
      </c>
      <c r="AI488" s="1">
        <v>33</v>
      </c>
      <c r="AJ488" s="54">
        <v>34</v>
      </c>
      <c r="AK488" s="1">
        <v>35</v>
      </c>
      <c r="AL488" s="1"/>
    </row>
    <row r="489" spans="1:38" ht="16.5" customHeight="1">
      <c r="A489" s="1"/>
      <c r="B489" s="1"/>
      <c r="C489" s="1"/>
      <c r="D489" s="54"/>
      <c r="E489" s="54"/>
      <c r="F489" s="54"/>
      <c r="G489" s="5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6.5" customHeight="1">
      <c r="A490" s="1"/>
      <c r="B490" s="1"/>
      <c r="C490" s="1"/>
      <c r="D490" s="54"/>
      <c r="E490" s="54"/>
      <c r="F490" s="54"/>
      <c r="G490" s="5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6.5" customHeight="1">
      <c r="A491" s="1"/>
      <c r="B491" s="1"/>
      <c r="C491" s="1"/>
      <c r="D491" s="54"/>
      <c r="E491" s="54"/>
      <c r="F491" s="54"/>
      <c r="G491" s="5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6.5" customHeight="1">
      <c r="A492" s="1"/>
      <c r="B492" s="1"/>
      <c r="C492" s="1"/>
      <c r="D492" s="54"/>
      <c r="E492" s="54"/>
      <c r="F492" s="54"/>
      <c r="G492" s="5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6.5" customHeight="1">
      <c r="A493" s="1"/>
      <c r="B493" s="1"/>
      <c r="C493" s="1"/>
      <c r="D493" s="54"/>
      <c r="E493" s="54"/>
      <c r="F493" s="54"/>
      <c r="G493" s="5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6.5" customHeight="1">
      <c r="A494" s="1"/>
      <c r="B494" s="1"/>
      <c r="C494" s="1"/>
      <c r="D494" s="54"/>
      <c r="E494" s="54"/>
      <c r="F494" s="54"/>
      <c r="G494" s="5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6.5" customHeight="1">
      <c r="A495" s="1"/>
      <c r="B495" s="1"/>
      <c r="C495" s="1"/>
      <c r="D495" s="54"/>
      <c r="E495" s="54"/>
      <c r="F495" s="54"/>
      <c r="G495" s="5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6.5" customHeight="1">
      <c r="A496" s="1"/>
      <c r="B496" s="1"/>
      <c r="C496" s="1"/>
      <c r="D496" s="54"/>
      <c r="E496" s="54"/>
      <c r="F496" s="54"/>
      <c r="G496" s="5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6.5" customHeight="1">
      <c r="A497" s="1"/>
      <c r="B497" s="1"/>
      <c r="C497" s="1"/>
      <c r="D497" s="54"/>
      <c r="E497" s="54"/>
      <c r="F497" s="54"/>
      <c r="G497" s="5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6.5" customHeight="1">
      <c r="A498" s="1"/>
      <c r="B498" s="1"/>
      <c r="C498" s="1"/>
      <c r="D498" s="54"/>
      <c r="E498" s="54"/>
      <c r="F498" s="54"/>
      <c r="G498" s="5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6.5" customHeight="1">
      <c r="A499" s="1"/>
      <c r="B499" s="1"/>
      <c r="C499" s="1"/>
      <c r="D499" s="54"/>
      <c r="E499" s="54"/>
      <c r="F499" s="54"/>
      <c r="G499" s="5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6.5" customHeight="1">
      <c r="A500" s="1"/>
      <c r="B500" s="1"/>
      <c r="C500" s="1"/>
      <c r="D500" s="54"/>
      <c r="E500" s="54"/>
      <c r="F500" s="54"/>
      <c r="G500" s="5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6.5" customHeight="1">
      <c r="A501" s="1"/>
      <c r="B501" s="1"/>
      <c r="C501" s="1"/>
      <c r="D501" s="54"/>
      <c r="E501" s="54"/>
      <c r="F501" s="54"/>
      <c r="G501" s="5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6.5" customHeight="1">
      <c r="A502" s="1"/>
      <c r="B502" s="1"/>
      <c r="C502" s="1"/>
      <c r="D502" s="54"/>
      <c r="E502" s="54"/>
      <c r="F502" s="54"/>
      <c r="G502" s="5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6.5" customHeight="1">
      <c r="A503" s="1"/>
      <c r="B503" s="1"/>
      <c r="C503" s="1"/>
      <c r="D503" s="54"/>
      <c r="E503" s="54"/>
      <c r="F503" s="54"/>
      <c r="G503" s="5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6.5" customHeight="1">
      <c r="A504" s="1"/>
      <c r="B504" s="1"/>
      <c r="C504" s="1"/>
      <c r="D504" s="54"/>
      <c r="E504" s="54"/>
      <c r="F504" s="54"/>
      <c r="G504" s="5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6.5" customHeight="1">
      <c r="A505" s="1"/>
      <c r="B505" s="1"/>
      <c r="C505" s="1"/>
      <c r="D505" s="54"/>
      <c r="E505" s="54"/>
      <c r="F505" s="54"/>
      <c r="G505" s="5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6.5" customHeight="1">
      <c r="A506" s="1"/>
      <c r="B506" s="1"/>
      <c r="C506" s="1"/>
      <c r="D506" s="54"/>
      <c r="E506" s="54"/>
      <c r="F506" s="54"/>
      <c r="G506" s="5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6.5" customHeight="1">
      <c r="A507" s="1"/>
      <c r="B507" s="1"/>
      <c r="C507" s="1"/>
      <c r="D507" s="54"/>
      <c r="E507" s="54"/>
      <c r="F507" s="54"/>
      <c r="G507" s="5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6.5" customHeight="1">
      <c r="A508" s="1"/>
      <c r="B508" s="1"/>
      <c r="C508" s="1"/>
      <c r="D508" s="54"/>
      <c r="E508" s="54"/>
      <c r="F508" s="54"/>
      <c r="G508" s="5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6.5" customHeight="1">
      <c r="A509" s="1"/>
      <c r="B509" s="1"/>
      <c r="C509" s="1"/>
      <c r="D509" s="54"/>
      <c r="E509" s="54"/>
      <c r="F509" s="54"/>
      <c r="G509" s="5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6.5" customHeight="1">
      <c r="A510" s="1"/>
      <c r="B510" s="1"/>
      <c r="C510" s="1"/>
      <c r="D510" s="54"/>
      <c r="E510" s="54"/>
      <c r="F510" s="54"/>
      <c r="G510" s="5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6.5" customHeight="1">
      <c r="A511" s="1"/>
      <c r="B511" s="1"/>
      <c r="C511" s="1"/>
      <c r="D511" s="54"/>
      <c r="E511" s="54"/>
      <c r="F511" s="54"/>
      <c r="G511" s="5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6.5" customHeight="1">
      <c r="A512" s="1"/>
      <c r="B512" s="1"/>
      <c r="C512" s="1"/>
      <c r="D512" s="54"/>
      <c r="E512" s="54"/>
      <c r="F512" s="54"/>
      <c r="G512" s="5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c r="A513" s="1"/>
      <c r="B513" s="1"/>
      <c r="C513" s="1"/>
      <c r="D513" s="54"/>
      <c r="E513" s="54"/>
      <c r="F513" s="54"/>
      <c r="G513" s="5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c r="A514" s="1"/>
      <c r="B514" s="1"/>
      <c r="C514" s="1"/>
      <c r="D514" s="54"/>
      <c r="E514" s="54"/>
      <c r="F514" s="54"/>
      <c r="G514" s="5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c r="A515" s="1"/>
      <c r="B515" s="1"/>
      <c r="C515" s="1"/>
      <c r="D515" s="54"/>
      <c r="E515" s="54"/>
      <c r="F515" s="54"/>
      <c r="G515" s="5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c r="A516" s="1"/>
      <c r="B516" s="1"/>
      <c r="C516" s="1"/>
      <c r="D516" s="54"/>
      <c r="E516" s="54"/>
      <c r="F516" s="54"/>
      <c r="G516" s="5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c r="A517" s="1"/>
      <c r="B517" s="1"/>
      <c r="C517" s="1"/>
      <c r="D517" s="54"/>
      <c r="E517" s="54"/>
      <c r="F517" s="54"/>
      <c r="G517" s="5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c r="A518" s="1"/>
      <c r="B518" s="1"/>
      <c r="C518" s="1"/>
      <c r="D518" s="54"/>
      <c r="E518" s="54"/>
      <c r="F518" s="54"/>
      <c r="G518" s="5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c r="A519" s="1"/>
      <c r="B519" s="1"/>
      <c r="C519" s="1"/>
      <c r="D519" s="54"/>
      <c r="E519" s="54"/>
      <c r="F519" s="54"/>
      <c r="G519" s="5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c r="A520" s="1"/>
      <c r="B520" s="1"/>
      <c r="C520" s="1"/>
      <c r="D520" s="54"/>
      <c r="E520" s="54"/>
      <c r="F520" s="54"/>
      <c r="G520" s="5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c r="A521" s="1"/>
      <c r="B521" s="1"/>
      <c r="C521" s="1"/>
      <c r="D521" s="54"/>
      <c r="E521" s="54"/>
      <c r="F521" s="54"/>
      <c r="G521" s="5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c r="A522" s="1"/>
      <c r="B522" s="1"/>
      <c r="C522" s="1"/>
      <c r="D522" s="54"/>
      <c r="E522" s="54"/>
      <c r="F522" s="54"/>
      <c r="G522" s="5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c r="A523" s="1"/>
      <c r="B523" s="1"/>
      <c r="C523" s="1"/>
      <c r="D523" s="54"/>
      <c r="E523" s="54"/>
      <c r="F523" s="54"/>
      <c r="G523" s="5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c r="A524" s="1"/>
      <c r="B524" s="1"/>
      <c r="C524" s="1"/>
      <c r="D524" s="54"/>
      <c r="E524" s="54"/>
      <c r="F524" s="54"/>
      <c r="G524" s="5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c r="A525" s="1"/>
      <c r="B525" s="1"/>
      <c r="C525" s="1"/>
      <c r="D525" s="54"/>
      <c r="E525" s="54"/>
      <c r="F525" s="54"/>
      <c r="G525" s="5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c r="A526" s="1"/>
      <c r="B526" s="1"/>
      <c r="C526" s="1"/>
      <c r="D526" s="54"/>
      <c r="E526" s="54"/>
      <c r="F526" s="54"/>
      <c r="G526" s="5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c r="A527" s="1"/>
      <c r="B527" s="1"/>
      <c r="C527" s="1"/>
      <c r="D527" s="54"/>
      <c r="E527" s="54"/>
      <c r="F527" s="54"/>
      <c r="G527" s="5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c r="A528" s="1"/>
      <c r="B528" s="1"/>
      <c r="C528" s="1"/>
      <c r="D528" s="54"/>
      <c r="E528" s="54"/>
      <c r="F528" s="54"/>
      <c r="G528" s="5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c r="A529" s="1"/>
      <c r="B529" s="1"/>
      <c r="C529" s="1"/>
      <c r="D529" s="54"/>
      <c r="E529" s="54"/>
      <c r="F529" s="54"/>
      <c r="G529" s="5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c r="A530" s="1"/>
      <c r="B530" s="1"/>
      <c r="C530" s="1"/>
      <c r="D530" s="54"/>
      <c r="E530" s="54"/>
      <c r="F530" s="54"/>
      <c r="G530" s="5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c r="A531" s="1"/>
      <c r="B531" s="1"/>
      <c r="C531" s="1"/>
      <c r="D531" s="54"/>
      <c r="E531" s="54"/>
      <c r="F531" s="54"/>
      <c r="G531" s="5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c r="A532" s="1"/>
      <c r="B532" s="1"/>
      <c r="C532" s="1"/>
      <c r="D532" s="54"/>
      <c r="E532" s="54"/>
      <c r="F532" s="54"/>
      <c r="G532" s="5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c r="A533" s="1"/>
      <c r="B533" s="1"/>
      <c r="C533" s="1"/>
      <c r="D533" s="54"/>
      <c r="E533" s="54"/>
      <c r="F533" s="54"/>
      <c r="G533" s="5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c r="A534" s="1"/>
      <c r="B534" s="1"/>
      <c r="C534" s="1"/>
      <c r="D534" s="54"/>
      <c r="E534" s="54"/>
      <c r="F534" s="54"/>
      <c r="G534" s="5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c r="A535" s="1"/>
      <c r="B535" s="1"/>
      <c r="C535" s="1"/>
      <c r="D535" s="54"/>
      <c r="E535" s="54"/>
      <c r="F535" s="54"/>
      <c r="G535" s="5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c r="A536" s="1"/>
      <c r="B536" s="1"/>
      <c r="C536" s="1"/>
      <c r="D536" s="54"/>
      <c r="E536" s="54"/>
      <c r="F536" s="54"/>
      <c r="G536" s="5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c r="A537" s="1"/>
      <c r="B537" s="1"/>
      <c r="C537" s="1"/>
      <c r="D537" s="54"/>
      <c r="E537" s="54"/>
      <c r="F537" s="54"/>
      <c r="G537" s="5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c r="A538" s="1"/>
      <c r="B538" s="1"/>
      <c r="C538" s="1"/>
      <c r="D538" s="54"/>
      <c r="E538" s="54"/>
      <c r="F538" s="54"/>
      <c r="G538" s="5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c r="A539" s="1"/>
      <c r="B539" s="1"/>
      <c r="C539" s="1"/>
      <c r="D539" s="54"/>
      <c r="E539" s="54"/>
      <c r="F539" s="54"/>
      <c r="G539" s="5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c r="A540" s="1"/>
      <c r="B540" s="1"/>
      <c r="C540" s="1"/>
      <c r="D540" s="54"/>
      <c r="E540" s="54"/>
      <c r="F540" s="54"/>
      <c r="G540" s="5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c r="A541" s="1"/>
      <c r="B541" s="1"/>
      <c r="C541" s="1"/>
      <c r="D541" s="54"/>
      <c r="E541" s="54"/>
      <c r="F541" s="54"/>
      <c r="G541" s="5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c r="A542" s="1"/>
      <c r="B542" s="1"/>
      <c r="C542" s="1"/>
      <c r="D542" s="54"/>
      <c r="E542" s="54"/>
      <c r="F542" s="54"/>
      <c r="G542" s="5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c r="A543" s="1"/>
      <c r="B543" s="1"/>
      <c r="C543" s="1"/>
      <c r="D543" s="54"/>
      <c r="E543" s="54"/>
      <c r="F543" s="54"/>
      <c r="G543" s="5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c r="A544" s="1"/>
      <c r="B544" s="1"/>
      <c r="C544" s="1"/>
      <c r="D544" s="54"/>
      <c r="E544" s="54"/>
      <c r="F544" s="54"/>
      <c r="G544" s="5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c r="A545" s="1"/>
      <c r="B545" s="1"/>
      <c r="C545" s="1"/>
      <c r="D545" s="54"/>
      <c r="E545" s="54"/>
      <c r="F545" s="54"/>
      <c r="G545" s="5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c r="A546" s="1"/>
      <c r="B546" s="1"/>
      <c r="C546" s="1"/>
      <c r="D546" s="54"/>
      <c r="E546" s="54"/>
      <c r="F546" s="54"/>
      <c r="G546" s="5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c r="A547" s="1"/>
      <c r="B547" s="1"/>
      <c r="C547" s="1"/>
      <c r="D547" s="54"/>
      <c r="E547" s="54"/>
      <c r="F547" s="54"/>
      <c r="G547" s="5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c r="A548" s="1"/>
      <c r="B548" s="1"/>
      <c r="C548" s="1"/>
      <c r="D548" s="54"/>
      <c r="E548" s="54"/>
      <c r="F548" s="54"/>
      <c r="G548" s="5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c r="A549" s="1"/>
      <c r="B549" s="1"/>
      <c r="C549" s="1"/>
      <c r="D549" s="54"/>
      <c r="E549" s="54"/>
      <c r="F549" s="54"/>
      <c r="G549" s="5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c r="A550" s="1"/>
      <c r="B550" s="1"/>
      <c r="C550" s="1"/>
      <c r="D550" s="54"/>
      <c r="E550" s="54"/>
      <c r="F550" s="54"/>
      <c r="G550" s="5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c r="A551" s="1"/>
      <c r="B551" s="1"/>
      <c r="C551" s="1"/>
      <c r="D551" s="54"/>
      <c r="E551" s="54"/>
      <c r="F551" s="54"/>
      <c r="G551" s="5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c r="A552" s="1"/>
      <c r="B552" s="1"/>
      <c r="C552" s="1"/>
      <c r="D552" s="54"/>
      <c r="E552" s="54"/>
      <c r="F552" s="54"/>
      <c r="G552" s="5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c r="A553" s="1"/>
      <c r="B553" s="1"/>
      <c r="C553" s="1"/>
      <c r="D553" s="54"/>
      <c r="E553" s="54"/>
      <c r="F553" s="54"/>
      <c r="G553" s="5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c r="A554" s="1"/>
      <c r="B554" s="1"/>
      <c r="C554" s="1"/>
      <c r="D554" s="54"/>
      <c r="E554" s="54"/>
      <c r="F554" s="54"/>
      <c r="G554" s="5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c r="A555" s="1"/>
      <c r="B555" s="1"/>
      <c r="C555" s="1"/>
      <c r="D555" s="54"/>
      <c r="E555" s="54"/>
      <c r="F555" s="54"/>
      <c r="G555" s="5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c r="A556" s="1"/>
      <c r="B556" s="1"/>
      <c r="C556" s="1"/>
      <c r="D556" s="54"/>
      <c r="E556" s="54"/>
      <c r="F556" s="54"/>
      <c r="G556" s="5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c r="A557" s="1"/>
      <c r="B557" s="1"/>
      <c r="C557" s="1"/>
      <c r="D557" s="54"/>
      <c r="E557" s="54"/>
      <c r="F557" s="54"/>
      <c r="G557" s="5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c r="A558" s="1"/>
      <c r="B558" s="1"/>
      <c r="C558" s="1"/>
      <c r="D558" s="54"/>
      <c r="E558" s="54"/>
      <c r="F558" s="54"/>
      <c r="G558" s="5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c r="A559" s="1"/>
      <c r="B559" s="1"/>
      <c r="C559" s="1"/>
      <c r="D559" s="54"/>
      <c r="E559" s="54"/>
      <c r="F559" s="54"/>
      <c r="G559" s="5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c r="A560" s="1"/>
      <c r="B560" s="1"/>
      <c r="C560" s="1"/>
      <c r="D560" s="54"/>
      <c r="E560" s="54"/>
      <c r="F560" s="54"/>
      <c r="G560" s="5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c r="A561" s="1"/>
      <c r="B561" s="1"/>
      <c r="C561" s="1"/>
      <c r="D561" s="54"/>
      <c r="E561" s="54"/>
      <c r="F561" s="54"/>
      <c r="G561" s="5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c r="A562" s="1"/>
      <c r="B562" s="1"/>
      <c r="C562" s="1"/>
      <c r="D562" s="54"/>
      <c r="E562" s="54"/>
      <c r="F562" s="54"/>
      <c r="G562" s="5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c r="A563" s="1"/>
      <c r="B563" s="1"/>
      <c r="C563" s="1"/>
      <c r="D563" s="54"/>
      <c r="E563" s="54"/>
      <c r="F563" s="54"/>
      <c r="G563" s="5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c r="A564" s="1"/>
      <c r="B564" s="1"/>
      <c r="C564" s="1"/>
      <c r="D564" s="54"/>
      <c r="E564" s="54"/>
      <c r="F564" s="54"/>
      <c r="G564" s="5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c r="A565" s="1"/>
      <c r="B565" s="1"/>
      <c r="C565" s="1"/>
      <c r="D565" s="54"/>
      <c r="E565" s="54"/>
      <c r="F565" s="54"/>
      <c r="G565" s="5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c r="A566" s="1"/>
      <c r="B566" s="1"/>
      <c r="C566" s="1"/>
      <c r="D566" s="54"/>
      <c r="E566" s="54"/>
      <c r="F566" s="54"/>
      <c r="G566" s="5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c r="A567" s="1"/>
      <c r="B567" s="1"/>
      <c r="C567" s="1"/>
      <c r="D567" s="54"/>
      <c r="E567" s="54"/>
      <c r="F567" s="54"/>
      <c r="G567" s="5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c r="A568" s="1"/>
      <c r="B568" s="1"/>
      <c r="C568" s="1"/>
      <c r="D568" s="54"/>
      <c r="E568" s="54"/>
      <c r="F568" s="54"/>
      <c r="G568" s="5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c r="A569" s="1"/>
      <c r="B569" s="1"/>
      <c r="C569" s="1"/>
      <c r="D569" s="54"/>
      <c r="E569" s="54"/>
      <c r="F569" s="54"/>
      <c r="G569" s="5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c r="A570" s="1"/>
      <c r="B570" s="1"/>
      <c r="C570" s="1"/>
      <c r="D570" s="54"/>
      <c r="E570" s="54"/>
      <c r="F570" s="54"/>
      <c r="G570" s="5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c r="A571" s="1"/>
      <c r="B571" s="1"/>
      <c r="C571" s="1"/>
      <c r="D571" s="54"/>
      <c r="E571" s="54"/>
      <c r="F571" s="54"/>
      <c r="G571" s="5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c r="A572" s="1"/>
      <c r="B572" s="1"/>
      <c r="C572" s="1"/>
      <c r="D572" s="54"/>
      <c r="E572" s="54"/>
      <c r="F572" s="54"/>
      <c r="G572" s="5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c r="A573" s="1"/>
      <c r="B573" s="1"/>
      <c r="C573" s="1"/>
      <c r="D573" s="54"/>
      <c r="E573" s="54"/>
      <c r="F573" s="54"/>
      <c r="G573" s="5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c r="A574" s="1"/>
      <c r="B574" s="1"/>
      <c r="C574" s="1"/>
      <c r="D574" s="54"/>
      <c r="E574" s="54"/>
      <c r="F574" s="54"/>
      <c r="G574" s="5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c r="A575" s="1"/>
      <c r="B575" s="1"/>
      <c r="C575" s="1"/>
      <c r="D575" s="54"/>
      <c r="E575" s="54"/>
      <c r="F575" s="54"/>
      <c r="G575" s="5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c r="A576" s="1"/>
      <c r="B576" s="1"/>
      <c r="C576" s="1"/>
      <c r="D576" s="54"/>
      <c r="E576" s="54"/>
      <c r="F576" s="54"/>
      <c r="G576" s="5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c r="A577" s="1"/>
      <c r="B577" s="1"/>
      <c r="C577" s="1"/>
      <c r="D577" s="54"/>
      <c r="E577" s="54"/>
      <c r="F577" s="54"/>
      <c r="G577" s="5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c r="A578" s="1"/>
      <c r="B578" s="1"/>
      <c r="C578" s="1"/>
      <c r="D578" s="54"/>
      <c r="E578" s="54"/>
      <c r="F578" s="54"/>
      <c r="G578" s="5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c r="A579" s="1"/>
      <c r="B579" s="1"/>
      <c r="C579" s="1"/>
      <c r="D579" s="54"/>
      <c r="E579" s="54"/>
      <c r="F579" s="54"/>
      <c r="G579" s="5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c r="A580" s="1"/>
      <c r="B580" s="1"/>
      <c r="C580" s="1"/>
      <c r="D580" s="54"/>
      <c r="E580" s="54"/>
      <c r="F580" s="54"/>
      <c r="G580" s="5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c r="A581" s="1"/>
      <c r="B581" s="1"/>
      <c r="C581" s="1"/>
      <c r="D581" s="54"/>
      <c r="E581" s="54"/>
      <c r="F581" s="54"/>
      <c r="G581" s="5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c r="A582" s="1"/>
      <c r="B582" s="1"/>
      <c r="C582" s="1"/>
      <c r="D582" s="54"/>
      <c r="E582" s="54"/>
      <c r="F582" s="54"/>
      <c r="G582" s="5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c r="A583" s="1"/>
      <c r="B583" s="1"/>
      <c r="C583" s="1"/>
      <c r="D583" s="54"/>
      <c r="E583" s="54"/>
      <c r="F583" s="54"/>
      <c r="G583" s="5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c r="A584" s="1"/>
      <c r="B584" s="1"/>
      <c r="C584" s="1"/>
      <c r="D584" s="54"/>
      <c r="E584" s="54"/>
      <c r="F584" s="54"/>
      <c r="G584" s="5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c r="A585" s="1"/>
      <c r="B585" s="1"/>
      <c r="C585" s="1"/>
      <c r="D585" s="54"/>
      <c r="E585" s="54"/>
      <c r="F585" s="54"/>
      <c r="G585" s="5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c r="A586" s="1"/>
      <c r="B586" s="1"/>
      <c r="C586" s="1"/>
      <c r="D586" s="54"/>
      <c r="E586" s="54"/>
      <c r="F586" s="54"/>
      <c r="G586" s="5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c r="A587" s="1"/>
      <c r="B587" s="1"/>
      <c r="C587" s="1"/>
      <c r="D587" s="54"/>
      <c r="E587" s="54"/>
      <c r="F587" s="54"/>
      <c r="G587" s="5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c r="A588" s="1"/>
      <c r="B588" s="1"/>
      <c r="C588" s="1"/>
      <c r="D588" s="54"/>
      <c r="E588" s="54"/>
      <c r="F588" s="54"/>
      <c r="G588" s="5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c r="A589" s="1"/>
      <c r="B589" s="1"/>
      <c r="C589" s="1"/>
      <c r="D589" s="54"/>
      <c r="E589" s="54"/>
      <c r="F589" s="54"/>
      <c r="G589" s="5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c r="A590" s="1"/>
      <c r="B590" s="1"/>
      <c r="C590" s="1"/>
      <c r="D590" s="54"/>
      <c r="E590" s="54"/>
      <c r="F590" s="54"/>
      <c r="G590" s="5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c r="A591" s="1"/>
      <c r="B591" s="1"/>
      <c r="C591" s="1"/>
      <c r="D591" s="54"/>
      <c r="E591" s="54"/>
      <c r="F591" s="54"/>
      <c r="G591" s="5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c r="A592" s="1"/>
      <c r="B592" s="1"/>
      <c r="C592" s="1"/>
      <c r="D592" s="54"/>
      <c r="E592" s="54"/>
      <c r="F592" s="54"/>
      <c r="G592" s="5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c r="A593" s="1"/>
      <c r="B593" s="1"/>
      <c r="C593" s="1"/>
      <c r="D593" s="54"/>
      <c r="E593" s="54"/>
      <c r="F593" s="54"/>
      <c r="G593" s="5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c r="A594" s="1"/>
      <c r="B594" s="1"/>
      <c r="C594" s="1"/>
      <c r="D594" s="54"/>
      <c r="E594" s="54"/>
      <c r="F594" s="54"/>
      <c r="G594" s="5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c r="A595" s="1"/>
      <c r="B595" s="1"/>
      <c r="C595" s="1"/>
      <c r="D595" s="54"/>
      <c r="E595" s="54"/>
      <c r="F595" s="54"/>
      <c r="G595" s="5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c r="A596" s="1"/>
      <c r="B596" s="1"/>
      <c r="C596" s="1"/>
      <c r="D596" s="54"/>
      <c r="E596" s="54"/>
      <c r="F596" s="54"/>
      <c r="G596" s="5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c r="A597" s="1"/>
      <c r="B597" s="1"/>
      <c r="C597" s="1"/>
      <c r="D597" s="54"/>
      <c r="E597" s="54"/>
      <c r="F597" s="54"/>
      <c r="G597" s="5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c r="A598" s="1"/>
      <c r="B598" s="1"/>
      <c r="C598" s="1"/>
      <c r="D598" s="54"/>
      <c r="E598" s="54"/>
      <c r="F598" s="54"/>
      <c r="G598" s="5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c r="A599" s="1"/>
      <c r="B599" s="1"/>
      <c r="C599" s="1"/>
      <c r="D599" s="54"/>
      <c r="E599" s="54"/>
      <c r="F599" s="54"/>
      <c r="G599" s="5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c r="A600" s="1"/>
      <c r="B600" s="1"/>
      <c r="C600" s="1"/>
      <c r="D600" s="54"/>
      <c r="E600" s="54"/>
      <c r="F600" s="54"/>
      <c r="G600" s="5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c r="A601" s="1"/>
      <c r="B601" s="1"/>
      <c r="C601" s="1"/>
      <c r="D601" s="54"/>
      <c r="E601" s="54"/>
      <c r="F601" s="54"/>
      <c r="G601" s="5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c r="A602" s="1"/>
      <c r="B602" s="1"/>
      <c r="C602" s="1"/>
      <c r="D602" s="54"/>
      <c r="E602" s="54"/>
      <c r="F602" s="54"/>
      <c r="G602" s="5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c r="A603" s="1"/>
      <c r="B603" s="1"/>
      <c r="C603" s="1"/>
      <c r="D603" s="54"/>
      <c r="E603" s="54"/>
      <c r="F603" s="54"/>
      <c r="G603" s="5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c r="A604" s="1"/>
      <c r="B604" s="1"/>
      <c r="C604" s="1"/>
      <c r="D604" s="54"/>
      <c r="E604" s="54"/>
      <c r="F604" s="54"/>
      <c r="G604" s="5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c r="A605" s="1"/>
      <c r="B605" s="1"/>
      <c r="C605" s="1"/>
      <c r="D605" s="54"/>
      <c r="E605" s="54"/>
      <c r="F605" s="54"/>
      <c r="G605" s="5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c r="A606" s="1"/>
      <c r="B606" s="1"/>
      <c r="C606" s="1"/>
      <c r="D606" s="54"/>
      <c r="E606" s="54"/>
      <c r="F606" s="54"/>
      <c r="G606" s="5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c r="A607" s="1"/>
      <c r="B607" s="1"/>
      <c r="C607" s="1"/>
      <c r="D607" s="54"/>
      <c r="E607" s="54"/>
      <c r="F607" s="54"/>
      <c r="G607" s="5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c r="A608" s="1"/>
      <c r="B608" s="1"/>
      <c r="C608" s="1"/>
      <c r="D608" s="54"/>
      <c r="E608" s="54"/>
      <c r="F608" s="54"/>
      <c r="G608" s="5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c r="A609" s="1"/>
      <c r="B609" s="1"/>
      <c r="C609" s="1"/>
      <c r="D609" s="54"/>
      <c r="E609" s="54"/>
      <c r="F609" s="54"/>
      <c r="G609" s="5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c r="A610" s="1"/>
      <c r="B610" s="1"/>
      <c r="C610" s="1"/>
      <c r="D610" s="54"/>
      <c r="E610" s="54"/>
      <c r="F610" s="54"/>
      <c r="G610" s="5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c r="A611" s="1"/>
      <c r="B611" s="1"/>
      <c r="C611" s="1"/>
      <c r="D611" s="54"/>
      <c r="E611" s="54"/>
      <c r="F611" s="54"/>
      <c r="G611" s="5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c r="A612" s="1"/>
      <c r="B612" s="1"/>
      <c r="C612" s="1"/>
      <c r="D612" s="54"/>
      <c r="E612" s="54"/>
      <c r="F612" s="54"/>
      <c r="G612" s="5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c r="A613" s="1"/>
      <c r="B613" s="1"/>
      <c r="C613" s="1"/>
      <c r="D613" s="54"/>
      <c r="E613" s="54"/>
      <c r="F613" s="54"/>
      <c r="G613" s="5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c r="A614" s="1"/>
      <c r="B614" s="1"/>
      <c r="C614" s="1"/>
      <c r="D614" s="54"/>
      <c r="E614" s="54"/>
      <c r="F614" s="54"/>
      <c r="G614" s="5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c r="A615" s="1"/>
      <c r="B615" s="1"/>
      <c r="C615" s="1"/>
      <c r="D615" s="54"/>
      <c r="E615" s="54"/>
      <c r="F615" s="54"/>
      <c r="G615" s="5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c r="A616" s="1"/>
      <c r="B616" s="1"/>
      <c r="C616" s="1"/>
      <c r="D616" s="54"/>
      <c r="E616" s="54"/>
      <c r="F616" s="54"/>
      <c r="G616" s="5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c r="A617" s="1"/>
      <c r="B617" s="1"/>
      <c r="C617" s="1"/>
      <c r="D617" s="54"/>
      <c r="E617" s="54"/>
      <c r="F617" s="54"/>
      <c r="G617" s="5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c r="A618" s="1"/>
      <c r="B618" s="1"/>
      <c r="C618" s="1"/>
      <c r="D618" s="54"/>
      <c r="E618" s="54"/>
      <c r="F618" s="54"/>
      <c r="G618" s="5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c r="A619" s="1"/>
      <c r="B619" s="1"/>
      <c r="C619" s="1"/>
      <c r="D619" s="54"/>
      <c r="E619" s="54"/>
      <c r="F619" s="54"/>
      <c r="G619" s="5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c r="A620" s="1"/>
      <c r="B620" s="1"/>
      <c r="C620" s="1"/>
      <c r="D620" s="54"/>
      <c r="E620" s="54"/>
      <c r="F620" s="54"/>
      <c r="G620" s="5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c r="A621" s="1"/>
      <c r="B621" s="1"/>
      <c r="C621" s="1"/>
      <c r="D621" s="54"/>
      <c r="E621" s="54"/>
      <c r="F621" s="54"/>
      <c r="G621" s="5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c r="A622" s="1"/>
      <c r="B622" s="1"/>
      <c r="C622" s="1"/>
      <c r="D622" s="54"/>
      <c r="E622" s="54"/>
      <c r="F622" s="54"/>
      <c r="G622" s="5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c r="A623" s="1"/>
      <c r="B623" s="1"/>
      <c r="C623" s="1"/>
      <c r="D623" s="54"/>
      <c r="E623" s="54"/>
      <c r="F623" s="54"/>
      <c r="G623" s="5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c r="A624" s="1"/>
      <c r="B624" s="1"/>
      <c r="C624" s="1"/>
      <c r="D624" s="54"/>
      <c r="E624" s="54"/>
      <c r="F624" s="54"/>
      <c r="G624" s="5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c r="A625" s="1"/>
      <c r="B625" s="1"/>
      <c r="C625" s="1"/>
      <c r="D625" s="54"/>
      <c r="E625" s="54"/>
      <c r="F625" s="54"/>
      <c r="G625" s="5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c r="A626" s="1"/>
      <c r="B626" s="1"/>
      <c r="C626" s="1"/>
      <c r="D626" s="54"/>
      <c r="E626" s="54"/>
      <c r="F626" s="54"/>
      <c r="G626" s="5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c r="A627" s="1"/>
      <c r="B627" s="1"/>
      <c r="C627" s="1"/>
      <c r="D627" s="54"/>
      <c r="E627" s="54"/>
      <c r="F627" s="54"/>
      <c r="G627" s="5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c r="A628" s="1"/>
      <c r="B628" s="1"/>
      <c r="C628" s="1"/>
      <c r="D628" s="54"/>
      <c r="E628" s="54"/>
      <c r="F628" s="54"/>
      <c r="G628" s="5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c r="A629" s="1"/>
      <c r="B629" s="1"/>
      <c r="C629" s="1"/>
      <c r="D629" s="54"/>
      <c r="E629" s="54"/>
      <c r="F629" s="54"/>
      <c r="G629" s="5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c r="A630" s="1"/>
      <c r="B630" s="1"/>
      <c r="C630" s="1"/>
      <c r="D630" s="54"/>
      <c r="E630" s="54"/>
      <c r="F630" s="54"/>
      <c r="G630" s="5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c r="A631" s="1"/>
      <c r="B631" s="1"/>
      <c r="C631" s="1"/>
      <c r="D631" s="54"/>
      <c r="E631" s="54"/>
      <c r="F631" s="54"/>
      <c r="G631" s="5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c r="A632" s="1"/>
      <c r="B632" s="1"/>
      <c r="C632" s="1"/>
      <c r="D632" s="54"/>
      <c r="E632" s="54"/>
      <c r="F632" s="54"/>
      <c r="G632" s="5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c r="A633" s="1"/>
      <c r="B633" s="1"/>
      <c r="C633" s="1"/>
      <c r="D633" s="54"/>
      <c r="E633" s="54"/>
      <c r="F633" s="54"/>
      <c r="G633" s="5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c r="A634" s="1"/>
      <c r="B634" s="1"/>
      <c r="C634" s="1"/>
      <c r="D634" s="54"/>
      <c r="E634" s="54"/>
      <c r="F634" s="54"/>
      <c r="G634" s="5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c r="A635" s="1"/>
      <c r="B635" s="1"/>
      <c r="C635" s="1"/>
      <c r="D635" s="54"/>
      <c r="E635" s="54"/>
      <c r="F635" s="54"/>
      <c r="G635" s="5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c r="A636" s="1"/>
      <c r="B636" s="1"/>
      <c r="C636" s="1"/>
      <c r="D636" s="54"/>
      <c r="E636" s="54"/>
      <c r="F636" s="54"/>
      <c r="G636" s="5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c r="A637" s="1"/>
      <c r="B637" s="1"/>
      <c r="C637" s="1"/>
      <c r="D637" s="54"/>
      <c r="E637" s="54"/>
      <c r="F637" s="54"/>
      <c r="G637" s="5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c r="A638" s="1"/>
      <c r="B638" s="1"/>
      <c r="C638" s="1"/>
      <c r="D638" s="54"/>
      <c r="E638" s="54"/>
      <c r="F638" s="54"/>
      <c r="G638" s="5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c r="A639" s="1"/>
      <c r="B639" s="1"/>
      <c r="C639" s="1"/>
      <c r="D639" s="54"/>
      <c r="E639" s="54"/>
      <c r="F639" s="54"/>
      <c r="G639" s="5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c r="A640" s="1"/>
      <c r="B640" s="1"/>
      <c r="C640" s="1"/>
      <c r="D640" s="54"/>
      <c r="E640" s="54"/>
      <c r="F640" s="54"/>
      <c r="G640" s="5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c r="A641" s="1"/>
      <c r="B641" s="1"/>
      <c r="C641" s="1"/>
      <c r="D641" s="54"/>
      <c r="E641" s="54"/>
      <c r="F641" s="54"/>
      <c r="G641" s="5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c r="A642" s="1"/>
      <c r="B642" s="1"/>
      <c r="C642" s="1"/>
      <c r="D642" s="54"/>
      <c r="E642" s="54"/>
      <c r="F642" s="54"/>
      <c r="G642" s="5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c r="A643" s="1"/>
      <c r="B643" s="1"/>
      <c r="C643" s="1"/>
      <c r="D643" s="54"/>
      <c r="E643" s="54"/>
      <c r="F643" s="54"/>
      <c r="G643" s="5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c r="A644" s="1"/>
      <c r="B644" s="1"/>
      <c r="C644" s="1"/>
      <c r="D644" s="54"/>
      <c r="E644" s="54"/>
      <c r="F644" s="54"/>
      <c r="G644" s="5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c r="A645" s="1"/>
      <c r="B645" s="1"/>
      <c r="C645" s="1"/>
      <c r="D645" s="54"/>
      <c r="E645" s="54"/>
      <c r="F645" s="54"/>
      <c r="G645" s="5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c r="A646" s="1"/>
      <c r="B646" s="1"/>
      <c r="C646" s="1"/>
      <c r="D646" s="54"/>
      <c r="E646" s="54"/>
      <c r="F646" s="54"/>
      <c r="G646" s="5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c r="A647" s="1"/>
      <c r="B647" s="1"/>
      <c r="C647" s="1"/>
      <c r="D647" s="54"/>
      <c r="E647" s="54"/>
      <c r="F647" s="54"/>
      <c r="G647" s="5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c r="A648" s="1"/>
      <c r="B648" s="1"/>
      <c r="C648" s="1"/>
      <c r="D648" s="54"/>
      <c r="E648" s="54"/>
      <c r="F648" s="54"/>
      <c r="G648" s="5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c r="A649" s="1"/>
      <c r="B649" s="1"/>
      <c r="C649" s="1"/>
      <c r="D649" s="54"/>
      <c r="E649" s="54"/>
      <c r="F649" s="54"/>
      <c r="G649" s="5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c r="A650" s="1"/>
      <c r="B650" s="1"/>
      <c r="C650" s="1"/>
      <c r="D650" s="54"/>
      <c r="E650" s="54"/>
      <c r="F650" s="54"/>
      <c r="G650" s="5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c r="A651" s="1"/>
      <c r="B651" s="1"/>
      <c r="C651" s="1"/>
      <c r="D651" s="54"/>
      <c r="E651" s="54"/>
      <c r="F651" s="54"/>
      <c r="G651" s="5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c r="A652" s="1"/>
      <c r="B652" s="1"/>
      <c r="C652" s="1"/>
      <c r="D652" s="54"/>
      <c r="E652" s="54"/>
      <c r="F652" s="54"/>
      <c r="G652" s="5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c r="A653" s="1"/>
      <c r="B653" s="1"/>
      <c r="C653" s="1"/>
      <c r="D653" s="54"/>
      <c r="E653" s="54"/>
      <c r="F653" s="54"/>
      <c r="G653" s="5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c r="A654" s="1"/>
      <c r="B654" s="1"/>
      <c r="C654" s="1"/>
      <c r="D654" s="54"/>
      <c r="E654" s="54"/>
      <c r="F654" s="54"/>
      <c r="G654" s="5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c r="A655" s="1"/>
      <c r="B655" s="1"/>
      <c r="C655" s="1"/>
      <c r="D655" s="54"/>
      <c r="E655" s="54"/>
      <c r="F655" s="54"/>
      <c r="G655" s="5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c r="A656" s="1"/>
      <c r="B656" s="1"/>
      <c r="C656" s="1"/>
      <c r="D656" s="54"/>
      <c r="E656" s="54"/>
      <c r="F656" s="54"/>
      <c r="G656" s="5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c r="A657" s="1"/>
      <c r="B657" s="1"/>
      <c r="C657" s="1"/>
      <c r="D657" s="54"/>
      <c r="E657" s="54"/>
      <c r="F657" s="54"/>
      <c r="G657" s="5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c r="A658" s="1"/>
      <c r="B658" s="1"/>
      <c r="C658" s="1"/>
      <c r="D658" s="54"/>
      <c r="E658" s="54"/>
      <c r="F658" s="54"/>
      <c r="G658" s="5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c r="A659" s="1"/>
      <c r="B659" s="1"/>
      <c r="C659" s="1"/>
      <c r="D659" s="54"/>
      <c r="E659" s="54"/>
      <c r="F659" s="54"/>
      <c r="G659" s="5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c r="A660" s="1"/>
      <c r="B660" s="1"/>
      <c r="C660" s="1"/>
      <c r="D660" s="54"/>
      <c r="E660" s="54"/>
      <c r="F660" s="54"/>
      <c r="G660" s="5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c r="A661" s="1"/>
      <c r="B661" s="1"/>
      <c r="C661" s="1"/>
      <c r="D661" s="54"/>
      <c r="E661" s="54"/>
      <c r="F661" s="54"/>
      <c r="G661" s="5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c r="A662" s="1"/>
      <c r="B662" s="1"/>
      <c r="C662" s="1"/>
      <c r="D662" s="54"/>
      <c r="E662" s="54"/>
      <c r="F662" s="54"/>
      <c r="G662" s="5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c r="A663" s="1"/>
      <c r="B663" s="1"/>
      <c r="C663" s="1"/>
      <c r="D663" s="54"/>
      <c r="E663" s="54"/>
      <c r="F663" s="54"/>
      <c r="G663" s="5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c r="A664" s="1"/>
      <c r="B664" s="1"/>
      <c r="C664" s="1"/>
      <c r="D664" s="54"/>
      <c r="E664" s="54"/>
      <c r="F664" s="54"/>
      <c r="G664" s="5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c r="A665" s="1"/>
      <c r="B665" s="1"/>
      <c r="C665" s="1"/>
      <c r="D665" s="54"/>
      <c r="E665" s="54"/>
      <c r="F665" s="54"/>
      <c r="G665" s="5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c r="A666" s="1"/>
      <c r="B666" s="1"/>
      <c r="C666" s="1"/>
      <c r="D666" s="54"/>
      <c r="E666" s="54"/>
      <c r="F666" s="54"/>
      <c r="G666" s="5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c r="A667" s="1"/>
      <c r="B667" s="1"/>
      <c r="C667" s="1"/>
      <c r="D667" s="54"/>
      <c r="E667" s="54"/>
      <c r="F667" s="54"/>
      <c r="G667" s="5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c r="A668" s="1"/>
      <c r="B668" s="1"/>
      <c r="C668" s="1"/>
      <c r="D668" s="54"/>
      <c r="E668" s="54"/>
      <c r="F668" s="54"/>
      <c r="G668" s="5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c r="A669" s="1"/>
      <c r="B669" s="1"/>
      <c r="C669" s="1"/>
      <c r="D669" s="54"/>
      <c r="E669" s="54"/>
      <c r="F669" s="54"/>
      <c r="G669" s="5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c r="A670" s="1"/>
      <c r="B670" s="1"/>
      <c r="C670" s="1"/>
      <c r="D670" s="54"/>
      <c r="E670" s="54"/>
      <c r="F670" s="54"/>
      <c r="G670" s="5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c r="A671" s="1"/>
      <c r="B671" s="1"/>
      <c r="C671" s="1"/>
      <c r="D671" s="54"/>
      <c r="E671" s="54"/>
      <c r="F671" s="54"/>
      <c r="G671" s="5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c r="A672" s="1"/>
      <c r="B672" s="1"/>
      <c r="C672" s="1"/>
      <c r="D672" s="54"/>
      <c r="E672" s="54"/>
      <c r="F672" s="54"/>
      <c r="G672" s="5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c r="A673" s="1"/>
      <c r="B673" s="1"/>
      <c r="C673" s="1"/>
      <c r="D673" s="54"/>
      <c r="E673" s="54"/>
      <c r="F673" s="54"/>
      <c r="G673" s="5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c r="A674" s="1"/>
      <c r="B674" s="1"/>
      <c r="C674" s="1"/>
      <c r="D674" s="54"/>
      <c r="E674" s="54"/>
      <c r="F674" s="54"/>
      <c r="G674" s="5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c r="A675" s="1"/>
      <c r="B675" s="1"/>
      <c r="C675" s="1"/>
      <c r="D675" s="54"/>
      <c r="E675" s="54"/>
      <c r="F675" s="54"/>
      <c r="G675" s="5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c r="A676" s="1"/>
      <c r="B676" s="1"/>
      <c r="C676" s="1"/>
      <c r="D676" s="54"/>
      <c r="E676" s="54"/>
      <c r="F676" s="54"/>
      <c r="G676" s="5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c r="A677" s="1"/>
      <c r="B677" s="1"/>
      <c r="C677" s="1"/>
      <c r="D677" s="54"/>
      <c r="E677" s="54"/>
      <c r="F677" s="54"/>
      <c r="G677" s="5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c r="A678" s="1"/>
      <c r="B678" s="1"/>
      <c r="C678" s="1"/>
      <c r="D678" s="54"/>
      <c r="E678" s="54"/>
      <c r="F678" s="54"/>
      <c r="G678" s="5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c r="A679" s="1"/>
      <c r="B679" s="1"/>
      <c r="C679" s="1"/>
      <c r="D679" s="54"/>
      <c r="E679" s="54"/>
      <c r="F679" s="54"/>
      <c r="G679" s="5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c r="A680" s="1"/>
      <c r="B680" s="1"/>
      <c r="C680" s="1"/>
      <c r="D680" s="54"/>
      <c r="E680" s="54"/>
      <c r="F680" s="54"/>
      <c r="G680" s="5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c r="A681" s="1"/>
      <c r="B681" s="1"/>
      <c r="C681" s="1"/>
      <c r="D681" s="54"/>
      <c r="E681" s="54"/>
      <c r="F681" s="54"/>
      <c r="G681" s="5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c r="A682" s="1"/>
      <c r="B682" s="1"/>
      <c r="C682" s="1"/>
      <c r="D682" s="54"/>
      <c r="E682" s="54"/>
      <c r="F682" s="54"/>
      <c r="G682" s="5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c r="A683" s="1"/>
      <c r="B683" s="1"/>
      <c r="C683" s="1"/>
      <c r="D683" s="54"/>
      <c r="E683" s="54"/>
      <c r="F683" s="54"/>
      <c r="G683" s="5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c r="A684" s="1"/>
      <c r="B684" s="1"/>
      <c r="C684" s="1"/>
      <c r="D684" s="54"/>
      <c r="E684" s="54"/>
      <c r="F684" s="54"/>
      <c r="G684" s="5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c r="A685" s="1"/>
      <c r="B685" s="1"/>
      <c r="C685" s="1"/>
      <c r="D685" s="54"/>
      <c r="E685" s="54"/>
      <c r="F685" s="54"/>
      <c r="G685" s="5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c r="A686" s="1"/>
      <c r="B686" s="1"/>
      <c r="C686" s="1"/>
      <c r="D686" s="54"/>
      <c r="E686" s="54"/>
      <c r="F686" s="54"/>
      <c r="G686" s="5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c r="A687" s="1"/>
      <c r="B687" s="1"/>
      <c r="C687" s="1"/>
      <c r="D687" s="54"/>
      <c r="E687" s="54"/>
      <c r="F687" s="54"/>
      <c r="G687" s="5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c r="A688" s="1"/>
      <c r="B688" s="1"/>
      <c r="C688" s="1"/>
      <c r="D688" s="54"/>
      <c r="E688" s="54"/>
      <c r="F688" s="54"/>
      <c r="G688" s="5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c r="A689" s="1"/>
      <c r="B689" s="1"/>
      <c r="C689" s="1"/>
      <c r="D689" s="54"/>
      <c r="E689" s="54"/>
      <c r="F689" s="54"/>
      <c r="G689" s="5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c r="A690" s="1"/>
      <c r="B690" s="1"/>
      <c r="C690" s="1"/>
      <c r="D690" s="54"/>
      <c r="E690" s="54"/>
      <c r="F690" s="54"/>
      <c r="G690" s="5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6.5" customHeight="1">
      <c r="A691" s="1"/>
      <c r="B691" s="1"/>
      <c r="C691" s="1"/>
      <c r="D691" s="54"/>
      <c r="E691" s="54"/>
      <c r="F691" s="54"/>
      <c r="G691" s="5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6.5" customHeight="1">
      <c r="A692" s="1"/>
      <c r="B692" s="1"/>
      <c r="C692" s="1"/>
      <c r="D692" s="54"/>
      <c r="E692" s="54"/>
      <c r="F692" s="54"/>
      <c r="G692" s="5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6.5" customHeight="1">
      <c r="A693" s="1"/>
      <c r="B693" s="1"/>
      <c r="C693" s="1"/>
      <c r="D693" s="54"/>
      <c r="E693" s="54"/>
      <c r="F693" s="54"/>
      <c r="G693" s="5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6.5" customHeight="1">
      <c r="A694" s="1"/>
      <c r="B694" s="1"/>
      <c r="C694" s="1"/>
      <c r="D694" s="54"/>
      <c r="E694" s="54"/>
      <c r="F694" s="54"/>
      <c r="G694" s="5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6.5" customHeight="1">
      <c r="A695" s="1"/>
      <c r="B695" s="1"/>
      <c r="C695" s="1"/>
      <c r="D695" s="54"/>
      <c r="E695" s="54"/>
      <c r="F695" s="54"/>
      <c r="G695" s="5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6.5" customHeight="1">
      <c r="A696" s="1"/>
      <c r="B696" s="1"/>
      <c r="C696" s="1"/>
      <c r="D696" s="54"/>
      <c r="E696" s="54"/>
      <c r="F696" s="54"/>
      <c r="G696" s="5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6.5" customHeight="1">
      <c r="A697" s="1"/>
      <c r="B697" s="1"/>
      <c r="C697" s="1"/>
      <c r="D697" s="54"/>
      <c r="E697" s="54"/>
      <c r="F697" s="54"/>
      <c r="G697" s="5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6.5" customHeight="1">
      <c r="A698" s="1"/>
      <c r="B698" s="1"/>
      <c r="C698" s="1"/>
      <c r="D698" s="54"/>
      <c r="E698" s="54"/>
      <c r="F698" s="54"/>
      <c r="G698" s="5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6.5" customHeight="1">
      <c r="A699" s="1"/>
      <c r="B699" s="1"/>
      <c r="C699" s="1"/>
      <c r="D699" s="54"/>
      <c r="E699" s="54"/>
      <c r="F699" s="54"/>
      <c r="G699" s="5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6.5" customHeight="1">
      <c r="A700" s="1"/>
      <c r="B700" s="1"/>
      <c r="C700" s="1"/>
      <c r="D700" s="54"/>
      <c r="E700" s="54"/>
      <c r="F700" s="54"/>
      <c r="G700" s="5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6.5" customHeight="1">
      <c r="A701" s="1"/>
      <c r="B701" s="1"/>
      <c r="C701" s="1"/>
      <c r="D701" s="54"/>
      <c r="E701" s="54"/>
      <c r="F701" s="54"/>
      <c r="G701" s="5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6.5" customHeight="1">
      <c r="A702" s="1"/>
      <c r="B702" s="1"/>
      <c r="C702" s="1"/>
      <c r="D702" s="54"/>
      <c r="E702" s="54"/>
      <c r="F702" s="54"/>
      <c r="G702" s="5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6.5" customHeight="1">
      <c r="A703" s="1"/>
      <c r="B703" s="1"/>
      <c r="C703" s="1"/>
      <c r="D703" s="54"/>
      <c r="E703" s="54"/>
      <c r="F703" s="54"/>
      <c r="G703" s="5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6.5" customHeight="1">
      <c r="A704" s="1"/>
      <c r="B704" s="1"/>
      <c r="C704" s="1"/>
      <c r="D704" s="54"/>
      <c r="E704" s="54"/>
      <c r="F704" s="54"/>
      <c r="G704" s="5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6.5" customHeight="1">
      <c r="A705" s="1"/>
      <c r="B705" s="1"/>
      <c r="C705" s="1"/>
      <c r="D705" s="54"/>
      <c r="E705" s="54"/>
      <c r="F705" s="54"/>
      <c r="G705" s="5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6.5" customHeight="1">
      <c r="A706" s="1"/>
      <c r="B706" s="1"/>
      <c r="C706" s="1"/>
      <c r="D706" s="54"/>
      <c r="E706" s="54"/>
      <c r="F706" s="54"/>
      <c r="G706" s="5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6.5" customHeight="1">
      <c r="A707" s="1"/>
      <c r="B707" s="1"/>
      <c r="C707" s="1"/>
      <c r="D707" s="54"/>
      <c r="E707" s="54"/>
      <c r="F707" s="54"/>
      <c r="G707" s="5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6.5" customHeight="1">
      <c r="A708" s="1"/>
      <c r="B708" s="1"/>
      <c r="C708" s="1"/>
      <c r="D708" s="54"/>
      <c r="E708" s="54"/>
      <c r="F708" s="54"/>
      <c r="G708" s="5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6.5" customHeight="1">
      <c r="A709" s="1"/>
      <c r="B709" s="1"/>
      <c r="C709" s="1"/>
      <c r="D709" s="54"/>
      <c r="E709" s="54"/>
      <c r="F709" s="54"/>
      <c r="G709" s="5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6.5" customHeight="1">
      <c r="A710" s="1"/>
      <c r="B710" s="1"/>
      <c r="C710" s="1"/>
      <c r="D710" s="54"/>
      <c r="E710" s="54"/>
      <c r="F710" s="54"/>
      <c r="G710" s="5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6.5" customHeight="1">
      <c r="A711" s="1"/>
      <c r="B711" s="1"/>
      <c r="C711" s="1"/>
      <c r="D711" s="54"/>
      <c r="E711" s="54"/>
      <c r="F711" s="54"/>
      <c r="G711" s="5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6.5" customHeight="1">
      <c r="A712" s="1"/>
      <c r="B712" s="1"/>
      <c r="C712" s="1"/>
      <c r="D712" s="54"/>
      <c r="E712" s="54"/>
      <c r="F712" s="54"/>
      <c r="G712" s="5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6.5" customHeight="1">
      <c r="A713" s="1"/>
      <c r="B713" s="1"/>
      <c r="C713" s="1"/>
      <c r="D713" s="54"/>
      <c r="E713" s="54"/>
      <c r="F713" s="54"/>
      <c r="G713" s="5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6.5" customHeight="1">
      <c r="A714" s="1"/>
      <c r="B714" s="1"/>
      <c r="C714" s="1"/>
      <c r="D714" s="54"/>
      <c r="E714" s="54"/>
      <c r="F714" s="54"/>
      <c r="G714" s="5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6.5" customHeight="1">
      <c r="A715" s="1"/>
      <c r="B715" s="1"/>
      <c r="C715" s="1"/>
      <c r="D715" s="54"/>
      <c r="E715" s="54"/>
      <c r="F715" s="54"/>
      <c r="G715" s="5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6.5" customHeight="1">
      <c r="A716" s="1"/>
      <c r="B716" s="1"/>
      <c r="C716" s="1"/>
      <c r="D716" s="54"/>
      <c r="E716" s="54"/>
      <c r="F716" s="54"/>
      <c r="G716" s="5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6.5" customHeight="1">
      <c r="A717" s="1"/>
      <c r="B717" s="1"/>
      <c r="C717" s="1"/>
      <c r="D717" s="54"/>
      <c r="E717" s="54"/>
      <c r="F717" s="54"/>
      <c r="G717" s="5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6.5" customHeight="1">
      <c r="A718" s="1"/>
      <c r="B718" s="1"/>
      <c r="C718" s="1"/>
      <c r="D718" s="54"/>
      <c r="E718" s="54"/>
      <c r="F718" s="54"/>
      <c r="G718" s="5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6.5" customHeight="1">
      <c r="A719" s="1"/>
      <c r="B719" s="1"/>
      <c r="C719" s="1"/>
      <c r="D719" s="54"/>
      <c r="E719" s="54"/>
      <c r="F719" s="54"/>
      <c r="G719" s="5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6.5" customHeight="1">
      <c r="A720" s="1"/>
      <c r="B720" s="1"/>
      <c r="C720" s="1"/>
      <c r="D720" s="54"/>
      <c r="E720" s="54"/>
      <c r="F720" s="54"/>
      <c r="G720" s="5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6.5" customHeight="1">
      <c r="A721" s="1"/>
      <c r="B721" s="1"/>
      <c r="C721" s="1"/>
      <c r="D721" s="54"/>
      <c r="E721" s="54"/>
      <c r="F721" s="54"/>
      <c r="G721" s="5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6.5" customHeight="1">
      <c r="A722" s="1"/>
      <c r="B722" s="1"/>
      <c r="C722" s="1"/>
      <c r="D722" s="54"/>
      <c r="E722" s="54"/>
      <c r="F722" s="54"/>
      <c r="G722" s="5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6.5" customHeight="1">
      <c r="A723" s="1"/>
      <c r="B723" s="1"/>
      <c r="C723" s="1"/>
      <c r="D723" s="54"/>
      <c r="E723" s="54"/>
      <c r="F723" s="54"/>
      <c r="G723" s="5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6.5" customHeight="1">
      <c r="A724" s="1"/>
      <c r="B724" s="1"/>
      <c r="C724" s="1"/>
      <c r="D724" s="54"/>
      <c r="E724" s="54"/>
      <c r="F724" s="54"/>
      <c r="G724" s="5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6.5" customHeight="1">
      <c r="A725" s="1"/>
      <c r="B725" s="1"/>
      <c r="C725" s="1"/>
      <c r="D725" s="54"/>
      <c r="E725" s="54"/>
      <c r="F725" s="54"/>
      <c r="G725" s="5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6.5" customHeight="1">
      <c r="A726" s="1"/>
      <c r="B726" s="1"/>
      <c r="C726" s="1"/>
      <c r="D726" s="54"/>
      <c r="E726" s="54"/>
      <c r="F726" s="54"/>
      <c r="G726" s="5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6.5" customHeight="1">
      <c r="A727" s="1"/>
      <c r="B727" s="1"/>
      <c r="C727" s="1"/>
      <c r="D727" s="54"/>
      <c r="E727" s="54"/>
      <c r="F727" s="54"/>
      <c r="G727" s="5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6.5" customHeight="1">
      <c r="A728" s="1"/>
      <c r="B728" s="1"/>
      <c r="C728" s="1"/>
      <c r="D728" s="54"/>
      <c r="E728" s="54"/>
      <c r="F728" s="54"/>
      <c r="G728" s="5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6.5" customHeight="1">
      <c r="A729" s="1"/>
      <c r="B729" s="1"/>
      <c r="C729" s="1"/>
      <c r="D729" s="54"/>
      <c r="E729" s="54"/>
      <c r="F729" s="54"/>
      <c r="G729" s="5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6.5" customHeight="1">
      <c r="A730" s="1"/>
      <c r="B730" s="1"/>
      <c r="C730" s="1"/>
      <c r="D730" s="54"/>
      <c r="E730" s="54"/>
      <c r="F730" s="54"/>
      <c r="G730" s="5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6.5" customHeight="1">
      <c r="A731" s="1"/>
      <c r="B731" s="1"/>
      <c r="C731" s="1"/>
      <c r="D731" s="54"/>
      <c r="E731" s="54"/>
      <c r="F731" s="54"/>
      <c r="G731" s="5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6.5" customHeight="1">
      <c r="A732" s="1"/>
      <c r="B732" s="1"/>
      <c r="C732" s="1"/>
      <c r="D732" s="54"/>
      <c r="E732" s="54"/>
      <c r="F732" s="54"/>
      <c r="G732" s="5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6.5" customHeight="1">
      <c r="A733" s="1"/>
      <c r="B733" s="1"/>
      <c r="C733" s="1"/>
      <c r="D733" s="54"/>
      <c r="E733" s="54"/>
      <c r="F733" s="54"/>
      <c r="G733" s="5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6.5" customHeight="1">
      <c r="A734" s="1"/>
      <c r="B734" s="1"/>
      <c r="C734" s="1"/>
      <c r="D734" s="54"/>
      <c r="E734" s="54"/>
      <c r="F734" s="54"/>
      <c r="G734" s="5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6.5" customHeight="1">
      <c r="A735" s="1"/>
      <c r="B735" s="1"/>
      <c r="C735" s="1"/>
      <c r="D735" s="54"/>
      <c r="E735" s="54"/>
      <c r="F735" s="54"/>
      <c r="G735" s="5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6.5" customHeight="1">
      <c r="A736" s="1"/>
      <c r="B736" s="1"/>
      <c r="C736" s="1"/>
      <c r="D736" s="54"/>
      <c r="E736" s="54"/>
      <c r="F736" s="54"/>
      <c r="G736" s="5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6.5" customHeight="1">
      <c r="A737" s="1"/>
      <c r="B737" s="1"/>
      <c r="C737" s="1"/>
      <c r="D737" s="54"/>
      <c r="E737" s="54"/>
      <c r="F737" s="54"/>
      <c r="G737" s="5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6.5" customHeight="1">
      <c r="A738" s="1"/>
      <c r="B738" s="1"/>
      <c r="C738" s="1"/>
      <c r="D738" s="54"/>
      <c r="E738" s="54"/>
      <c r="F738" s="54"/>
      <c r="G738" s="5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6.5" customHeight="1">
      <c r="A739" s="1"/>
      <c r="B739" s="1"/>
      <c r="C739" s="1"/>
      <c r="D739" s="54"/>
      <c r="E739" s="54"/>
      <c r="F739" s="54"/>
      <c r="G739" s="5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6.5" customHeight="1">
      <c r="A740" s="1"/>
      <c r="B740" s="1"/>
      <c r="C740" s="1"/>
      <c r="D740" s="54"/>
      <c r="E740" s="54"/>
      <c r="F740" s="54"/>
      <c r="G740" s="5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6.5" customHeight="1">
      <c r="A741" s="1"/>
      <c r="B741" s="1"/>
      <c r="C741" s="1"/>
      <c r="D741" s="54"/>
      <c r="E741" s="54"/>
      <c r="F741" s="54"/>
      <c r="G741" s="5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6.5" customHeight="1">
      <c r="A742" s="1"/>
      <c r="B742" s="1"/>
      <c r="C742" s="1"/>
      <c r="D742" s="54"/>
      <c r="E742" s="54"/>
      <c r="F742" s="54"/>
      <c r="G742" s="5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6.5" customHeight="1">
      <c r="A743" s="1"/>
      <c r="B743" s="1"/>
      <c r="C743" s="1"/>
      <c r="D743" s="54"/>
      <c r="E743" s="54"/>
      <c r="F743" s="54"/>
      <c r="G743" s="5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6.5" customHeight="1">
      <c r="A744" s="1"/>
      <c r="B744" s="1"/>
      <c r="C744" s="1"/>
      <c r="D744" s="54"/>
      <c r="E744" s="54"/>
      <c r="F744" s="54"/>
      <c r="G744" s="5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6.5" customHeight="1">
      <c r="A745" s="1"/>
      <c r="B745" s="1"/>
      <c r="C745" s="1"/>
      <c r="D745" s="54"/>
      <c r="E745" s="54"/>
      <c r="F745" s="54"/>
      <c r="G745" s="5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6.5" customHeight="1">
      <c r="A746" s="1"/>
      <c r="B746" s="1"/>
      <c r="C746" s="1"/>
      <c r="D746" s="54"/>
      <c r="E746" s="54"/>
      <c r="F746" s="54"/>
      <c r="G746" s="5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6.5" customHeight="1">
      <c r="A747" s="1"/>
      <c r="B747" s="1"/>
      <c r="C747" s="1"/>
      <c r="D747" s="54"/>
      <c r="E747" s="54"/>
      <c r="F747" s="54"/>
      <c r="G747" s="5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6.5" customHeight="1">
      <c r="A748" s="1"/>
      <c r="B748" s="1"/>
      <c r="C748" s="1"/>
      <c r="D748" s="54"/>
      <c r="E748" s="54"/>
      <c r="F748" s="54"/>
      <c r="G748" s="5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6.5" customHeight="1">
      <c r="A749" s="1"/>
      <c r="B749" s="1"/>
      <c r="C749" s="1"/>
      <c r="D749" s="54"/>
      <c r="E749" s="54"/>
      <c r="F749" s="54"/>
      <c r="G749" s="5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6.5" customHeight="1">
      <c r="A750" s="1"/>
      <c r="B750" s="1"/>
      <c r="C750" s="1"/>
      <c r="D750" s="54"/>
      <c r="E750" s="54"/>
      <c r="F750" s="54"/>
      <c r="G750" s="5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6.5" customHeight="1">
      <c r="A751" s="1"/>
      <c r="B751" s="1"/>
      <c r="C751" s="1"/>
      <c r="D751" s="54"/>
      <c r="E751" s="54"/>
      <c r="F751" s="54"/>
      <c r="G751" s="5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6.5" customHeight="1">
      <c r="A752" s="1"/>
      <c r="B752" s="1"/>
      <c r="C752" s="1"/>
      <c r="D752" s="54"/>
      <c r="E752" s="54"/>
      <c r="F752" s="54"/>
      <c r="G752" s="5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6.5" customHeight="1">
      <c r="A753" s="1"/>
      <c r="B753" s="1"/>
      <c r="C753" s="1"/>
      <c r="D753" s="54"/>
      <c r="E753" s="54"/>
      <c r="F753" s="54"/>
      <c r="G753" s="5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6.5" customHeight="1">
      <c r="A754" s="1"/>
      <c r="B754" s="1"/>
      <c r="C754" s="1"/>
      <c r="D754" s="54"/>
      <c r="E754" s="54"/>
      <c r="F754" s="54"/>
      <c r="G754" s="5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6.5" customHeight="1">
      <c r="A755" s="1"/>
      <c r="B755" s="1"/>
      <c r="C755" s="1"/>
      <c r="D755" s="54"/>
      <c r="E755" s="54"/>
      <c r="F755" s="54"/>
      <c r="G755" s="5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6.5" customHeight="1">
      <c r="A756" s="1"/>
      <c r="B756" s="1"/>
      <c r="C756" s="1"/>
      <c r="D756" s="54"/>
      <c r="E756" s="54"/>
      <c r="F756" s="54"/>
      <c r="G756" s="5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6.5" customHeight="1">
      <c r="A757" s="1"/>
      <c r="B757" s="1"/>
      <c r="C757" s="1"/>
      <c r="D757" s="54"/>
      <c r="E757" s="54"/>
      <c r="F757" s="54"/>
      <c r="G757" s="5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6.5" customHeight="1">
      <c r="A758" s="1"/>
      <c r="B758" s="1"/>
      <c r="C758" s="1"/>
      <c r="D758" s="54"/>
      <c r="E758" s="54"/>
      <c r="F758" s="54"/>
      <c r="G758" s="5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6.5" customHeight="1">
      <c r="A759" s="1"/>
      <c r="B759" s="1"/>
      <c r="C759" s="1"/>
      <c r="D759" s="54"/>
      <c r="E759" s="54"/>
      <c r="F759" s="54"/>
      <c r="G759" s="5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6.5" customHeight="1">
      <c r="A760" s="1"/>
      <c r="B760" s="1"/>
      <c r="C760" s="1"/>
      <c r="D760" s="54"/>
      <c r="E760" s="54"/>
      <c r="F760" s="54"/>
      <c r="G760" s="5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6.5" customHeight="1">
      <c r="A761" s="1"/>
      <c r="B761" s="1"/>
      <c r="C761" s="1"/>
      <c r="D761" s="54"/>
      <c r="E761" s="54"/>
      <c r="F761" s="54"/>
      <c r="G761" s="5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6.5" customHeight="1">
      <c r="A762" s="1"/>
      <c r="B762" s="1"/>
      <c r="C762" s="1"/>
      <c r="D762" s="54"/>
      <c r="E762" s="54"/>
      <c r="F762" s="54"/>
      <c r="G762" s="5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6.5" customHeight="1">
      <c r="A763" s="1"/>
      <c r="B763" s="1"/>
      <c r="C763" s="1"/>
      <c r="D763" s="54"/>
      <c r="E763" s="54"/>
      <c r="F763" s="54"/>
      <c r="G763" s="5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6.5" customHeight="1">
      <c r="A764" s="1"/>
      <c r="B764" s="1"/>
      <c r="C764" s="1"/>
      <c r="D764" s="54"/>
      <c r="E764" s="54"/>
      <c r="F764" s="54"/>
      <c r="G764" s="5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6.5" customHeight="1">
      <c r="A765" s="1"/>
      <c r="B765" s="1"/>
      <c r="C765" s="1"/>
      <c r="D765" s="54"/>
      <c r="E765" s="54"/>
      <c r="F765" s="54"/>
      <c r="G765" s="5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6.5" customHeight="1">
      <c r="A766" s="1"/>
      <c r="B766" s="1"/>
      <c r="C766" s="1"/>
      <c r="D766" s="54"/>
      <c r="E766" s="54"/>
      <c r="F766" s="54"/>
      <c r="G766" s="5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6.5" customHeight="1">
      <c r="A767" s="1"/>
      <c r="B767" s="1"/>
      <c r="C767" s="1"/>
      <c r="D767" s="54"/>
      <c r="E767" s="54"/>
      <c r="F767" s="54"/>
      <c r="G767" s="5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6.5" customHeight="1">
      <c r="A768" s="1"/>
      <c r="B768" s="1"/>
      <c r="C768" s="1"/>
      <c r="D768" s="54"/>
      <c r="E768" s="54"/>
      <c r="F768" s="54"/>
      <c r="G768" s="5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6.5" customHeight="1">
      <c r="A769" s="1"/>
      <c r="B769" s="1"/>
      <c r="C769" s="1"/>
      <c r="D769" s="54"/>
      <c r="E769" s="54"/>
      <c r="F769" s="54"/>
      <c r="G769" s="5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6.5" customHeight="1">
      <c r="A770" s="1"/>
      <c r="B770" s="1"/>
      <c r="C770" s="1"/>
      <c r="D770" s="54"/>
      <c r="E770" s="54"/>
      <c r="F770" s="54"/>
      <c r="G770" s="5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6.5" customHeight="1">
      <c r="A771" s="1"/>
      <c r="B771" s="1"/>
      <c r="C771" s="1"/>
      <c r="D771" s="54"/>
      <c r="E771" s="54"/>
      <c r="F771" s="54"/>
      <c r="G771" s="5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6.5" customHeight="1">
      <c r="A772" s="1"/>
      <c r="B772" s="1"/>
      <c r="C772" s="1"/>
      <c r="D772" s="54"/>
      <c r="E772" s="54"/>
      <c r="F772" s="54"/>
      <c r="G772" s="5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6.5" customHeight="1">
      <c r="A773" s="1"/>
      <c r="B773" s="1"/>
      <c r="C773" s="1"/>
      <c r="D773" s="54"/>
      <c r="E773" s="54"/>
      <c r="F773" s="54"/>
      <c r="G773" s="5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6.5" customHeight="1">
      <c r="A774" s="1"/>
      <c r="B774" s="1"/>
      <c r="C774" s="1"/>
      <c r="D774" s="54"/>
      <c r="E774" s="54"/>
      <c r="F774" s="54"/>
      <c r="G774" s="5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6.5" customHeight="1">
      <c r="A775" s="1"/>
      <c r="B775" s="1"/>
      <c r="C775" s="1"/>
      <c r="D775" s="54"/>
      <c r="E775" s="54"/>
      <c r="F775" s="54"/>
      <c r="G775" s="5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6.5" customHeight="1">
      <c r="A776" s="1"/>
      <c r="B776" s="1"/>
      <c r="C776" s="1"/>
      <c r="D776" s="54"/>
      <c r="E776" s="54"/>
      <c r="F776" s="54"/>
      <c r="G776" s="5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6.5" customHeight="1">
      <c r="A777" s="1"/>
      <c r="B777" s="1"/>
      <c r="C777" s="1"/>
      <c r="D777" s="54"/>
      <c r="E777" s="54"/>
      <c r="F777" s="54"/>
      <c r="G777" s="5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6.5" customHeight="1">
      <c r="A778" s="1"/>
      <c r="B778" s="1"/>
      <c r="C778" s="1"/>
      <c r="D778" s="54"/>
      <c r="E778" s="54"/>
      <c r="F778" s="54"/>
      <c r="G778" s="5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6.5" customHeight="1">
      <c r="A779" s="1"/>
      <c r="B779" s="1"/>
      <c r="C779" s="1"/>
      <c r="D779" s="54"/>
      <c r="E779" s="54"/>
      <c r="F779" s="54"/>
      <c r="G779" s="5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6.5" customHeight="1">
      <c r="A780" s="1"/>
      <c r="B780" s="1"/>
      <c r="C780" s="1"/>
      <c r="D780" s="54"/>
      <c r="E780" s="54"/>
      <c r="F780" s="54"/>
      <c r="G780" s="5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6.5" customHeight="1">
      <c r="A781" s="1"/>
      <c r="B781" s="1"/>
      <c r="C781" s="1"/>
      <c r="D781" s="54"/>
      <c r="E781" s="54"/>
      <c r="F781" s="54"/>
      <c r="G781" s="5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6.5" customHeight="1">
      <c r="A782" s="1"/>
      <c r="B782" s="1"/>
      <c r="C782" s="1"/>
      <c r="D782" s="54"/>
      <c r="E782" s="54"/>
      <c r="F782" s="54"/>
      <c r="G782" s="5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6.5" customHeight="1">
      <c r="A783" s="1"/>
      <c r="B783" s="1"/>
      <c r="C783" s="1"/>
      <c r="D783" s="54"/>
      <c r="E783" s="54"/>
      <c r="F783" s="54"/>
      <c r="G783" s="5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6.5" customHeight="1">
      <c r="A784" s="1"/>
      <c r="B784" s="1"/>
      <c r="C784" s="1"/>
      <c r="D784" s="54"/>
      <c r="E784" s="54"/>
      <c r="F784" s="54"/>
      <c r="G784" s="5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6.5" customHeight="1">
      <c r="A785" s="1"/>
      <c r="B785" s="1"/>
      <c r="C785" s="1"/>
      <c r="D785" s="54"/>
      <c r="E785" s="54"/>
      <c r="F785" s="54"/>
      <c r="G785" s="5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6.5" customHeight="1">
      <c r="A786" s="1"/>
      <c r="B786" s="1"/>
      <c r="C786" s="1"/>
      <c r="D786" s="54"/>
      <c r="E786" s="54"/>
      <c r="F786" s="54"/>
      <c r="G786" s="5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6.5" customHeight="1">
      <c r="A787" s="1"/>
      <c r="B787" s="1"/>
      <c r="C787" s="1"/>
      <c r="D787" s="54"/>
      <c r="E787" s="54"/>
      <c r="F787" s="54"/>
      <c r="G787" s="5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6.5" customHeight="1">
      <c r="A788" s="1"/>
      <c r="B788" s="1"/>
      <c r="C788" s="1"/>
      <c r="D788" s="54"/>
      <c r="E788" s="54"/>
      <c r="F788" s="54"/>
      <c r="G788" s="5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6.5" customHeight="1">
      <c r="A789" s="1"/>
      <c r="B789" s="1"/>
      <c r="C789" s="1"/>
      <c r="D789" s="54"/>
      <c r="E789" s="54"/>
      <c r="F789" s="54"/>
      <c r="G789" s="5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6.5" customHeight="1">
      <c r="A790" s="1"/>
      <c r="B790" s="1"/>
      <c r="C790" s="1"/>
      <c r="D790" s="54"/>
      <c r="E790" s="54"/>
      <c r="F790" s="54"/>
      <c r="G790" s="5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6.5" customHeight="1">
      <c r="A791" s="1"/>
      <c r="B791" s="1"/>
      <c r="C791" s="1"/>
      <c r="D791" s="54"/>
      <c r="E791" s="54"/>
      <c r="F791" s="54"/>
      <c r="G791" s="5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6.5" customHeight="1">
      <c r="A792" s="1"/>
      <c r="B792" s="1"/>
      <c r="C792" s="1"/>
      <c r="D792" s="54"/>
      <c r="E792" s="54"/>
      <c r="F792" s="54"/>
      <c r="G792" s="5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6.5" customHeight="1">
      <c r="A793" s="1"/>
      <c r="B793" s="1"/>
      <c r="C793" s="1"/>
      <c r="D793" s="54"/>
      <c r="E793" s="54"/>
      <c r="F793" s="54"/>
      <c r="G793" s="5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6.5" customHeight="1">
      <c r="A794" s="1"/>
      <c r="B794" s="1"/>
      <c r="C794" s="1"/>
      <c r="D794" s="54"/>
      <c r="E794" s="54"/>
      <c r="F794" s="54"/>
      <c r="G794" s="5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6.5" customHeight="1">
      <c r="A795" s="1"/>
      <c r="B795" s="1"/>
      <c r="C795" s="1"/>
      <c r="D795" s="54"/>
      <c r="E795" s="54"/>
      <c r="F795" s="54"/>
      <c r="G795" s="5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6.5" customHeight="1">
      <c r="A796" s="1"/>
      <c r="B796" s="1"/>
      <c r="C796" s="1"/>
      <c r="D796" s="54"/>
      <c r="E796" s="54"/>
      <c r="F796" s="54"/>
      <c r="G796" s="5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6.5" customHeight="1">
      <c r="A797" s="1"/>
      <c r="B797" s="1"/>
      <c r="C797" s="1"/>
      <c r="D797" s="54"/>
      <c r="E797" s="54"/>
      <c r="F797" s="54"/>
      <c r="G797" s="5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6.5" customHeight="1">
      <c r="A798" s="1"/>
      <c r="B798" s="1"/>
      <c r="C798" s="1"/>
      <c r="D798" s="54"/>
      <c r="E798" s="54"/>
      <c r="F798" s="54"/>
      <c r="G798" s="5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6.5" customHeight="1">
      <c r="A799" s="1"/>
      <c r="B799" s="1"/>
      <c r="C799" s="1"/>
      <c r="D799" s="54"/>
      <c r="E799" s="54"/>
      <c r="F799" s="54"/>
      <c r="G799" s="5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6.5" customHeight="1">
      <c r="A800" s="1"/>
      <c r="B800" s="1"/>
      <c r="C800" s="1"/>
      <c r="D800" s="54"/>
      <c r="E800" s="54"/>
      <c r="F800" s="54"/>
      <c r="G800" s="5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6.5" customHeight="1">
      <c r="A801" s="1"/>
      <c r="B801" s="1"/>
      <c r="C801" s="1"/>
      <c r="D801" s="54"/>
      <c r="E801" s="54"/>
      <c r="F801" s="54"/>
      <c r="G801" s="5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6.5" customHeight="1">
      <c r="A802" s="1"/>
      <c r="B802" s="1"/>
      <c r="C802" s="1"/>
      <c r="D802" s="54"/>
      <c r="E802" s="54"/>
      <c r="F802" s="54"/>
      <c r="G802" s="5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6.5" customHeight="1">
      <c r="A803" s="1"/>
      <c r="B803" s="1"/>
      <c r="C803" s="1"/>
      <c r="D803" s="54"/>
      <c r="E803" s="54"/>
      <c r="F803" s="54"/>
      <c r="G803" s="5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6.5" customHeight="1">
      <c r="A804" s="1"/>
      <c r="B804" s="1"/>
      <c r="C804" s="1"/>
      <c r="D804" s="54"/>
      <c r="E804" s="54"/>
      <c r="F804" s="54"/>
      <c r="G804" s="5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6.5" customHeight="1">
      <c r="A805" s="1"/>
      <c r="B805" s="1"/>
      <c r="C805" s="1"/>
      <c r="D805" s="54"/>
      <c r="E805" s="54"/>
      <c r="F805" s="54"/>
      <c r="G805" s="5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6.5" customHeight="1">
      <c r="A806" s="1"/>
      <c r="B806" s="1"/>
      <c r="C806" s="1"/>
      <c r="D806" s="54"/>
      <c r="E806" s="54"/>
      <c r="F806" s="54"/>
      <c r="G806" s="5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6.5" customHeight="1">
      <c r="A807" s="1"/>
      <c r="B807" s="1"/>
      <c r="C807" s="1"/>
      <c r="D807" s="54"/>
      <c r="E807" s="54"/>
      <c r="F807" s="54"/>
      <c r="G807" s="5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6.5" customHeight="1">
      <c r="A808" s="1"/>
      <c r="B808" s="1"/>
      <c r="C808" s="1"/>
      <c r="D808" s="54"/>
      <c r="E808" s="54"/>
      <c r="F808" s="54"/>
      <c r="G808" s="5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6.5" customHeight="1">
      <c r="A809" s="1"/>
      <c r="B809" s="1"/>
      <c r="C809" s="1"/>
      <c r="D809" s="54"/>
      <c r="E809" s="54"/>
      <c r="F809" s="54"/>
      <c r="G809" s="5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6.5" customHeight="1">
      <c r="A810" s="1"/>
      <c r="B810" s="1"/>
      <c r="C810" s="1"/>
      <c r="D810" s="54"/>
      <c r="E810" s="54"/>
      <c r="F810" s="54"/>
      <c r="G810" s="5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6.5" customHeight="1">
      <c r="A811" s="1"/>
      <c r="B811" s="1"/>
      <c r="C811" s="1"/>
      <c r="D811" s="54"/>
      <c r="E811" s="54"/>
      <c r="F811" s="54"/>
      <c r="G811" s="5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6.5" customHeight="1">
      <c r="A812" s="1"/>
      <c r="B812" s="1"/>
      <c r="C812" s="1"/>
      <c r="D812" s="54"/>
      <c r="E812" s="54"/>
      <c r="F812" s="54"/>
      <c r="G812" s="5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6.5" customHeight="1">
      <c r="A813" s="1"/>
      <c r="B813" s="1"/>
      <c r="C813" s="1"/>
      <c r="D813" s="54"/>
      <c r="E813" s="54"/>
      <c r="F813" s="54"/>
      <c r="G813" s="5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6.5" customHeight="1">
      <c r="A814" s="1"/>
      <c r="B814" s="1"/>
      <c r="C814" s="1"/>
      <c r="D814" s="54"/>
      <c r="E814" s="54"/>
      <c r="F814" s="54"/>
      <c r="G814" s="5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6.5" customHeight="1">
      <c r="A815" s="1"/>
      <c r="B815" s="1"/>
      <c r="C815" s="1"/>
      <c r="D815" s="54"/>
      <c r="E815" s="54"/>
      <c r="F815" s="54"/>
      <c r="G815" s="5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6.5" customHeight="1">
      <c r="A816" s="1"/>
      <c r="B816" s="1"/>
      <c r="C816" s="1"/>
      <c r="D816" s="54"/>
      <c r="E816" s="54"/>
      <c r="F816" s="54"/>
      <c r="G816" s="5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6.5" customHeight="1">
      <c r="A817" s="1"/>
      <c r="B817" s="1"/>
      <c r="C817" s="1"/>
      <c r="D817" s="54"/>
      <c r="E817" s="54"/>
      <c r="F817" s="54"/>
      <c r="G817" s="5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6.5" customHeight="1">
      <c r="A818" s="1"/>
      <c r="B818" s="1"/>
      <c r="C818" s="1"/>
      <c r="D818" s="54"/>
      <c r="E818" s="54"/>
      <c r="F818" s="54"/>
      <c r="G818" s="5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6.5" customHeight="1">
      <c r="A819" s="1"/>
      <c r="B819" s="1"/>
      <c r="C819" s="1"/>
      <c r="D819" s="54"/>
      <c r="E819" s="54"/>
      <c r="F819" s="54"/>
      <c r="G819" s="5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6.5" customHeight="1">
      <c r="A820" s="1"/>
      <c r="B820" s="1"/>
      <c r="C820" s="1"/>
      <c r="D820" s="54"/>
      <c r="E820" s="54"/>
      <c r="F820" s="54"/>
      <c r="G820" s="5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6.5" customHeight="1">
      <c r="A821" s="1"/>
      <c r="B821" s="1"/>
      <c r="C821" s="1"/>
      <c r="D821" s="54"/>
      <c r="E821" s="54"/>
      <c r="F821" s="54"/>
      <c r="G821" s="5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6.5" customHeight="1">
      <c r="A822" s="1"/>
      <c r="B822" s="1"/>
      <c r="C822" s="1"/>
      <c r="D822" s="54"/>
      <c r="E822" s="54"/>
      <c r="F822" s="54"/>
      <c r="G822" s="5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6.5" customHeight="1">
      <c r="A823" s="1"/>
      <c r="B823" s="1"/>
      <c r="C823" s="1"/>
      <c r="D823" s="54"/>
      <c r="E823" s="54"/>
      <c r="F823" s="54"/>
      <c r="G823" s="5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6.5" customHeight="1">
      <c r="A824" s="1"/>
      <c r="B824" s="1"/>
      <c r="C824" s="1"/>
      <c r="D824" s="54"/>
      <c r="E824" s="54"/>
      <c r="F824" s="54"/>
      <c r="G824" s="5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6.5" customHeight="1">
      <c r="A825" s="1"/>
      <c r="B825" s="1"/>
      <c r="C825" s="1"/>
      <c r="D825" s="54"/>
      <c r="E825" s="54"/>
      <c r="F825" s="54"/>
      <c r="G825" s="5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6.5" customHeight="1">
      <c r="A826" s="1"/>
      <c r="B826" s="1"/>
      <c r="C826" s="1"/>
      <c r="D826" s="54"/>
      <c r="E826" s="54"/>
      <c r="F826" s="54"/>
      <c r="G826" s="5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6.5" customHeight="1">
      <c r="A827" s="1"/>
      <c r="B827" s="1"/>
      <c r="C827" s="1"/>
      <c r="D827" s="54"/>
      <c r="E827" s="54"/>
      <c r="F827" s="54"/>
      <c r="G827" s="5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6.5" customHeight="1">
      <c r="A828" s="1"/>
      <c r="B828" s="1"/>
      <c r="C828" s="1"/>
      <c r="D828" s="54"/>
      <c r="E828" s="54"/>
      <c r="F828" s="54"/>
      <c r="G828" s="5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6.5" customHeight="1">
      <c r="A829" s="1"/>
      <c r="B829" s="1"/>
      <c r="C829" s="1"/>
      <c r="D829" s="54"/>
      <c r="E829" s="54"/>
      <c r="F829" s="54"/>
      <c r="G829" s="5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6.5" customHeight="1">
      <c r="A830" s="1"/>
      <c r="B830" s="1"/>
      <c r="C830" s="1"/>
      <c r="D830" s="54"/>
      <c r="E830" s="54"/>
      <c r="F830" s="54"/>
      <c r="G830" s="5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6.5" customHeight="1">
      <c r="A831" s="1"/>
      <c r="B831" s="1"/>
      <c r="C831" s="1"/>
      <c r="D831" s="54"/>
      <c r="E831" s="54"/>
      <c r="F831" s="54"/>
      <c r="G831" s="5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6.5" customHeight="1">
      <c r="A832" s="1"/>
      <c r="B832" s="1"/>
      <c r="C832" s="1"/>
      <c r="D832" s="54"/>
      <c r="E832" s="54"/>
      <c r="F832" s="54"/>
      <c r="G832" s="5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6.5" customHeight="1">
      <c r="A833" s="1"/>
      <c r="B833" s="1"/>
      <c r="C833" s="1"/>
      <c r="D833" s="54"/>
      <c r="E833" s="54"/>
      <c r="F833" s="54"/>
      <c r="G833" s="5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6.5" customHeight="1">
      <c r="A834" s="1"/>
      <c r="B834" s="1"/>
      <c r="C834" s="1"/>
      <c r="D834" s="54"/>
      <c r="E834" s="54"/>
      <c r="F834" s="54"/>
      <c r="G834" s="5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6.5" customHeight="1">
      <c r="A835" s="1"/>
      <c r="B835" s="1"/>
      <c r="C835" s="1"/>
      <c r="D835" s="54"/>
      <c r="E835" s="54"/>
      <c r="F835" s="54"/>
      <c r="G835" s="5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6.5" customHeight="1">
      <c r="A836" s="1"/>
      <c r="B836" s="1"/>
      <c r="C836" s="1"/>
      <c r="D836" s="54"/>
      <c r="E836" s="54"/>
      <c r="F836" s="54"/>
      <c r="G836" s="5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6.5" customHeight="1">
      <c r="A837" s="1"/>
      <c r="B837" s="1"/>
      <c r="C837" s="1"/>
      <c r="D837" s="54"/>
      <c r="E837" s="54"/>
      <c r="F837" s="54"/>
      <c r="G837" s="5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6.5" customHeight="1">
      <c r="A838" s="1"/>
      <c r="B838" s="1"/>
      <c r="C838" s="1"/>
      <c r="D838" s="54"/>
      <c r="E838" s="54"/>
      <c r="F838" s="54"/>
      <c r="G838" s="5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6.5" customHeight="1">
      <c r="A839" s="1"/>
      <c r="B839" s="1"/>
      <c r="C839" s="1"/>
      <c r="D839" s="54"/>
      <c r="E839" s="54"/>
      <c r="F839" s="54"/>
      <c r="G839" s="5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6.5" customHeight="1">
      <c r="A840" s="1"/>
      <c r="B840" s="1"/>
      <c r="C840" s="1"/>
      <c r="D840" s="54"/>
      <c r="E840" s="54"/>
      <c r="F840" s="54"/>
      <c r="G840" s="5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6.5" customHeight="1">
      <c r="A841" s="1"/>
      <c r="B841" s="1"/>
      <c r="C841" s="1"/>
      <c r="D841" s="54"/>
      <c r="E841" s="54"/>
      <c r="F841" s="54"/>
      <c r="G841" s="5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6.5" customHeight="1">
      <c r="A842" s="1"/>
      <c r="B842" s="1"/>
      <c r="C842" s="1"/>
      <c r="D842" s="54"/>
      <c r="E842" s="54"/>
      <c r="F842" s="54"/>
      <c r="G842" s="5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6.5" customHeight="1">
      <c r="A843" s="1"/>
      <c r="B843" s="1"/>
      <c r="C843" s="1"/>
      <c r="D843" s="54"/>
      <c r="E843" s="54"/>
      <c r="F843" s="54"/>
      <c r="G843" s="5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6.5" customHeight="1">
      <c r="A844" s="1"/>
      <c r="B844" s="1"/>
      <c r="C844" s="1"/>
      <c r="D844" s="54"/>
      <c r="E844" s="54"/>
      <c r="F844" s="54"/>
      <c r="G844" s="5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6.5" customHeight="1">
      <c r="A845" s="1"/>
      <c r="B845" s="1"/>
      <c r="C845" s="1"/>
      <c r="D845" s="54"/>
      <c r="E845" s="54"/>
      <c r="F845" s="54"/>
      <c r="G845" s="5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6.5" customHeight="1">
      <c r="A846" s="1"/>
      <c r="B846" s="1"/>
      <c r="C846" s="1"/>
      <c r="D846" s="54"/>
      <c r="E846" s="54"/>
      <c r="F846" s="54"/>
      <c r="G846" s="5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6.5" customHeight="1">
      <c r="A847" s="1"/>
      <c r="B847" s="1"/>
      <c r="C847" s="1"/>
      <c r="D847" s="54"/>
      <c r="E847" s="54"/>
      <c r="F847" s="54"/>
      <c r="G847" s="5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6.5" customHeight="1">
      <c r="A848" s="1"/>
      <c r="B848" s="1"/>
      <c r="C848" s="1"/>
      <c r="D848" s="54"/>
      <c r="E848" s="54"/>
      <c r="F848" s="54"/>
      <c r="G848" s="5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6.5" customHeight="1">
      <c r="A849" s="1"/>
      <c r="B849" s="1"/>
      <c r="C849" s="1"/>
      <c r="D849" s="54"/>
      <c r="E849" s="54"/>
      <c r="F849" s="54"/>
      <c r="G849" s="5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6.5" customHeight="1">
      <c r="A850" s="1"/>
      <c r="B850" s="1"/>
      <c r="C850" s="1"/>
      <c r="D850" s="54"/>
      <c r="E850" s="54"/>
      <c r="F850" s="54"/>
      <c r="G850" s="5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6.5" customHeight="1">
      <c r="A851" s="1"/>
      <c r="B851" s="1"/>
      <c r="C851" s="1"/>
      <c r="D851" s="54"/>
      <c r="E851" s="54"/>
      <c r="F851" s="54"/>
      <c r="G851" s="5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6.5" customHeight="1">
      <c r="A852" s="1"/>
      <c r="B852" s="1"/>
      <c r="C852" s="1"/>
      <c r="D852" s="54"/>
      <c r="E852" s="54"/>
      <c r="F852" s="54"/>
      <c r="G852" s="5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6.5" customHeight="1">
      <c r="A853" s="1"/>
      <c r="B853" s="1"/>
      <c r="C853" s="1"/>
      <c r="D853" s="54"/>
      <c r="E853" s="54"/>
      <c r="F853" s="54"/>
      <c r="G853" s="5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6.5" customHeight="1">
      <c r="A854" s="1"/>
      <c r="B854" s="1"/>
      <c r="C854" s="1"/>
      <c r="D854" s="54"/>
      <c r="E854" s="54"/>
      <c r="F854" s="54"/>
      <c r="G854" s="5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6.5" customHeight="1">
      <c r="A855" s="1"/>
      <c r="B855" s="1"/>
      <c r="C855" s="1"/>
      <c r="D855" s="54"/>
      <c r="E855" s="54"/>
      <c r="F855" s="54"/>
      <c r="G855" s="5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6.5" customHeight="1">
      <c r="A856" s="1"/>
      <c r="B856" s="1"/>
      <c r="C856" s="1"/>
      <c r="D856" s="54"/>
      <c r="E856" s="54"/>
      <c r="F856" s="54"/>
      <c r="G856" s="5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6.5" customHeight="1">
      <c r="A857" s="1"/>
      <c r="B857" s="1"/>
      <c r="C857" s="1"/>
      <c r="D857" s="54"/>
      <c r="E857" s="54"/>
      <c r="F857" s="54"/>
      <c r="G857" s="5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6.5" customHeight="1">
      <c r="A858" s="1"/>
      <c r="B858" s="1"/>
      <c r="C858" s="1"/>
      <c r="D858" s="54"/>
      <c r="E858" s="54"/>
      <c r="F858" s="54"/>
      <c r="G858" s="5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6.5" customHeight="1">
      <c r="A859" s="1"/>
      <c r="B859" s="1"/>
      <c r="C859" s="1"/>
      <c r="D859" s="54"/>
      <c r="E859" s="54"/>
      <c r="F859" s="54"/>
      <c r="G859" s="5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6.5" customHeight="1">
      <c r="A860" s="1"/>
      <c r="B860" s="1"/>
      <c r="C860" s="1"/>
      <c r="D860" s="54"/>
      <c r="E860" s="54"/>
      <c r="F860" s="54"/>
      <c r="G860" s="5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6.5" customHeight="1">
      <c r="A861" s="1"/>
      <c r="B861" s="1"/>
      <c r="C861" s="1"/>
      <c r="D861" s="54"/>
      <c r="E861" s="54"/>
      <c r="F861" s="54"/>
      <c r="G861" s="5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6.5" customHeight="1">
      <c r="A862" s="1"/>
      <c r="B862" s="1"/>
      <c r="C862" s="1"/>
      <c r="D862" s="54"/>
      <c r="E862" s="54"/>
      <c r="F862" s="54"/>
      <c r="G862" s="5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6.5" customHeight="1">
      <c r="A863" s="1"/>
      <c r="B863" s="1"/>
      <c r="C863" s="1"/>
      <c r="D863" s="54"/>
      <c r="E863" s="54"/>
      <c r="F863" s="54"/>
      <c r="G863" s="5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6.5" customHeight="1">
      <c r="A864" s="1"/>
      <c r="B864" s="1"/>
      <c r="C864" s="1"/>
      <c r="D864" s="54"/>
      <c r="E864" s="54"/>
      <c r="F864" s="54"/>
      <c r="G864" s="5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6.5" customHeight="1">
      <c r="A865" s="1"/>
      <c r="B865" s="1"/>
      <c r="C865" s="1"/>
      <c r="D865" s="54"/>
      <c r="E865" s="54"/>
      <c r="F865" s="54"/>
      <c r="G865" s="5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6.5" customHeight="1">
      <c r="A866" s="1"/>
      <c r="B866" s="1"/>
      <c r="C866" s="1"/>
      <c r="D866" s="54"/>
      <c r="E866" s="54"/>
      <c r="F866" s="54"/>
      <c r="G866" s="5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6.5" customHeight="1">
      <c r="A867" s="1"/>
      <c r="B867" s="1"/>
      <c r="C867" s="1"/>
      <c r="D867" s="54"/>
      <c r="E867" s="54"/>
      <c r="F867" s="54"/>
      <c r="G867" s="5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6.5" customHeight="1">
      <c r="A868" s="1"/>
      <c r="B868" s="1"/>
      <c r="C868" s="1"/>
      <c r="D868" s="54"/>
      <c r="E868" s="54"/>
      <c r="F868" s="54"/>
      <c r="G868" s="5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6.5" customHeight="1">
      <c r="A869" s="1"/>
      <c r="B869" s="1"/>
      <c r="C869" s="1"/>
      <c r="D869" s="54"/>
      <c r="E869" s="54"/>
      <c r="F869" s="54"/>
      <c r="G869" s="5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6.5" customHeight="1">
      <c r="A870" s="1"/>
      <c r="B870" s="1"/>
      <c r="C870" s="1"/>
      <c r="D870" s="54"/>
      <c r="E870" s="54"/>
      <c r="F870" s="54"/>
      <c r="G870" s="5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6.5" customHeight="1">
      <c r="A871" s="1"/>
      <c r="B871" s="1"/>
      <c r="C871" s="1"/>
      <c r="D871" s="54"/>
      <c r="E871" s="54"/>
      <c r="F871" s="54"/>
      <c r="G871" s="5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6.5" customHeight="1">
      <c r="A872" s="1"/>
      <c r="B872" s="1"/>
      <c r="C872" s="1"/>
      <c r="D872" s="54"/>
      <c r="E872" s="54"/>
      <c r="F872" s="54"/>
      <c r="G872" s="5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6.5" customHeight="1">
      <c r="A873" s="1"/>
      <c r="B873" s="1"/>
      <c r="C873" s="1"/>
      <c r="D873" s="54"/>
      <c r="E873" s="54"/>
      <c r="F873" s="54"/>
      <c r="G873" s="5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6.5" customHeight="1">
      <c r="A874" s="1"/>
      <c r="B874" s="1"/>
      <c r="C874" s="1"/>
      <c r="D874" s="54"/>
      <c r="E874" s="54"/>
      <c r="F874" s="54"/>
      <c r="G874" s="5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6.5" customHeight="1">
      <c r="A875" s="1"/>
      <c r="B875" s="1"/>
      <c r="C875" s="1"/>
      <c r="D875" s="54"/>
      <c r="E875" s="54"/>
      <c r="F875" s="54"/>
      <c r="G875" s="5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6.5" customHeight="1">
      <c r="A876" s="1"/>
      <c r="B876" s="1"/>
      <c r="C876" s="1"/>
      <c r="D876" s="54"/>
      <c r="E876" s="54"/>
      <c r="F876" s="54"/>
      <c r="G876" s="5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6.5" customHeight="1">
      <c r="A877" s="1"/>
      <c r="B877" s="1"/>
      <c r="C877" s="1"/>
      <c r="D877" s="54"/>
      <c r="E877" s="54"/>
      <c r="F877" s="54"/>
      <c r="G877" s="5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6.5" customHeight="1">
      <c r="A878" s="1"/>
      <c r="B878" s="1"/>
      <c r="C878" s="1"/>
      <c r="D878" s="54"/>
      <c r="E878" s="54"/>
      <c r="F878" s="54"/>
      <c r="G878" s="5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6.5" customHeight="1">
      <c r="A879" s="1"/>
      <c r="B879" s="1"/>
      <c r="C879" s="1"/>
      <c r="D879" s="54"/>
      <c r="E879" s="54"/>
      <c r="F879" s="54"/>
      <c r="G879" s="5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6.5" customHeight="1">
      <c r="A880" s="1"/>
      <c r="B880" s="1"/>
      <c r="C880" s="1"/>
      <c r="D880" s="54"/>
      <c r="E880" s="54"/>
      <c r="F880" s="54"/>
      <c r="G880" s="5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6.5" customHeight="1">
      <c r="A881" s="1"/>
      <c r="B881" s="1"/>
      <c r="C881" s="1"/>
      <c r="D881" s="54"/>
      <c r="E881" s="54"/>
      <c r="F881" s="54"/>
      <c r="G881" s="5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6.5" customHeight="1">
      <c r="A882" s="1"/>
      <c r="B882" s="1"/>
      <c r="C882" s="1"/>
      <c r="D882" s="54"/>
      <c r="E882" s="54"/>
      <c r="F882" s="54"/>
      <c r="G882" s="5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6.5" customHeight="1">
      <c r="A883" s="1"/>
      <c r="B883" s="1"/>
      <c r="C883" s="1"/>
      <c r="D883" s="54"/>
      <c r="E883" s="54"/>
      <c r="F883" s="54"/>
      <c r="G883" s="5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6.5" customHeight="1">
      <c r="A884" s="1"/>
      <c r="B884" s="1"/>
      <c r="C884" s="1"/>
      <c r="D884" s="54"/>
      <c r="E884" s="54"/>
      <c r="F884" s="54"/>
      <c r="G884" s="5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6.5" customHeight="1">
      <c r="A885" s="1"/>
      <c r="B885" s="1"/>
      <c r="C885" s="1"/>
      <c r="D885" s="54"/>
      <c r="E885" s="54"/>
      <c r="F885" s="54"/>
      <c r="G885" s="5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6.5" customHeight="1">
      <c r="A886" s="1"/>
      <c r="B886" s="1"/>
      <c r="C886" s="1"/>
      <c r="D886" s="54"/>
      <c r="E886" s="54"/>
      <c r="F886" s="54"/>
      <c r="G886" s="5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6.5" customHeight="1">
      <c r="A887" s="1"/>
      <c r="B887" s="1"/>
      <c r="C887" s="1"/>
      <c r="D887" s="54"/>
      <c r="E887" s="54"/>
      <c r="F887" s="54"/>
      <c r="G887" s="5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6.5" customHeight="1">
      <c r="A888" s="1"/>
      <c r="B888" s="1"/>
      <c r="C888" s="1"/>
      <c r="D888" s="54"/>
      <c r="E888" s="54"/>
      <c r="F888" s="54"/>
      <c r="G888" s="5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6.5" customHeight="1">
      <c r="A889" s="1"/>
      <c r="B889" s="1"/>
      <c r="C889" s="1"/>
      <c r="D889" s="54"/>
      <c r="E889" s="54"/>
      <c r="F889" s="54"/>
      <c r="G889" s="5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6.5" customHeight="1">
      <c r="A890" s="1"/>
      <c r="B890" s="1"/>
      <c r="C890" s="1"/>
      <c r="D890" s="54"/>
      <c r="E890" s="54"/>
      <c r="F890" s="54"/>
      <c r="G890" s="5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6.5" customHeight="1">
      <c r="A891" s="1"/>
      <c r="B891" s="1"/>
      <c r="C891" s="1"/>
      <c r="D891" s="54"/>
      <c r="E891" s="54"/>
      <c r="F891" s="54"/>
      <c r="G891" s="5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6.5" customHeight="1">
      <c r="A892" s="1"/>
      <c r="B892" s="1"/>
      <c r="C892" s="1"/>
      <c r="D892" s="54"/>
      <c r="E892" s="54"/>
      <c r="F892" s="54"/>
      <c r="G892" s="5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6.5" customHeight="1">
      <c r="A893" s="1"/>
      <c r="B893" s="1"/>
      <c r="C893" s="1"/>
      <c r="D893" s="54"/>
      <c r="E893" s="54"/>
      <c r="F893" s="54"/>
      <c r="G893" s="5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6.5" customHeight="1">
      <c r="A894" s="1"/>
      <c r="B894" s="1"/>
      <c r="C894" s="1"/>
      <c r="D894" s="54"/>
      <c r="E894" s="54"/>
      <c r="F894" s="54"/>
      <c r="G894" s="5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6.5" customHeight="1">
      <c r="A895" s="1"/>
      <c r="B895" s="1"/>
      <c r="C895" s="1"/>
      <c r="D895" s="54"/>
      <c r="E895" s="54"/>
      <c r="F895" s="54"/>
      <c r="G895" s="5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6.5" customHeight="1">
      <c r="A896" s="1"/>
      <c r="B896" s="1"/>
      <c r="C896" s="1"/>
      <c r="D896" s="54"/>
      <c r="E896" s="54"/>
      <c r="F896" s="54"/>
      <c r="G896" s="5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6.5" customHeight="1">
      <c r="A897" s="1"/>
      <c r="B897" s="1"/>
      <c r="C897" s="1"/>
      <c r="D897" s="54"/>
      <c r="E897" s="54"/>
      <c r="F897" s="54"/>
      <c r="G897" s="5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6.5" customHeight="1">
      <c r="A898" s="1"/>
      <c r="B898" s="1"/>
      <c r="C898" s="1"/>
      <c r="D898" s="54"/>
      <c r="E898" s="54"/>
      <c r="F898" s="54"/>
      <c r="G898" s="5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6.5" customHeight="1">
      <c r="A899" s="1"/>
      <c r="B899" s="1"/>
      <c r="C899" s="1"/>
      <c r="D899" s="54"/>
      <c r="E899" s="54"/>
      <c r="F899" s="54"/>
      <c r="G899" s="5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6.5" customHeight="1">
      <c r="A900" s="1"/>
      <c r="B900" s="1"/>
      <c r="C900" s="1"/>
      <c r="D900" s="54"/>
      <c r="E900" s="54"/>
      <c r="F900" s="54"/>
      <c r="G900" s="5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6.5" customHeight="1">
      <c r="A901" s="1"/>
      <c r="B901" s="1"/>
      <c r="C901" s="1"/>
      <c r="D901" s="54"/>
      <c r="E901" s="54"/>
      <c r="F901" s="54"/>
      <c r="G901" s="5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6.5" customHeight="1">
      <c r="A902" s="1"/>
      <c r="B902" s="1"/>
      <c r="C902" s="1"/>
      <c r="D902" s="54"/>
      <c r="E902" s="54"/>
      <c r="F902" s="54"/>
      <c r="G902" s="5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6.5" customHeight="1">
      <c r="A903" s="1"/>
      <c r="B903" s="1"/>
      <c r="C903" s="1"/>
      <c r="D903" s="54"/>
      <c r="E903" s="54"/>
      <c r="F903" s="54"/>
      <c r="G903" s="5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6.5" customHeight="1">
      <c r="A904" s="1"/>
      <c r="B904" s="1"/>
      <c r="C904" s="1"/>
      <c r="D904" s="54"/>
      <c r="E904" s="54"/>
      <c r="F904" s="54"/>
      <c r="G904" s="5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6.5" customHeight="1">
      <c r="A905" s="1"/>
      <c r="B905" s="1"/>
      <c r="C905" s="1"/>
      <c r="D905" s="54"/>
      <c r="E905" s="54"/>
      <c r="F905" s="54"/>
      <c r="G905" s="5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6.5" customHeight="1">
      <c r="A906" s="1"/>
      <c r="B906" s="1"/>
      <c r="C906" s="1"/>
      <c r="D906" s="54"/>
      <c r="E906" s="54"/>
      <c r="F906" s="54"/>
      <c r="G906" s="5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6.5" customHeight="1">
      <c r="A907" s="1"/>
      <c r="B907" s="1"/>
      <c r="C907" s="1"/>
      <c r="D907" s="54"/>
      <c r="E907" s="54"/>
      <c r="F907" s="54"/>
      <c r="G907" s="5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6.5" customHeight="1">
      <c r="A908" s="1"/>
      <c r="B908" s="1"/>
      <c r="C908" s="1"/>
      <c r="D908" s="54"/>
      <c r="E908" s="54"/>
      <c r="F908" s="54"/>
      <c r="G908" s="5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6.5" customHeight="1">
      <c r="A909" s="1"/>
      <c r="B909" s="1"/>
      <c r="C909" s="1"/>
      <c r="D909" s="54"/>
      <c r="E909" s="54"/>
      <c r="F909" s="54"/>
      <c r="G909" s="5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6.5" customHeight="1">
      <c r="A910" s="1"/>
      <c r="B910" s="1"/>
      <c r="C910" s="1"/>
      <c r="D910" s="54"/>
      <c r="E910" s="54"/>
      <c r="F910" s="54"/>
      <c r="G910" s="5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6.5" customHeight="1">
      <c r="A911" s="1"/>
      <c r="B911" s="1"/>
      <c r="C911" s="1"/>
      <c r="D911" s="54"/>
      <c r="E911" s="54"/>
      <c r="F911" s="54"/>
      <c r="G911" s="5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6.5" customHeight="1">
      <c r="A912" s="1"/>
      <c r="B912" s="1"/>
      <c r="C912" s="1"/>
      <c r="D912" s="54"/>
      <c r="E912" s="54"/>
      <c r="F912" s="54"/>
      <c r="G912" s="5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6.5" customHeight="1">
      <c r="A913" s="1"/>
      <c r="B913" s="1"/>
      <c r="C913" s="1"/>
      <c r="D913" s="54"/>
      <c r="E913" s="54"/>
      <c r="F913" s="54"/>
      <c r="G913" s="5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6.5" customHeight="1">
      <c r="A914" s="1"/>
      <c r="B914" s="1"/>
      <c r="C914" s="1"/>
      <c r="D914" s="54"/>
      <c r="E914" s="54"/>
      <c r="F914" s="54"/>
      <c r="G914" s="5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6.5" customHeight="1">
      <c r="A915" s="1"/>
      <c r="B915" s="1"/>
      <c r="C915" s="1"/>
      <c r="D915" s="54"/>
      <c r="E915" s="54"/>
      <c r="F915" s="54"/>
      <c r="G915" s="5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6.5" customHeight="1">
      <c r="A916" s="1"/>
      <c r="B916" s="1"/>
      <c r="C916" s="1"/>
      <c r="D916" s="54"/>
      <c r="E916" s="54"/>
      <c r="F916" s="54"/>
      <c r="G916" s="5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6.5" customHeight="1">
      <c r="A917" s="1"/>
      <c r="B917" s="1"/>
      <c r="C917" s="1"/>
      <c r="D917" s="54"/>
      <c r="E917" s="54"/>
      <c r="F917" s="54"/>
      <c r="G917" s="5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6.5" customHeight="1">
      <c r="A918" s="1"/>
      <c r="B918" s="1"/>
      <c r="C918" s="1"/>
      <c r="D918" s="54"/>
      <c r="E918" s="54"/>
      <c r="F918" s="54"/>
      <c r="G918" s="5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6.5" customHeight="1">
      <c r="A919" s="1"/>
      <c r="B919" s="1"/>
      <c r="C919" s="1"/>
      <c r="D919" s="54"/>
      <c r="E919" s="54"/>
      <c r="F919" s="54"/>
      <c r="G919" s="5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6.5" customHeight="1">
      <c r="A920" s="1"/>
      <c r="B920" s="1"/>
      <c r="C920" s="1"/>
      <c r="D920" s="54"/>
      <c r="E920" s="54"/>
      <c r="F920" s="54"/>
      <c r="G920" s="5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4.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4.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4.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4.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4.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4.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4.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4.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4.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4.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4.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4.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4.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4.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4.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4.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4.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4.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4.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4.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4.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4.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4.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4.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4.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4.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4.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4.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4.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4.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4.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4.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4.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4.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4.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4.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4.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4.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4.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4.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4.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4.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4.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4.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4.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4.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4.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4.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4.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4.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4.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4.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4.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4.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4.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4.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4.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4.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4.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4.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4.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4.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4.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4.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4.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4.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4.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4.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4.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4.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4.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4.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4.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4.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4.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4.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4.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4.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sheetData>
  <mergeCells count="2">
    <mergeCell ref="J318:L324"/>
    <mergeCell ref="J325:L331"/>
  </mergeCells>
  <conditionalFormatting sqref="E170:R199">
    <cfRule type="cellIs" dxfId="2" priority="1" operator="lessThan">
      <formula>0</formula>
    </cfRule>
  </conditionalFormatting>
  <conditionalFormatting sqref="E105:R122">
    <cfRule type="cellIs" dxfId="1" priority="2" operator="greaterThan">
      <formula>0</formula>
    </cfRule>
  </conditionalFormatting>
  <conditionalFormatting sqref="E485:AK485">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983"/>
  <sheetViews>
    <sheetView workbookViewId="0"/>
  </sheetViews>
  <sheetFormatPr defaultColWidth="12.6640625" defaultRowHeight="15" customHeight="1"/>
  <cols>
    <col min="1" max="1" width="3" customWidth="1"/>
    <col min="2" max="2" width="1.44140625" customWidth="1"/>
    <col min="3" max="3" width="18.21875" customWidth="1"/>
    <col min="4" max="4" width="43.44140625" customWidth="1"/>
    <col min="5" max="5" width="9.77734375" customWidth="1"/>
    <col min="6" max="6" width="9.44140625" customWidth="1"/>
    <col min="7" max="8" width="5.44140625" customWidth="1"/>
    <col min="9" max="38" width="6.33203125" customWidth="1"/>
  </cols>
  <sheetData>
    <row r="1" spans="1:57" ht="14.25" customHeight="1">
      <c r="A1" s="619"/>
      <c r="B1" s="52"/>
      <c r="C1" s="373"/>
      <c r="D1" s="621" t="s">
        <v>6</v>
      </c>
      <c r="E1" s="172">
        <v>2018</v>
      </c>
      <c r="F1" s="172">
        <v>2019</v>
      </c>
      <c r="G1" s="172">
        <v>2020</v>
      </c>
      <c r="H1" s="172">
        <v>2021</v>
      </c>
      <c r="I1" s="189">
        <v>2022</v>
      </c>
      <c r="J1" s="189">
        <v>2023</v>
      </c>
      <c r="K1" s="189">
        <v>2024</v>
      </c>
      <c r="L1" s="189">
        <v>2025</v>
      </c>
      <c r="M1" s="189">
        <v>2026</v>
      </c>
      <c r="N1" s="189">
        <v>2027</v>
      </c>
      <c r="O1" s="189">
        <v>2028</v>
      </c>
      <c r="P1" s="189">
        <v>2029</v>
      </c>
      <c r="Q1" s="189">
        <v>2030</v>
      </c>
      <c r="R1" s="189">
        <v>2031</v>
      </c>
      <c r="S1" s="189">
        <v>2032</v>
      </c>
      <c r="T1" s="189">
        <v>2033</v>
      </c>
      <c r="U1" s="189">
        <v>2034</v>
      </c>
      <c r="V1" s="189">
        <v>2035</v>
      </c>
      <c r="W1" s="189">
        <v>2036</v>
      </c>
      <c r="X1" s="189">
        <v>2037</v>
      </c>
      <c r="Y1" s="189">
        <v>2038</v>
      </c>
      <c r="Z1" s="189">
        <v>2039</v>
      </c>
      <c r="AA1" s="189">
        <v>2040</v>
      </c>
      <c r="AB1" s="189">
        <v>2041</v>
      </c>
      <c r="AC1" s="189">
        <v>2042</v>
      </c>
      <c r="AD1" s="189">
        <v>2043</v>
      </c>
      <c r="AE1" s="189">
        <v>2044</v>
      </c>
      <c r="AF1" s="189">
        <v>2045</v>
      </c>
      <c r="AG1" s="189">
        <v>2046</v>
      </c>
      <c r="AH1" s="189">
        <v>2047</v>
      </c>
      <c r="AI1" s="189">
        <v>2048</v>
      </c>
      <c r="AJ1" s="189">
        <v>2049</v>
      </c>
      <c r="AK1" s="218">
        <v>2050</v>
      </c>
      <c r="AL1" s="189">
        <v>2051</v>
      </c>
      <c r="AM1" s="189">
        <v>2052</v>
      </c>
      <c r="AN1" s="189">
        <v>2053</v>
      </c>
      <c r="AO1" s="189">
        <v>2054</v>
      </c>
      <c r="AP1" s="189">
        <v>2055</v>
      </c>
      <c r="AQ1" s="189">
        <v>2056</v>
      </c>
      <c r="AR1" s="189">
        <v>2057</v>
      </c>
      <c r="AS1" s="189">
        <v>2058</v>
      </c>
      <c r="AT1" s="218">
        <v>2059</v>
      </c>
      <c r="AU1" s="189">
        <v>2060</v>
      </c>
      <c r="AV1" s="189">
        <v>2061</v>
      </c>
      <c r="AW1" s="189">
        <v>2062</v>
      </c>
      <c r="AX1" s="189">
        <v>2063</v>
      </c>
      <c r="AY1" s="189">
        <v>2064</v>
      </c>
      <c r="AZ1" s="189">
        <v>2065</v>
      </c>
      <c r="BA1" s="189">
        <v>2066</v>
      </c>
      <c r="BB1" s="189">
        <v>2067</v>
      </c>
      <c r="BC1" s="218">
        <v>2068</v>
      </c>
      <c r="BD1" s="189">
        <v>2069</v>
      </c>
      <c r="BE1" s="189">
        <v>2070</v>
      </c>
    </row>
    <row r="2" spans="1:57"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8"/>
      <c r="AN2" s="8"/>
      <c r="AO2" s="8"/>
      <c r="AP2" s="8"/>
      <c r="AQ2" s="8"/>
      <c r="AR2" s="8"/>
      <c r="AS2" s="8"/>
      <c r="AT2" s="8"/>
      <c r="AU2" s="8"/>
      <c r="AV2" s="8"/>
      <c r="AW2" s="8"/>
      <c r="AX2" s="8"/>
      <c r="AY2" s="8"/>
      <c r="AZ2" s="8"/>
      <c r="BA2" s="8"/>
      <c r="BB2" s="8"/>
      <c r="BC2" s="8"/>
      <c r="BD2" s="8"/>
      <c r="BE2" s="8"/>
    </row>
    <row r="3" spans="1:57" ht="14.25" customHeight="1">
      <c r="A3" s="619"/>
      <c r="B3" s="61"/>
      <c r="C3" s="423"/>
      <c r="D3" s="424"/>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5"/>
      <c r="AM3" s="8"/>
      <c r="AN3" s="8"/>
      <c r="AO3" s="8"/>
      <c r="AP3" s="8"/>
      <c r="AQ3" s="8"/>
      <c r="AR3" s="8"/>
      <c r="AS3" s="8"/>
      <c r="AT3" s="8"/>
      <c r="AU3" s="8"/>
      <c r="AV3" s="8"/>
      <c r="AW3" s="8"/>
      <c r="AX3" s="8"/>
      <c r="AY3" s="8"/>
      <c r="AZ3" s="8"/>
      <c r="BA3" s="8"/>
      <c r="BB3" s="8"/>
      <c r="BC3" s="8"/>
      <c r="BD3" s="8"/>
      <c r="BE3" s="8"/>
    </row>
    <row r="4" spans="1:57" ht="14.25" customHeight="1">
      <c r="A4" s="619"/>
      <c r="B4" s="426"/>
      <c r="C4" s="425"/>
      <c r="D4" s="427" t="s">
        <v>411</v>
      </c>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8"/>
      <c r="AN4" s="8"/>
      <c r="AO4" s="8"/>
      <c r="AP4" s="8"/>
      <c r="AQ4" s="8"/>
      <c r="AR4" s="8"/>
      <c r="AS4" s="8"/>
      <c r="AT4" s="8"/>
      <c r="AU4" s="8"/>
      <c r="AV4" s="8"/>
      <c r="AW4" s="8"/>
      <c r="AX4" s="8"/>
      <c r="AY4" s="8"/>
      <c r="AZ4" s="8"/>
      <c r="BA4" s="8"/>
      <c r="BB4" s="8"/>
      <c r="BC4" s="8"/>
      <c r="BD4" s="8"/>
      <c r="BE4" s="8"/>
    </row>
    <row r="5" spans="1:57" ht="14.25" customHeight="1">
      <c r="A5" s="619"/>
      <c r="B5" s="426"/>
      <c r="C5" s="425"/>
      <c r="D5" s="429" t="s">
        <v>412</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8"/>
      <c r="AN5" s="8"/>
      <c r="AO5" s="8"/>
      <c r="AP5" s="8"/>
      <c r="AQ5" s="8"/>
      <c r="AR5" s="8"/>
      <c r="AS5" s="8"/>
      <c r="AT5" s="8"/>
      <c r="AU5" s="8"/>
      <c r="AV5" s="8"/>
      <c r="AW5" s="8"/>
      <c r="AX5" s="8"/>
      <c r="AY5" s="8"/>
      <c r="AZ5" s="8"/>
      <c r="BA5" s="8"/>
      <c r="BB5" s="8"/>
      <c r="BC5" s="8"/>
      <c r="BD5" s="8"/>
      <c r="BE5" s="8"/>
    </row>
    <row r="6" spans="1:57" ht="14.25" customHeight="1">
      <c r="A6" s="619">
        <v>1</v>
      </c>
      <c r="B6" s="426"/>
      <c r="C6" s="425"/>
      <c r="D6" s="430" t="s">
        <v>413</v>
      </c>
      <c r="E6" s="431" t="s">
        <v>186</v>
      </c>
      <c r="F6" s="431" t="s">
        <v>186</v>
      </c>
      <c r="G6" s="431" t="s">
        <v>186</v>
      </c>
      <c r="H6" s="431" t="s">
        <v>186</v>
      </c>
      <c r="I6" s="431" t="s">
        <v>186</v>
      </c>
      <c r="J6" s="431" t="s">
        <v>186</v>
      </c>
      <c r="K6" s="431" t="s">
        <v>186</v>
      </c>
      <c r="L6" s="431" t="s">
        <v>186</v>
      </c>
      <c r="M6" s="431" t="s">
        <v>186</v>
      </c>
      <c r="N6" s="431" t="s">
        <v>186</v>
      </c>
      <c r="O6" s="431" t="s">
        <v>186</v>
      </c>
      <c r="P6" s="431" t="s">
        <v>186</v>
      </c>
      <c r="Q6" s="431" t="s">
        <v>186</v>
      </c>
      <c r="R6" s="431" t="s">
        <v>186</v>
      </c>
      <c r="S6" s="431" t="s">
        <v>186</v>
      </c>
      <c r="T6" s="431" t="s">
        <v>186</v>
      </c>
      <c r="U6" s="431" t="s">
        <v>186</v>
      </c>
      <c r="V6" s="431" t="s">
        <v>186</v>
      </c>
      <c r="W6" s="431" t="s">
        <v>186</v>
      </c>
      <c r="X6" s="431" t="s">
        <v>186</v>
      </c>
      <c r="Y6" s="431" t="s">
        <v>186</v>
      </c>
      <c r="Z6" s="431" t="s">
        <v>186</v>
      </c>
      <c r="AA6" s="431" t="s">
        <v>186</v>
      </c>
      <c r="AB6" s="431" t="s">
        <v>186</v>
      </c>
      <c r="AC6" s="431" t="s">
        <v>186</v>
      </c>
      <c r="AD6" s="431" t="s">
        <v>186</v>
      </c>
      <c r="AE6" s="431" t="s">
        <v>186</v>
      </c>
      <c r="AF6" s="431" t="s">
        <v>186</v>
      </c>
      <c r="AG6" s="431" t="s">
        <v>186</v>
      </c>
      <c r="AH6" s="431" t="s">
        <v>186</v>
      </c>
      <c r="AI6" s="431" t="s">
        <v>186</v>
      </c>
      <c r="AJ6" s="431" t="s">
        <v>186</v>
      </c>
      <c r="AK6" s="431" t="s">
        <v>186</v>
      </c>
      <c r="AL6" s="431"/>
      <c r="AM6" s="8"/>
      <c r="AN6" s="8"/>
      <c r="AO6" s="8"/>
      <c r="AP6" s="8"/>
      <c r="AQ6" s="8"/>
      <c r="AR6" s="8"/>
      <c r="AS6" s="8"/>
      <c r="AT6" s="8"/>
      <c r="AU6" s="8"/>
      <c r="AV6" s="8"/>
      <c r="AW6" s="8"/>
      <c r="AX6" s="8"/>
      <c r="AY6" s="8"/>
      <c r="AZ6" s="8"/>
      <c r="BA6" s="8"/>
      <c r="BB6" s="8"/>
      <c r="BC6" s="8"/>
      <c r="BD6" s="8"/>
      <c r="BE6" s="8"/>
    </row>
    <row r="7" spans="1:57" ht="14.25" customHeight="1">
      <c r="A7" s="619">
        <v>1</v>
      </c>
      <c r="B7" s="426"/>
      <c r="C7" s="425" t="s">
        <v>414</v>
      </c>
      <c r="D7" s="430" t="s">
        <v>415</v>
      </c>
      <c r="E7" s="431">
        <f>'Copia de Demandas de energía '!D7*$E$89</f>
        <v>9.912853628146473E-2</v>
      </c>
      <c r="F7" s="431">
        <f>'Copia de Demandas de energía '!E7*$E$89</f>
        <v>0.12304462305171955</v>
      </c>
      <c r="G7" s="431">
        <f>'Copia de Demandas de energía '!F7*$E$89</f>
        <v>3.4599036083717095E-2</v>
      </c>
      <c r="H7" s="431">
        <f>'Copia de Demandas de energía '!G7*$E$89</f>
        <v>0.23700357618085477</v>
      </c>
      <c r="I7" s="431">
        <v>0.23860000000000001</v>
      </c>
      <c r="J7" s="431">
        <v>0.24959999999999999</v>
      </c>
      <c r="K7" s="431">
        <v>0.25159999999999999</v>
      </c>
      <c r="L7" s="431">
        <v>0.26229999999999998</v>
      </c>
      <c r="M7" s="431">
        <v>0.26290000000000002</v>
      </c>
      <c r="N7" s="431">
        <v>0.2752</v>
      </c>
      <c r="O7" s="431">
        <v>0.27789999999999998</v>
      </c>
      <c r="P7" s="431">
        <v>0.28789999999999999</v>
      </c>
      <c r="Q7" s="431">
        <v>0.28999999999999998</v>
      </c>
      <c r="R7" s="431">
        <v>0.30280000000000001</v>
      </c>
      <c r="S7" s="431">
        <v>0.30590000000000001</v>
      </c>
      <c r="T7" s="431">
        <v>0.318</v>
      </c>
      <c r="U7" s="431">
        <v>0.3216</v>
      </c>
      <c r="V7" s="431">
        <v>0.33189999999999997</v>
      </c>
      <c r="W7" s="431">
        <v>0.3367</v>
      </c>
      <c r="X7" s="431">
        <v>0.34660000000000002</v>
      </c>
      <c r="Y7" s="431">
        <v>0.3513</v>
      </c>
      <c r="Z7" s="431">
        <v>0.36180000000000001</v>
      </c>
      <c r="AA7" s="431">
        <v>0.3669</v>
      </c>
      <c r="AB7" s="431">
        <v>0.37640000000000001</v>
      </c>
      <c r="AC7" s="431">
        <v>0.38169999999999998</v>
      </c>
      <c r="AD7" s="431">
        <v>0.3891</v>
      </c>
      <c r="AE7" s="431">
        <v>0.3947</v>
      </c>
      <c r="AF7" s="431">
        <v>0.40229999999999999</v>
      </c>
      <c r="AG7" s="431">
        <v>0.40870000000000001</v>
      </c>
      <c r="AH7" s="431">
        <v>0.41610000000000003</v>
      </c>
      <c r="AI7" s="431">
        <v>0.42080000000000001</v>
      </c>
      <c r="AJ7" s="431">
        <v>0.42809999999999998</v>
      </c>
      <c r="AK7" s="431">
        <v>0.43319999999999997</v>
      </c>
      <c r="AL7" s="431"/>
      <c r="AM7" s="8"/>
      <c r="AN7" s="8"/>
      <c r="AO7" s="8"/>
      <c r="AP7" s="8"/>
      <c r="AQ7" s="8"/>
      <c r="AR7" s="8"/>
      <c r="AS7" s="8"/>
      <c r="AT7" s="8"/>
      <c r="AU7" s="8"/>
      <c r="AV7" s="8"/>
      <c r="AW7" s="8"/>
      <c r="AX7" s="8"/>
      <c r="AY7" s="8"/>
      <c r="AZ7" s="8"/>
      <c r="BA7" s="8"/>
      <c r="BB7" s="8"/>
      <c r="BC7" s="8"/>
      <c r="BD7" s="8"/>
      <c r="BE7" s="8"/>
    </row>
    <row r="8" spans="1:57" ht="14.25" customHeight="1">
      <c r="A8" s="619" t="s">
        <v>19</v>
      </c>
      <c r="B8" s="426"/>
      <c r="C8" s="425" t="s">
        <v>416</v>
      </c>
      <c r="D8" s="430" t="s">
        <v>417</v>
      </c>
      <c r="E8" s="431">
        <f>'Copia de Demandas de energía '!D8*$E$89</f>
        <v>0.6137980152738497</v>
      </c>
      <c r="F8" s="431">
        <f>'Copia de Demandas de energía '!E8*$E$89</f>
        <v>0.85415239140291177</v>
      </c>
      <c r="G8" s="431">
        <f>'Copia de Demandas de energía '!F8*$E$89</f>
        <v>0.74826209640797103</v>
      </c>
      <c r="H8" s="431">
        <f>'Copia de Demandas de energía '!G8*$E$89</f>
        <v>1.0382512099048955</v>
      </c>
      <c r="I8" s="431">
        <v>1.0774999999999999</v>
      </c>
      <c r="J8" s="431">
        <v>1.1008</v>
      </c>
      <c r="K8" s="431">
        <v>1.1446000000000001</v>
      </c>
      <c r="L8" s="431">
        <v>1.1638999999999999</v>
      </c>
      <c r="M8" s="431">
        <v>1.2008000000000001</v>
      </c>
      <c r="N8" s="431">
        <v>1.2272000000000001</v>
      </c>
      <c r="O8" s="431">
        <v>1.2718</v>
      </c>
      <c r="P8" s="431">
        <v>1.2867999999999999</v>
      </c>
      <c r="Q8" s="431">
        <v>1.3268</v>
      </c>
      <c r="R8" s="431">
        <v>1.3569</v>
      </c>
      <c r="S8" s="431">
        <v>1.3991</v>
      </c>
      <c r="T8" s="431">
        <v>1.4285000000000001</v>
      </c>
      <c r="U8" s="431">
        <v>1.4702</v>
      </c>
      <c r="V8" s="431">
        <v>1.4948999999999999</v>
      </c>
      <c r="W8" s="431">
        <v>1.5399</v>
      </c>
      <c r="X8" s="431">
        <v>1.5657000000000001</v>
      </c>
      <c r="Y8" s="431">
        <v>1.6081000000000001</v>
      </c>
      <c r="Z8" s="431">
        <v>1.6403000000000001</v>
      </c>
      <c r="AA8" s="431">
        <v>1.6822999999999999</v>
      </c>
      <c r="AB8" s="431">
        <v>1.7131000000000001</v>
      </c>
      <c r="AC8" s="431">
        <v>1.7552000000000001</v>
      </c>
      <c r="AD8" s="431">
        <v>1.7789999999999999</v>
      </c>
      <c r="AE8" s="431">
        <v>1.821</v>
      </c>
      <c r="AF8" s="431">
        <v>1.8486</v>
      </c>
      <c r="AG8" s="431">
        <v>1.8931</v>
      </c>
      <c r="AH8" s="431">
        <v>1.9222999999999999</v>
      </c>
      <c r="AI8" s="431">
        <v>1.9583999999999999</v>
      </c>
      <c r="AJ8" s="431">
        <v>1.9888999999999999</v>
      </c>
      <c r="AK8" s="431">
        <v>2.0257999999999998</v>
      </c>
      <c r="AL8" s="431"/>
      <c r="AM8" s="8"/>
      <c r="AN8" s="8"/>
      <c r="AO8" s="8"/>
      <c r="AP8" s="8"/>
      <c r="AQ8" s="8"/>
      <c r="AR8" s="8"/>
      <c r="AS8" s="8"/>
      <c r="AT8" s="8"/>
      <c r="AU8" s="8"/>
      <c r="AV8" s="8"/>
      <c r="AW8" s="8"/>
      <c r="AX8" s="8"/>
      <c r="AY8" s="8"/>
      <c r="AZ8" s="8"/>
      <c r="BA8" s="8"/>
      <c r="BB8" s="8"/>
      <c r="BC8" s="8"/>
      <c r="BD8" s="8"/>
      <c r="BE8" s="8"/>
    </row>
    <row r="9" spans="1:57" ht="14.25" customHeight="1">
      <c r="A9" s="619">
        <v>1</v>
      </c>
      <c r="B9" s="426"/>
      <c r="C9" s="425" t="s">
        <v>418</v>
      </c>
      <c r="D9" s="430" t="s">
        <v>419</v>
      </c>
      <c r="E9" s="431">
        <f>'Copia de Demandas de energía '!D9*$E$89</f>
        <v>34.952288680728131</v>
      </c>
      <c r="F9" s="431">
        <f>'Copia de Demandas de energía '!E9*$E$89</f>
        <v>32.606013465490761</v>
      </c>
      <c r="G9" s="431">
        <f>'Copia de Demandas de energía '!F9*$E$89</f>
        <v>25.107180831039649</v>
      </c>
      <c r="H9" s="431">
        <f>'Copia de Demandas de energía '!G9*$E$89</f>
        <v>20.302984914974349</v>
      </c>
      <c r="I9" s="431">
        <v>22.093</v>
      </c>
      <c r="J9" s="431">
        <v>21.45</v>
      </c>
      <c r="K9" s="431">
        <v>23.744</v>
      </c>
      <c r="L9" s="431">
        <v>22.786999999999999</v>
      </c>
      <c r="M9" s="431">
        <v>25.16</v>
      </c>
      <c r="N9" s="431">
        <v>24.279</v>
      </c>
      <c r="O9" s="431">
        <v>26.843</v>
      </c>
      <c r="P9" s="431">
        <v>25.739000000000001</v>
      </c>
      <c r="Q9" s="431">
        <v>28.114000000000001</v>
      </c>
      <c r="R9" s="431">
        <v>27.370999999999999</v>
      </c>
      <c r="S9" s="431">
        <v>29.608000000000001</v>
      </c>
      <c r="T9" s="431">
        <v>29.021000000000001</v>
      </c>
      <c r="U9" s="431">
        <v>31.059000000000001</v>
      </c>
      <c r="V9" s="431">
        <v>30.556000000000001</v>
      </c>
      <c r="W9" s="431">
        <v>32.49</v>
      </c>
      <c r="X9" s="431">
        <v>32.176000000000002</v>
      </c>
      <c r="Y9" s="431">
        <v>33.909999999999997</v>
      </c>
      <c r="Z9" s="431">
        <v>33.872</v>
      </c>
      <c r="AA9" s="431">
        <v>35.475000000000001</v>
      </c>
      <c r="AB9" s="431">
        <v>35.527999999999999</v>
      </c>
      <c r="AC9" s="431">
        <v>37.024999999999999</v>
      </c>
      <c r="AD9" s="431">
        <v>37.036000000000001</v>
      </c>
      <c r="AE9" s="431">
        <v>38.441000000000003</v>
      </c>
      <c r="AF9" s="431">
        <v>38.618000000000002</v>
      </c>
      <c r="AG9" s="431">
        <v>40.002000000000002</v>
      </c>
      <c r="AH9" s="431">
        <v>40.286000000000001</v>
      </c>
      <c r="AI9" s="431">
        <v>41.429000000000002</v>
      </c>
      <c r="AJ9" s="431">
        <v>41.804000000000002</v>
      </c>
      <c r="AK9" s="431">
        <v>42.914000000000001</v>
      </c>
      <c r="AL9" s="431"/>
      <c r="AM9" s="8"/>
      <c r="AN9" s="8"/>
      <c r="AO9" s="8"/>
      <c r="AP9" s="8"/>
      <c r="AQ9" s="8"/>
      <c r="AR9" s="8"/>
      <c r="AS9" s="8"/>
      <c r="AT9" s="8"/>
      <c r="AU9" s="8"/>
      <c r="AV9" s="8"/>
      <c r="AW9" s="8"/>
      <c r="AX9" s="8"/>
      <c r="AY9" s="8"/>
      <c r="AZ9" s="8"/>
      <c r="BA9" s="8"/>
      <c r="BB9" s="8"/>
      <c r="BC9" s="8"/>
      <c r="BD9" s="8"/>
      <c r="BE9" s="8"/>
    </row>
    <row r="10" spans="1:57" ht="14.25" customHeight="1">
      <c r="A10" s="619">
        <v>1</v>
      </c>
      <c r="B10" s="426"/>
      <c r="C10" s="425" t="s">
        <v>420</v>
      </c>
      <c r="D10" s="430" t="s">
        <v>421</v>
      </c>
      <c r="E10" s="431">
        <f>'Copia de Demandas de energía '!D10*$E$89</f>
        <v>4.7630758302215384</v>
      </c>
      <c r="F10" s="431">
        <f>'Copia de Demandas de energía '!E10*$E$89</f>
        <v>5.2140192621427994</v>
      </c>
      <c r="G10" s="431">
        <f>'Copia de Demandas de energía '!F10*$E$89</f>
        <v>4.8432446410198446</v>
      </c>
      <c r="H10" s="431">
        <f>'Copia de Demandas de energía '!G10*$E$89</f>
        <v>5.4102095818988687</v>
      </c>
      <c r="I10" s="431">
        <v>5.5964999999999998</v>
      </c>
      <c r="J10" s="431">
        <v>5.7611999999999997</v>
      </c>
      <c r="K10" s="431">
        <v>5.9405999999999999</v>
      </c>
      <c r="L10" s="431">
        <v>6.0808999999999997</v>
      </c>
      <c r="M10" s="431">
        <v>6.1994999999999996</v>
      </c>
      <c r="N10" s="431">
        <v>6.3570000000000002</v>
      </c>
      <c r="O10" s="431">
        <v>6.4939</v>
      </c>
      <c r="P10" s="431">
        <v>6.5750999999999999</v>
      </c>
      <c r="Q10" s="431">
        <v>6.6706000000000003</v>
      </c>
      <c r="R10" s="431">
        <v>6.8101000000000003</v>
      </c>
      <c r="S10" s="431">
        <v>6.9019000000000004</v>
      </c>
      <c r="T10" s="431">
        <v>7.0206</v>
      </c>
      <c r="U10" s="431">
        <v>7.1047000000000002</v>
      </c>
      <c r="V10" s="431">
        <v>7.1928999999999998</v>
      </c>
      <c r="W10" s="431">
        <v>7.2996999999999996</v>
      </c>
      <c r="X10" s="431">
        <v>7.3963000000000001</v>
      </c>
      <c r="Y10" s="431">
        <v>7.5072000000000001</v>
      </c>
      <c r="Z10" s="431">
        <v>7.6454000000000004</v>
      </c>
      <c r="AA10" s="431">
        <v>7.7769000000000004</v>
      </c>
      <c r="AB10" s="431">
        <v>7.9253999999999998</v>
      </c>
      <c r="AC10" s="431">
        <v>8.0824999999999996</v>
      </c>
      <c r="AD10" s="431">
        <v>8.2172999999999998</v>
      </c>
      <c r="AE10" s="431">
        <v>8.3994</v>
      </c>
      <c r="AF10" s="431">
        <v>8.5685000000000002</v>
      </c>
      <c r="AG10" s="431">
        <v>8.7836999999999996</v>
      </c>
      <c r="AH10" s="431">
        <v>8.9731000000000005</v>
      </c>
      <c r="AI10" s="431">
        <v>9.1646999999999998</v>
      </c>
      <c r="AJ10" s="431">
        <v>9.3674999999999997</v>
      </c>
      <c r="AK10" s="431">
        <v>9.5723000000000003</v>
      </c>
      <c r="AL10" s="431"/>
      <c r="AM10" s="8"/>
      <c r="AN10" s="8"/>
      <c r="AO10" s="8"/>
      <c r="AP10" s="8"/>
      <c r="AQ10" s="8"/>
      <c r="AR10" s="8"/>
      <c r="AS10" s="8"/>
      <c r="AT10" s="8"/>
      <c r="AU10" s="8"/>
      <c r="AV10" s="8"/>
      <c r="AW10" s="8"/>
      <c r="AX10" s="8"/>
      <c r="AY10" s="8"/>
      <c r="AZ10" s="8"/>
      <c r="BA10" s="8"/>
      <c r="BB10" s="8"/>
      <c r="BC10" s="8"/>
      <c r="BD10" s="8"/>
      <c r="BE10" s="8"/>
    </row>
    <row r="11" spans="1:57" ht="14.25" customHeight="1">
      <c r="A11" s="619">
        <v>1</v>
      </c>
      <c r="B11" s="426"/>
      <c r="C11" s="425"/>
      <c r="D11" s="430" t="s">
        <v>422</v>
      </c>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1"/>
      <c r="AL11" s="431"/>
      <c r="AM11" s="8"/>
      <c r="AN11" s="8"/>
      <c r="AO11" s="8"/>
      <c r="AP11" s="8"/>
      <c r="AQ11" s="8"/>
      <c r="AR11" s="8"/>
      <c r="AS11" s="8"/>
      <c r="AT11" s="8"/>
      <c r="AU11" s="8"/>
      <c r="AV11" s="8"/>
      <c r="AW11" s="8"/>
      <c r="AX11" s="8"/>
      <c r="AY11" s="8"/>
      <c r="AZ11" s="8"/>
      <c r="BA11" s="8"/>
      <c r="BB11" s="8"/>
      <c r="BC11" s="8"/>
      <c r="BD11" s="8"/>
      <c r="BE11" s="8"/>
    </row>
    <row r="12" spans="1:57" ht="14.25" customHeight="1">
      <c r="A12" s="619">
        <v>1</v>
      </c>
      <c r="B12" s="426"/>
      <c r="C12" s="425"/>
      <c r="D12" s="432" t="s">
        <v>359</v>
      </c>
      <c r="E12" s="431">
        <f>'Copia de Demandas de energía '!D12*$E$89</f>
        <v>62.130723270034387</v>
      </c>
      <c r="F12" s="431">
        <f>'Copia de Demandas de energía '!E12*$E$89</f>
        <v>63.134676696020023</v>
      </c>
      <c r="G12" s="431">
        <f>'Copia de Demandas de energía '!F12*$E$89</f>
        <v>49.270364404372174</v>
      </c>
      <c r="H12" s="431">
        <f>'Copia de Demandas de energía '!G12*$E$89</f>
        <v>64.15430782154391</v>
      </c>
      <c r="I12" s="433">
        <v>63.036000000000001</v>
      </c>
      <c r="J12" s="433">
        <v>67.849999999999994</v>
      </c>
      <c r="K12" s="433">
        <v>67.082999999999998</v>
      </c>
      <c r="L12" s="433">
        <v>71.691999999999993</v>
      </c>
      <c r="M12" s="433">
        <v>70.775000000000006</v>
      </c>
      <c r="N12" s="433">
        <v>75.653000000000006</v>
      </c>
      <c r="O12" s="433">
        <v>75.388999999999996</v>
      </c>
      <c r="P12" s="433">
        <v>79.478999999999999</v>
      </c>
      <c r="Q12" s="433">
        <v>79.122</v>
      </c>
      <c r="R12" s="433">
        <v>83.814999999999998</v>
      </c>
      <c r="S12" s="433">
        <v>83.850999999999999</v>
      </c>
      <c r="T12" s="433">
        <v>88.203999999999994</v>
      </c>
      <c r="U12" s="433">
        <v>88.504999999999995</v>
      </c>
      <c r="V12" s="433">
        <v>92.272999999999996</v>
      </c>
      <c r="W12" s="433">
        <v>93.08</v>
      </c>
      <c r="X12" s="433">
        <v>96.644999999999996</v>
      </c>
      <c r="Y12" s="433">
        <v>97.575000000000003</v>
      </c>
      <c r="Z12" s="433">
        <v>101.29</v>
      </c>
      <c r="AA12" s="433">
        <v>102.44</v>
      </c>
      <c r="AB12" s="433">
        <v>105.86</v>
      </c>
      <c r="AC12" s="433">
        <v>107.24</v>
      </c>
      <c r="AD12" s="433">
        <v>110.03</v>
      </c>
      <c r="AE12" s="433">
        <v>111.61</v>
      </c>
      <c r="AF12" s="433">
        <v>114.47</v>
      </c>
      <c r="AG12" s="433">
        <v>116.37</v>
      </c>
      <c r="AH12" s="433">
        <v>119.18</v>
      </c>
      <c r="AI12" s="433">
        <v>120.72</v>
      </c>
      <c r="AJ12" s="433">
        <v>123.49</v>
      </c>
      <c r="AK12" s="433">
        <v>125.21</v>
      </c>
      <c r="AL12" s="431"/>
      <c r="AM12" s="8"/>
      <c r="AN12" s="8"/>
      <c r="AO12" s="8"/>
      <c r="AP12" s="8"/>
      <c r="AQ12" s="8"/>
      <c r="AR12" s="8"/>
      <c r="AS12" s="8"/>
      <c r="AT12" s="8"/>
      <c r="AU12" s="8"/>
      <c r="AV12" s="8"/>
      <c r="AW12" s="8"/>
      <c r="AX12" s="8"/>
      <c r="AY12" s="8"/>
      <c r="AZ12" s="8"/>
      <c r="BA12" s="8"/>
      <c r="BB12" s="8"/>
      <c r="BC12" s="8"/>
      <c r="BD12" s="8"/>
      <c r="BE12" s="8"/>
    </row>
    <row r="13" spans="1:57" ht="14.25" customHeight="1">
      <c r="A13" s="619" t="s">
        <v>19</v>
      </c>
      <c r="B13" s="426"/>
      <c r="C13" s="425"/>
      <c r="D13" s="430" t="s">
        <v>360</v>
      </c>
      <c r="E13" s="431">
        <f>'Copia de Demandas de energía '!D13*$E$89</f>
        <v>58.736210992236785</v>
      </c>
      <c r="F13" s="431">
        <f>'Copia de Demandas de energía '!E13*$E$89</f>
        <v>59.685002142069365</v>
      </c>
      <c r="G13" s="431">
        <f>'Copia de Demandas de energía '!F13*$E$89</f>
        <v>46.916967507021226</v>
      </c>
      <c r="H13" s="431">
        <f>'Copia de Demandas de energía '!G13*$E$89</f>
        <v>61.090188545126189</v>
      </c>
      <c r="I13" s="433">
        <v>61.911000000000001</v>
      </c>
      <c r="J13" s="433">
        <v>62.725999999999999</v>
      </c>
      <c r="K13" s="433">
        <v>63.531999999999996</v>
      </c>
      <c r="L13" s="433">
        <v>64.331999999999994</v>
      </c>
      <c r="M13" s="433">
        <v>65.122</v>
      </c>
      <c r="N13" s="433">
        <v>65.903999999999996</v>
      </c>
      <c r="O13" s="433">
        <v>66.676000000000002</v>
      </c>
      <c r="P13" s="433">
        <v>67.438999999999993</v>
      </c>
      <c r="Q13" s="433">
        <v>68.191999999999993</v>
      </c>
      <c r="R13" s="433">
        <v>68.933000000000007</v>
      </c>
      <c r="S13" s="433">
        <v>69.664000000000001</v>
      </c>
      <c r="T13" s="433">
        <v>70.382000000000005</v>
      </c>
      <c r="U13" s="433">
        <v>71.088999999999999</v>
      </c>
      <c r="V13" s="433">
        <v>71.781999999999996</v>
      </c>
      <c r="W13" s="433">
        <v>72.462999999999994</v>
      </c>
      <c r="X13" s="433">
        <v>73.13</v>
      </c>
      <c r="Y13" s="433">
        <v>73.783000000000001</v>
      </c>
      <c r="Z13" s="433">
        <v>74.421999999999997</v>
      </c>
      <c r="AA13" s="433">
        <v>75.046999999999997</v>
      </c>
      <c r="AB13" s="433">
        <v>75.656999999999996</v>
      </c>
      <c r="AC13" s="433">
        <v>76.251999999999995</v>
      </c>
      <c r="AD13" s="433">
        <v>76.831999999999994</v>
      </c>
      <c r="AE13" s="433">
        <v>77.396000000000001</v>
      </c>
      <c r="AF13" s="433">
        <v>77.944999999999993</v>
      </c>
      <c r="AG13" s="433">
        <v>78.477999999999994</v>
      </c>
      <c r="AH13" s="433">
        <v>78.995999999999995</v>
      </c>
      <c r="AI13" s="433">
        <v>79.497</v>
      </c>
      <c r="AJ13" s="433">
        <v>79.983000000000004</v>
      </c>
      <c r="AK13" s="433">
        <v>80.451999999999998</v>
      </c>
      <c r="AL13" s="431"/>
      <c r="AM13" s="8"/>
      <c r="AN13" s="8"/>
      <c r="AO13" s="8"/>
      <c r="AP13" s="8"/>
      <c r="AQ13" s="8"/>
      <c r="AR13" s="8"/>
      <c r="AS13" s="8"/>
      <c r="AT13" s="8"/>
      <c r="AU13" s="8"/>
      <c r="AV13" s="8"/>
      <c r="AW13" s="8"/>
      <c r="AX13" s="8"/>
      <c r="AY13" s="8"/>
      <c r="AZ13" s="8"/>
      <c r="BA13" s="8"/>
      <c r="BB13" s="8"/>
      <c r="BC13" s="8"/>
      <c r="BD13" s="8"/>
      <c r="BE13" s="8"/>
    </row>
    <row r="14" spans="1:57" ht="14.25" customHeight="1">
      <c r="A14" s="619">
        <v>1</v>
      </c>
      <c r="B14" s="426"/>
      <c r="C14" s="425" t="s">
        <v>423</v>
      </c>
      <c r="D14" s="432" t="s">
        <v>362</v>
      </c>
      <c r="E14" s="431">
        <f>'Copia de Demandas de energía '!D14*$E$89</f>
        <v>3.077474353802135E-2</v>
      </c>
      <c r="F14" s="431">
        <f>'Copia de Demandas de energía '!E14*$E$89</f>
        <v>3.4839332307193978E-3</v>
      </c>
      <c r="G14" s="431">
        <f>'Copia de Demandas de energía '!F14*$E$89</f>
        <v>9.8711441537049603E-3</v>
      </c>
      <c r="H14" s="431">
        <f>'Copia de Demandas de energía '!G14*$E$89</f>
        <v>1.9742288307409921E-2</v>
      </c>
      <c r="I14" s="431">
        <v>2.0299999999999999E-2</v>
      </c>
      <c r="J14" s="431">
        <v>2.0899999999999998E-2</v>
      </c>
      <c r="K14" s="431">
        <v>2.1499999999999998E-2</v>
      </c>
      <c r="L14" s="431">
        <v>2.2100000000000002E-2</v>
      </c>
      <c r="M14" s="431">
        <v>2.2599999999999999E-2</v>
      </c>
      <c r="N14" s="431">
        <v>2.3300000000000001E-2</v>
      </c>
      <c r="O14" s="431">
        <v>2.4E-2</v>
      </c>
      <c r="P14" s="431">
        <v>2.4500000000000001E-2</v>
      </c>
      <c r="Q14" s="431">
        <v>2.5100000000000001E-2</v>
      </c>
      <c r="R14" s="431">
        <v>2.5899999999999999E-2</v>
      </c>
      <c r="S14" s="431">
        <v>2.6599999999999999E-2</v>
      </c>
      <c r="T14" s="431">
        <v>2.7300000000000001E-2</v>
      </c>
      <c r="U14" s="431">
        <v>2.8000000000000001E-2</v>
      </c>
      <c r="V14" s="431">
        <v>2.86E-2</v>
      </c>
      <c r="W14" s="431">
        <v>2.9399999999999999E-2</v>
      </c>
      <c r="X14" s="431">
        <v>0.03</v>
      </c>
      <c r="Y14" s="431">
        <v>3.0700000000000002E-2</v>
      </c>
      <c r="Z14" s="431">
        <v>3.15E-2</v>
      </c>
      <c r="AA14" s="431">
        <v>3.2199999999999999E-2</v>
      </c>
      <c r="AB14" s="431">
        <v>3.3000000000000002E-2</v>
      </c>
      <c r="AC14" s="431">
        <v>3.3700000000000001E-2</v>
      </c>
      <c r="AD14" s="431">
        <v>3.4299999999999997E-2</v>
      </c>
      <c r="AE14" s="431">
        <v>3.5000000000000003E-2</v>
      </c>
      <c r="AF14" s="431">
        <v>3.5700000000000003E-2</v>
      </c>
      <c r="AG14" s="431">
        <v>3.6499999999999998E-2</v>
      </c>
      <c r="AH14" s="431">
        <v>3.7199999999999997E-2</v>
      </c>
      <c r="AI14" s="431">
        <v>3.78E-2</v>
      </c>
      <c r="AJ14" s="431">
        <v>3.85E-2</v>
      </c>
      <c r="AK14" s="431">
        <v>3.9199999999999999E-2</v>
      </c>
      <c r="AL14" s="431"/>
      <c r="AM14" s="8"/>
      <c r="AN14" s="8"/>
      <c r="AO14" s="8"/>
      <c r="AP14" s="8"/>
      <c r="AQ14" s="8"/>
      <c r="AR14" s="8"/>
      <c r="AS14" s="8"/>
      <c r="AT14" s="8"/>
      <c r="AU14" s="8"/>
      <c r="AV14" s="8"/>
      <c r="AW14" s="8"/>
      <c r="AX14" s="8"/>
      <c r="AY14" s="8"/>
      <c r="AZ14" s="8"/>
      <c r="BA14" s="8"/>
      <c r="BB14" s="8"/>
      <c r="BC14" s="8"/>
      <c r="BD14" s="8"/>
      <c r="BE14" s="8"/>
    </row>
    <row r="15" spans="1:57" ht="14.25" customHeight="1">
      <c r="A15" s="619">
        <v>1</v>
      </c>
      <c r="B15" s="426"/>
      <c r="C15" s="425" t="s">
        <v>424</v>
      </c>
      <c r="D15" s="432" t="s">
        <v>363</v>
      </c>
      <c r="E15" s="431">
        <f>'Copia de Demandas de energía '!D15*$E$89</f>
        <v>0.18987436107420722</v>
      </c>
      <c r="F15" s="431">
        <f>'Copia de Demandas de energía '!E15*$E$89</f>
        <v>0.20206812738172508</v>
      </c>
      <c r="G15" s="431">
        <f>'Copia de Demandas de energía '!F15*$E$89</f>
        <v>0.16839010615143757</v>
      </c>
      <c r="H15" s="431">
        <f>'Copia de Demandas de energía '!G15*$E$89</f>
        <v>0.19742288307409922</v>
      </c>
      <c r="I15" s="431">
        <v>0.2014</v>
      </c>
      <c r="J15" s="431">
        <v>0.2059</v>
      </c>
      <c r="K15" s="431">
        <v>0.21029999999999999</v>
      </c>
      <c r="L15" s="431">
        <v>0.21440000000000001</v>
      </c>
      <c r="M15" s="431">
        <v>0.21820000000000001</v>
      </c>
      <c r="N15" s="431">
        <v>0.223</v>
      </c>
      <c r="O15" s="431">
        <v>0.22750000000000001</v>
      </c>
      <c r="P15" s="431">
        <v>0.23130000000000001</v>
      </c>
      <c r="Q15" s="431">
        <v>0.23530000000000001</v>
      </c>
      <c r="R15" s="431">
        <v>0.24030000000000001</v>
      </c>
      <c r="S15" s="431">
        <v>0.24460000000000001</v>
      </c>
      <c r="T15" s="431">
        <v>0.24940000000000001</v>
      </c>
      <c r="U15" s="431">
        <v>0.25359999999999999</v>
      </c>
      <c r="V15" s="431">
        <v>0.25779999999999997</v>
      </c>
      <c r="W15" s="431">
        <v>0.26229999999999998</v>
      </c>
      <c r="X15" s="431">
        <v>0.26650000000000001</v>
      </c>
      <c r="Y15" s="431">
        <v>0.27079999999999999</v>
      </c>
      <c r="Z15" s="431">
        <v>0.27539999999999998</v>
      </c>
      <c r="AA15" s="431">
        <v>0.2797</v>
      </c>
      <c r="AB15" s="431">
        <v>0.28399999999999997</v>
      </c>
      <c r="AC15" s="431">
        <v>0.2883</v>
      </c>
      <c r="AD15" s="431">
        <v>0.29189999999999999</v>
      </c>
      <c r="AE15" s="431">
        <v>0.29620000000000002</v>
      </c>
      <c r="AF15" s="431">
        <v>0.3</v>
      </c>
      <c r="AG15" s="431">
        <v>0.3044</v>
      </c>
      <c r="AH15" s="431">
        <v>0.30830000000000002</v>
      </c>
      <c r="AI15" s="431">
        <v>0.312</v>
      </c>
      <c r="AJ15" s="431">
        <v>0.31580000000000003</v>
      </c>
      <c r="AK15" s="431">
        <v>0.3196</v>
      </c>
      <c r="AL15" s="431"/>
      <c r="AM15" s="8"/>
      <c r="AN15" s="8"/>
      <c r="AO15" s="8"/>
      <c r="AP15" s="8"/>
      <c r="AQ15" s="8"/>
      <c r="AR15" s="8"/>
      <c r="AS15" s="8"/>
      <c r="AT15" s="8"/>
      <c r="AU15" s="8"/>
      <c r="AV15" s="8"/>
      <c r="AW15" s="8"/>
      <c r="AX15" s="8"/>
      <c r="AY15" s="8"/>
      <c r="AZ15" s="8"/>
      <c r="BA15" s="8"/>
      <c r="BB15" s="8"/>
      <c r="BC15" s="8"/>
      <c r="BD15" s="8"/>
      <c r="BE15" s="8"/>
    </row>
    <row r="16" spans="1:57" ht="14.25" customHeight="1">
      <c r="A16" s="619"/>
      <c r="B16" s="426"/>
      <c r="C16" s="425"/>
      <c r="D16" s="429" t="s">
        <v>13</v>
      </c>
      <c r="E16" s="431">
        <f t="shared" ref="E16:AK16" si="0">SUM(E6:E15)</f>
        <v>161.51587442938836</v>
      </c>
      <c r="F16" s="431">
        <f t="shared" si="0"/>
        <v>161.82246064079001</v>
      </c>
      <c r="G16" s="431">
        <f t="shared" si="0"/>
        <v>127.09887976624972</v>
      </c>
      <c r="H16" s="431">
        <f t="shared" si="0"/>
        <v>152.45011082101058</v>
      </c>
      <c r="I16" s="431">
        <f t="shared" si="0"/>
        <v>154.17430000000002</v>
      </c>
      <c r="J16" s="431">
        <f t="shared" si="0"/>
        <v>159.36440000000002</v>
      </c>
      <c r="K16" s="431">
        <f t="shared" si="0"/>
        <v>161.92759999999998</v>
      </c>
      <c r="L16" s="431">
        <f t="shared" si="0"/>
        <v>166.55459999999999</v>
      </c>
      <c r="M16" s="431">
        <f t="shared" si="0"/>
        <v>168.96100000000001</v>
      </c>
      <c r="N16" s="431">
        <f t="shared" si="0"/>
        <v>173.94170000000003</v>
      </c>
      <c r="O16" s="431">
        <f t="shared" si="0"/>
        <v>177.20309999999998</v>
      </c>
      <c r="P16" s="431">
        <f t="shared" si="0"/>
        <v>181.0626</v>
      </c>
      <c r="Q16" s="431">
        <f t="shared" si="0"/>
        <v>183.97579999999999</v>
      </c>
      <c r="R16" s="431">
        <f t="shared" si="0"/>
        <v>188.85499999999999</v>
      </c>
      <c r="S16" s="431">
        <f t="shared" si="0"/>
        <v>192.00109999999998</v>
      </c>
      <c r="T16" s="431">
        <f t="shared" si="0"/>
        <v>196.6508</v>
      </c>
      <c r="U16" s="431">
        <f t="shared" si="0"/>
        <v>199.83109999999999</v>
      </c>
      <c r="V16" s="431">
        <f t="shared" si="0"/>
        <v>203.9171</v>
      </c>
      <c r="W16" s="431">
        <f t="shared" si="0"/>
        <v>207.50100000000003</v>
      </c>
      <c r="X16" s="431">
        <f t="shared" si="0"/>
        <v>211.55609999999999</v>
      </c>
      <c r="Y16" s="431">
        <f t="shared" si="0"/>
        <v>215.0361</v>
      </c>
      <c r="Z16" s="431">
        <f t="shared" si="0"/>
        <v>219.5384</v>
      </c>
      <c r="AA16" s="431">
        <f t="shared" si="0"/>
        <v>223.09999999999997</v>
      </c>
      <c r="AB16" s="431">
        <f t="shared" si="0"/>
        <v>227.37689999999995</v>
      </c>
      <c r="AC16" s="431">
        <f t="shared" si="0"/>
        <v>231.05840000000001</v>
      </c>
      <c r="AD16" s="431">
        <f t="shared" si="0"/>
        <v>234.6096</v>
      </c>
      <c r="AE16" s="431">
        <f t="shared" si="0"/>
        <v>238.39329999999998</v>
      </c>
      <c r="AF16" s="431">
        <f t="shared" si="0"/>
        <v>242.18809999999999</v>
      </c>
      <c r="AG16" s="431">
        <f t="shared" si="0"/>
        <v>246.27639999999997</v>
      </c>
      <c r="AH16" s="431">
        <f t="shared" si="0"/>
        <v>250.11900000000003</v>
      </c>
      <c r="AI16" s="431">
        <f t="shared" si="0"/>
        <v>253.53970000000004</v>
      </c>
      <c r="AJ16" s="431">
        <f t="shared" si="0"/>
        <v>257.41580000000005</v>
      </c>
      <c r="AK16" s="431">
        <f t="shared" si="0"/>
        <v>260.96609999999998</v>
      </c>
      <c r="AL16" s="431"/>
      <c r="AM16" s="8"/>
      <c r="AN16" s="8"/>
      <c r="AO16" s="8"/>
      <c r="AP16" s="8"/>
      <c r="AQ16" s="8"/>
      <c r="AR16" s="8"/>
      <c r="AS16" s="8"/>
      <c r="AT16" s="8"/>
      <c r="AU16" s="8"/>
      <c r="AV16" s="8"/>
      <c r="AW16" s="8"/>
      <c r="AX16" s="8"/>
      <c r="AY16" s="8"/>
      <c r="AZ16" s="8"/>
      <c r="BA16" s="8"/>
      <c r="BB16" s="8"/>
      <c r="BC16" s="8"/>
      <c r="BD16" s="8"/>
      <c r="BE16" s="8"/>
    </row>
    <row r="17" spans="1:38" ht="14.25" customHeight="1">
      <c r="A17" s="619"/>
      <c r="B17" s="426"/>
      <c r="C17" s="425"/>
      <c r="D17" s="434"/>
      <c r="E17" s="425"/>
      <c r="F17" s="425"/>
      <c r="G17" s="425"/>
      <c r="H17" s="425"/>
      <c r="I17" s="425"/>
      <c r="J17" s="425"/>
      <c r="K17" s="425"/>
      <c r="L17" s="425"/>
      <c r="M17" s="425"/>
      <c r="N17" s="425"/>
      <c r="O17" s="425"/>
      <c r="P17" s="425"/>
      <c r="Q17" s="425"/>
      <c r="R17" s="425"/>
      <c r="S17" s="425"/>
      <c r="T17" s="425"/>
      <c r="U17" s="425"/>
      <c r="V17" s="425"/>
      <c r="W17" s="425"/>
      <c r="X17" s="425"/>
      <c r="Y17" s="425"/>
      <c r="Z17" s="425"/>
      <c r="AA17" s="425"/>
      <c r="AB17" s="425"/>
      <c r="AC17" s="425"/>
      <c r="AD17" s="425"/>
      <c r="AE17" s="425"/>
      <c r="AF17" s="425"/>
      <c r="AG17" s="425"/>
      <c r="AH17" s="425"/>
      <c r="AI17" s="425"/>
      <c r="AJ17" s="425"/>
      <c r="AK17" s="425"/>
      <c r="AL17" s="425"/>
    </row>
    <row r="18" spans="1:38" ht="14.25" customHeight="1">
      <c r="A18" s="619"/>
      <c r="B18" s="426"/>
      <c r="C18" s="425"/>
      <c r="D18" s="429" t="s">
        <v>425</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row>
    <row r="19" spans="1:38" ht="14.25" customHeight="1">
      <c r="A19" s="619"/>
      <c r="B19" s="426"/>
      <c r="C19" s="425"/>
      <c r="D19" s="430" t="s">
        <v>413</v>
      </c>
      <c r="E19" s="431" t="s">
        <v>186</v>
      </c>
      <c r="F19" s="431" t="s">
        <v>186</v>
      </c>
      <c r="G19" s="431" t="s">
        <v>186</v>
      </c>
      <c r="H19" s="431" t="s">
        <v>186</v>
      </c>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row>
    <row r="20" spans="1:38" ht="14.25" customHeight="1">
      <c r="A20" s="619"/>
      <c r="B20" s="426"/>
      <c r="C20" s="62" t="s">
        <v>426</v>
      </c>
      <c r="D20" s="430" t="s">
        <v>415</v>
      </c>
      <c r="E20" s="435">
        <f>'Copia de Demandas de energía '!D20*$E$89</f>
        <v>5.7368390353734968</v>
      </c>
      <c r="F20" s="431">
        <f>'Copia de Demandas de energía '!E20*$E$89</f>
        <v>4.7138772871007184</v>
      </c>
      <c r="G20" s="431">
        <f>'Copia de Demandas de energía '!F20*$E$89</f>
        <v>4.599894053279586</v>
      </c>
      <c r="H20" s="431">
        <f>'Copia de Demandas de energía '!G20*$E$89</f>
        <v>4.3899411636953181</v>
      </c>
      <c r="I20" s="431">
        <v>4.4187000000000003</v>
      </c>
      <c r="J20" s="431">
        <v>4.6223999999999998</v>
      </c>
      <c r="K20" s="431">
        <v>4.6599000000000004</v>
      </c>
      <c r="L20" s="431">
        <v>4.8593000000000002</v>
      </c>
      <c r="M20" s="431">
        <v>4.87</v>
      </c>
      <c r="N20" s="431">
        <v>5.0979000000000001</v>
      </c>
      <c r="O20" s="431">
        <v>5.1478999999999999</v>
      </c>
      <c r="P20" s="431">
        <v>5.3322000000000003</v>
      </c>
      <c r="Q20" s="431">
        <v>5.3710000000000004</v>
      </c>
      <c r="R20" s="431">
        <v>5.6085000000000003</v>
      </c>
      <c r="S20" s="431">
        <v>5.6665999999999999</v>
      </c>
      <c r="T20" s="431">
        <v>5.89</v>
      </c>
      <c r="U20" s="431">
        <v>5.9564000000000004</v>
      </c>
      <c r="V20" s="431">
        <v>6.1473000000000004</v>
      </c>
      <c r="W20" s="431">
        <v>6.2374000000000001</v>
      </c>
      <c r="X20" s="431">
        <v>6.4191000000000003</v>
      </c>
      <c r="Y20" s="431">
        <v>6.5072999999999999</v>
      </c>
      <c r="Z20" s="431">
        <v>6.7019000000000002</v>
      </c>
      <c r="AA20" s="431">
        <v>6.7953000000000001</v>
      </c>
      <c r="AB20" s="431">
        <v>6.9714999999999998</v>
      </c>
      <c r="AC20" s="431">
        <v>7.0705999999999998</v>
      </c>
      <c r="AD20" s="431">
        <v>7.2068000000000003</v>
      </c>
      <c r="AE20" s="431">
        <v>7.3106999999999998</v>
      </c>
      <c r="AF20" s="431">
        <v>7.4513999999999996</v>
      </c>
      <c r="AG20" s="431">
        <v>7.5694999999999997</v>
      </c>
      <c r="AH20" s="431">
        <v>7.7073</v>
      </c>
      <c r="AI20" s="431">
        <v>7.7949000000000002</v>
      </c>
      <c r="AJ20" s="431">
        <v>7.9302000000000001</v>
      </c>
      <c r="AK20" s="431">
        <v>8.0248000000000008</v>
      </c>
      <c r="AL20" s="431"/>
    </row>
    <row r="21" spans="1:38" ht="14.25" customHeight="1">
      <c r="A21" s="619">
        <v>2</v>
      </c>
      <c r="B21" s="426"/>
      <c r="C21" s="62" t="s">
        <v>427</v>
      </c>
      <c r="D21" s="430" t="s">
        <v>417</v>
      </c>
      <c r="E21" s="431">
        <f>'Copia de Demandas de energía '!D21*$E$89</f>
        <v>25.584823431726967</v>
      </c>
      <c r="F21" s="431">
        <f>'Copia de Demandas de energía '!E21*$E$89</f>
        <v>22.02394056774067</v>
      </c>
      <c r="G21" s="431">
        <f>'Copia de Demandas de energía '!F21*$E$89</f>
        <v>21.491393792287134</v>
      </c>
      <c r="H21" s="431">
        <f>'Copia de Demandas de energía '!G21*$E$89</f>
        <v>20.510462487417858</v>
      </c>
      <c r="I21" s="431">
        <v>21.286000000000001</v>
      </c>
      <c r="J21" s="431">
        <v>21.745999999999999</v>
      </c>
      <c r="K21" s="431">
        <v>22.61</v>
      </c>
      <c r="L21" s="431">
        <v>22.992999999999999</v>
      </c>
      <c r="M21" s="431">
        <v>23.722000000000001</v>
      </c>
      <c r="N21" s="431">
        <v>24.244</v>
      </c>
      <c r="O21" s="431">
        <v>25.123999999999999</v>
      </c>
      <c r="P21" s="431">
        <v>25.42</v>
      </c>
      <c r="Q21" s="431">
        <v>26.21</v>
      </c>
      <c r="R21" s="431">
        <v>26.805</v>
      </c>
      <c r="S21" s="431">
        <v>27.638999999999999</v>
      </c>
      <c r="T21" s="431">
        <v>28.221</v>
      </c>
      <c r="U21" s="431">
        <v>29.042999999999999</v>
      </c>
      <c r="V21" s="431">
        <v>29.532</v>
      </c>
      <c r="W21" s="431">
        <v>30.420999999999999</v>
      </c>
      <c r="X21" s="431">
        <v>30.93</v>
      </c>
      <c r="Y21" s="431">
        <v>31.768999999999998</v>
      </c>
      <c r="Z21" s="431">
        <v>32.404000000000003</v>
      </c>
      <c r="AA21" s="431">
        <v>33.234000000000002</v>
      </c>
      <c r="AB21" s="431">
        <v>33.841999999999999</v>
      </c>
      <c r="AC21" s="431">
        <v>34.673000000000002</v>
      </c>
      <c r="AD21" s="431">
        <v>35.143000000000001</v>
      </c>
      <c r="AE21" s="431">
        <v>35.972999999999999</v>
      </c>
      <c r="AF21" s="431">
        <v>36.518999999999998</v>
      </c>
      <c r="AG21" s="431">
        <v>37.398000000000003</v>
      </c>
      <c r="AH21" s="431">
        <v>37.975000000000001</v>
      </c>
      <c r="AI21" s="431">
        <v>38.686999999999998</v>
      </c>
      <c r="AJ21" s="431">
        <v>39.290999999999997</v>
      </c>
      <c r="AK21" s="431">
        <v>40.020000000000003</v>
      </c>
      <c r="AL21" s="431"/>
    </row>
    <row r="22" spans="1:38" ht="14.25" customHeight="1">
      <c r="A22" s="619">
        <v>2</v>
      </c>
      <c r="B22" s="426"/>
      <c r="C22" s="62" t="s">
        <v>428</v>
      </c>
      <c r="D22" s="430" t="s">
        <v>419</v>
      </c>
      <c r="E22" s="431">
        <f>'Copia de Demandas de energía '!D22*$E$89</f>
        <v>2.5489150909015965</v>
      </c>
      <c r="F22" s="431">
        <f>'Copia de Demandas de energía '!E22*$E$89</f>
        <v>2.9144162332636521</v>
      </c>
      <c r="G22" s="431">
        <f>'Copia de Demandas de energía '!F22*$E$89</f>
        <v>0.67387279405921663</v>
      </c>
      <c r="H22" s="431">
        <f>'Copia de Demandas de energía '!G22*$E$89</f>
        <v>3.1559712018167967</v>
      </c>
      <c r="I22" s="431">
        <v>3.4342999999999999</v>
      </c>
      <c r="J22" s="431">
        <v>3.3342000000000001</v>
      </c>
      <c r="K22" s="431">
        <v>3.6909000000000001</v>
      </c>
      <c r="L22" s="431">
        <v>3.5421</v>
      </c>
      <c r="M22" s="431">
        <v>3.9108999999999998</v>
      </c>
      <c r="N22" s="431">
        <v>3.774</v>
      </c>
      <c r="O22" s="431">
        <v>4.1726000000000001</v>
      </c>
      <c r="P22" s="431">
        <v>4.0010000000000003</v>
      </c>
      <c r="Q22" s="431">
        <v>4.3700999999999999</v>
      </c>
      <c r="R22" s="431">
        <v>4.2546999999999997</v>
      </c>
      <c r="S22" s="431">
        <v>4.6024000000000003</v>
      </c>
      <c r="T22" s="431">
        <v>4.5111999999999997</v>
      </c>
      <c r="U22" s="431">
        <v>4.8280000000000003</v>
      </c>
      <c r="V22" s="431">
        <v>4.7497999999999996</v>
      </c>
      <c r="W22" s="431">
        <v>5.0503999999999998</v>
      </c>
      <c r="X22" s="431">
        <v>5.0015999999999998</v>
      </c>
      <c r="Y22" s="431">
        <v>5.2710999999999997</v>
      </c>
      <c r="Z22" s="431">
        <v>5.2652000000000001</v>
      </c>
      <c r="AA22" s="431">
        <v>5.5143000000000004</v>
      </c>
      <c r="AB22" s="431">
        <v>5.5227000000000004</v>
      </c>
      <c r="AC22" s="431">
        <v>5.7553000000000001</v>
      </c>
      <c r="AD22" s="431">
        <v>5.7568999999999999</v>
      </c>
      <c r="AE22" s="431">
        <v>5.9753999999999996</v>
      </c>
      <c r="AF22" s="431">
        <v>6.0029000000000003</v>
      </c>
      <c r="AG22" s="431">
        <v>6.218</v>
      </c>
      <c r="AH22" s="431">
        <v>6.2621000000000002</v>
      </c>
      <c r="AI22" s="431">
        <v>6.4398</v>
      </c>
      <c r="AJ22" s="431">
        <v>6.4981999999999998</v>
      </c>
      <c r="AK22" s="431">
        <v>6.6706000000000003</v>
      </c>
      <c r="AL22" s="431"/>
    </row>
    <row r="23" spans="1:38" ht="14.25" customHeight="1">
      <c r="A23" s="619">
        <v>2</v>
      </c>
      <c r="B23" s="426"/>
      <c r="C23" s="425"/>
      <c r="D23" s="430" t="s">
        <v>421</v>
      </c>
      <c r="E23" s="431" t="s">
        <v>186</v>
      </c>
      <c r="F23" s="431" t="s">
        <v>186</v>
      </c>
      <c r="G23" s="431" t="s">
        <v>186</v>
      </c>
      <c r="H23" s="431" t="s">
        <v>186</v>
      </c>
      <c r="I23" s="431" t="s">
        <v>186</v>
      </c>
      <c r="J23" s="431" t="s">
        <v>186</v>
      </c>
      <c r="K23" s="431" t="s">
        <v>186</v>
      </c>
      <c r="L23" s="431" t="s">
        <v>186</v>
      </c>
      <c r="M23" s="431" t="s">
        <v>186</v>
      </c>
      <c r="N23" s="431" t="s">
        <v>186</v>
      </c>
      <c r="O23" s="431" t="s">
        <v>186</v>
      </c>
      <c r="P23" s="431" t="s">
        <v>186</v>
      </c>
      <c r="Q23" s="431" t="s">
        <v>186</v>
      </c>
      <c r="R23" s="431" t="s">
        <v>186</v>
      </c>
      <c r="S23" s="431" t="s">
        <v>186</v>
      </c>
      <c r="T23" s="431" t="s">
        <v>186</v>
      </c>
      <c r="U23" s="431" t="s">
        <v>186</v>
      </c>
      <c r="V23" s="431" t="s">
        <v>186</v>
      </c>
      <c r="W23" s="431" t="s">
        <v>186</v>
      </c>
      <c r="X23" s="431" t="s">
        <v>186</v>
      </c>
      <c r="Y23" s="431" t="s">
        <v>186</v>
      </c>
      <c r="Z23" s="431" t="s">
        <v>186</v>
      </c>
      <c r="AA23" s="431" t="s">
        <v>186</v>
      </c>
      <c r="AB23" s="431" t="s">
        <v>186</v>
      </c>
      <c r="AC23" s="431" t="s">
        <v>186</v>
      </c>
      <c r="AD23" s="431" t="s">
        <v>186</v>
      </c>
      <c r="AE23" s="431" t="s">
        <v>186</v>
      </c>
      <c r="AF23" s="431" t="s">
        <v>186</v>
      </c>
      <c r="AG23" s="431" t="s">
        <v>186</v>
      </c>
      <c r="AH23" s="431" t="s">
        <v>186</v>
      </c>
      <c r="AI23" s="431" t="s">
        <v>186</v>
      </c>
      <c r="AJ23" s="431" t="s">
        <v>186</v>
      </c>
      <c r="AK23" s="431" t="s">
        <v>186</v>
      </c>
      <c r="AL23" s="431"/>
    </row>
    <row r="24" spans="1:38" ht="14.25" customHeight="1">
      <c r="A24" s="619"/>
      <c r="B24" s="426"/>
      <c r="C24" s="425"/>
      <c r="D24" s="430" t="s">
        <v>422</v>
      </c>
      <c r="E24" s="431"/>
      <c r="F24" s="431"/>
      <c r="G24" s="431"/>
      <c r="H24" s="431"/>
      <c r="I24" s="431"/>
      <c r="J24" s="431"/>
      <c r="K24" s="431"/>
      <c r="L24" s="431"/>
      <c r="M24" s="431"/>
      <c r="N24" s="431"/>
      <c r="O24" s="431"/>
      <c r="P24" s="431"/>
      <c r="Q24" s="431"/>
      <c r="R24" s="431"/>
      <c r="S24" s="431"/>
      <c r="T24" s="431"/>
      <c r="U24" s="431"/>
      <c r="V24" s="431"/>
      <c r="W24" s="431"/>
      <c r="X24" s="431"/>
      <c r="Y24" s="431"/>
      <c r="Z24" s="431"/>
      <c r="AA24" s="431"/>
      <c r="AB24" s="431"/>
      <c r="AC24" s="431"/>
      <c r="AD24" s="431"/>
      <c r="AE24" s="431"/>
      <c r="AF24" s="431"/>
      <c r="AG24" s="431"/>
      <c r="AH24" s="431"/>
      <c r="AI24" s="431"/>
      <c r="AJ24" s="431"/>
      <c r="AK24" s="431"/>
      <c r="AL24" s="431"/>
    </row>
    <row r="25" spans="1:38" ht="14.25" customHeight="1">
      <c r="A25" s="619">
        <v>2</v>
      </c>
      <c r="B25" s="426"/>
      <c r="C25" s="425"/>
      <c r="D25" s="430" t="s">
        <v>359</v>
      </c>
      <c r="E25" s="431">
        <f>'Copia de Demandas de energía '!D25*$E$89</f>
        <v>119.77472119444064</v>
      </c>
      <c r="F25" s="431">
        <f>'Copia de Demandas de energía '!E25*$E$89</f>
        <v>121.70946544856682</v>
      </c>
      <c r="G25" s="431">
        <f>'Copia de Demandas de energía '!F25*$E$89</f>
        <v>103.25100653667698</v>
      </c>
      <c r="H25" s="431">
        <f>'Copia de Demandas de energía '!G25*$E$89</f>
        <v>116.77853861602196</v>
      </c>
      <c r="I25" s="433">
        <v>114.74</v>
      </c>
      <c r="J25" s="433">
        <v>123.51</v>
      </c>
      <c r="K25" s="433">
        <v>122.11</v>
      </c>
      <c r="L25" s="433">
        <v>130.5</v>
      </c>
      <c r="M25" s="433">
        <v>128.83000000000001</v>
      </c>
      <c r="N25" s="433">
        <v>137.71</v>
      </c>
      <c r="O25" s="433">
        <v>137.22999999999999</v>
      </c>
      <c r="P25" s="433">
        <v>144.66999999999999</v>
      </c>
      <c r="Q25" s="433">
        <v>144.02000000000001</v>
      </c>
      <c r="R25" s="433">
        <v>152.57</v>
      </c>
      <c r="S25" s="433">
        <v>152.63</v>
      </c>
      <c r="T25" s="433">
        <v>160.56</v>
      </c>
      <c r="U25" s="433">
        <v>161.1</v>
      </c>
      <c r="V25" s="433">
        <v>167.96</v>
      </c>
      <c r="W25" s="433">
        <v>169.43</v>
      </c>
      <c r="X25" s="433">
        <v>175.92</v>
      </c>
      <c r="Y25" s="433">
        <v>177.61</v>
      </c>
      <c r="Z25" s="433">
        <v>184.38</v>
      </c>
      <c r="AA25" s="433">
        <v>186.48</v>
      </c>
      <c r="AB25" s="433">
        <v>192.7</v>
      </c>
      <c r="AC25" s="433">
        <v>195.2</v>
      </c>
      <c r="AD25" s="433">
        <v>200.29</v>
      </c>
      <c r="AE25" s="433">
        <v>203.16</v>
      </c>
      <c r="AF25" s="433">
        <v>208.36</v>
      </c>
      <c r="AG25" s="433">
        <v>211.83</v>
      </c>
      <c r="AH25" s="433">
        <v>216.95</v>
      </c>
      <c r="AI25" s="433">
        <v>219.74</v>
      </c>
      <c r="AJ25" s="433">
        <v>224.78</v>
      </c>
      <c r="AK25" s="433">
        <v>227.91</v>
      </c>
      <c r="AL25" s="431"/>
    </row>
    <row r="26" spans="1:38" ht="14.25" customHeight="1">
      <c r="A26" s="619">
        <v>2</v>
      </c>
      <c r="B26" s="426"/>
      <c r="C26" s="425"/>
      <c r="D26" s="430" t="s">
        <v>360</v>
      </c>
      <c r="E26" s="431">
        <f>'Copia de Demandas de energía '!D26*$E$89</f>
        <v>8.5942826246463007</v>
      </c>
      <c r="F26" s="431">
        <f>'Copia de Demandas de energía '!E26*$E$89</f>
        <v>8.7330592983366238</v>
      </c>
      <c r="G26" s="431">
        <f>'Copia de Demandas de energía '!F26*$E$89</f>
        <v>7.4085840151248004</v>
      </c>
      <c r="H26" s="431">
        <f>'Copia de Demandas de energía '!G26*$E$89</f>
        <v>8.3794400754186054</v>
      </c>
      <c r="I26" s="433">
        <v>8.49</v>
      </c>
      <c r="J26" s="433">
        <v>8.6</v>
      </c>
      <c r="K26" s="433">
        <v>8.7100000000000009</v>
      </c>
      <c r="L26" s="433">
        <v>8.82</v>
      </c>
      <c r="M26" s="433">
        <v>8.93</v>
      </c>
      <c r="N26" s="433">
        <v>9.0399999999999991</v>
      </c>
      <c r="O26" s="433">
        <v>9.15</v>
      </c>
      <c r="P26" s="433">
        <v>9.25</v>
      </c>
      <c r="Q26" s="433">
        <v>9.35</v>
      </c>
      <c r="R26" s="433">
        <v>9.4600000000000009</v>
      </c>
      <c r="S26" s="433">
        <v>9.56</v>
      </c>
      <c r="T26" s="433">
        <v>9.65</v>
      </c>
      <c r="U26" s="433">
        <v>9.75</v>
      </c>
      <c r="V26" s="433">
        <v>9.85</v>
      </c>
      <c r="W26" s="433">
        <v>9.94</v>
      </c>
      <c r="X26" s="433">
        <v>10.029999999999999</v>
      </c>
      <c r="Y26" s="433">
        <v>10.119999999999999</v>
      </c>
      <c r="Z26" s="433">
        <v>10.210000000000001</v>
      </c>
      <c r="AA26" s="433">
        <v>10.29</v>
      </c>
      <c r="AB26" s="433">
        <v>10.38</v>
      </c>
      <c r="AC26" s="433">
        <v>10.46</v>
      </c>
      <c r="AD26" s="433">
        <v>10.54</v>
      </c>
      <c r="AE26" s="433">
        <v>10.62</v>
      </c>
      <c r="AF26" s="433">
        <v>10.69</v>
      </c>
      <c r="AG26" s="433">
        <v>10.76</v>
      </c>
      <c r="AH26" s="433">
        <v>10.84</v>
      </c>
      <c r="AI26" s="433">
        <v>10.9</v>
      </c>
      <c r="AJ26" s="433">
        <v>10.97</v>
      </c>
      <c r="AK26" s="433">
        <v>11.04</v>
      </c>
      <c r="AL26" s="431"/>
    </row>
    <row r="27" spans="1:38" ht="14.25" customHeight="1">
      <c r="A27" s="619"/>
      <c r="B27" s="426"/>
      <c r="C27" s="62" t="s">
        <v>429</v>
      </c>
      <c r="D27" s="432" t="s">
        <v>362</v>
      </c>
      <c r="E27" s="431">
        <f>'Copia de Demandas de energía '!D27*$E$89</f>
        <v>11.479559995220416</v>
      </c>
      <c r="F27" s="431">
        <f>'Copia de Demandas de energía '!E27*$E$89</f>
        <v>11.546335382142539</v>
      </c>
      <c r="G27" s="431">
        <f>'Copia de Demandas de energía '!F27*$E$89</f>
        <v>9.8560471097051785</v>
      </c>
      <c r="H27" s="431">
        <f>'Copia de Demandas de energía '!G27*$E$89</f>
        <v>11.926664759829405</v>
      </c>
      <c r="I27" s="431">
        <v>12.249000000000001</v>
      </c>
      <c r="J27" s="431">
        <v>12.628</v>
      </c>
      <c r="K27" s="431">
        <v>13.007</v>
      </c>
      <c r="L27" s="431">
        <v>13.358000000000001</v>
      </c>
      <c r="M27" s="431">
        <v>13.666</v>
      </c>
      <c r="N27" s="431">
        <v>14.101000000000001</v>
      </c>
      <c r="O27" s="431">
        <v>14.502000000000001</v>
      </c>
      <c r="P27" s="431">
        <v>14.821</v>
      </c>
      <c r="Q27" s="431">
        <v>15.173999999999999</v>
      </c>
      <c r="R27" s="431">
        <v>15.654</v>
      </c>
      <c r="S27" s="431">
        <v>16.041</v>
      </c>
      <c r="T27" s="431">
        <v>16.504000000000001</v>
      </c>
      <c r="U27" s="431">
        <v>16.895</v>
      </c>
      <c r="V27" s="431">
        <v>17.294</v>
      </c>
      <c r="W27" s="431">
        <v>17.736000000000001</v>
      </c>
      <c r="X27" s="431">
        <v>18.138999999999999</v>
      </c>
      <c r="Y27" s="431">
        <v>18.564</v>
      </c>
      <c r="Z27" s="431">
        <v>19.032</v>
      </c>
      <c r="AA27" s="431">
        <v>19.463999999999999</v>
      </c>
      <c r="AB27" s="431">
        <v>19.908000000000001</v>
      </c>
      <c r="AC27" s="431">
        <v>20.352</v>
      </c>
      <c r="AD27" s="431">
        <v>20.707999999999998</v>
      </c>
      <c r="AE27" s="431">
        <v>21.161999999999999</v>
      </c>
      <c r="AF27" s="431">
        <v>21.555</v>
      </c>
      <c r="AG27" s="431">
        <v>22.047999999999998</v>
      </c>
      <c r="AH27" s="431">
        <v>22.454000000000001</v>
      </c>
      <c r="AI27" s="431">
        <v>22.856000000000002</v>
      </c>
      <c r="AJ27" s="431">
        <v>23.274000000000001</v>
      </c>
      <c r="AK27" s="431">
        <v>23.693999999999999</v>
      </c>
      <c r="AL27" s="431"/>
    </row>
    <row r="28" spans="1:38" ht="14.25" customHeight="1">
      <c r="A28" s="619"/>
      <c r="B28" s="426"/>
      <c r="C28" s="425"/>
      <c r="D28" s="430" t="s">
        <v>363</v>
      </c>
      <c r="E28" s="431" t="s">
        <v>186</v>
      </c>
      <c r="F28" s="431" t="s">
        <v>186</v>
      </c>
      <c r="G28" s="431" t="s">
        <v>186</v>
      </c>
      <c r="H28" s="431" t="s">
        <v>186</v>
      </c>
      <c r="I28" s="431" t="s">
        <v>186</v>
      </c>
      <c r="J28" s="431" t="s">
        <v>186</v>
      </c>
      <c r="K28" s="431" t="s">
        <v>186</v>
      </c>
      <c r="L28" s="431" t="s">
        <v>186</v>
      </c>
      <c r="M28" s="431" t="s">
        <v>186</v>
      </c>
      <c r="N28" s="431" t="s">
        <v>186</v>
      </c>
      <c r="O28" s="431" t="s">
        <v>186</v>
      </c>
      <c r="P28" s="431" t="s">
        <v>186</v>
      </c>
      <c r="Q28" s="431" t="s">
        <v>186</v>
      </c>
      <c r="R28" s="431" t="s">
        <v>186</v>
      </c>
      <c r="S28" s="431" t="s">
        <v>186</v>
      </c>
      <c r="T28" s="431" t="s">
        <v>186</v>
      </c>
      <c r="U28" s="431" t="s">
        <v>186</v>
      </c>
      <c r="V28" s="431" t="s">
        <v>186</v>
      </c>
      <c r="W28" s="431" t="s">
        <v>186</v>
      </c>
      <c r="X28" s="431" t="s">
        <v>186</v>
      </c>
      <c r="Y28" s="431" t="s">
        <v>186</v>
      </c>
      <c r="Z28" s="431" t="s">
        <v>186</v>
      </c>
      <c r="AA28" s="431" t="s">
        <v>186</v>
      </c>
      <c r="AB28" s="431" t="s">
        <v>186</v>
      </c>
      <c r="AC28" s="431" t="s">
        <v>186</v>
      </c>
      <c r="AD28" s="431" t="s">
        <v>186</v>
      </c>
      <c r="AE28" s="431" t="s">
        <v>186</v>
      </c>
      <c r="AF28" s="431" t="s">
        <v>186</v>
      </c>
      <c r="AG28" s="431" t="s">
        <v>186</v>
      </c>
      <c r="AH28" s="431" t="s">
        <v>186</v>
      </c>
      <c r="AI28" s="431" t="s">
        <v>186</v>
      </c>
      <c r="AJ28" s="431" t="s">
        <v>186</v>
      </c>
      <c r="AK28" s="431" t="s">
        <v>186</v>
      </c>
      <c r="AL28" s="431"/>
    </row>
    <row r="29" spans="1:38" ht="14.25" customHeight="1">
      <c r="A29" s="619"/>
      <c r="B29" s="426"/>
      <c r="C29" s="425"/>
      <c r="D29" s="429" t="s">
        <v>13</v>
      </c>
      <c r="E29" s="431">
        <f t="shared" ref="E29:AK29" si="1">SUM(E19:E28)</f>
        <v>173.71914137230942</v>
      </c>
      <c r="F29" s="431">
        <f t="shared" si="1"/>
        <v>171.64109421715102</v>
      </c>
      <c r="G29" s="431">
        <f t="shared" si="1"/>
        <v>147.2807983011329</v>
      </c>
      <c r="H29" s="431">
        <f t="shared" si="1"/>
        <v>165.14101830419995</v>
      </c>
      <c r="I29" s="431">
        <f t="shared" si="1"/>
        <v>164.61799999999999</v>
      </c>
      <c r="J29" s="431">
        <f t="shared" si="1"/>
        <v>174.44060000000002</v>
      </c>
      <c r="K29" s="431">
        <f t="shared" si="1"/>
        <v>174.7878</v>
      </c>
      <c r="L29" s="431">
        <f t="shared" si="1"/>
        <v>184.07239999999999</v>
      </c>
      <c r="M29" s="431">
        <f t="shared" si="1"/>
        <v>183.92890000000003</v>
      </c>
      <c r="N29" s="431">
        <f t="shared" si="1"/>
        <v>193.96689999999998</v>
      </c>
      <c r="O29" s="431">
        <f t="shared" si="1"/>
        <v>195.32650000000001</v>
      </c>
      <c r="P29" s="431">
        <f t="shared" si="1"/>
        <v>203.49419999999998</v>
      </c>
      <c r="Q29" s="431">
        <f t="shared" si="1"/>
        <v>204.49510000000001</v>
      </c>
      <c r="R29" s="431">
        <f t="shared" si="1"/>
        <v>214.35220000000001</v>
      </c>
      <c r="S29" s="431">
        <f t="shared" si="1"/>
        <v>216.13900000000001</v>
      </c>
      <c r="T29" s="431">
        <f t="shared" si="1"/>
        <v>225.33619999999999</v>
      </c>
      <c r="U29" s="431">
        <f t="shared" si="1"/>
        <v>227.57240000000002</v>
      </c>
      <c r="V29" s="431">
        <f t="shared" si="1"/>
        <v>235.53310000000002</v>
      </c>
      <c r="W29" s="431">
        <f t="shared" si="1"/>
        <v>238.81479999999999</v>
      </c>
      <c r="X29" s="431">
        <f t="shared" si="1"/>
        <v>246.43969999999999</v>
      </c>
      <c r="Y29" s="431">
        <f t="shared" si="1"/>
        <v>249.84139999999999</v>
      </c>
      <c r="Z29" s="431">
        <f t="shared" si="1"/>
        <v>257.99310000000003</v>
      </c>
      <c r="AA29" s="431">
        <f t="shared" si="1"/>
        <v>261.77760000000001</v>
      </c>
      <c r="AB29" s="431">
        <f t="shared" si="1"/>
        <v>269.32419999999996</v>
      </c>
      <c r="AC29" s="431">
        <f t="shared" si="1"/>
        <v>273.51089999999999</v>
      </c>
      <c r="AD29" s="431">
        <f t="shared" si="1"/>
        <v>279.64470000000006</v>
      </c>
      <c r="AE29" s="431">
        <f t="shared" si="1"/>
        <v>284.20109999999994</v>
      </c>
      <c r="AF29" s="431">
        <f t="shared" si="1"/>
        <v>290.57830000000001</v>
      </c>
      <c r="AG29" s="431">
        <f t="shared" si="1"/>
        <v>295.82350000000002</v>
      </c>
      <c r="AH29" s="431">
        <f t="shared" si="1"/>
        <v>302.1884</v>
      </c>
      <c r="AI29" s="431">
        <f t="shared" si="1"/>
        <v>306.41769999999997</v>
      </c>
      <c r="AJ29" s="431">
        <f t="shared" si="1"/>
        <v>312.74340000000001</v>
      </c>
      <c r="AK29" s="431">
        <f t="shared" si="1"/>
        <v>317.35940000000005</v>
      </c>
      <c r="AL29" s="431"/>
    </row>
    <row r="30" spans="1:38" ht="14.25" customHeight="1">
      <c r="A30" s="619"/>
      <c r="B30" s="426"/>
      <c r="C30" s="425"/>
      <c r="D30" s="434"/>
      <c r="E30" s="425"/>
      <c r="F30" s="425"/>
      <c r="G30" s="425"/>
      <c r="H30" s="425"/>
      <c r="I30" s="425"/>
      <c r="J30" s="425"/>
      <c r="K30" s="425"/>
      <c r="L30" s="425"/>
      <c r="M30" s="425"/>
      <c r="N30" s="425"/>
      <c r="O30" s="425"/>
      <c r="P30" s="425"/>
      <c r="Q30" s="425"/>
      <c r="R30" s="425"/>
      <c r="S30" s="425"/>
      <c r="T30" s="425"/>
      <c r="U30" s="425"/>
      <c r="V30" s="425"/>
      <c r="W30" s="425"/>
      <c r="X30" s="425"/>
      <c r="Y30" s="425"/>
      <c r="Z30" s="425"/>
      <c r="AA30" s="425"/>
      <c r="AB30" s="425"/>
      <c r="AC30" s="425"/>
      <c r="AD30" s="425"/>
      <c r="AE30" s="425"/>
      <c r="AF30" s="425"/>
      <c r="AG30" s="425"/>
      <c r="AH30" s="425"/>
      <c r="AI30" s="425"/>
      <c r="AJ30" s="425"/>
      <c r="AK30" s="425"/>
      <c r="AL30" s="425"/>
    </row>
    <row r="31" spans="1:38" ht="14.25" customHeight="1">
      <c r="A31" s="619"/>
      <c r="B31" s="426"/>
      <c r="C31" s="425"/>
      <c r="D31" s="429" t="s">
        <v>430</v>
      </c>
      <c r="E31" s="428"/>
      <c r="F31" s="428"/>
      <c r="G31" s="428"/>
      <c r="H31" s="428"/>
      <c r="I31" s="428"/>
      <c r="J31" s="428"/>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row>
    <row r="32" spans="1:38" ht="14.25" customHeight="1">
      <c r="A32" s="619">
        <v>2</v>
      </c>
      <c r="B32" s="426"/>
      <c r="C32" s="62" t="s">
        <v>431</v>
      </c>
      <c r="D32" s="430" t="s">
        <v>413</v>
      </c>
      <c r="E32" s="431">
        <f>'Copia de Demandas de energía '!D32*$E$89</f>
        <v>37.18817750384455</v>
      </c>
      <c r="F32" s="431">
        <f>'Copia de Demandas de energía '!E32*$E$89</f>
        <v>38.367604452895222</v>
      </c>
      <c r="G32" s="431">
        <f>'Copia de Demandas de energía '!F32*$E$89</f>
        <v>39.136214531015874</v>
      </c>
      <c r="H32" s="431">
        <f>'Copia de Demandas de energía '!G32*$E$89</f>
        <v>39.917656399749696</v>
      </c>
      <c r="I32" s="431">
        <v>40.454000000000001</v>
      </c>
      <c r="J32" s="431">
        <v>40.985999999999997</v>
      </c>
      <c r="K32" s="431">
        <v>41.512999999999998</v>
      </c>
      <c r="L32" s="431">
        <v>42.036000000000001</v>
      </c>
      <c r="M32" s="431">
        <v>42.552</v>
      </c>
      <c r="N32" s="431">
        <v>43.063000000000002</v>
      </c>
      <c r="O32" s="431">
        <v>43.567999999999998</v>
      </c>
      <c r="P32" s="431">
        <v>44.066000000000003</v>
      </c>
      <c r="Q32" s="431">
        <v>44.558</v>
      </c>
      <c r="R32" s="431">
        <v>45.042999999999999</v>
      </c>
      <c r="S32" s="431">
        <v>45.52</v>
      </c>
      <c r="T32" s="431">
        <v>45.988999999999997</v>
      </c>
      <c r="U32" s="431">
        <v>46.451000000000001</v>
      </c>
      <c r="V32" s="431">
        <v>46.904000000000003</v>
      </c>
      <c r="W32" s="431">
        <v>47.348999999999997</v>
      </c>
      <c r="X32" s="431">
        <v>47.784999999999997</v>
      </c>
      <c r="Y32" s="431">
        <v>48.212000000000003</v>
      </c>
      <c r="Z32" s="431">
        <v>48.628999999999998</v>
      </c>
      <c r="AA32" s="431">
        <v>49.036999999999999</v>
      </c>
      <c r="AB32" s="431">
        <v>49.436</v>
      </c>
      <c r="AC32" s="431">
        <v>49.825000000000003</v>
      </c>
      <c r="AD32" s="431">
        <v>50.203000000000003</v>
      </c>
      <c r="AE32" s="431">
        <v>50.572000000000003</v>
      </c>
      <c r="AF32" s="431">
        <v>50.930999999999997</v>
      </c>
      <c r="AG32" s="431">
        <v>51.279000000000003</v>
      </c>
      <c r="AH32" s="431">
        <v>51.618000000000002</v>
      </c>
      <c r="AI32" s="431">
        <v>51.945</v>
      </c>
      <c r="AJ32" s="431">
        <v>52.262</v>
      </c>
      <c r="AK32" s="431">
        <v>52.569000000000003</v>
      </c>
      <c r="AL32" s="431"/>
    </row>
    <row r="33" spans="1:38" ht="14.25" customHeight="1">
      <c r="A33" s="619"/>
      <c r="B33" s="426"/>
      <c r="C33" s="62" t="s">
        <v>432</v>
      </c>
      <c r="D33" s="432" t="s">
        <v>415</v>
      </c>
      <c r="E33" s="431">
        <f>'Copia de Demandas de energía '!D33*$E$89</f>
        <v>2.3911177966398309</v>
      </c>
      <c r="F33" s="431">
        <f>'Copia de Demandas de energía '!E33*$E$89</f>
        <v>2.3977571514238343</v>
      </c>
      <c r="G33" s="431">
        <f>'Copia de Demandas de energía '!F33*$E$89</f>
        <v>2.2406900605344502</v>
      </c>
      <c r="H33" s="431">
        <f>'Copia de Demandas de energía '!G33*$E$89</f>
        <v>2.3810967562588741</v>
      </c>
      <c r="I33" s="431">
        <v>2.3967000000000001</v>
      </c>
      <c r="J33" s="431">
        <v>2.5072000000000001</v>
      </c>
      <c r="K33" s="431">
        <v>2.5274999999999999</v>
      </c>
      <c r="L33" s="431">
        <v>2.6356999999999999</v>
      </c>
      <c r="M33" s="431">
        <v>2.6415000000000002</v>
      </c>
      <c r="N33" s="431">
        <v>2.7650999999999999</v>
      </c>
      <c r="O33" s="431">
        <v>2.7921999999999998</v>
      </c>
      <c r="P33" s="431">
        <v>2.8921999999999999</v>
      </c>
      <c r="Q33" s="431">
        <v>2.9131999999999998</v>
      </c>
      <c r="R33" s="431">
        <v>3.0419999999999998</v>
      </c>
      <c r="S33" s="431">
        <v>3.0735999999999999</v>
      </c>
      <c r="T33" s="431">
        <v>3.1947000000000001</v>
      </c>
      <c r="U33" s="431">
        <v>3.2307999999999999</v>
      </c>
      <c r="V33" s="431">
        <v>3.3342999999999998</v>
      </c>
      <c r="W33" s="431">
        <v>3.3832</v>
      </c>
      <c r="X33" s="431">
        <v>3.4817</v>
      </c>
      <c r="Y33" s="431">
        <v>3.5295999999999998</v>
      </c>
      <c r="Z33" s="431">
        <v>3.6351</v>
      </c>
      <c r="AA33" s="431">
        <v>3.6857000000000002</v>
      </c>
      <c r="AB33" s="431">
        <v>3.7814000000000001</v>
      </c>
      <c r="AC33" s="431">
        <v>3.8351000000000002</v>
      </c>
      <c r="AD33" s="431">
        <v>3.9089999999999998</v>
      </c>
      <c r="AE33" s="431">
        <v>3.9653</v>
      </c>
      <c r="AF33" s="431">
        <v>4.0415999999999999</v>
      </c>
      <c r="AG33" s="431">
        <v>4.1056999999999997</v>
      </c>
      <c r="AH33" s="431">
        <v>4.1803999999999997</v>
      </c>
      <c r="AI33" s="431">
        <v>4.2279999999999998</v>
      </c>
      <c r="AJ33" s="431">
        <v>4.3013000000000003</v>
      </c>
      <c r="AK33" s="431">
        <v>4.3525999999999998</v>
      </c>
      <c r="AL33" s="431"/>
    </row>
    <row r="34" spans="1:38" ht="14.25" customHeight="1">
      <c r="A34" s="619">
        <v>2</v>
      </c>
      <c r="B34" s="426"/>
      <c r="C34" s="62" t="s">
        <v>433</v>
      </c>
      <c r="D34" s="430" t="s">
        <v>417</v>
      </c>
      <c r="E34" s="431">
        <f>'Copia de Demandas de energía '!D34*$E$89</f>
        <v>3.9680445141083061</v>
      </c>
      <c r="F34" s="431">
        <f>'Copia de Demandas de energía '!E34*$E$89</f>
        <v>4.1453383632536083</v>
      </c>
      <c r="G34" s="431">
        <f>'Copia de Demandas de energía '!F34*$E$89</f>
        <v>3.6902606348657843</v>
      </c>
      <c r="H34" s="431">
        <f>'Copia de Demandas de energía '!G34*$E$89</f>
        <v>4.1259797721260085</v>
      </c>
      <c r="I34" s="431">
        <v>4.2819000000000003</v>
      </c>
      <c r="J34" s="431">
        <v>4.3745000000000003</v>
      </c>
      <c r="K34" s="431">
        <v>4.5484</v>
      </c>
      <c r="L34" s="431">
        <v>4.6254</v>
      </c>
      <c r="M34" s="431">
        <v>4.7721</v>
      </c>
      <c r="N34" s="431">
        <v>4.8769</v>
      </c>
      <c r="O34" s="431">
        <v>5.0540000000000003</v>
      </c>
      <c r="P34" s="431">
        <v>5.1135999999999999</v>
      </c>
      <c r="Q34" s="431">
        <v>5.2725999999999997</v>
      </c>
      <c r="R34" s="431">
        <v>5.3921000000000001</v>
      </c>
      <c r="S34" s="431">
        <v>5.5598999999999998</v>
      </c>
      <c r="T34" s="431">
        <v>5.6769999999999996</v>
      </c>
      <c r="U34" s="431">
        <v>5.8423999999999996</v>
      </c>
      <c r="V34" s="431">
        <v>5.9408000000000003</v>
      </c>
      <c r="W34" s="431">
        <v>6.1195000000000004</v>
      </c>
      <c r="X34" s="431">
        <v>6.2220000000000004</v>
      </c>
      <c r="Y34" s="431">
        <v>6.3906999999999998</v>
      </c>
      <c r="Z34" s="431">
        <v>6.5185000000000004</v>
      </c>
      <c r="AA34" s="431">
        <v>6.6856</v>
      </c>
      <c r="AB34" s="431">
        <v>6.8079000000000001</v>
      </c>
      <c r="AC34" s="431">
        <v>6.9748999999999999</v>
      </c>
      <c r="AD34" s="431">
        <v>7.0696000000000003</v>
      </c>
      <c r="AE34" s="431">
        <v>7.2365000000000004</v>
      </c>
      <c r="AF34" s="431">
        <v>7.3461999999999996</v>
      </c>
      <c r="AG34" s="431">
        <v>7.5232000000000001</v>
      </c>
      <c r="AH34" s="431">
        <v>7.6393000000000004</v>
      </c>
      <c r="AI34" s="431">
        <v>7.7824999999999998</v>
      </c>
      <c r="AJ34" s="431">
        <v>7.9039000000000001</v>
      </c>
      <c r="AK34" s="431">
        <v>8.0505999999999993</v>
      </c>
      <c r="AL34" s="431"/>
    </row>
    <row r="35" spans="1:38" ht="14.25" customHeight="1">
      <c r="A35" s="619"/>
      <c r="B35" s="426"/>
      <c r="C35" s="62" t="s">
        <v>434</v>
      </c>
      <c r="D35" s="430" t="s">
        <v>419</v>
      </c>
      <c r="E35" s="431">
        <f>'Copia de Demandas de energía '!D35*$E$89</f>
        <v>5.7711699514977761</v>
      </c>
      <c r="F35" s="431">
        <f>'Copia de Demandas de energía '!E35*$E$89</f>
        <v>7.8918634455827643</v>
      </c>
      <c r="G35" s="431">
        <f>'Copia de Demandas de energía '!F35*$E$89</f>
        <v>8.4675547275755445</v>
      </c>
      <c r="H35" s="431">
        <f>'Copia de Demandas de energía '!G35*$E$89</f>
        <v>8.6230478354968447</v>
      </c>
      <c r="I35" s="431">
        <v>9.3834999999999997</v>
      </c>
      <c r="J35" s="431">
        <v>9.1100999999999992</v>
      </c>
      <c r="K35" s="431">
        <v>10.085000000000001</v>
      </c>
      <c r="L35" s="431">
        <v>9.6781000000000006</v>
      </c>
      <c r="M35" s="431">
        <v>10.686</v>
      </c>
      <c r="N35" s="431">
        <v>10.311999999999999</v>
      </c>
      <c r="O35" s="431">
        <v>11.401</v>
      </c>
      <c r="P35" s="431">
        <v>10.932</v>
      </c>
      <c r="Q35" s="431">
        <v>11.94</v>
      </c>
      <c r="R35" s="431">
        <v>11.625</v>
      </c>
      <c r="S35" s="431">
        <v>12.574999999999999</v>
      </c>
      <c r="T35" s="431">
        <v>12.326000000000001</v>
      </c>
      <c r="U35" s="431">
        <v>13.191000000000001</v>
      </c>
      <c r="V35" s="431">
        <v>12.978</v>
      </c>
      <c r="W35" s="431">
        <v>13.798999999999999</v>
      </c>
      <c r="X35" s="431">
        <v>13.666</v>
      </c>
      <c r="Y35" s="431">
        <v>14.401999999999999</v>
      </c>
      <c r="Z35" s="431">
        <v>14.385999999999999</v>
      </c>
      <c r="AA35" s="431">
        <v>15.067</v>
      </c>
      <c r="AB35" s="431">
        <v>15.09</v>
      </c>
      <c r="AC35" s="431">
        <v>15.725</v>
      </c>
      <c r="AD35" s="431">
        <v>15.73</v>
      </c>
      <c r="AE35" s="431">
        <v>16.326000000000001</v>
      </c>
      <c r="AF35" s="431">
        <v>16.402000000000001</v>
      </c>
      <c r="AG35" s="431">
        <v>16.989000000000001</v>
      </c>
      <c r="AH35" s="431">
        <v>17.11</v>
      </c>
      <c r="AI35" s="431">
        <v>17.594999999999999</v>
      </c>
      <c r="AJ35" s="431">
        <v>17.754999999999999</v>
      </c>
      <c r="AK35" s="431">
        <v>18.225999999999999</v>
      </c>
      <c r="AL35" s="431"/>
    </row>
    <row r="36" spans="1:38" ht="14.25" customHeight="1">
      <c r="A36" s="619">
        <v>2</v>
      </c>
      <c r="B36" s="426"/>
      <c r="C36" s="62" t="s">
        <v>435</v>
      </c>
      <c r="D36" s="430" t="s">
        <v>421</v>
      </c>
      <c r="E36" s="431">
        <f>'Copia de Demandas de energía '!D36*$E$89</f>
        <v>1.0525426407975187</v>
      </c>
      <c r="F36" s="431">
        <f>'Copia de Demandas de energía '!E36*$E$89</f>
        <v>1.138470114511545</v>
      </c>
      <c r="G36" s="431">
        <f>'Copia de Demandas de energía '!F36*$E$89</f>
        <v>0.93313629908978357</v>
      </c>
      <c r="H36" s="431">
        <f>'Copia de Demandas de energía '!G36*$E$89</f>
        <v>1.0966180601025668</v>
      </c>
      <c r="I36" s="431">
        <v>1.1344000000000001</v>
      </c>
      <c r="J36" s="431">
        <v>1.1677999999999999</v>
      </c>
      <c r="K36" s="431">
        <v>1.2040999999999999</v>
      </c>
      <c r="L36" s="431">
        <v>1.2325999999999999</v>
      </c>
      <c r="M36" s="431">
        <v>1.2565999999999999</v>
      </c>
      <c r="N36" s="431">
        <v>1.2885</v>
      </c>
      <c r="O36" s="431">
        <v>1.3163</v>
      </c>
      <c r="P36" s="431">
        <v>1.3327</v>
      </c>
      <c r="Q36" s="431">
        <v>1.3521000000000001</v>
      </c>
      <c r="R36" s="431">
        <v>1.3804000000000001</v>
      </c>
      <c r="S36" s="431">
        <v>1.399</v>
      </c>
      <c r="T36" s="431">
        <v>1.423</v>
      </c>
      <c r="U36" s="431">
        <v>1.4400999999999999</v>
      </c>
      <c r="V36" s="431">
        <v>1.458</v>
      </c>
      <c r="W36" s="431">
        <v>1.4796</v>
      </c>
      <c r="X36" s="431">
        <v>1.4992000000000001</v>
      </c>
      <c r="Y36" s="431">
        <v>1.5217000000000001</v>
      </c>
      <c r="Z36" s="431">
        <v>1.5497000000000001</v>
      </c>
      <c r="AA36" s="431">
        <v>1.5763</v>
      </c>
      <c r="AB36" s="431">
        <v>1.6064000000000001</v>
      </c>
      <c r="AC36" s="431">
        <v>1.6383000000000001</v>
      </c>
      <c r="AD36" s="431">
        <v>1.6656</v>
      </c>
      <c r="AE36" s="431">
        <v>1.7024999999999999</v>
      </c>
      <c r="AF36" s="431">
        <v>1.7367999999999999</v>
      </c>
      <c r="AG36" s="431">
        <v>1.7804</v>
      </c>
      <c r="AH36" s="431">
        <v>1.8188</v>
      </c>
      <c r="AI36" s="431">
        <v>1.8575999999999999</v>
      </c>
      <c r="AJ36" s="431">
        <v>1.8987000000000001</v>
      </c>
      <c r="AK36" s="431">
        <v>1.9401999999999999</v>
      </c>
      <c r="AL36" s="431"/>
    </row>
    <row r="37" spans="1:38" ht="14.25" customHeight="1">
      <c r="A37" s="619"/>
      <c r="B37" s="426"/>
      <c r="C37" s="425"/>
      <c r="D37" s="430" t="s">
        <v>436</v>
      </c>
      <c r="E37" s="431"/>
      <c r="F37" s="431"/>
      <c r="G37" s="431"/>
      <c r="H37" s="431"/>
      <c r="I37" s="428"/>
      <c r="J37" s="428"/>
      <c r="K37" s="428"/>
      <c r="L37" s="428"/>
      <c r="M37" s="428"/>
      <c r="N37" s="42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28"/>
      <c r="AL37" s="428"/>
    </row>
    <row r="38" spans="1:38" ht="14.25" customHeight="1">
      <c r="A38" s="619"/>
      <c r="B38" s="426"/>
      <c r="C38" s="425"/>
      <c r="D38" s="430" t="s">
        <v>359</v>
      </c>
      <c r="E38" s="431" t="s">
        <v>186</v>
      </c>
      <c r="F38" s="431" t="s">
        <v>186</v>
      </c>
      <c r="G38" s="431" t="s">
        <v>186</v>
      </c>
      <c r="H38" s="431" t="s">
        <v>186</v>
      </c>
      <c r="I38" s="433" t="s">
        <v>186</v>
      </c>
      <c r="J38" s="433" t="s">
        <v>186</v>
      </c>
      <c r="K38" s="433" t="s">
        <v>186</v>
      </c>
      <c r="L38" s="433" t="s">
        <v>186</v>
      </c>
      <c r="M38" s="433" t="s">
        <v>186</v>
      </c>
      <c r="N38" s="433" t="s">
        <v>186</v>
      </c>
      <c r="O38" s="433" t="s">
        <v>186</v>
      </c>
      <c r="P38" s="433" t="s">
        <v>186</v>
      </c>
      <c r="Q38" s="433" t="s">
        <v>186</v>
      </c>
      <c r="R38" s="433" t="s">
        <v>186</v>
      </c>
      <c r="S38" s="433" t="s">
        <v>186</v>
      </c>
      <c r="T38" s="433" t="s">
        <v>186</v>
      </c>
      <c r="U38" s="433" t="s">
        <v>186</v>
      </c>
      <c r="V38" s="433" t="s">
        <v>186</v>
      </c>
      <c r="W38" s="433" t="s">
        <v>186</v>
      </c>
      <c r="X38" s="433" t="s">
        <v>186</v>
      </c>
      <c r="Y38" s="433" t="s">
        <v>186</v>
      </c>
      <c r="Z38" s="433" t="s">
        <v>186</v>
      </c>
      <c r="AA38" s="433" t="s">
        <v>186</v>
      </c>
      <c r="AB38" s="433" t="s">
        <v>186</v>
      </c>
      <c r="AC38" s="433" t="s">
        <v>186</v>
      </c>
      <c r="AD38" s="433" t="s">
        <v>186</v>
      </c>
      <c r="AE38" s="433" t="s">
        <v>186</v>
      </c>
      <c r="AF38" s="433" t="s">
        <v>186</v>
      </c>
      <c r="AG38" s="433" t="s">
        <v>186</v>
      </c>
      <c r="AH38" s="433" t="s">
        <v>186</v>
      </c>
      <c r="AI38" s="433" t="s">
        <v>186</v>
      </c>
      <c r="AJ38" s="433" t="s">
        <v>186</v>
      </c>
      <c r="AK38" s="433" t="s">
        <v>186</v>
      </c>
      <c r="AL38" s="428"/>
    </row>
    <row r="39" spans="1:38" ht="14.25" customHeight="1">
      <c r="A39" s="619">
        <v>2</v>
      </c>
      <c r="B39" s="426"/>
      <c r="C39" s="425"/>
      <c r="D39" s="430" t="s">
        <v>360</v>
      </c>
      <c r="E39" s="431">
        <f>'Copia de Demandas de energía '!D39*$E$89</f>
        <v>0.25392066696559878</v>
      </c>
      <c r="F39" s="431">
        <f>'Copia de Demandas de energía '!E39*$E$89</f>
        <v>0.28806321262664891</v>
      </c>
      <c r="G39" s="431">
        <f>'Copia de Demandas de energía '!F39*$E$89</f>
        <v>0.31471530184165231</v>
      </c>
      <c r="H39" s="431">
        <f>'Copia de Demandas de energía '!G39*$E$89</f>
        <v>0.55202922040748859</v>
      </c>
      <c r="I39" s="433">
        <v>0.5595</v>
      </c>
      <c r="J39" s="433">
        <v>0.56679999999999997</v>
      </c>
      <c r="K39" s="433">
        <v>0.57410000000000005</v>
      </c>
      <c r="L39" s="433">
        <v>0.58130000000000004</v>
      </c>
      <c r="M39" s="433">
        <v>0.58850000000000002</v>
      </c>
      <c r="N39" s="433">
        <v>0.59550000000000003</v>
      </c>
      <c r="O39" s="433">
        <v>0.60250000000000004</v>
      </c>
      <c r="P39" s="433">
        <v>0.60940000000000005</v>
      </c>
      <c r="Q39" s="433">
        <v>0.61619999999999997</v>
      </c>
      <c r="R39" s="433">
        <v>0.62290000000000001</v>
      </c>
      <c r="S39" s="433">
        <v>0.62949999999999995</v>
      </c>
      <c r="T39" s="433">
        <v>0.63600000000000001</v>
      </c>
      <c r="U39" s="433">
        <v>0.64239999999999997</v>
      </c>
      <c r="V39" s="433">
        <v>0.64859999999999995</v>
      </c>
      <c r="W39" s="433">
        <v>0.65480000000000005</v>
      </c>
      <c r="X39" s="433">
        <v>0.66080000000000005</v>
      </c>
      <c r="Y39" s="433">
        <v>0.66669999999999996</v>
      </c>
      <c r="Z39" s="433">
        <v>0.67249999999999999</v>
      </c>
      <c r="AA39" s="433">
        <v>0.67810000000000004</v>
      </c>
      <c r="AB39" s="433">
        <v>0.68369999999999997</v>
      </c>
      <c r="AC39" s="433">
        <v>0.68899999999999995</v>
      </c>
      <c r="AD39" s="433">
        <v>0.69430000000000003</v>
      </c>
      <c r="AE39" s="433">
        <v>0.69940000000000002</v>
      </c>
      <c r="AF39" s="433">
        <v>0.70430000000000004</v>
      </c>
      <c r="AG39" s="433">
        <v>0.70920000000000005</v>
      </c>
      <c r="AH39" s="433">
        <v>0.71379999999999999</v>
      </c>
      <c r="AI39" s="433">
        <v>0.71840000000000004</v>
      </c>
      <c r="AJ39" s="433">
        <v>0.72270000000000001</v>
      </c>
      <c r="AK39" s="433">
        <v>0.72699999999999998</v>
      </c>
      <c r="AL39" s="428"/>
    </row>
    <row r="40" spans="1:38" ht="14.25" customHeight="1">
      <c r="A40" s="619"/>
      <c r="B40" s="426"/>
      <c r="C40" s="425"/>
      <c r="D40" s="430" t="s">
        <v>362</v>
      </c>
      <c r="E40" s="431" t="s">
        <v>186</v>
      </c>
      <c r="F40" s="431" t="s">
        <v>186</v>
      </c>
      <c r="G40" s="431" t="s">
        <v>186</v>
      </c>
      <c r="H40" s="431" t="s">
        <v>186</v>
      </c>
      <c r="I40" s="431" t="s">
        <v>186</v>
      </c>
      <c r="J40" s="431" t="s">
        <v>186</v>
      </c>
      <c r="K40" s="431" t="s">
        <v>186</v>
      </c>
      <c r="L40" s="431" t="s">
        <v>186</v>
      </c>
      <c r="M40" s="431" t="s">
        <v>186</v>
      </c>
      <c r="N40" s="431" t="s">
        <v>186</v>
      </c>
      <c r="O40" s="431" t="s">
        <v>186</v>
      </c>
      <c r="P40" s="431" t="s">
        <v>186</v>
      </c>
      <c r="Q40" s="431" t="s">
        <v>186</v>
      </c>
      <c r="R40" s="431" t="s">
        <v>186</v>
      </c>
      <c r="S40" s="431" t="s">
        <v>186</v>
      </c>
      <c r="T40" s="431" t="s">
        <v>186</v>
      </c>
      <c r="U40" s="431" t="s">
        <v>186</v>
      </c>
      <c r="V40" s="431" t="s">
        <v>186</v>
      </c>
      <c r="W40" s="431" t="s">
        <v>186</v>
      </c>
      <c r="X40" s="431" t="s">
        <v>186</v>
      </c>
      <c r="Y40" s="431" t="s">
        <v>186</v>
      </c>
      <c r="Z40" s="431" t="s">
        <v>186</v>
      </c>
      <c r="AA40" s="431" t="s">
        <v>186</v>
      </c>
      <c r="AB40" s="431" t="s">
        <v>186</v>
      </c>
      <c r="AC40" s="431" t="s">
        <v>186</v>
      </c>
      <c r="AD40" s="431" t="s">
        <v>186</v>
      </c>
      <c r="AE40" s="431" t="s">
        <v>186</v>
      </c>
      <c r="AF40" s="431" t="s">
        <v>186</v>
      </c>
      <c r="AG40" s="431" t="s">
        <v>186</v>
      </c>
      <c r="AH40" s="431" t="s">
        <v>186</v>
      </c>
      <c r="AI40" s="431" t="s">
        <v>186</v>
      </c>
      <c r="AJ40" s="431" t="s">
        <v>186</v>
      </c>
      <c r="AK40" s="431" t="s">
        <v>186</v>
      </c>
      <c r="AL40" s="431"/>
    </row>
    <row r="41" spans="1:38" ht="14.25" customHeight="1">
      <c r="A41" s="619"/>
      <c r="B41" s="426"/>
      <c r="C41" s="425"/>
      <c r="D41" s="430" t="s">
        <v>363</v>
      </c>
      <c r="E41" s="431" t="s">
        <v>186</v>
      </c>
      <c r="F41" s="431" t="s">
        <v>186</v>
      </c>
      <c r="G41" s="431" t="s">
        <v>186</v>
      </c>
      <c r="H41" s="431" t="s">
        <v>186</v>
      </c>
      <c r="I41" s="431" t="s">
        <v>186</v>
      </c>
      <c r="J41" s="431" t="s">
        <v>186</v>
      </c>
      <c r="K41" s="431" t="s">
        <v>186</v>
      </c>
      <c r="L41" s="431" t="s">
        <v>186</v>
      </c>
      <c r="M41" s="431" t="s">
        <v>186</v>
      </c>
      <c r="N41" s="431" t="s">
        <v>186</v>
      </c>
      <c r="O41" s="431" t="s">
        <v>186</v>
      </c>
      <c r="P41" s="431" t="s">
        <v>186</v>
      </c>
      <c r="Q41" s="431" t="s">
        <v>186</v>
      </c>
      <c r="R41" s="431" t="s">
        <v>186</v>
      </c>
      <c r="S41" s="431" t="s">
        <v>186</v>
      </c>
      <c r="T41" s="431" t="s">
        <v>186</v>
      </c>
      <c r="U41" s="431" t="s">
        <v>186</v>
      </c>
      <c r="V41" s="431" t="s">
        <v>186</v>
      </c>
      <c r="W41" s="431" t="s">
        <v>186</v>
      </c>
      <c r="X41" s="431" t="s">
        <v>186</v>
      </c>
      <c r="Y41" s="431" t="s">
        <v>186</v>
      </c>
      <c r="Z41" s="431" t="s">
        <v>186</v>
      </c>
      <c r="AA41" s="431" t="s">
        <v>186</v>
      </c>
      <c r="AB41" s="431" t="s">
        <v>186</v>
      </c>
      <c r="AC41" s="431" t="s">
        <v>186</v>
      </c>
      <c r="AD41" s="431" t="s">
        <v>186</v>
      </c>
      <c r="AE41" s="431" t="s">
        <v>186</v>
      </c>
      <c r="AF41" s="431" t="s">
        <v>186</v>
      </c>
      <c r="AG41" s="431" t="s">
        <v>186</v>
      </c>
      <c r="AH41" s="431" t="s">
        <v>186</v>
      </c>
      <c r="AI41" s="431" t="s">
        <v>186</v>
      </c>
      <c r="AJ41" s="431" t="s">
        <v>186</v>
      </c>
      <c r="AK41" s="431" t="s">
        <v>186</v>
      </c>
      <c r="AL41" s="431"/>
    </row>
    <row r="42" spans="1:38" ht="14.25" customHeight="1">
      <c r="A42" s="619"/>
      <c r="B42" s="426"/>
      <c r="C42" s="425"/>
      <c r="D42" s="429" t="s">
        <v>13</v>
      </c>
      <c r="E42" s="431">
        <f t="shared" ref="E42:AK42" si="2">SUM(E32:E41)</f>
        <v>50.624973073853582</v>
      </c>
      <c r="F42" s="431">
        <f t="shared" si="2"/>
        <v>54.22909674029362</v>
      </c>
      <c r="G42" s="431">
        <f t="shared" si="2"/>
        <v>54.782571554923088</v>
      </c>
      <c r="H42" s="431">
        <f t="shared" si="2"/>
        <v>56.696428044141477</v>
      </c>
      <c r="I42" s="431">
        <f t="shared" si="2"/>
        <v>58.21</v>
      </c>
      <c r="J42" s="431">
        <f t="shared" si="2"/>
        <v>58.712399999999988</v>
      </c>
      <c r="K42" s="431">
        <f t="shared" si="2"/>
        <v>60.452099999999994</v>
      </c>
      <c r="L42" s="431">
        <f t="shared" si="2"/>
        <v>60.789099999999998</v>
      </c>
      <c r="M42" s="431">
        <f t="shared" si="2"/>
        <v>62.496700000000004</v>
      </c>
      <c r="N42" s="431">
        <f t="shared" si="2"/>
        <v>62.900999999999996</v>
      </c>
      <c r="O42" s="431">
        <f t="shared" si="2"/>
        <v>64.734000000000009</v>
      </c>
      <c r="P42" s="431">
        <f t="shared" si="2"/>
        <v>64.945899999999995</v>
      </c>
      <c r="Q42" s="431">
        <f t="shared" si="2"/>
        <v>66.652100000000004</v>
      </c>
      <c r="R42" s="431">
        <f t="shared" si="2"/>
        <v>67.105400000000003</v>
      </c>
      <c r="S42" s="431">
        <f t="shared" si="2"/>
        <v>68.756999999999991</v>
      </c>
      <c r="T42" s="431">
        <f t="shared" si="2"/>
        <v>69.245699999999999</v>
      </c>
      <c r="U42" s="431">
        <f t="shared" si="2"/>
        <v>70.797699999999992</v>
      </c>
      <c r="V42" s="431">
        <f t="shared" si="2"/>
        <v>71.2637</v>
      </c>
      <c r="W42" s="431">
        <f t="shared" si="2"/>
        <v>72.7851</v>
      </c>
      <c r="X42" s="431">
        <f t="shared" si="2"/>
        <v>73.314700000000002</v>
      </c>
      <c r="Y42" s="431">
        <f t="shared" si="2"/>
        <v>74.722700000000003</v>
      </c>
      <c r="Z42" s="431">
        <f t="shared" si="2"/>
        <v>75.390799999999999</v>
      </c>
      <c r="AA42" s="431">
        <f t="shared" si="2"/>
        <v>76.729700000000008</v>
      </c>
      <c r="AB42" s="431">
        <f t="shared" si="2"/>
        <v>77.4054</v>
      </c>
      <c r="AC42" s="431">
        <f t="shared" si="2"/>
        <v>78.687299999999993</v>
      </c>
      <c r="AD42" s="431">
        <f t="shared" si="2"/>
        <v>79.271500000000003</v>
      </c>
      <c r="AE42" s="431">
        <f t="shared" si="2"/>
        <v>80.5017</v>
      </c>
      <c r="AF42" s="431">
        <f t="shared" si="2"/>
        <v>81.161900000000003</v>
      </c>
      <c r="AG42" s="431">
        <f t="shared" si="2"/>
        <v>82.386499999999998</v>
      </c>
      <c r="AH42" s="431">
        <f t="shared" si="2"/>
        <v>83.080299999999994</v>
      </c>
      <c r="AI42" s="431">
        <f t="shared" si="2"/>
        <v>84.126500000000007</v>
      </c>
      <c r="AJ42" s="431">
        <f t="shared" si="2"/>
        <v>84.843599999999995</v>
      </c>
      <c r="AK42" s="431">
        <f t="shared" si="2"/>
        <v>85.865400000000008</v>
      </c>
      <c r="AL42" s="431"/>
    </row>
    <row r="43" spans="1:38" ht="14.25" customHeight="1">
      <c r="A43" s="619"/>
      <c r="B43" s="426"/>
      <c r="C43" s="425"/>
      <c r="D43" s="434"/>
      <c r="E43" s="425"/>
      <c r="F43" s="425"/>
      <c r="G43" s="425"/>
      <c r="H43" s="425"/>
      <c r="I43" s="425"/>
      <c r="J43" s="425"/>
      <c r="K43" s="425"/>
      <c r="L43" s="425"/>
      <c r="M43" s="425"/>
      <c r="N43" s="425"/>
      <c r="O43" s="425"/>
      <c r="P43" s="425"/>
      <c r="Q43" s="425"/>
      <c r="R43" s="425"/>
      <c r="S43" s="425"/>
      <c r="T43" s="425"/>
      <c r="U43" s="425"/>
      <c r="V43" s="425"/>
      <c r="W43" s="425"/>
      <c r="X43" s="425"/>
      <c r="Y43" s="425"/>
      <c r="Z43" s="425"/>
      <c r="AA43" s="425"/>
      <c r="AB43" s="425"/>
      <c r="AC43" s="425"/>
      <c r="AD43" s="425"/>
      <c r="AE43" s="425"/>
      <c r="AF43" s="425"/>
      <c r="AG43" s="425"/>
      <c r="AH43" s="425"/>
      <c r="AI43" s="425"/>
      <c r="AJ43" s="425"/>
      <c r="AK43" s="425"/>
      <c r="AL43" s="425"/>
    </row>
    <row r="44" spans="1:38" ht="14.25" customHeight="1">
      <c r="A44" s="619"/>
      <c r="B44" s="426"/>
      <c r="C44" s="425"/>
      <c r="D44" s="429" t="s">
        <v>437</v>
      </c>
      <c r="E44" s="428"/>
      <c r="F44" s="428"/>
      <c r="G44" s="428"/>
      <c r="H44" s="428"/>
      <c r="I44" s="428"/>
      <c r="J44" s="428"/>
      <c r="K44" s="428"/>
      <c r="L44" s="428"/>
      <c r="M44" s="428"/>
      <c r="N44" s="42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28"/>
      <c r="AL44" s="428"/>
    </row>
    <row r="45" spans="1:38" ht="14.25" customHeight="1">
      <c r="A45" s="619"/>
      <c r="B45" s="426"/>
      <c r="C45" s="425"/>
      <c r="D45" s="430" t="s">
        <v>413</v>
      </c>
      <c r="E45" s="436" t="s">
        <v>186</v>
      </c>
      <c r="F45" s="436" t="s">
        <v>186</v>
      </c>
      <c r="G45" s="436" t="s">
        <v>186</v>
      </c>
      <c r="H45" s="436" t="s">
        <v>186</v>
      </c>
      <c r="I45" s="436" t="s">
        <v>186</v>
      </c>
      <c r="J45" s="436" t="s">
        <v>186</v>
      </c>
      <c r="K45" s="436" t="s">
        <v>186</v>
      </c>
      <c r="L45" s="436" t="s">
        <v>186</v>
      </c>
      <c r="M45" s="436" t="s">
        <v>186</v>
      </c>
      <c r="N45" s="436" t="s">
        <v>186</v>
      </c>
      <c r="O45" s="436" t="s">
        <v>186</v>
      </c>
      <c r="P45" s="436" t="s">
        <v>186</v>
      </c>
      <c r="Q45" s="436" t="s">
        <v>186</v>
      </c>
      <c r="R45" s="436" t="s">
        <v>186</v>
      </c>
      <c r="S45" s="436" t="s">
        <v>186</v>
      </c>
      <c r="T45" s="436" t="s">
        <v>186</v>
      </c>
      <c r="U45" s="436" t="s">
        <v>186</v>
      </c>
      <c r="V45" s="436" t="s">
        <v>186</v>
      </c>
      <c r="W45" s="436" t="s">
        <v>186</v>
      </c>
      <c r="X45" s="436" t="s">
        <v>186</v>
      </c>
      <c r="Y45" s="436" t="s">
        <v>186</v>
      </c>
      <c r="Z45" s="436" t="s">
        <v>186</v>
      </c>
      <c r="AA45" s="436" t="s">
        <v>186</v>
      </c>
      <c r="AB45" s="436" t="s">
        <v>186</v>
      </c>
      <c r="AC45" s="436" t="s">
        <v>186</v>
      </c>
      <c r="AD45" s="436" t="s">
        <v>186</v>
      </c>
      <c r="AE45" s="436" t="s">
        <v>186</v>
      </c>
      <c r="AF45" s="436" t="s">
        <v>186</v>
      </c>
      <c r="AG45" s="436" t="s">
        <v>186</v>
      </c>
      <c r="AH45" s="436" t="s">
        <v>186</v>
      </c>
      <c r="AI45" s="436" t="s">
        <v>186</v>
      </c>
      <c r="AJ45" s="436" t="s">
        <v>186</v>
      </c>
      <c r="AK45" s="436" t="s">
        <v>186</v>
      </c>
      <c r="AL45" s="428"/>
    </row>
    <row r="46" spans="1:38" ht="14.25" customHeight="1">
      <c r="A46" s="619"/>
      <c r="B46" s="426"/>
      <c r="C46" s="425"/>
      <c r="D46" s="430" t="s">
        <v>415</v>
      </c>
      <c r="E46" s="436" t="s">
        <v>186</v>
      </c>
      <c r="F46" s="436" t="s">
        <v>186</v>
      </c>
      <c r="G46" s="436" t="s">
        <v>186</v>
      </c>
      <c r="H46" s="436" t="s">
        <v>186</v>
      </c>
      <c r="I46" s="436" t="s">
        <v>186</v>
      </c>
      <c r="J46" s="436" t="s">
        <v>186</v>
      </c>
      <c r="K46" s="436" t="s">
        <v>186</v>
      </c>
      <c r="L46" s="436" t="s">
        <v>186</v>
      </c>
      <c r="M46" s="436" t="s">
        <v>186</v>
      </c>
      <c r="N46" s="436" t="s">
        <v>186</v>
      </c>
      <c r="O46" s="436" t="s">
        <v>186</v>
      </c>
      <c r="P46" s="436" t="s">
        <v>186</v>
      </c>
      <c r="Q46" s="436" t="s">
        <v>186</v>
      </c>
      <c r="R46" s="436" t="s">
        <v>186</v>
      </c>
      <c r="S46" s="436" t="s">
        <v>186</v>
      </c>
      <c r="T46" s="436" t="s">
        <v>186</v>
      </c>
      <c r="U46" s="436" t="s">
        <v>186</v>
      </c>
      <c r="V46" s="436" t="s">
        <v>186</v>
      </c>
      <c r="W46" s="436" t="s">
        <v>186</v>
      </c>
      <c r="X46" s="436" t="s">
        <v>186</v>
      </c>
      <c r="Y46" s="436" t="s">
        <v>186</v>
      </c>
      <c r="Z46" s="436" t="s">
        <v>186</v>
      </c>
      <c r="AA46" s="436" t="s">
        <v>186</v>
      </c>
      <c r="AB46" s="436" t="s">
        <v>186</v>
      </c>
      <c r="AC46" s="436" t="s">
        <v>186</v>
      </c>
      <c r="AD46" s="436" t="s">
        <v>186</v>
      </c>
      <c r="AE46" s="436" t="s">
        <v>186</v>
      </c>
      <c r="AF46" s="436" t="s">
        <v>186</v>
      </c>
      <c r="AG46" s="436" t="s">
        <v>186</v>
      </c>
      <c r="AH46" s="436" t="s">
        <v>186</v>
      </c>
      <c r="AI46" s="436" t="s">
        <v>186</v>
      </c>
      <c r="AJ46" s="436" t="s">
        <v>186</v>
      </c>
      <c r="AK46" s="436" t="s">
        <v>186</v>
      </c>
      <c r="AL46" s="428"/>
    </row>
    <row r="47" spans="1:38" ht="14.25" customHeight="1">
      <c r="A47" s="619">
        <v>2</v>
      </c>
      <c r="B47" s="426"/>
      <c r="C47" s="425"/>
      <c r="D47" s="432" t="s">
        <v>417</v>
      </c>
      <c r="E47" s="436" t="s">
        <v>186</v>
      </c>
      <c r="F47" s="436" t="s">
        <v>186</v>
      </c>
      <c r="G47" s="436" t="s">
        <v>186</v>
      </c>
      <c r="H47" s="436" t="s">
        <v>186</v>
      </c>
      <c r="I47" s="436" t="s">
        <v>186</v>
      </c>
      <c r="J47" s="436" t="s">
        <v>186</v>
      </c>
      <c r="K47" s="436" t="s">
        <v>186</v>
      </c>
      <c r="L47" s="436" t="s">
        <v>186</v>
      </c>
      <c r="M47" s="436" t="s">
        <v>186</v>
      </c>
      <c r="N47" s="436" t="s">
        <v>186</v>
      </c>
      <c r="O47" s="436" t="s">
        <v>186</v>
      </c>
      <c r="P47" s="436" t="s">
        <v>186</v>
      </c>
      <c r="Q47" s="436" t="s">
        <v>186</v>
      </c>
      <c r="R47" s="436" t="s">
        <v>186</v>
      </c>
      <c r="S47" s="436" t="s">
        <v>186</v>
      </c>
      <c r="T47" s="436" t="s">
        <v>186</v>
      </c>
      <c r="U47" s="436" t="s">
        <v>186</v>
      </c>
      <c r="V47" s="436" t="s">
        <v>186</v>
      </c>
      <c r="W47" s="436" t="s">
        <v>186</v>
      </c>
      <c r="X47" s="436" t="s">
        <v>186</v>
      </c>
      <c r="Y47" s="436" t="s">
        <v>186</v>
      </c>
      <c r="Z47" s="436" t="s">
        <v>186</v>
      </c>
      <c r="AA47" s="436" t="s">
        <v>186</v>
      </c>
      <c r="AB47" s="436" t="s">
        <v>186</v>
      </c>
      <c r="AC47" s="436" t="s">
        <v>186</v>
      </c>
      <c r="AD47" s="436" t="s">
        <v>186</v>
      </c>
      <c r="AE47" s="436" t="s">
        <v>186</v>
      </c>
      <c r="AF47" s="436" t="s">
        <v>186</v>
      </c>
      <c r="AG47" s="436" t="s">
        <v>186</v>
      </c>
      <c r="AH47" s="436" t="s">
        <v>186</v>
      </c>
      <c r="AI47" s="436" t="s">
        <v>186</v>
      </c>
      <c r="AJ47" s="436" t="s">
        <v>186</v>
      </c>
      <c r="AK47" s="436" t="s">
        <v>186</v>
      </c>
      <c r="AL47" s="428"/>
    </row>
    <row r="48" spans="1:38" ht="14.25" customHeight="1">
      <c r="A48" s="619"/>
      <c r="B48" s="426"/>
      <c r="C48" s="62" t="s">
        <v>438</v>
      </c>
      <c r="D48" s="430" t="s">
        <v>419</v>
      </c>
      <c r="E48" s="431">
        <f>'Copia de Demandas de energía '!D48*$E$89</f>
        <v>1.3684500923317247</v>
      </c>
      <c r="F48" s="431">
        <f>'Copia de Demandas de energía '!E48*$E$89</f>
        <v>1.0504392799815812</v>
      </c>
      <c r="G48" s="431">
        <f>'Copia de Demandas de energía '!F48*$E$89</f>
        <v>1.5998269764069828</v>
      </c>
      <c r="H48" s="431">
        <f>'Copia de Demandas de energía '!G48*$E$89</f>
        <v>1.8325867497126211</v>
      </c>
      <c r="I48" s="431">
        <v>1.9942</v>
      </c>
      <c r="J48" s="431">
        <v>1.9360999999999999</v>
      </c>
      <c r="K48" s="431">
        <v>2.1432000000000002</v>
      </c>
      <c r="L48" s="431">
        <v>2.0568</v>
      </c>
      <c r="M48" s="431">
        <v>2.2709999999999999</v>
      </c>
      <c r="N48" s="431">
        <v>2.1915</v>
      </c>
      <c r="O48" s="431">
        <v>2.4228999999999998</v>
      </c>
      <c r="P48" s="431">
        <v>2.3233000000000001</v>
      </c>
      <c r="Q48" s="431">
        <v>2.5375999999999999</v>
      </c>
      <c r="R48" s="431">
        <v>2.4706000000000001</v>
      </c>
      <c r="S48" s="431">
        <v>2.6724999999999999</v>
      </c>
      <c r="T48" s="431">
        <v>2.6194999999999999</v>
      </c>
      <c r="U48" s="431">
        <v>2.8035000000000001</v>
      </c>
      <c r="V48" s="431">
        <v>2.7581000000000002</v>
      </c>
      <c r="W48" s="431">
        <v>2.9325999999999999</v>
      </c>
      <c r="X48" s="431">
        <v>2.9043000000000001</v>
      </c>
      <c r="Y48" s="431">
        <v>3.0608</v>
      </c>
      <c r="Z48" s="431">
        <v>3.0573999999999999</v>
      </c>
      <c r="AA48" s="431">
        <v>3.202</v>
      </c>
      <c r="AB48" s="431">
        <v>3.2069000000000001</v>
      </c>
      <c r="AC48" s="431">
        <v>3.3420000000000001</v>
      </c>
      <c r="AD48" s="431">
        <v>3.3429000000000002</v>
      </c>
      <c r="AE48" s="431">
        <v>3.4697</v>
      </c>
      <c r="AF48" s="431">
        <v>3.4857</v>
      </c>
      <c r="AG48" s="431">
        <v>3.6105999999999998</v>
      </c>
      <c r="AH48" s="431">
        <v>3.6362999999999999</v>
      </c>
      <c r="AI48" s="431">
        <v>3.7393999999999998</v>
      </c>
      <c r="AJ48" s="431">
        <v>3.7732999999999999</v>
      </c>
      <c r="AK48" s="431">
        <v>3.8734999999999999</v>
      </c>
      <c r="AL48" s="431"/>
    </row>
    <row r="49" spans="1:38" ht="14.25" customHeight="1">
      <c r="A49" s="619"/>
      <c r="B49" s="426"/>
      <c r="C49" s="425"/>
      <c r="D49" s="430" t="s">
        <v>421</v>
      </c>
      <c r="E49" s="431" t="s">
        <v>186</v>
      </c>
      <c r="F49" s="431" t="s">
        <v>186</v>
      </c>
      <c r="G49" s="431" t="s">
        <v>186</v>
      </c>
      <c r="H49" s="431" t="s">
        <v>186</v>
      </c>
      <c r="I49" s="431" t="s">
        <v>186</v>
      </c>
      <c r="J49" s="431" t="s">
        <v>186</v>
      </c>
      <c r="K49" s="431" t="s">
        <v>186</v>
      </c>
      <c r="L49" s="431" t="s">
        <v>186</v>
      </c>
      <c r="M49" s="431" t="s">
        <v>186</v>
      </c>
      <c r="N49" s="431" t="s">
        <v>186</v>
      </c>
      <c r="O49" s="431" t="s">
        <v>186</v>
      </c>
      <c r="P49" s="431" t="s">
        <v>186</v>
      </c>
      <c r="Q49" s="431" t="s">
        <v>186</v>
      </c>
      <c r="R49" s="431" t="s">
        <v>186</v>
      </c>
      <c r="S49" s="431" t="s">
        <v>186</v>
      </c>
      <c r="T49" s="431" t="s">
        <v>186</v>
      </c>
      <c r="U49" s="431" t="s">
        <v>186</v>
      </c>
      <c r="V49" s="431" t="s">
        <v>186</v>
      </c>
      <c r="W49" s="431" t="s">
        <v>186</v>
      </c>
      <c r="X49" s="431" t="s">
        <v>186</v>
      </c>
      <c r="Y49" s="431" t="s">
        <v>186</v>
      </c>
      <c r="Z49" s="431" t="s">
        <v>186</v>
      </c>
      <c r="AA49" s="431" t="s">
        <v>186</v>
      </c>
      <c r="AB49" s="431" t="s">
        <v>186</v>
      </c>
      <c r="AC49" s="431" t="s">
        <v>186</v>
      </c>
      <c r="AD49" s="431" t="s">
        <v>186</v>
      </c>
      <c r="AE49" s="431" t="s">
        <v>186</v>
      </c>
      <c r="AF49" s="431" t="s">
        <v>186</v>
      </c>
      <c r="AG49" s="431" t="s">
        <v>186</v>
      </c>
      <c r="AH49" s="431" t="s">
        <v>186</v>
      </c>
      <c r="AI49" s="431" t="s">
        <v>186</v>
      </c>
      <c r="AJ49" s="431" t="s">
        <v>186</v>
      </c>
      <c r="AK49" s="431" t="s">
        <v>186</v>
      </c>
      <c r="AL49" s="428"/>
    </row>
    <row r="50" spans="1:38" ht="14.25" customHeight="1">
      <c r="A50" s="619">
        <v>2</v>
      </c>
      <c r="B50" s="426"/>
      <c r="C50" s="425"/>
      <c r="D50" s="432" t="s">
        <v>422</v>
      </c>
      <c r="E50" s="431"/>
      <c r="F50" s="431"/>
      <c r="G50" s="431"/>
      <c r="H50" s="431"/>
      <c r="I50" s="428"/>
      <c r="J50" s="428"/>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row>
    <row r="51" spans="1:38" ht="14.25" customHeight="1">
      <c r="A51" s="619"/>
      <c r="B51" s="426"/>
      <c r="C51" s="425"/>
      <c r="D51" s="430" t="s">
        <v>359</v>
      </c>
      <c r="E51" s="431" t="s">
        <v>186</v>
      </c>
      <c r="F51" s="431" t="s">
        <v>186</v>
      </c>
      <c r="G51" s="431" t="s">
        <v>186</v>
      </c>
      <c r="H51" s="431" t="s">
        <v>186</v>
      </c>
      <c r="I51" s="433" t="s">
        <v>186</v>
      </c>
      <c r="J51" s="433" t="s">
        <v>186</v>
      </c>
      <c r="K51" s="433" t="s">
        <v>186</v>
      </c>
      <c r="L51" s="433" t="s">
        <v>186</v>
      </c>
      <c r="M51" s="433" t="s">
        <v>186</v>
      </c>
      <c r="N51" s="433" t="s">
        <v>186</v>
      </c>
      <c r="O51" s="433" t="s">
        <v>186</v>
      </c>
      <c r="P51" s="433" t="s">
        <v>186</v>
      </c>
      <c r="Q51" s="433" t="s">
        <v>186</v>
      </c>
      <c r="R51" s="433" t="s">
        <v>186</v>
      </c>
      <c r="S51" s="433" t="s">
        <v>186</v>
      </c>
      <c r="T51" s="433" t="s">
        <v>186</v>
      </c>
      <c r="U51" s="433" t="s">
        <v>186</v>
      </c>
      <c r="V51" s="433" t="s">
        <v>186</v>
      </c>
      <c r="W51" s="433" t="s">
        <v>186</v>
      </c>
      <c r="X51" s="433" t="s">
        <v>186</v>
      </c>
      <c r="Y51" s="433" t="s">
        <v>186</v>
      </c>
      <c r="Z51" s="433" t="s">
        <v>186</v>
      </c>
      <c r="AA51" s="433" t="s">
        <v>186</v>
      </c>
      <c r="AB51" s="433" t="s">
        <v>186</v>
      </c>
      <c r="AC51" s="433" t="s">
        <v>186</v>
      </c>
      <c r="AD51" s="433" t="s">
        <v>186</v>
      </c>
      <c r="AE51" s="433" t="s">
        <v>186</v>
      </c>
      <c r="AF51" s="433" t="s">
        <v>186</v>
      </c>
      <c r="AG51" s="433" t="s">
        <v>186</v>
      </c>
      <c r="AH51" s="433" t="s">
        <v>186</v>
      </c>
      <c r="AI51" s="433" t="s">
        <v>186</v>
      </c>
      <c r="AJ51" s="433" t="s">
        <v>186</v>
      </c>
      <c r="AK51" s="433" t="s">
        <v>186</v>
      </c>
      <c r="AL51" s="428"/>
    </row>
    <row r="52" spans="1:38" ht="14.25" customHeight="1">
      <c r="A52" s="619"/>
      <c r="B52" s="426"/>
      <c r="C52" s="425"/>
      <c r="D52" s="430" t="s">
        <v>360</v>
      </c>
      <c r="E52" s="431" t="s">
        <v>186</v>
      </c>
      <c r="F52" s="431" t="s">
        <v>186</v>
      </c>
      <c r="G52" s="431" t="s">
        <v>186</v>
      </c>
      <c r="H52" s="431" t="s">
        <v>186</v>
      </c>
      <c r="I52" s="433" t="s">
        <v>186</v>
      </c>
      <c r="J52" s="433" t="s">
        <v>186</v>
      </c>
      <c r="K52" s="433" t="s">
        <v>186</v>
      </c>
      <c r="L52" s="433" t="s">
        <v>186</v>
      </c>
      <c r="M52" s="433" t="s">
        <v>186</v>
      </c>
      <c r="N52" s="433" t="s">
        <v>186</v>
      </c>
      <c r="O52" s="433" t="s">
        <v>186</v>
      </c>
      <c r="P52" s="433" t="s">
        <v>186</v>
      </c>
      <c r="Q52" s="433" t="s">
        <v>186</v>
      </c>
      <c r="R52" s="433" t="s">
        <v>186</v>
      </c>
      <c r="S52" s="433" t="s">
        <v>186</v>
      </c>
      <c r="T52" s="433" t="s">
        <v>186</v>
      </c>
      <c r="U52" s="433" t="s">
        <v>186</v>
      </c>
      <c r="V52" s="433" t="s">
        <v>186</v>
      </c>
      <c r="W52" s="433" t="s">
        <v>186</v>
      </c>
      <c r="X52" s="433" t="s">
        <v>186</v>
      </c>
      <c r="Y52" s="433" t="s">
        <v>186</v>
      </c>
      <c r="Z52" s="433" t="s">
        <v>186</v>
      </c>
      <c r="AA52" s="433" t="s">
        <v>186</v>
      </c>
      <c r="AB52" s="433" t="s">
        <v>186</v>
      </c>
      <c r="AC52" s="433" t="s">
        <v>186</v>
      </c>
      <c r="AD52" s="433" t="s">
        <v>186</v>
      </c>
      <c r="AE52" s="433" t="s">
        <v>186</v>
      </c>
      <c r="AF52" s="433" t="s">
        <v>186</v>
      </c>
      <c r="AG52" s="433" t="s">
        <v>186</v>
      </c>
      <c r="AH52" s="433" t="s">
        <v>186</v>
      </c>
      <c r="AI52" s="433" t="s">
        <v>186</v>
      </c>
      <c r="AJ52" s="433" t="s">
        <v>186</v>
      </c>
      <c r="AK52" s="433" t="s">
        <v>186</v>
      </c>
      <c r="AL52" s="428"/>
    </row>
    <row r="53" spans="1:38" ht="14.25" customHeight="1">
      <c r="A53" s="619"/>
      <c r="B53" s="426"/>
      <c r="C53" s="425"/>
      <c r="D53" s="430" t="s">
        <v>362</v>
      </c>
      <c r="E53" s="431" t="s">
        <v>186</v>
      </c>
      <c r="F53" s="431" t="s">
        <v>186</v>
      </c>
      <c r="G53" s="431" t="s">
        <v>186</v>
      </c>
      <c r="H53" s="431" t="s">
        <v>186</v>
      </c>
      <c r="I53" s="431" t="s">
        <v>186</v>
      </c>
      <c r="J53" s="431" t="s">
        <v>186</v>
      </c>
      <c r="K53" s="431" t="s">
        <v>186</v>
      </c>
      <c r="L53" s="431" t="s">
        <v>186</v>
      </c>
      <c r="M53" s="431" t="s">
        <v>186</v>
      </c>
      <c r="N53" s="431" t="s">
        <v>186</v>
      </c>
      <c r="O53" s="431" t="s">
        <v>186</v>
      </c>
      <c r="P53" s="431" t="s">
        <v>186</v>
      </c>
      <c r="Q53" s="431" t="s">
        <v>186</v>
      </c>
      <c r="R53" s="431" t="s">
        <v>186</v>
      </c>
      <c r="S53" s="431" t="s">
        <v>186</v>
      </c>
      <c r="T53" s="431" t="s">
        <v>186</v>
      </c>
      <c r="U53" s="431" t="s">
        <v>186</v>
      </c>
      <c r="V53" s="431" t="s">
        <v>186</v>
      </c>
      <c r="W53" s="431" t="s">
        <v>186</v>
      </c>
      <c r="X53" s="431" t="s">
        <v>186</v>
      </c>
      <c r="Y53" s="431" t="s">
        <v>186</v>
      </c>
      <c r="Z53" s="431" t="s">
        <v>186</v>
      </c>
      <c r="AA53" s="431" t="s">
        <v>186</v>
      </c>
      <c r="AB53" s="431" t="s">
        <v>186</v>
      </c>
      <c r="AC53" s="431" t="s">
        <v>186</v>
      </c>
      <c r="AD53" s="431" t="s">
        <v>186</v>
      </c>
      <c r="AE53" s="431" t="s">
        <v>186</v>
      </c>
      <c r="AF53" s="431" t="s">
        <v>186</v>
      </c>
      <c r="AG53" s="431" t="s">
        <v>186</v>
      </c>
      <c r="AH53" s="431" t="s">
        <v>186</v>
      </c>
      <c r="AI53" s="431" t="s">
        <v>186</v>
      </c>
      <c r="AJ53" s="431" t="s">
        <v>186</v>
      </c>
      <c r="AK53" s="431" t="s">
        <v>186</v>
      </c>
      <c r="AL53" s="428"/>
    </row>
    <row r="54" spans="1:38" ht="14.25" customHeight="1">
      <c r="A54" s="619">
        <v>2</v>
      </c>
      <c r="B54" s="426"/>
      <c r="C54" s="62" t="s">
        <v>439</v>
      </c>
      <c r="D54" s="430" t="s">
        <v>363</v>
      </c>
      <c r="E54" s="431">
        <f>'Copia de Demandas de energía '!D54*$E$89</f>
        <v>3.8285522927913922</v>
      </c>
      <c r="F54" s="431">
        <f>'Copia de Demandas de energía '!E54*$E$89</f>
        <v>3.849281695514172</v>
      </c>
      <c r="G54" s="431">
        <f>'Copia de Demandas de energía '!F54*$E$89</f>
        <v>1.7414440253750914</v>
      </c>
      <c r="H54" s="431">
        <f>'Copia de Demandas de energía '!G54*$E$89</f>
        <v>2.3650680736738634</v>
      </c>
      <c r="I54" s="431">
        <v>2.4129</v>
      </c>
      <c r="J54" s="431">
        <v>2.4662000000000002</v>
      </c>
      <c r="K54" s="431">
        <v>2.5190000000000001</v>
      </c>
      <c r="L54" s="431">
        <v>2.5689000000000002</v>
      </c>
      <c r="M54" s="431">
        <v>2.6141999999999999</v>
      </c>
      <c r="N54" s="431">
        <v>2.6715</v>
      </c>
      <c r="O54" s="431">
        <v>2.7252000000000001</v>
      </c>
      <c r="P54" s="431">
        <v>2.7707000000000002</v>
      </c>
      <c r="Q54" s="431">
        <v>2.8191000000000002</v>
      </c>
      <c r="R54" s="431">
        <v>2.8791000000000002</v>
      </c>
      <c r="S54" s="431">
        <v>2.9298999999999999</v>
      </c>
      <c r="T54" s="431">
        <v>2.9874000000000001</v>
      </c>
      <c r="U54" s="431">
        <v>3.0377000000000001</v>
      </c>
      <c r="V54" s="431">
        <v>3.0884</v>
      </c>
      <c r="W54" s="431">
        <v>3.1425000000000001</v>
      </c>
      <c r="X54" s="431">
        <v>3.1926000000000001</v>
      </c>
      <c r="Y54" s="431">
        <v>3.2443</v>
      </c>
      <c r="Z54" s="431">
        <v>3.2991999999999999</v>
      </c>
      <c r="AA54" s="431">
        <v>3.3506</v>
      </c>
      <c r="AB54" s="431">
        <v>3.4024000000000001</v>
      </c>
      <c r="AC54" s="431">
        <v>3.4537</v>
      </c>
      <c r="AD54" s="431">
        <v>3.4969999999999999</v>
      </c>
      <c r="AE54" s="431">
        <v>3.5482</v>
      </c>
      <c r="AF54" s="431">
        <v>3.5937999999999999</v>
      </c>
      <c r="AG54" s="431">
        <v>3.6471</v>
      </c>
      <c r="AH54" s="431">
        <v>3.6928000000000001</v>
      </c>
      <c r="AI54" s="431">
        <v>3.7376</v>
      </c>
      <c r="AJ54" s="431">
        <v>3.7831000000000001</v>
      </c>
      <c r="AK54" s="431">
        <v>3.8283999999999998</v>
      </c>
      <c r="AL54" s="431"/>
    </row>
    <row r="55" spans="1:38" ht="14.25" customHeight="1">
      <c r="A55" s="619"/>
      <c r="B55" s="426"/>
      <c r="C55" s="425"/>
      <c r="D55" s="429" t="s">
        <v>13</v>
      </c>
      <c r="E55" s="431">
        <f t="shared" ref="E55:AK55" si="3">SUM(E45:E54)</f>
        <v>5.1970023851231169</v>
      </c>
      <c r="F55" s="431">
        <f t="shared" si="3"/>
        <v>4.8997209754957529</v>
      </c>
      <c r="G55" s="431">
        <f t="shared" si="3"/>
        <v>3.3412710017820739</v>
      </c>
      <c r="H55" s="431">
        <f t="shared" si="3"/>
        <v>4.1976548233864843</v>
      </c>
      <c r="I55" s="431">
        <f t="shared" si="3"/>
        <v>4.4070999999999998</v>
      </c>
      <c r="J55" s="431">
        <f t="shared" si="3"/>
        <v>4.4023000000000003</v>
      </c>
      <c r="K55" s="431">
        <f t="shared" si="3"/>
        <v>4.6622000000000003</v>
      </c>
      <c r="L55" s="431">
        <f t="shared" si="3"/>
        <v>4.6257000000000001</v>
      </c>
      <c r="M55" s="431">
        <f t="shared" si="3"/>
        <v>4.8851999999999993</v>
      </c>
      <c r="N55" s="431">
        <f t="shared" si="3"/>
        <v>4.8629999999999995</v>
      </c>
      <c r="O55" s="431">
        <f t="shared" si="3"/>
        <v>5.1480999999999995</v>
      </c>
      <c r="P55" s="431">
        <f t="shared" si="3"/>
        <v>5.0940000000000003</v>
      </c>
      <c r="Q55" s="431">
        <f t="shared" si="3"/>
        <v>5.3567</v>
      </c>
      <c r="R55" s="431">
        <f t="shared" si="3"/>
        <v>5.3497000000000003</v>
      </c>
      <c r="S55" s="431">
        <f t="shared" si="3"/>
        <v>5.6023999999999994</v>
      </c>
      <c r="T55" s="431">
        <f t="shared" si="3"/>
        <v>5.6068999999999996</v>
      </c>
      <c r="U55" s="431">
        <f t="shared" si="3"/>
        <v>5.8412000000000006</v>
      </c>
      <c r="V55" s="431">
        <f t="shared" si="3"/>
        <v>5.8465000000000007</v>
      </c>
      <c r="W55" s="431">
        <f t="shared" si="3"/>
        <v>6.0750999999999999</v>
      </c>
      <c r="X55" s="431">
        <f t="shared" si="3"/>
        <v>6.0968999999999998</v>
      </c>
      <c r="Y55" s="431">
        <f t="shared" si="3"/>
        <v>6.3050999999999995</v>
      </c>
      <c r="Z55" s="431">
        <f t="shared" si="3"/>
        <v>6.3566000000000003</v>
      </c>
      <c r="AA55" s="431">
        <f t="shared" si="3"/>
        <v>6.5526</v>
      </c>
      <c r="AB55" s="431">
        <f t="shared" si="3"/>
        <v>6.6093000000000002</v>
      </c>
      <c r="AC55" s="431">
        <f t="shared" si="3"/>
        <v>6.7957000000000001</v>
      </c>
      <c r="AD55" s="431">
        <f t="shared" si="3"/>
        <v>6.8399000000000001</v>
      </c>
      <c r="AE55" s="431">
        <f t="shared" si="3"/>
        <v>7.0179</v>
      </c>
      <c r="AF55" s="431">
        <f t="shared" si="3"/>
        <v>7.0794999999999995</v>
      </c>
      <c r="AG55" s="431">
        <f t="shared" si="3"/>
        <v>7.2576999999999998</v>
      </c>
      <c r="AH55" s="431">
        <f t="shared" si="3"/>
        <v>7.3291000000000004</v>
      </c>
      <c r="AI55" s="431">
        <f t="shared" si="3"/>
        <v>7.4770000000000003</v>
      </c>
      <c r="AJ55" s="431">
        <f t="shared" si="3"/>
        <v>7.5564</v>
      </c>
      <c r="AK55" s="431">
        <f t="shared" si="3"/>
        <v>7.7019000000000002</v>
      </c>
      <c r="AL55" s="431"/>
    </row>
    <row r="56" spans="1:38" ht="14.25" customHeight="1">
      <c r="A56" s="619"/>
      <c r="B56" s="426"/>
      <c r="C56" s="425"/>
      <c r="D56" s="434"/>
      <c r="E56" s="425"/>
      <c r="F56" s="425"/>
      <c r="G56" s="425"/>
      <c r="H56" s="425"/>
      <c r="I56" s="425"/>
      <c r="J56" s="425"/>
      <c r="K56" s="425"/>
      <c r="L56" s="425"/>
      <c r="M56" s="425"/>
      <c r="N56" s="425"/>
      <c r="O56" s="425"/>
      <c r="P56" s="425"/>
      <c r="Q56" s="425"/>
      <c r="R56" s="425"/>
      <c r="S56" s="425"/>
      <c r="T56" s="425"/>
      <c r="U56" s="425"/>
      <c r="V56" s="425"/>
      <c r="W56" s="425"/>
      <c r="X56" s="425"/>
      <c r="Y56" s="425"/>
      <c r="Z56" s="425"/>
      <c r="AA56" s="425"/>
      <c r="AB56" s="425"/>
      <c r="AC56" s="425"/>
      <c r="AD56" s="425"/>
      <c r="AE56" s="425"/>
      <c r="AF56" s="425"/>
      <c r="AG56" s="425"/>
      <c r="AH56" s="425"/>
      <c r="AI56" s="425"/>
      <c r="AJ56" s="425"/>
      <c r="AK56" s="425"/>
      <c r="AL56" s="425"/>
    </row>
    <row r="57" spans="1:38" ht="14.25" customHeight="1">
      <c r="A57" s="619"/>
      <c r="B57" s="426"/>
      <c r="C57" s="425"/>
      <c r="D57" s="429" t="s">
        <v>440</v>
      </c>
      <c r="E57" s="428"/>
      <c r="F57" s="428"/>
      <c r="G57" s="428"/>
      <c r="H57" s="428"/>
      <c r="I57" s="428"/>
      <c r="J57" s="428"/>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row>
    <row r="58" spans="1:38" ht="14.25" customHeight="1">
      <c r="A58" s="619"/>
      <c r="B58" s="426"/>
      <c r="C58" s="425"/>
      <c r="D58" s="430" t="s">
        <v>413</v>
      </c>
      <c r="E58" s="431" t="s">
        <v>186</v>
      </c>
      <c r="F58" s="431" t="s">
        <v>186</v>
      </c>
      <c r="G58" s="431" t="s">
        <v>186</v>
      </c>
      <c r="H58" s="431" t="s">
        <v>186</v>
      </c>
      <c r="I58" s="428"/>
      <c r="J58" s="428"/>
      <c r="K58" s="428"/>
      <c r="L58" s="428"/>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row>
    <row r="59" spans="1:38" ht="14.25" customHeight="1">
      <c r="A59" s="619"/>
      <c r="B59" s="426"/>
      <c r="C59" s="62" t="s">
        <v>441</v>
      </c>
      <c r="D59" s="430" t="s">
        <v>415</v>
      </c>
      <c r="E59" s="435">
        <f>'Copia de Demandas de energía '!D59*$E$89</f>
        <v>0.27453468820698873</v>
      </c>
      <c r="F59" s="431">
        <f>'Copia de Demandas de energía '!E59*$E$89</f>
        <v>0.28255511883412587</v>
      </c>
      <c r="G59" s="431">
        <f>'Copia de Demandas de energía '!F59*$E$89</f>
        <v>0.26980482787102172</v>
      </c>
      <c r="H59" s="431">
        <f>'Copia de Demandas de energía '!G59*$E$89</f>
        <v>0.31491248201071131</v>
      </c>
      <c r="I59" s="431">
        <v>0.317</v>
      </c>
      <c r="J59" s="431">
        <v>0.33160000000000001</v>
      </c>
      <c r="K59" s="431">
        <v>0.33429999999999999</v>
      </c>
      <c r="L59" s="431">
        <v>0.34860000000000002</v>
      </c>
      <c r="M59" s="431">
        <v>0.3493</v>
      </c>
      <c r="N59" s="431">
        <v>0.36570000000000003</v>
      </c>
      <c r="O59" s="431">
        <v>0.36930000000000002</v>
      </c>
      <c r="P59" s="431">
        <v>0.38250000000000001</v>
      </c>
      <c r="Q59" s="431">
        <v>0.38529999999999998</v>
      </c>
      <c r="R59" s="431">
        <v>0.40229999999999999</v>
      </c>
      <c r="S59" s="431">
        <v>0.40649999999999997</v>
      </c>
      <c r="T59" s="431">
        <v>0.42249999999999999</v>
      </c>
      <c r="U59" s="431">
        <v>0.42730000000000001</v>
      </c>
      <c r="V59" s="431">
        <v>0.441</v>
      </c>
      <c r="W59" s="431">
        <v>0.44740000000000002</v>
      </c>
      <c r="X59" s="431">
        <v>0.46050000000000002</v>
      </c>
      <c r="Y59" s="431">
        <v>0.46679999999999999</v>
      </c>
      <c r="Z59" s="431">
        <v>0.48080000000000001</v>
      </c>
      <c r="AA59" s="431">
        <v>0.48749999999999999</v>
      </c>
      <c r="AB59" s="431">
        <v>0.50009999999999999</v>
      </c>
      <c r="AC59" s="431">
        <v>0.50719999999999998</v>
      </c>
      <c r="AD59" s="431">
        <v>0.51700000000000002</v>
      </c>
      <c r="AE59" s="431">
        <v>0.52439999999999998</v>
      </c>
      <c r="AF59" s="431">
        <v>0.53449999999999998</v>
      </c>
      <c r="AG59" s="431">
        <v>0.54300000000000004</v>
      </c>
      <c r="AH59" s="431">
        <v>0.55289999999999995</v>
      </c>
      <c r="AI59" s="431">
        <v>0.55920000000000003</v>
      </c>
      <c r="AJ59" s="431">
        <v>0.56889999999999996</v>
      </c>
      <c r="AK59" s="431">
        <v>0.57569999999999999</v>
      </c>
      <c r="AL59" s="431"/>
    </row>
    <row r="60" spans="1:38" ht="14.25" customHeight="1">
      <c r="A60" s="619"/>
      <c r="B60" s="426"/>
      <c r="C60" s="62" t="s">
        <v>442</v>
      </c>
      <c r="D60" s="430" t="s">
        <v>417</v>
      </c>
      <c r="E60" s="431">
        <f>'Copia de Demandas de energía '!D60*$E$89</f>
        <v>9.4607379223717381</v>
      </c>
      <c r="F60" s="431">
        <f>'Copia de Demandas de energía '!E60*$E$89</f>
        <v>9.737129958675478</v>
      </c>
      <c r="G60" s="431">
        <f>'Copia de Demandas de energía '!F60*$E$89</f>
        <v>9.297742280369194</v>
      </c>
      <c r="H60" s="431">
        <f>'Copia de Demandas de energía '!G60*$E$89</f>
        <v>10.852196815581776</v>
      </c>
      <c r="I60" s="431">
        <v>11.262</v>
      </c>
      <c r="J60" s="431">
        <v>11.506</v>
      </c>
      <c r="K60" s="431">
        <v>11.962999999999999</v>
      </c>
      <c r="L60" s="431">
        <v>12.166</v>
      </c>
      <c r="M60" s="431">
        <v>12.552</v>
      </c>
      <c r="N60" s="431">
        <v>12.827</v>
      </c>
      <c r="O60" s="431">
        <v>13.292999999999999</v>
      </c>
      <c r="P60" s="431">
        <v>13.45</v>
      </c>
      <c r="Q60" s="431">
        <v>13.868</v>
      </c>
      <c r="R60" s="431">
        <v>14.182</v>
      </c>
      <c r="S60" s="431">
        <v>14.624000000000001</v>
      </c>
      <c r="T60" s="431">
        <v>14.932</v>
      </c>
      <c r="U60" s="431">
        <v>15.367000000000001</v>
      </c>
      <c r="V60" s="431">
        <v>15.625999999999999</v>
      </c>
      <c r="W60" s="431">
        <v>16.096</v>
      </c>
      <c r="X60" s="431">
        <v>16.364999999999998</v>
      </c>
      <c r="Y60" s="431">
        <v>16.809000000000001</v>
      </c>
      <c r="Z60" s="431">
        <v>17.145</v>
      </c>
      <c r="AA60" s="431">
        <v>17.585000000000001</v>
      </c>
      <c r="AB60" s="431">
        <v>17.905999999999999</v>
      </c>
      <c r="AC60" s="431">
        <v>18.346</v>
      </c>
      <c r="AD60" s="431">
        <v>18.594000000000001</v>
      </c>
      <c r="AE60" s="431">
        <v>19.033999999999999</v>
      </c>
      <c r="AF60" s="431">
        <v>19.321999999999999</v>
      </c>
      <c r="AG60" s="431">
        <v>19.788</v>
      </c>
      <c r="AH60" s="431">
        <v>20.093</v>
      </c>
      <c r="AI60" s="431">
        <v>20.47</v>
      </c>
      <c r="AJ60" s="431">
        <v>20.789000000000001</v>
      </c>
      <c r="AK60" s="431">
        <v>21.175000000000001</v>
      </c>
      <c r="AL60" s="431"/>
    </row>
    <row r="61" spans="1:38" ht="14.25" customHeight="1">
      <c r="A61" s="619"/>
      <c r="B61" s="426"/>
      <c r="C61" s="425"/>
      <c r="D61" s="430" t="s">
        <v>419</v>
      </c>
      <c r="E61" s="431" t="s">
        <v>186</v>
      </c>
      <c r="F61" s="431" t="s">
        <v>186</v>
      </c>
      <c r="G61" s="431" t="s">
        <v>186</v>
      </c>
      <c r="H61" s="431" t="s">
        <v>186</v>
      </c>
      <c r="I61" s="431" t="s">
        <v>186</v>
      </c>
      <c r="J61" s="431" t="s">
        <v>186</v>
      </c>
      <c r="K61" s="431" t="s">
        <v>186</v>
      </c>
      <c r="L61" s="431" t="s">
        <v>186</v>
      </c>
      <c r="M61" s="431" t="s">
        <v>186</v>
      </c>
      <c r="N61" s="431" t="s">
        <v>186</v>
      </c>
      <c r="O61" s="431" t="s">
        <v>186</v>
      </c>
      <c r="P61" s="431" t="s">
        <v>186</v>
      </c>
      <c r="Q61" s="431" t="s">
        <v>186</v>
      </c>
      <c r="R61" s="431" t="s">
        <v>186</v>
      </c>
      <c r="S61" s="431" t="s">
        <v>186</v>
      </c>
      <c r="T61" s="431" t="s">
        <v>186</v>
      </c>
      <c r="U61" s="431" t="s">
        <v>186</v>
      </c>
      <c r="V61" s="431" t="s">
        <v>186</v>
      </c>
      <c r="W61" s="431" t="s">
        <v>186</v>
      </c>
      <c r="X61" s="431" t="s">
        <v>186</v>
      </c>
      <c r="Y61" s="431" t="s">
        <v>186</v>
      </c>
      <c r="Z61" s="431" t="s">
        <v>186</v>
      </c>
      <c r="AA61" s="431" t="s">
        <v>186</v>
      </c>
      <c r="AB61" s="431" t="s">
        <v>186</v>
      </c>
      <c r="AC61" s="431" t="s">
        <v>186</v>
      </c>
      <c r="AD61" s="431" t="s">
        <v>186</v>
      </c>
      <c r="AE61" s="431" t="s">
        <v>186</v>
      </c>
      <c r="AF61" s="431" t="s">
        <v>186</v>
      </c>
      <c r="AG61" s="431" t="s">
        <v>186</v>
      </c>
      <c r="AH61" s="431" t="s">
        <v>186</v>
      </c>
      <c r="AI61" s="431" t="s">
        <v>186</v>
      </c>
      <c r="AJ61" s="431" t="s">
        <v>186</v>
      </c>
      <c r="AK61" s="431" t="s">
        <v>186</v>
      </c>
      <c r="AL61" s="431"/>
    </row>
    <row r="62" spans="1:38" ht="14.25" customHeight="1">
      <c r="A62" s="619"/>
      <c r="B62" s="426"/>
      <c r="C62" s="425"/>
      <c r="D62" s="430" t="s">
        <v>421</v>
      </c>
      <c r="E62" s="431" t="s">
        <v>186</v>
      </c>
      <c r="F62" s="431" t="s">
        <v>186</v>
      </c>
      <c r="G62" s="431" t="s">
        <v>186</v>
      </c>
      <c r="H62" s="431" t="s">
        <v>186</v>
      </c>
      <c r="I62" s="431" t="s">
        <v>186</v>
      </c>
      <c r="J62" s="431" t="s">
        <v>186</v>
      </c>
      <c r="K62" s="431" t="s">
        <v>186</v>
      </c>
      <c r="L62" s="431" t="s">
        <v>186</v>
      </c>
      <c r="M62" s="431" t="s">
        <v>186</v>
      </c>
      <c r="N62" s="431" t="s">
        <v>186</v>
      </c>
      <c r="O62" s="431" t="s">
        <v>186</v>
      </c>
      <c r="P62" s="431" t="s">
        <v>186</v>
      </c>
      <c r="Q62" s="431" t="s">
        <v>186</v>
      </c>
      <c r="R62" s="431" t="s">
        <v>186</v>
      </c>
      <c r="S62" s="431" t="s">
        <v>186</v>
      </c>
      <c r="T62" s="431" t="s">
        <v>186</v>
      </c>
      <c r="U62" s="431" t="s">
        <v>186</v>
      </c>
      <c r="V62" s="431" t="s">
        <v>186</v>
      </c>
      <c r="W62" s="431" t="s">
        <v>186</v>
      </c>
      <c r="X62" s="431" t="s">
        <v>186</v>
      </c>
      <c r="Y62" s="431" t="s">
        <v>186</v>
      </c>
      <c r="Z62" s="431" t="s">
        <v>186</v>
      </c>
      <c r="AA62" s="431" t="s">
        <v>186</v>
      </c>
      <c r="AB62" s="431" t="s">
        <v>186</v>
      </c>
      <c r="AC62" s="431" t="s">
        <v>186</v>
      </c>
      <c r="AD62" s="431" t="s">
        <v>186</v>
      </c>
      <c r="AE62" s="431" t="s">
        <v>186</v>
      </c>
      <c r="AF62" s="431" t="s">
        <v>186</v>
      </c>
      <c r="AG62" s="431" t="s">
        <v>186</v>
      </c>
      <c r="AH62" s="431" t="s">
        <v>186</v>
      </c>
      <c r="AI62" s="431" t="s">
        <v>186</v>
      </c>
      <c r="AJ62" s="431" t="s">
        <v>186</v>
      </c>
      <c r="AK62" s="431" t="s">
        <v>186</v>
      </c>
      <c r="AL62" s="431"/>
    </row>
    <row r="63" spans="1:38" ht="14.25" customHeight="1">
      <c r="A63" s="619"/>
      <c r="B63" s="426"/>
      <c r="C63" s="425"/>
      <c r="D63" s="430" t="s">
        <v>422</v>
      </c>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row>
    <row r="64" spans="1:38" ht="14.25" customHeight="1">
      <c r="A64" s="619"/>
      <c r="B64" s="426"/>
      <c r="C64" s="425"/>
      <c r="D64" s="430" t="s">
        <v>359</v>
      </c>
      <c r="E64" s="431" t="s">
        <v>186</v>
      </c>
      <c r="F64" s="431" t="s">
        <v>186</v>
      </c>
      <c r="G64" s="431" t="s">
        <v>186</v>
      </c>
      <c r="H64" s="431" t="s">
        <v>186</v>
      </c>
      <c r="I64" s="433" t="s">
        <v>186</v>
      </c>
      <c r="J64" s="433" t="s">
        <v>186</v>
      </c>
      <c r="K64" s="433" t="s">
        <v>186</v>
      </c>
      <c r="L64" s="433" t="s">
        <v>186</v>
      </c>
      <c r="M64" s="433" t="s">
        <v>186</v>
      </c>
      <c r="N64" s="433" t="s">
        <v>186</v>
      </c>
      <c r="O64" s="433" t="s">
        <v>186</v>
      </c>
      <c r="P64" s="433" t="s">
        <v>186</v>
      </c>
      <c r="Q64" s="433" t="s">
        <v>186</v>
      </c>
      <c r="R64" s="433" t="s">
        <v>186</v>
      </c>
      <c r="S64" s="433" t="s">
        <v>186</v>
      </c>
      <c r="T64" s="433" t="s">
        <v>186</v>
      </c>
      <c r="U64" s="433" t="s">
        <v>186</v>
      </c>
      <c r="V64" s="433" t="s">
        <v>186</v>
      </c>
      <c r="W64" s="433" t="s">
        <v>186</v>
      </c>
      <c r="X64" s="433" t="s">
        <v>186</v>
      </c>
      <c r="Y64" s="433" t="s">
        <v>186</v>
      </c>
      <c r="Z64" s="433" t="s">
        <v>186</v>
      </c>
      <c r="AA64" s="433" t="s">
        <v>186</v>
      </c>
      <c r="AB64" s="433" t="s">
        <v>186</v>
      </c>
      <c r="AC64" s="433" t="s">
        <v>186</v>
      </c>
      <c r="AD64" s="433" t="s">
        <v>186</v>
      </c>
      <c r="AE64" s="433" t="s">
        <v>186</v>
      </c>
      <c r="AF64" s="433" t="s">
        <v>186</v>
      </c>
      <c r="AG64" s="433" t="s">
        <v>186</v>
      </c>
      <c r="AH64" s="433" t="s">
        <v>186</v>
      </c>
      <c r="AI64" s="433" t="s">
        <v>186</v>
      </c>
      <c r="AJ64" s="433" t="s">
        <v>186</v>
      </c>
      <c r="AK64" s="433" t="s">
        <v>186</v>
      </c>
      <c r="AL64" s="431"/>
    </row>
    <row r="65" spans="1:38" ht="14.25" customHeight="1">
      <c r="A65" s="619"/>
      <c r="B65" s="426"/>
      <c r="C65" s="425"/>
      <c r="D65" s="430" t="s">
        <v>360</v>
      </c>
      <c r="E65" s="431" t="s">
        <v>186</v>
      </c>
      <c r="F65" s="431" t="s">
        <v>186</v>
      </c>
      <c r="G65" s="431" t="s">
        <v>186</v>
      </c>
      <c r="H65" s="431" t="s">
        <v>186</v>
      </c>
      <c r="I65" s="433" t="s">
        <v>186</v>
      </c>
      <c r="J65" s="433" t="s">
        <v>186</v>
      </c>
      <c r="K65" s="433" t="s">
        <v>186</v>
      </c>
      <c r="L65" s="433" t="s">
        <v>186</v>
      </c>
      <c r="M65" s="433" t="s">
        <v>186</v>
      </c>
      <c r="N65" s="433" t="s">
        <v>186</v>
      </c>
      <c r="O65" s="433" t="s">
        <v>186</v>
      </c>
      <c r="P65" s="433" t="s">
        <v>186</v>
      </c>
      <c r="Q65" s="433" t="s">
        <v>186</v>
      </c>
      <c r="R65" s="433" t="s">
        <v>186</v>
      </c>
      <c r="S65" s="433" t="s">
        <v>186</v>
      </c>
      <c r="T65" s="433" t="s">
        <v>186</v>
      </c>
      <c r="U65" s="433" t="s">
        <v>186</v>
      </c>
      <c r="V65" s="433" t="s">
        <v>186</v>
      </c>
      <c r="W65" s="433" t="s">
        <v>186</v>
      </c>
      <c r="X65" s="433" t="s">
        <v>186</v>
      </c>
      <c r="Y65" s="433" t="s">
        <v>186</v>
      </c>
      <c r="Z65" s="433" t="s">
        <v>186</v>
      </c>
      <c r="AA65" s="433" t="s">
        <v>186</v>
      </c>
      <c r="AB65" s="433" t="s">
        <v>186</v>
      </c>
      <c r="AC65" s="433" t="s">
        <v>186</v>
      </c>
      <c r="AD65" s="433" t="s">
        <v>186</v>
      </c>
      <c r="AE65" s="433" t="s">
        <v>186</v>
      </c>
      <c r="AF65" s="433" t="s">
        <v>186</v>
      </c>
      <c r="AG65" s="433" t="s">
        <v>186</v>
      </c>
      <c r="AH65" s="433" t="s">
        <v>186</v>
      </c>
      <c r="AI65" s="433" t="s">
        <v>186</v>
      </c>
      <c r="AJ65" s="433" t="s">
        <v>186</v>
      </c>
      <c r="AK65" s="433" t="s">
        <v>186</v>
      </c>
      <c r="AL65" s="431"/>
    </row>
    <row r="66" spans="1:38" ht="14.25" customHeight="1">
      <c r="A66" s="619"/>
      <c r="B66" s="426"/>
      <c r="C66" s="62" t="s">
        <v>443</v>
      </c>
      <c r="D66" s="430" t="s">
        <v>362</v>
      </c>
      <c r="E66" s="431">
        <f>'Copia de Demandas de energía '!D66*$E$89</f>
        <v>0.37022597131778134</v>
      </c>
      <c r="F66" s="431">
        <f>'Copia de Demandas de energía '!E66*$E$89</f>
        <v>0.36906466024087492</v>
      </c>
      <c r="G66" s="431">
        <f>'Copia de Demandas de energía '!F66*$E$89</f>
        <v>0.18720334559732232</v>
      </c>
      <c r="H66" s="431" t="s">
        <v>186</v>
      </c>
      <c r="I66" s="431">
        <v>0.36430000000000001</v>
      </c>
      <c r="J66" s="431">
        <v>0.37559999999999999</v>
      </c>
      <c r="K66" s="431">
        <v>0.38690000000000002</v>
      </c>
      <c r="L66" s="431">
        <v>0.39729999999999999</v>
      </c>
      <c r="M66" s="431">
        <v>0.40649999999999997</v>
      </c>
      <c r="N66" s="431">
        <v>0.4194</v>
      </c>
      <c r="O66" s="431">
        <v>0.43130000000000002</v>
      </c>
      <c r="P66" s="431">
        <v>0.44080000000000003</v>
      </c>
      <c r="Q66" s="431">
        <v>0.45129999999999998</v>
      </c>
      <c r="R66" s="431">
        <v>0.46560000000000001</v>
      </c>
      <c r="S66" s="431">
        <v>0.47710000000000002</v>
      </c>
      <c r="T66" s="431">
        <v>0.4909</v>
      </c>
      <c r="U66" s="431">
        <v>0.50249999999999995</v>
      </c>
      <c r="V66" s="431">
        <v>0.51439999999999997</v>
      </c>
      <c r="W66" s="431">
        <v>0.52749999999999997</v>
      </c>
      <c r="X66" s="431">
        <v>0.53949999999999998</v>
      </c>
      <c r="Y66" s="431">
        <v>0.55210000000000004</v>
      </c>
      <c r="Z66" s="431">
        <v>0.56610000000000005</v>
      </c>
      <c r="AA66" s="431">
        <v>0.57889999999999997</v>
      </c>
      <c r="AB66" s="431">
        <v>0.59209999999999996</v>
      </c>
      <c r="AC66" s="431">
        <v>0.60529999999999995</v>
      </c>
      <c r="AD66" s="431">
        <v>0.6159</v>
      </c>
      <c r="AE66" s="431">
        <v>0.62939999999999996</v>
      </c>
      <c r="AF66" s="431">
        <v>0.6411</v>
      </c>
      <c r="AG66" s="431">
        <v>0.65580000000000005</v>
      </c>
      <c r="AH66" s="431">
        <v>0.66790000000000005</v>
      </c>
      <c r="AI66" s="431">
        <v>0.67979999999999996</v>
      </c>
      <c r="AJ66" s="431">
        <v>0.69220000000000004</v>
      </c>
      <c r="AK66" s="431">
        <v>0.70469999999999999</v>
      </c>
      <c r="AL66" s="431"/>
    </row>
    <row r="67" spans="1:38" ht="14.25" customHeight="1">
      <c r="A67" s="619"/>
      <c r="B67" s="426"/>
      <c r="C67" s="425"/>
      <c r="D67" s="430" t="s">
        <v>363</v>
      </c>
      <c r="E67" s="431" t="s">
        <v>186</v>
      </c>
      <c r="F67" s="431" t="s">
        <v>186</v>
      </c>
      <c r="G67" s="431" t="s">
        <v>186</v>
      </c>
      <c r="H67" s="431" t="s">
        <v>186</v>
      </c>
      <c r="I67" s="431"/>
      <c r="J67" s="431"/>
      <c r="K67" s="431"/>
      <c r="L67" s="431"/>
      <c r="M67" s="431"/>
      <c r="N67" s="431"/>
      <c r="O67" s="431"/>
      <c r="P67" s="431"/>
      <c r="Q67" s="431"/>
      <c r="R67" s="431"/>
      <c r="S67" s="431"/>
      <c r="T67" s="431"/>
      <c r="U67" s="431"/>
      <c r="V67" s="431"/>
      <c r="W67" s="431"/>
      <c r="X67" s="431"/>
      <c r="Y67" s="431"/>
      <c r="Z67" s="431"/>
      <c r="AA67" s="431"/>
      <c r="AB67" s="431"/>
      <c r="AC67" s="431"/>
      <c r="AD67" s="431"/>
      <c r="AE67" s="431"/>
      <c r="AF67" s="431"/>
      <c r="AG67" s="431"/>
      <c r="AH67" s="431"/>
      <c r="AI67" s="431"/>
      <c r="AJ67" s="431"/>
      <c r="AK67" s="431"/>
      <c r="AL67" s="431"/>
    </row>
    <row r="68" spans="1:38" ht="14.25" customHeight="1">
      <c r="A68" s="619"/>
      <c r="B68" s="426"/>
      <c r="C68" s="425"/>
      <c r="D68" s="429" t="s">
        <v>13</v>
      </c>
      <c r="E68" s="431">
        <f t="shared" ref="E68:AK68" si="4">SUM(E58:E67)</f>
        <v>10.105498581896509</v>
      </c>
      <c r="F68" s="431">
        <f t="shared" si="4"/>
        <v>10.388749737750478</v>
      </c>
      <c r="G68" s="431">
        <f t="shared" si="4"/>
        <v>9.7547504538375378</v>
      </c>
      <c r="H68" s="431">
        <f t="shared" si="4"/>
        <v>11.167109297592487</v>
      </c>
      <c r="I68" s="431">
        <f t="shared" si="4"/>
        <v>11.943300000000001</v>
      </c>
      <c r="J68" s="431">
        <f t="shared" si="4"/>
        <v>12.213200000000001</v>
      </c>
      <c r="K68" s="431">
        <f t="shared" si="4"/>
        <v>12.684200000000001</v>
      </c>
      <c r="L68" s="431">
        <f t="shared" si="4"/>
        <v>12.911899999999999</v>
      </c>
      <c r="M68" s="431">
        <f t="shared" si="4"/>
        <v>13.307799999999999</v>
      </c>
      <c r="N68" s="431">
        <f t="shared" si="4"/>
        <v>13.6121</v>
      </c>
      <c r="O68" s="431">
        <f t="shared" si="4"/>
        <v>14.0936</v>
      </c>
      <c r="P68" s="431">
        <f t="shared" si="4"/>
        <v>14.273299999999999</v>
      </c>
      <c r="Q68" s="431">
        <f t="shared" si="4"/>
        <v>14.704599999999999</v>
      </c>
      <c r="R68" s="431">
        <f t="shared" si="4"/>
        <v>15.049900000000001</v>
      </c>
      <c r="S68" s="431">
        <f t="shared" si="4"/>
        <v>15.5076</v>
      </c>
      <c r="T68" s="431">
        <f t="shared" si="4"/>
        <v>15.8454</v>
      </c>
      <c r="U68" s="431">
        <f t="shared" si="4"/>
        <v>16.296800000000001</v>
      </c>
      <c r="V68" s="431">
        <f t="shared" si="4"/>
        <v>16.581399999999999</v>
      </c>
      <c r="W68" s="431">
        <f t="shared" si="4"/>
        <v>17.070899999999998</v>
      </c>
      <c r="X68" s="431">
        <f t="shared" si="4"/>
        <v>17.364999999999998</v>
      </c>
      <c r="Y68" s="431">
        <f t="shared" si="4"/>
        <v>17.8279</v>
      </c>
      <c r="Z68" s="431">
        <f t="shared" si="4"/>
        <v>18.191899999999997</v>
      </c>
      <c r="AA68" s="431">
        <f t="shared" si="4"/>
        <v>18.651400000000002</v>
      </c>
      <c r="AB68" s="431">
        <f t="shared" si="4"/>
        <v>18.998199999999997</v>
      </c>
      <c r="AC68" s="431">
        <f t="shared" si="4"/>
        <v>19.458500000000001</v>
      </c>
      <c r="AD68" s="431">
        <f t="shared" si="4"/>
        <v>19.726900000000001</v>
      </c>
      <c r="AE68" s="431">
        <f t="shared" si="4"/>
        <v>20.187799999999999</v>
      </c>
      <c r="AF68" s="431">
        <f t="shared" si="4"/>
        <v>20.497600000000002</v>
      </c>
      <c r="AG68" s="431">
        <f t="shared" si="4"/>
        <v>20.986799999999999</v>
      </c>
      <c r="AH68" s="431">
        <f t="shared" si="4"/>
        <v>21.313800000000001</v>
      </c>
      <c r="AI68" s="431">
        <f t="shared" si="4"/>
        <v>21.709</v>
      </c>
      <c r="AJ68" s="431">
        <f t="shared" si="4"/>
        <v>22.0501</v>
      </c>
      <c r="AK68" s="431">
        <f t="shared" si="4"/>
        <v>22.455400000000001</v>
      </c>
      <c r="AL68" s="431"/>
    </row>
    <row r="69" spans="1:38" ht="14.25" customHeight="1">
      <c r="A69" s="619"/>
      <c r="B69" s="426"/>
      <c r="C69" s="425"/>
      <c r="D69" s="434"/>
      <c r="E69" s="425"/>
      <c r="F69" s="425"/>
      <c r="G69" s="425"/>
      <c r="H69" s="425"/>
      <c r="I69" s="425"/>
      <c r="J69" s="425"/>
      <c r="K69" s="425"/>
      <c r="L69" s="425"/>
      <c r="M69" s="425"/>
      <c r="N69" s="425"/>
      <c r="O69" s="425"/>
      <c r="P69" s="425"/>
      <c r="Q69" s="425"/>
      <c r="R69" s="425"/>
      <c r="S69" s="425"/>
      <c r="T69" s="425"/>
      <c r="U69" s="425"/>
      <c r="V69" s="425"/>
      <c r="W69" s="425"/>
      <c r="X69" s="425"/>
      <c r="Y69" s="425"/>
      <c r="Z69" s="425"/>
      <c r="AA69" s="425"/>
      <c r="AB69" s="425"/>
      <c r="AC69" s="425"/>
      <c r="AD69" s="425"/>
      <c r="AE69" s="425"/>
      <c r="AF69" s="425"/>
      <c r="AG69" s="425"/>
      <c r="AH69" s="425"/>
      <c r="AI69" s="425"/>
      <c r="AJ69" s="425"/>
      <c r="AK69" s="425"/>
      <c r="AL69" s="425"/>
    </row>
    <row r="70" spans="1:38" ht="14.25" customHeight="1">
      <c r="A70" s="619"/>
      <c r="B70" s="426"/>
      <c r="C70" s="425"/>
      <c r="D70" s="429" t="s">
        <v>444</v>
      </c>
      <c r="E70" s="428"/>
      <c r="F70" s="437"/>
      <c r="G70" s="438"/>
      <c r="H70" s="438"/>
      <c r="I70" s="428"/>
      <c r="J70" s="42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row>
    <row r="71" spans="1:38" ht="14.25" customHeight="1">
      <c r="A71" s="619"/>
      <c r="B71" s="426"/>
      <c r="C71" s="62" t="s">
        <v>445</v>
      </c>
      <c r="D71" s="430" t="s">
        <v>417</v>
      </c>
      <c r="E71" s="431">
        <f>'Copia de Demandas de energía '!D71*$E$89</f>
        <v>1.9633782832774673</v>
      </c>
      <c r="F71" s="431">
        <f>'Copia de Demandas de energía '!E71*$E$89</f>
        <v>1.5793630784291601</v>
      </c>
      <c r="G71" s="431">
        <f>'Copia de Demandas de energía '!F71*$E$89</f>
        <v>0.94433599472858032</v>
      </c>
      <c r="H71" s="431">
        <f>'Copia de Demandas de energía '!G71*$E$89</f>
        <v>1.6548595399193049</v>
      </c>
      <c r="I71" s="431">
        <v>1.7174</v>
      </c>
      <c r="J71" s="431">
        <v>1.7545999999999999</v>
      </c>
      <c r="K71" s="431">
        <v>1.8243</v>
      </c>
      <c r="L71" s="431">
        <v>1.8552</v>
      </c>
      <c r="M71" s="431">
        <v>1.9139999999999999</v>
      </c>
      <c r="N71" s="431">
        <v>1.9560999999999999</v>
      </c>
      <c r="O71" s="431">
        <v>2.0270999999999999</v>
      </c>
      <c r="P71" s="431">
        <v>2.0510000000000002</v>
      </c>
      <c r="Q71" s="431">
        <v>2.1147</v>
      </c>
      <c r="R71" s="431">
        <v>2.1627000000000001</v>
      </c>
      <c r="S71" s="431">
        <v>2.23</v>
      </c>
      <c r="T71" s="431">
        <v>2.2768999999999999</v>
      </c>
      <c r="U71" s="431">
        <v>2.3433000000000002</v>
      </c>
      <c r="V71" s="431">
        <v>2.3826999999999998</v>
      </c>
      <c r="W71" s="431">
        <v>2.4544000000000001</v>
      </c>
      <c r="X71" s="431">
        <v>2.4954999999999998</v>
      </c>
      <c r="Y71" s="431">
        <v>2.5632000000000001</v>
      </c>
      <c r="Z71" s="431">
        <v>2.6145</v>
      </c>
      <c r="AA71" s="431">
        <v>2.6815000000000002</v>
      </c>
      <c r="AB71" s="431">
        <v>2.7305000000000001</v>
      </c>
      <c r="AC71" s="431">
        <v>2.7974999999999999</v>
      </c>
      <c r="AD71" s="431">
        <v>2.8355000000000001</v>
      </c>
      <c r="AE71" s="431">
        <v>2.9024000000000001</v>
      </c>
      <c r="AF71" s="431">
        <v>2.9464000000000001</v>
      </c>
      <c r="AG71" s="431">
        <v>3.0173999999999999</v>
      </c>
      <c r="AH71" s="431">
        <v>3.0640000000000001</v>
      </c>
      <c r="AI71" s="431">
        <v>3.1214</v>
      </c>
      <c r="AJ71" s="431">
        <v>3.1701000000000001</v>
      </c>
      <c r="AK71" s="431">
        <v>3.2290000000000001</v>
      </c>
      <c r="AL71" s="431"/>
    </row>
    <row r="72" spans="1:38" ht="14.25" customHeight="1">
      <c r="A72" s="619"/>
      <c r="B72" s="426"/>
      <c r="C72" s="62" t="s">
        <v>446</v>
      </c>
      <c r="D72" s="430" t="s">
        <v>413</v>
      </c>
      <c r="E72" s="431">
        <f>'Copia de Demandas de energía '!D72*$E$89</f>
        <v>2.1965065231681419E-2</v>
      </c>
      <c r="F72" s="431">
        <f>'Copia de Demandas de energía '!E72*$E$89</f>
        <v>2.0567028672531788E-2</v>
      </c>
      <c r="G72" s="431">
        <f>'Copia de Demandas de energía '!F72*$E$89</f>
        <v>1.9008262653815083E-2</v>
      </c>
      <c r="H72" s="431">
        <f>'Copia de Demandas de energía '!G72*$E$89</f>
        <v>2.3492363900933837E-2</v>
      </c>
      <c r="I72" s="431">
        <v>2.3800000000000002E-2</v>
      </c>
      <c r="J72" s="431">
        <v>2.41E-2</v>
      </c>
      <c r="K72" s="431">
        <v>2.4400000000000002E-2</v>
      </c>
      <c r="L72" s="431">
        <v>2.47E-2</v>
      </c>
      <c r="M72" s="431">
        <v>2.5000000000000001E-2</v>
      </c>
      <c r="N72" s="431">
        <v>2.53E-2</v>
      </c>
      <c r="O72" s="431">
        <v>2.5600000000000001E-2</v>
      </c>
      <c r="P72" s="431">
        <v>2.5899999999999999E-2</v>
      </c>
      <c r="Q72" s="431">
        <v>2.6200000000000001E-2</v>
      </c>
      <c r="R72" s="431">
        <v>2.6499999999999999E-2</v>
      </c>
      <c r="S72" s="431">
        <v>2.6800000000000001E-2</v>
      </c>
      <c r="T72" s="431">
        <v>2.7099999999999999E-2</v>
      </c>
      <c r="U72" s="431">
        <v>2.7300000000000001E-2</v>
      </c>
      <c r="V72" s="431">
        <v>2.76E-2</v>
      </c>
      <c r="W72" s="431">
        <v>2.7900000000000001E-2</v>
      </c>
      <c r="X72" s="431">
        <v>2.81E-2</v>
      </c>
      <c r="Y72" s="431">
        <v>2.8400000000000002E-2</v>
      </c>
      <c r="Z72" s="431">
        <v>2.86E-2</v>
      </c>
      <c r="AA72" s="431">
        <v>2.8899999999999999E-2</v>
      </c>
      <c r="AB72" s="431">
        <v>2.9100000000000001E-2</v>
      </c>
      <c r="AC72" s="431">
        <v>2.93E-2</v>
      </c>
      <c r="AD72" s="431">
        <v>2.9499999999999998E-2</v>
      </c>
      <c r="AE72" s="431">
        <v>2.98E-2</v>
      </c>
      <c r="AF72" s="431">
        <v>0.03</v>
      </c>
      <c r="AG72" s="431">
        <v>3.0200000000000001E-2</v>
      </c>
      <c r="AH72" s="431">
        <v>3.04E-2</v>
      </c>
      <c r="AI72" s="431">
        <v>3.0599999999999999E-2</v>
      </c>
      <c r="AJ72" s="431">
        <v>3.0800000000000001E-2</v>
      </c>
      <c r="AK72" s="431">
        <v>3.09E-2</v>
      </c>
      <c r="AL72" s="431"/>
    </row>
    <row r="73" spans="1:38" ht="14.25" customHeight="1">
      <c r="A73" s="619"/>
      <c r="B73" s="426"/>
      <c r="C73" s="425"/>
      <c r="D73" s="429" t="s">
        <v>13</v>
      </c>
      <c r="E73" s="431">
        <f t="shared" ref="E73:H73" si="5">SUM(E71:E72)</f>
        <v>1.9853433485091487</v>
      </c>
      <c r="F73" s="431">
        <f t="shared" si="5"/>
        <v>1.5999301071016918</v>
      </c>
      <c r="G73" s="431">
        <f t="shared" si="5"/>
        <v>0.96334425738239537</v>
      </c>
      <c r="H73" s="431">
        <f t="shared" si="5"/>
        <v>1.6783519038202388</v>
      </c>
      <c r="I73" s="431">
        <v>1.74</v>
      </c>
      <c r="J73" s="431">
        <v>1.78</v>
      </c>
      <c r="K73" s="431">
        <v>1.85</v>
      </c>
      <c r="L73" s="431">
        <v>1.88</v>
      </c>
      <c r="M73" s="431">
        <v>1.94</v>
      </c>
      <c r="N73" s="431">
        <v>1.98</v>
      </c>
      <c r="O73" s="431">
        <v>2.0499999999999998</v>
      </c>
      <c r="P73" s="431">
        <v>2.08</v>
      </c>
      <c r="Q73" s="431">
        <v>2.14</v>
      </c>
      <c r="R73" s="431">
        <v>2.19</v>
      </c>
      <c r="S73" s="431">
        <v>2.2599999999999998</v>
      </c>
      <c r="T73" s="431">
        <v>2.2999999999999998</v>
      </c>
      <c r="U73" s="431">
        <v>2.37</v>
      </c>
      <c r="V73" s="431">
        <v>2.41</v>
      </c>
      <c r="W73" s="431">
        <v>2.48</v>
      </c>
      <c r="X73" s="431">
        <v>2.52</v>
      </c>
      <c r="Y73" s="431">
        <v>2.59</v>
      </c>
      <c r="Z73" s="431">
        <v>2.64</v>
      </c>
      <c r="AA73" s="431">
        <v>2.71</v>
      </c>
      <c r="AB73" s="431">
        <v>2.76</v>
      </c>
      <c r="AC73" s="431">
        <v>2.83</v>
      </c>
      <c r="AD73" s="431">
        <v>2.87</v>
      </c>
      <c r="AE73" s="431">
        <v>2.93</v>
      </c>
      <c r="AF73" s="431">
        <v>2.98</v>
      </c>
      <c r="AG73" s="431">
        <v>3.05</v>
      </c>
      <c r="AH73" s="431">
        <v>3.09</v>
      </c>
      <c r="AI73" s="431">
        <v>3.15</v>
      </c>
      <c r="AJ73" s="431">
        <v>3.2</v>
      </c>
      <c r="AK73" s="431">
        <v>3.26</v>
      </c>
      <c r="AL73" s="431"/>
    </row>
    <row r="74" spans="1:38" ht="14.25" customHeight="1">
      <c r="A74" s="619"/>
      <c r="B74" s="426"/>
      <c r="C74" s="425"/>
      <c r="D74" s="434"/>
      <c r="E74" s="425"/>
      <c r="F74" s="439"/>
      <c r="G74" s="439"/>
      <c r="H74" s="439"/>
      <c r="I74" s="439"/>
      <c r="J74" s="439"/>
      <c r="K74" s="439"/>
      <c r="L74" s="439"/>
      <c r="M74" s="439"/>
      <c r="N74" s="439"/>
      <c r="O74" s="439"/>
      <c r="P74" s="439"/>
      <c r="Q74" s="439"/>
      <c r="R74" s="439"/>
      <c r="S74" s="439"/>
      <c r="T74" s="439"/>
      <c r="U74" s="439"/>
      <c r="V74" s="439"/>
      <c r="W74" s="439"/>
      <c r="X74" s="439"/>
      <c r="Y74" s="439"/>
      <c r="Z74" s="439"/>
      <c r="AA74" s="439"/>
      <c r="AB74" s="439"/>
      <c r="AC74" s="439"/>
      <c r="AD74" s="439"/>
      <c r="AE74" s="439"/>
      <c r="AF74" s="439"/>
      <c r="AG74" s="439"/>
      <c r="AH74" s="439"/>
      <c r="AI74" s="439"/>
      <c r="AJ74" s="439"/>
      <c r="AK74" s="439"/>
      <c r="AL74" s="439"/>
    </row>
    <row r="75" spans="1:38" ht="14.25" customHeight="1">
      <c r="A75" s="619"/>
      <c r="B75" s="426"/>
      <c r="C75" s="425"/>
      <c r="D75" s="429" t="s">
        <v>447</v>
      </c>
      <c r="E75" s="428"/>
      <c r="F75" s="428"/>
      <c r="G75" s="428"/>
      <c r="H75" s="428"/>
      <c r="I75" s="428"/>
      <c r="J75" s="428"/>
      <c r="K75" s="428"/>
      <c r="L75" s="428"/>
      <c r="M75" s="428"/>
      <c r="N75" s="42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28"/>
      <c r="AL75" s="428"/>
    </row>
    <row r="76" spans="1:38" ht="14.25" customHeight="1">
      <c r="A76" s="619"/>
      <c r="B76" s="426"/>
      <c r="C76" s="62" t="s">
        <v>448</v>
      </c>
      <c r="D76" s="430" t="s">
        <v>449</v>
      </c>
      <c r="E76" s="431">
        <f>'Copia de Demandas de energía '!D76*$E$89</f>
        <v>2.0379768422691695</v>
      </c>
      <c r="F76" s="431">
        <f>'Copia de Demandas de energía '!E76*$E$89</f>
        <v>2.0787363758628818</v>
      </c>
      <c r="G76" s="431">
        <f>'Copia de Demandas de energía '!F76*$E$89</f>
        <v>2.1203111033801396</v>
      </c>
      <c r="H76" s="431">
        <f>'Copia de Demandas de energía '!G76*$E$89</f>
        <v>2.1627173296284621</v>
      </c>
      <c r="I76" s="431">
        <v>2.2400000000000002</v>
      </c>
      <c r="J76" s="431">
        <v>2.29</v>
      </c>
      <c r="K76" s="431">
        <v>2.38</v>
      </c>
      <c r="L76" s="431">
        <v>2.42</v>
      </c>
      <c r="M76" s="431">
        <v>2.5</v>
      </c>
      <c r="N76" s="431">
        <v>2.56</v>
      </c>
      <c r="O76" s="431">
        <v>2.65</v>
      </c>
      <c r="P76" s="431">
        <v>2.68</v>
      </c>
      <c r="Q76" s="431">
        <v>2.76</v>
      </c>
      <c r="R76" s="431">
        <v>2.83</v>
      </c>
      <c r="S76" s="431">
        <v>2.91</v>
      </c>
      <c r="T76" s="431">
        <v>2.98</v>
      </c>
      <c r="U76" s="431">
        <v>3.06</v>
      </c>
      <c r="V76" s="431">
        <v>3.11</v>
      </c>
      <c r="W76" s="431">
        <v>3.21</v>
      </c>
      <c r="X76" s="431">
        <v>3.26</v>
      </c>
      <c r="Y76" s="431">
        <v>3.35</v>
      </c>
      <c r="Z76" s="431">
        <v>3.42</v>
      </c>
      <c r="AA76" s="431">
        <v>3.5</v>
      </c>
      <c r="AB76" s="431">
        <v>3.57</v>
      </c>
      <c r="AC76" s="431">
        <v>3.66</v>
      </c>
      <c r="AD76" s="431">
        <v>3.71</v>
      </c>
      <c r="AE76" s="431">
        <v>3.79</v>
      </c>
      <c r="AF76" s="431">
        <v>3.85</v>
      </c>
      <c r="AG76" s="431">
        <v>3.94</v>
      </c>
      <c r="AH76" s="431">
        <v>4</v>
      </c>
      <c r="AI76" s="431">
        <v>4.08</v>
      </c>
      <c r="AJ76" s="431">
        <v>4.1399999999999997</v>
      </c>
      <c r="AK76" s="431">
        <v>4.22</v>
      </c>
      <c r="AL76" s="431"/>
    </row>
    <row r="77" spans="1:38" ht="14.25" customHeight="1">
      <c r="A77" s="619"/>
      <c r="B77" s="426"/>
      <c r="C77" s="62" t="s">
        <v>450</v>
      </c>
      <c r="D77" s="430" t="s">
        <v>413</v>
      </c>
      <c r="E77" s="431">
        <f>'Copia de Demandas de energía '!D77*$E$89</f>
        <v>8.083132134801458</v>
      </c>
      <c r="F77" s="431">
        <f>'Copia de Demandas de energía '!E77*$E$89</f>
        <v>7.7306765455825008</v>
      </c>
      <c r="G77" s="431">
        <f>'Copia de Demandas de energía '!F77*$E$89</f>
        <v>7.3405654446948496</v>
      </c>
      <c r="H77" s="431">
        <f>'Copia de Demandas de energía '!G77*$E$89</f>
        <v>6.9271079265726101</v>
      </c>
      <c r="I77" s="431">
        <v>7.04</v>
      </c>
      <c r="J77" s="431">
        <v>7.16</v>
      </c>
      <c r="K77" s="431">
        <v>7.28</v>
      </c>
      <c r="L77" s="431">
        <v>7.4</v>
      </c>
      <c r="M77" s="431">
        <v>7.52</v>
      </c>
      <c r="N77" s="431">
        <v>7.65</v>
      </c>
      <c r="O77" s="431">
        <v>7.77</v>
      </c>
      <c r="P77" s="431">
        <v>7.9</v>
      </c>
      <c r="Q77" s="431">
        <v>8.02</v>
      </c>
      <c r="R77" s="431">
        <v>8.15</v>
      </c>
      <c r="S77" s="431">
        <v>8.2799999999999994</v>
      </c>
      <c r="T77" s="431">
        <v>8.41</v>
      </c>
      <c r="U77" s="431">
        <v>8.5399999999999991</v>
      </c>
      <c r="V77" s="431">
        <v>8.67</v>
      </c>
      <c r="W77" s="431">
        <v>8.81</v>
      </c>
      <c r="X77" s="431">
        <v>8.94</v>
      </c>
      <c r="Y77" s="431">
        <v>9.07</v>
      </c>
      <c r="Z77" s="431">
        <v>9.2100000000000009</v>
      </c>
      <c r="AA77" s="431">
        <v>9.34</v>
      </c>
      <c r="AB77" s="431">
        <v>9.48</v>
      </c>
      <c r="AC77" s="431">
        <v>9.61</v>
      </c>
      <c r="AD77" s="431">
        <v>9.75</v>
      </c>
      <c r="AE77" s="431">
        <v>9.8800000000000008</v>
      </c>
      <c r="AF77" s="431">
        <v>10.02</v>
      </c>
      <c r="AG77" s="431">
        <v>10.15</v>
      </c>
      <c r="AH77" s="431">
        <v>10.28</v>
      </c>
      <c r="AI77" s="431">
        <v>10.41</v>
      </c>
      <c r="AJ77" s="431">
        <v>10.53</v>
      </c>
      <c r="AK77" s="431">
        <v>10.65</v>
      </c>
      <c r="AL77" s="431"/>
    </row>
    <row r="78" spans="1:38" ht="14.25" customHeight="1">
      <c r="A78" s="619"/>
      <c r="B78" s="426"/>
      <c r="C78" s="425"/>
      <c r="D78" s="429" t="s">
        <v>13</v>
      </c>
      <c r="E78" s="431">
        <f t="shared" ref="E78:H78" si="6">SUM(E76:E77)</f>
        <v>10.121108977070627</v>
      </c>
      <c r="F78" s="431">
        <f t="shared" si="6"/>
        <v>9.8094129214453822</v>
      </c>
      <c r="G78" s="431">
        <f t="shared" si="6"/>
        <v>9.4608765480749888</v>
      </c>
      <c r="H78" s="431">
        <f t="shared" si="6"/>
        <v>9.0898252562010722</v>
      </c>
      <c r="I78" s="431">
        <v>9.2899999999999991</v>
      </c>
      <c r="J78" s="431">
        <v>9.4499999999999993</v>
      </c>
      <c r="K78" s="431">
        <v>9.66</v>
      </c>
      <c r="L78" s="431">
        <v>9.83</v>
      </c>
      <c r="M78" s="431">
        <v>10.02</v>
      </c>
      <c r="N78" s="431">
        <v>10.199999999999999</v>
      </c>
      <c r="O78" s="431">
        <v>10.42</v>
      </c>
      <c r="P78" s="431">
        <v>10.58</v>
      </c>
      <c r="Q78" s="431">
        <v>10.79</v>
      </c>
      <c r="R78" s="431">
        <v>10.98</v>
      </c>
      <c r="S78" s="431">
        <v>11.2</v>
      </c>
      <c r="T78" s="431">
        <v>11.39</v>
      </c>
      <c r="U78" s="431">
        <v>11.61</v>
      </c>
      <c r="V78" s="431">
        <v>11.79</v>
      </c>
      <c r="W78" s="431">
        <v>12.02</v>
      </c>
      <c r="X78" s="431">
        <v>12.2</v>
      </c>
      <c r="Y78" s="431">
        <v>12.42</v>
      </c>
      <c r="Z78" s="431">
        <v>12.63</v>
      </c>
      <c r="AA78" s="431">
        <v>12.85</v>
      </c>
      <c r="AB78" s="431">
        <v>13.05</v>
      </c>
      <c r="AC78" s="431">
        <v>13.27</v>
      </c>
      <c r="AD78" s="431">
        <v>13.45</v>
      </c>
      <c r="AE78" s="431">
        <v>13.68</v>
      </c>
      <c r="AF78" s="431">
        <v>13.87</v>
      </c>
      <c r="AG78" s="431">
        <v>14.09</v>
      </c>
      <c r="AH78" s="431">
        <v>14.28</v>
      </c>
      <c r="AI78" s="431">
        <v>14.48</v>
      </c>
      <c r="AJ78" s="431">
        <v>14.67</v>
      </c>
      <c r="AK78" s="431">
        <v>14.87</v>
      </c>
      <c r="AL78" s="431"/>
    </row>
    <row r="79" spans="1:38" ht="14.25" customHeight="1">
      <c r="A79" s="619"/>
      <c r="B79" s="426"/>
      <c r="C79" s="425"/>
      <c r="D79" s="434"/>
      <c r="E79" s="425"/>
      <c r="F79" s="439"/>
      <c r="G79" s="439"/>
      <c r="H79" s="439"/>
      <c r="I79" s="439"/>
      <c r="J79" s="439"/>
      <c r="K79" s="439"/>
      <c r="L79" s="439"/>
      <c r="M79" s="439"/>
      <c r="N79" s="439"/>
      <c r="O79" s="439"/>
      <c r="P79" s="439"/>
      <c r="Q79" s="439"/>
      <c r="R79" s="439"/>
      <c r="S79" s="439"/>
      <c r="T79" s="439"/>
      <c r="U79" s="439"/>
      <c r="V79" s="439"/>
      <c r="W79" s="439"/>
      <c r="X79" s="439"/>
      <c r="Y79" s="439"/>
      <c r="Z79" s="439"/>
      <c r="AA79" s="439"/>
      <c r="AB79" s="439"/>
      <c r="AC79" s="439"/>
      <c r="AD79" s="439"/>
      <c r="AE79" s="439"/>
      <c r="AF79" s="439"/>
      <c r="AG79" s="439"/>
      <c r="AH79" s="439"/>
      <c r="AI79" s="439"/>
      <c r="AJ79" s="439"/>
      <c r="AK79" s="439"/>
      <c r="AL79" s="439"/>
    </row>
    <row r="80" spans="1:38" ht="14.25" customHeight="1">
      <c r="A80" s="619"/>
      <c r="B80" s="426"/>
      <c r="C80" s="425"/>
      <c r="D80" s="429" t="s">
        <v>451</v>
      </c>
      <c r="E80" s="428"/>
      <c r="F80" s="428"/>
      <c r="G80" s="428"/>
      <c r="H80" s="428"/>
      <c r="I80" s="428"/>
      <c r="J80" s="428"/>
      <c r="K80" s="428"/>
      <c r="L80" s="428"/>
      <c r="M80" s="428"/>
      <c r="N80" s="42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28"/>
      <c r="AL80" s="428"/>
    </row>
    <row r="81" spans="1:38" ht="14.25" customHeight="1">
      <c r="A81" s="619"/>
      <c r="B81" s="426"/>
      <c r="C81" s="62" t="s">
        <v>452</v>
      </c>
      <c r="D81" s="430" t="s">
        <v>449</v>
      </c>
      <c r="E81" s="431">
        <f>'Copia de Demandas de energía '!D81*$E$89</f>
        <v>8.214677905071424</v>
      </c>
      <c r="F81" s="431">
        <f>'Copia de Demandas de energía '!E81*$E$89</f>
        <v>8.9578359928439468</v>
      </c>
      <c r="G81" s="431">
        <f>'Copia de Demandas de energía '!F81*$E$89</f>
        <v>9.0914695681679749</v>
      </c>
      <c r="H81" s="431">
        <f>'Copia de Demandas de energía '!G81*$E$89</f>
        <v>7.6698878333929388</v>
      </c>
      <c r="I81" s="431">
        <v>7.9598000000000004</v>
      </c>
      <c r="J81" s="431">
        <v>8.1318999999999999</v>
      </c>
      <c r="K81" s="431">
        <v>8.4551999999999996</v>
      </c>
      <c r="L81" s="431">
        <v>8.5982000000000003</v>
      </c>
      <c r="M81" s="431">
        <v>8.8709000000000007</v>
      </c>
      <c r="N81" s="431">
        <v>9.0658999999999992</v>
      </c>
      <c r="O81" s="431">
        <v>9.3950999999999993</v>
      </c>
      <c r="P81" s="431">
        <v>9.5059000000000005</v>
      </c>
      <c r="Q81" s="431">
        <v>9.8012999999999995</v>
      </c>
      <c r="R81" s="431">
        <v>10.023999999999999</v>
      </c>
      <c r="S81" s="431">
        <v>10.335000000000001</v>
      </c>
      <c r="T81" s="431">
        <v>10.553000000000001</v>
      </c>
      <c r="U81" s="431">
        <v>10.861000000000001</v>
      </c>
      <c r="V81" s="431">
        <v>11.042999999999999</v>
      </c>
      <c r="W81" s="431">
        <v>11.375999999999999</v>
      </c>
      <c r="X81" s="431">
        <v>11.566000000000001</v>
      </c>
      <c r="Y81" s="431">
        <v>11.88</v>
      </c>
      <c r="Z81" s="431">
        <v>12.117000000000001</v>
      </c>
      <c r="AA81" s="431">
        <v>12.428000000000001</v>
      </c>
      <c r="AB81" s="431">
        <v>12.654999999999999</v>
      </c>
      <c r="AC81" s="431">
        <v>12.965999999999999</v>
      </c>
      <c r="AD81" s="431">
        <v>13.141999999999999</v>
      </c>
      <c r="AE81" s="431">
        <v>13.452</v>
      </c>
      <c r="AF81" s="431">
        <v>13.656000000000001</v>
      </c>
      <c r="AG81" s="431">
        <v>13.984999999999999</v>
      </c>
      <c r="AH81" s="431">
        <v>14.201000000000001</v>
      </c>
      <c r="AI81" s="431">
        <v>14.467000000000001</v>
      </c>
      <c r="AJ81" s="431">
        <v>14.693</v>
      </c>
      <c r="AK81" s="431">
        <v>14.965</v>
      </c>
      <c r="AL81" s="431"/>
    </row>
    <row r="82" spans="1:38" ht="14.25" customHeight="1">
      <c r="A82" s="619"/>
      <c r="B82" s="426"/>
      <c r="C82" s="425"/>
      <c r="D82" s="434"/>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c r="AF82" s="425"/>
      <c r="AG82" s="425"/>
      <c r="AH82" s="425"/>
      <c r="AI82" s="425"/>
      <c r="AJ82" s="425"/>
      <c r="AK82" s="425"/>
      <c r="AL82" s="425"/>
    </row>
    <row r="83" spans="1:38" ht="14.25" customHeight="1">
      <c r="A83" s="619"/>
      <c r="B83" s="426"/>
      <c r="C83" s="425"/>
      <c r="D83" s="429" t="s">
        <v>453</v>
      </c>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28"/>
      <c r="AL83" s="428"/>
    </row>
    <row r="84" spans="1:38" ht="14.25" customHeight="1">
      <c r="A84" s="619"/>
      <c r="B84" s="426"/>
      <c r="C84" s="425"/>
      <c r="D84" s="432" t="s">
        <v>449</v>
      </c>
      <c r="E84" s="428"/>
      <c r="F84" s="428"/>
      <c r="G84" s="428"/>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28"/>
      <c r="AL84" s="428"/>
    </row>
    <row r="85" spans="1:38" ht="14.25" customHeight="1">
      <c r="A85" s="619"/>
      <c r="B85" s="426"/>
      <c r="C85" s="425"/>
      <c r="D85" s="434"/>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c r="AF85" s="425"/>
      <c r="AG85" s="425"/>
      <c r="AH85" s="425"/>
      <c r="AI85" s="425"/>
      <c r="AJ85" s="425"/>
      <c r="AK85" s="425"/>
      <c r="AL85" s="425"/>
    </row>
    <row r="86" spans="1:38"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spans="1:38" ht="14.25" customHeight="1">
      <c r="A87" s="1"/>
      <c r="B87" s="1"/>
      <c r="C87" s="1"/>
      <c r="D87" s="12" t="s">
        <v>95</v>
      </c>
      <c r="E87" s="5"/>
      <c r="F87" s="5"/>
      <c r="G87" s="5"/>
      <c r="H87" s="5"/>
      <c r="I87" s="619"/>
      <c r="J87" s="619"/>
      <c r="K87" s="619"/>
      <c r="L87" s="619"/>
      <c r="M87" s="619"/>
      <c r="N87" s="619"/>
      <c r="O87" s="619"/>
      <c r="P87" s="619"/>
      <c r="Q87" s="619"/>
      <c r="R87" s="619"/>
      <c r="S87" s="619"/>
      <c r="T87" s="619"/>
      <c r="U87" s="619"/>
      <c r="V87" s="619"/>
      <c r="W87" s="619"/>
      <c r="X87" s="619"/>
      <c r="Y87" s="619"/>
      <c r="Z87" s="619"/>
      <c r="AA87" s="619"/>
      <c r="AB87" s="619"/>
      <c r="AC87" s="619"/>
      <c r="AD87" s="619"/>
      <c r="AE87" s="619"/>
      <c r="AF87" s="619"/>
      <c r="AG87" s="619"/>
      <c r="AH87" s="619"/>
      <c r="AI87" s="619"/>
      <c r="AJ87" s="619"/>
      <c r="AK87" s="619"/>
      <c r="AL87" s="619"/>
    </row>
    <row r="88" spans="1:38" ht="14.25" customHeight="1">
      <c r="A88" s="1"/>
      <c r="B88" s="1"/>
      <c r="C88" s="1"/>
      <c r="D88" s="4"/>
      <c r="E88" s="21"/>
      <c r="F88" s="21"/>
      <c r="G88" s="21"/>
      <c r="H88" s="22"/>
      <c r="I88" s="619"/>
      <c r="J88" s="619"/>
      <c r="K88" s="619"/>
      <c r="L88" s="619"/>
      <c r="M88" s="619"/>
      <c r="N88" s="619"/>
      <c r="O88" s="619"/>
      <c r="P88" s="619"/>
      <c r="Q88" s="619"/>
      <c r="R88" s="619"/>
      <c r="S88" s="619"/>
      <c r="T88" s="619"/>
      <c r="U88" s="619"/>
      <c r="V88" s="619"/>
      <c r="W88" s="619"/>
      <c r="X88" s="619"/>
      <c r="Y88" s="619"/>
      <c r="Z88" s="619"/>
      <c r="AA88" s="619"/>
      <c r="AB88" s="619"/>
      <c r="AC88" s="619"/>
      <c r="AD88" s="619"/>
      <c r="AE88" s="619"/>
      <c r="AF88" s="619"/>
      <c r="AG88" s="619"/>
      <c r="AH88" s="619"/>
      <c r="AI88" s="619"/>
      <c r="AJ88" s="619"/>
      <c r="AK88" s="619"/>
      <c r="AL88" s="619"/>
    </row>
    <row r="89" spans="1:38" ht="14.25" customHeight="1">
      <c r="A89" s="1"/>
      <c r="B89" s="1"/>
      <c r="C89" s="1"/>
      <c r="D89" s="237" t="s">
        <v>108</v>
      </c>
      <c r="E89" s="241">
        <f>(G89*I89*K89*M89*O89)/(I90*K90*M90*O90)</f>
        <v>5.8065553845323302E-3</v>
      </c>
      <c r="F89" s="239" t="s">
        <v>109</v>
      </c>
      <c r="G89" s="13">
        <v>1</v>
      </c>
      <c r="H89" s="240" t="s">
        <v>97</v>
      </c>
      <c r="I89" s="13">
        <v>1000</v>
      </c>
      <c r="J89" s="13" t="s">
        <v>107</v>
      </c>
      <c r="K89" s="13">
        <v>1</v>
      </c>
      <c r="L89" s="13" t="s">
        <v>110</v>
      </c>
      <c r="M89" s="63">
        <v>41.84</v>
      </c>
      <c r="N89" s="13" t="s">
        <v>111</v>
      </c>
      <c r="O89" s="13">
        <v>1</v>
      </c>
      <c r="P89" s="13" t="s">
        <v>109</v>
      </c>
      <c r="Q89" s="13"/>
      <c r="R89" s="13"/>
      <c r="S89" s="13"/>
      <c r="T89" s="13"/>
      <c r="U89" s="13"/>
      <c r="V89" s="13"/>
      <c r="W89" s="13"/>
      <c r="X89" s="13"/>
      <c r="Y89" s="13"/>
      <c r="Z89" s="13"/>
      <c r="AA89" s="13"/>
      <c r="AB89" s="13"/>
      <c r="AC89" s="13"/>
      <c r="AD89" s="13"/>
      <c r="AE89" s="13"/>
      <c r="AF89" s="13"/>
      <c r="AG89" s="13"/>
      <c r="AH89" s="13"/>
      <c r="AI89" s="13"/>
      <c r="AJ89" s="13"/>
      <c r="AK89" s="13"/>
      <c r="AL89" s="13"/>
    </row>
    <row r="90" spans="1:38" ht="14.25" customHeight="1">
      <c r="A90" s="1"/>
      <c r="B90" s="1"/>
      <c r="C90" s="1"/>
      <c r="D90" s="4"/>
      <c r="E90" s="8"/>
      <c r="F90" s="8"/>
      <c r="G90" s="8"/>
      <c r="H90" s="8"/>
      <c r="I90" s="13">
        <v>1</v>
      </c>
      <c r="J90" s="13" t="s">
        <v>97</v>
      </c>
      <c r="K90" s="63">
        <v>7.2056490000000002</v>
      </c>
      <c r="L90" s="13" t="s">
        <v>107</v>
      </c>
      <c r="M90" s="13">
        <v>1000</v>
      </c>
      <c r="N90" s="13" t="s">
        <v>110</v>
      </c>
      <c r="O90" s="13">
        <v>1000</v>
      </c>
      <c r="P90" s="13" t="s">
        <v>111</v>
      </c>
      <c r="Q90" s="13"/>
      <c r="R90" s="13"/>
      <c r="S90" s="13"/>
      <c r="T90" s="13"/>
      <c r="U90" s="13"/>
      <c r="V90" s="13"/>
      <c r="W90" s="13"/>
      <c r="X90" s="13"/>
      <c r="Y90" s="13"/>
      <c r="Z90" s="13"/>
      <c r="AA90" s="13"/>
      <c r="AB90" s="13"/>
      <c r="AC90" s="13"/>
      <c r="AD90" s="13"/>
      <c r="AE90" s="13"/>
      <c r="AF90" s="13"/>
      <c r="AG90" s="13"/>
      <c r="AH90" s="13"/>
      <c r="AI90" s="13"/>
      <c r="AJ90" s="13"/>
      <c r="AK90" s="13"/>
      <c r="AL90" s="13"/>
    </row>
    <row r="91" spans="1:38"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spans="1:38" ht="14.25" customHeight="1">
      <c r="A92" s="1"/>
      <c r="B92" s="1"/>
      <c r="C92" s="1"/>
      <c r="D92" s="8" t="s">
        <v>454</v>
      </c>
      <c r="E92" s="64">
        <v>0.1978992</v>
      </c>
      <c r="F92" s="64">
        <v>0.2033721</v>
      </c>
      <c r="G92" s="64">
        <v>0.208845</v>
      </c>
      <c r="H92" s="64">
        <v>0.21431790000000001</v>
      </c>
      <c r="I92" s="64">
        <v>0.21979080000000001</v>
      </c>
      <c r="J92" s="64">
        <v>0.22526370000000001</v>
      </c>
      <c r="K92" s="64">
        <v>0.23073660000000001</v>
      </c>
      <c r="L92" s="64">
        <v>0.23620950000000002</v>
      </c>
      <c r="M92" s="64">
        <v>0.24168240000000002</v>
      </c>
      <c r="N92" s="64">
        <v>0.24715530000000002</v>
      </c>
      <c r="O92" s="64">
        <v>0.25262820000000002</v>
      </c>
      <c r="P92" s="64">
        <v>0.25810110000000003</v>
      </c>
      <c r="Q92" s="64">
        <v>0.26357399999999997</v>
      </c>
      <c r="R92" s="64">
        <v>0.26565623999999999</v>
      </c>
      <c r="S92" s="64">
        <v>0.26773848</v>
      </c>
      <c r="T92" s="64">
        <v>0.26982072000000001</v>
      </c>
      <c r="U92" s="64">
        <v>0.27190296000000003</v>
      </c>
      <c r="V92" s="64">
        <v>0.27398520000000004</v>
      </c>
      <c r="W92" s="64">
        <v>0.27606744000000005</v>
      </c>
      <c r="X92" s="64">
        <v>0.27814968000000007</v>
      </c>
      <c r="Y92" s="64">
        <v>0.28023192000000008</v>
      </c>
      <c r="Z92" s="64">
        <v>0.28231416000000009</v>
      </c>
      <c r="AA92" s="64">
        <v>0.28439639999999999</v>
      </c>
      <c r="AB92" s="64">
        <v>0.28468080000000001</v>
      </c>
      <c r="AC92" s="64">
        <v>0.28496520000000003</v>
      </c>
      <c r="AD92" s="64">
        <v>0.28524960000000005</v>
      </c>
      <c r="AE92" s="64">
        <v>0.28553400000000007</v>
      </c>
      <c r="AF92" s="64">
        <v>0.28581840000000008</v>
      </c>
      <c r="AG92" s="64">
        <v>0.2861028000000001</v>
      </c>
      <c r="AH92" s="64">
        <v>0.28638720000000012</v>
      </c>
      <c r="AI92" s="64">
        <v>0.28667160000000014</v>
      </c>
      <c r="AJ92" s="64">
        <v>0.28695600000000016</v>
      </c>
      <c r="AK92" s="64">
        <v>0.28724040000000001</v>
      </c>
      <c r="AL92" s="1"/>
    </row>
    <row r="93" spans="1:38" ht="14.25" customHeight="1">
      <c r="A93" s="1"/>
      <c r="B93" s="1"/>
      <c r="C93" s="1"/>
      <c r="D93" s="8" t="s">
        <v>455</v>
      </c>
      <c r="E93" s="64">
        <v>2.4110419783356579E-2</v>
      </c>
      <c r="F93" s="64">
        <v>2.4777193152992899E-2</v>
      </c>
      <c r="G93" s="64">
        <v>2.544396652262922E-2</v>
      </c>
      <c r="H93" s="64">
        <v>2.611073989226554E-2</v>
      </c>
      <c r="I93" s="64">
        <v>2.6777513261901864E-2</v>
      </c>
      <c r="J93" s="64">
        <v>2.7444286631538185E-2</v>
      </c>
      <c r="K93" s="64">
        <v>2.8111060001174505E-2</v>
      </c>
      <c r="L93" s="64">
        <v>2.8777833370810826E-2</v>
      </c>
      <c r="M93" s="64">
        <v>2.944460674044715E-2</v>
      </c>
      <c r="N93" s="64">
        <v>3.011138011008347E-2</v>
      </c>
      <c r="O93" s="64">
        <v>3.0778153479719791E-2</v>
      </c>
      <c r="P93" s="64">
        <v>3.1444926849356111E-2</v>
      </c>
      <c r="Q93" s="64">
        <v>3.2111700218992428E-2</v>
      </c>
      <c r="R93" s="64">
        <v>3.2365383308614298E-2</v>
      </c>
      <c r="S93" s="64">
        <v>3.2619066398236168E-2</v>
      </c>
      <c r="T93" s="64">
        <v>3.2872749487858045E-2</v>
      </c>
      <c r="U93" s="64">
        <v>3.3126432577479915E-2</v>
      </c>
      <c r="V93" s="64">
        <v>3.3380115667101785E-2</v>
      </c>
      <c r="W93" s="64">
        <v>3.3633798756723655E-2</v>
      </c>
      <c r="X93" s="64">
        <v>3.3887481846345525E-2</v>
      </c>
      <c r="Y93" s="64">
        <v>3.4141164935967402E-2</v>
      </c>
      <c r="Z93" s="64">
        <v>3.4394848025589272E-2</v>
      </c>
      <c r="AA93" s="64">
        <v>3.4648531115211129E-2</v>
      </c>
      <c r="AB93" s="64">
        <v>3.4683180084920898E-2</v>
      </c>
      <c r="AC93" s="64">
        <v>3.4717829054630667E-2</v>
      </c>
      <c r="AD93" s="64">
        <v>3.4752478024340429E-2</v>
      </c>
      <c r="AE93" s="64">
        <v>3.4787126994050198E-2</v>
      </c>
      <c r="AF93" s="64">
        <v>3.4821775963759967E-2</v>
      </c>
      <c r="AG93" s="64">
        <v>3.4856424933469729E-2</v>
      </c>
      <c r="AH93" s="64">
        <v>3.4891073903179498E-2</v>
      </c>
      <c r="AI93" s="64">
        <v>3.492572287288926E-2</v>
      </c>
      <c r="AJ93" s="64">
        <v>3.4960371842599029E-2</v>
      </c>
      <c r="AK93" s="64">
        <v>3.4995020812308777E-2</v>
      </c>
      <c r="AL93" s="1"/>
    </row>
    <row r="94" spans="1:38" ht="14.25" customHeight="1">
      <c r="A94" s="1"/>
      <c r="B94" s="1"/>
      <c r="C94" s="1"/>
      <c r="D94" s="8" t="s">
        <v>456</v>
      </c>
      <c r="E94" s="64">
        <v>2.7741153062771882E-3</v>
      </c>
      <c r="F94" s="64">
        <v>2.8508334317659443E-3</v>
      </c>
      <c r="G94" s="64">
        <v>2.9275515572547003E-3</v>
      </c>
      <c r="H94" s="64">
        <v>3.0042696827434563E-3</v>
      </c>
      <c r="I94" s="64">
        <v>3.0809878082322124E-3</v>
      </c>
      <c r="J94" s="64">
        <v>3.1577059337209684E-3</v>
      </c>
      <c r="K94" s="64">
        <v>3.2344240592097244E-3</v>
      </c>
      <c r="L94" s="64">
        <v>3.3111421846984805E-3</v>
      </c>
      <c r="M94" s="64">
        <v>3.3878603101872369E-3</v>
      </c>
      <c r="N94" s="64">
        <v>3.464578435675993E-3</v>
      </c>
      <c r="O94" s="64">
        <v>3.541296561164749E-3</v>
      </c>
      <c r="P94" s="64">
        <v>3.618014686653505E-3</v>
      </c>
      <c r="Q94" s="64">
        <v>3.6947328121422602E-3</v>
      </c>
      <c r="R94" s="64">
        <v>3.7239212770544105E-3</v>
      </c>
      <c r="S94" s="64">
        <v>3.7531097419665612E-3</v>
      </c>
      <c r="T94" s="64">
        <v>3.7822982068787116E-3</v>
      </c>
      <c r="U94" s="64">
        <v>3.8114866717908619E-3</v>
      </c>
      <c r="V94" s="64">
        <v>3.8406751367030126E-3</v>
      </c>
      <c r="W94" s="64">
        <v>3.8698636016151629E-3</v>
      </c>
      <c r="X94" s="64">
        <v>3.8990520665273132E-3</v>
      </c>
      <c r="Y94" s="64">
        <v>3.928240531439464E-3</v>
      </c>
      <c r="Z94" s="64">
        <v>3.9574289963516147E-3</v>
      </c>
      <c r="AA94" s="64">
        <v>3.9866174612637629E-3</v>
      </c>
      <c r="AB94" s="64">
        <v>3.9906041291891785E-3</v>
      </c>
      <c r="AC94" s="64">
        <v>3.9945907971145932E-3</v>
      </c>
      <c r="AD94" s="64">
        <v>3.9985774650400079E-3</v>
      </c>
      <c r="AE94" s="64">
        <v>4.0025641329654235E-3</v>
      </c>
      <c r="AF94" s="64">
        <v>4.0065508008908382E-3</v>
      </c>
      <c r="AG94" s="64">
        <v>4.010537468816253E-3</v>
      </c>
      <c r="AH94" s="64">
        <v>4.0145241367416677E-3</v>
      </c>
      <c r="AI94" s="64">
        <v>4.0185108046670833E-3</v>
      </c>
      <c r="AJ94" s="64">
        <v>4.022497472592498E-3</v>
      </c>
      <c r="AK94" s="64">
        <v>4.026484140517911E-3</v>
      </c>
      <c r="AL94" s="1"/>
    </row>
    <row r="95" spans="1:38" ht="14.25" customHeight="1">
      <c r="A95" s="1"/>
      <c r="B95" s="1"/>
      <c r="C95" s="1"/>
      <c r="D95" s="8" t="s">
        <v>457</v>
      </c>
      <c r="E95" s="64">
        <v>0.17101466491036621</v>
      </c>
      <c r="F95" s="64">
        <v>0.17574407341524115</v>
      </c>
      <c r="G95" s="64">
        <v>0.18047348192011606</v>
      </c>
      <c r="H95" s="64">
        <v>0.185202890424991</v>
      </c>
      <c r="I95" s="64">
        <v>0.18993229892986591</v>
      </c>
      <c r="J95" s="64">
        <v>0.19466170743474084</v>
      </c>
      <c r="K95" s="64">
        <v>0.19939111593961575</v>
      </c>
      <c r="L95" s="64">
        <v>0.20412052444449069</v>
      </c>
      <c r="M95" s="64">
        <v>0.2088499329493656</v>
      </c>
      <c r="N95" s="64">
        <v>0.21357934145424054</v>
      </c>
      <c r="O95" s="64">
        <v>0.21830874995911548</v>
      </c>
      <c r="P95" s="64">
        <v>0.22303815846399039</v>
      </c>
      <c r="Q95" s="64">
        <v>0.22776756696886527</v>
      </c>
      <c r="R95" s="64">
        <v>0.22956693541433126</v>
      </c>
      <c r="S95" s="64">
        <v>0.23136630385979726</v>
      </c>
      <c r="T95" s="64">
        <v>0.23316567230526325</v>
      </c>
      <c r="U95" s="64">
        <v>0.23496504075072924</v>
      </c>
      <c r="V95" s="64">
        <v>0.23676440919619521</v>
      </c>
      <c r="W95" s="64">
        <v>0.2385637776416612</v>
      </c>
      <c r="X95" s="64">
        <v>0.24036314608712719</v>
      </c>
      <c r="Y95" s="64">
        <v>0.24216251453259319</v>
      </c>
      <c r="Z95" s="64">
        <v>0.24396188297805918</v>
      </c>
      <c r="AA95" s="64">
        <v>0.24576125142352509</v>
      </c>
      <c r="AB95" s="64">
        <v>0.2460070157858899</v>
      </c>
      <c r="AC95" s="64">
        <v>0.24625278014825475</v>
      </c>
      <c r="AD95" s="64">
        <v>0.24649854451061959</v>
      </c>
      <c r="AE95" s="64">
        <v>0.24674430887298443</v>
      </c>
      <c r="AF95" s="64">
        <v>0.24699007323534927</v>
      </c>
      <c r="AG95" s="64">
        <v>0.24723583759771409</v>
      </c>
      <c r="AH95" s="64">
        <v>0.24748160196007893</v>
      </c>
      <c r="AI95" s="64">
        <v>0.24772736632244377</v>
      </c>
      <c r="AJ95" s="64">
        <v>0.24797313068480861</v>
      </c>
      <c r="AK95" s="64">
        <v>0.24821889504717329</v>
      </c>
      <c r="AL95" s="1"/>
    </row>
    <row r="96" spans="1:38" ht="14.25" customHeight="1">
      <c r="A96" s="1"/>
      <c r="B96" s="1"/>
      <c r="C96" s="1"/>
      <c r="D96" s="8" t="s">
        <v>458</v>
      </c>
      <c r="E96" s="64">
        <v>0.496</v>
      </c>
      <c r="F96" s="64">
        <v>0.4662</v>
      </c>
      <c r="G96" s="64">
        <v>0.51490000000000002</v>
      </c>
      <c r="H96" s="64">
        <v>0.52356215388221961</v>
      </c>
      <c r="I96" s="64">
        <v>0.53229785915280858</v>
      </c>
      <c r="J96" s="64">
        <v>0.54115665416119196</v>
      </c>
      <c r="K96" s="64">
        <v>0.55016603475348924</v>
      </c>
      <c r="L96" s="64">
        <v>0.55920854784036034</v>
      </c>
      <c r="M96" s="64">
        <v>0.56838207863399026</v>
      </c>
      <c r="N96" s="64">
        <v>0.57762049962446194</v>
      </c>
      <c r="O96" s="64">
        <v>0.5869775651909388</v>
      </c>
      <c r="P96" s="64">
        <v>0.59640479099143029</v>
      </c>
      <c r="Q96" s="64">
        <v>0.60597064168277359</v>
      </c>
      <c r="R96" s="64">
        <v>0.61556499640126072</v>
      </c>
      <c r="S96" s="64">
        <v>0.62522941970094204</v>
      </c>
      <c r="T96" s="64">
        <v>0.63498856619050459</v>
      </c>
      <c r="U96" s="64">
        <v>0.6448098532922969</v>
      </c>
      <c r="V96" s="64">
        <v>0.65467197172557656</v>
      </c>
      <c r="W96" s="64">
        <v>0.664588623586993</v>
      </c>
      <c r="X96" s="64">
        <v>0.67452287278992584</v>
      </c>
      <c r="Y96" s="64">
        <v>0.68450404823690247</v>
      </c>
      <c r="Z96" s="64">
        <v>0.69454195677970543</v>
      </c>
      <c r="AA96" s="64">
        <v>0.70456011413971253</v>
      </c>
      <c r="AB96" s="64">
        <v>0.71463097187144853</v>
      </c>
      <c r="AC96" s="64">
        <v>0.72463359407839822</v>
      </c>
      <c r="AD96" s="64">
        <v>0.73463676620227036</v>
      </c>
      <c r="AE96" s="64">
        <v>0.74452152288218842</v>
      </c>
      <c r="AF96" s="64">
        <v>0.75429721270583294</v>
      </c>
      <c r="AG96" s="64">
        <v>0.76395022522937461</v>
      </c>
      <c r="AH96" s="64">
        <v>0.77344788622234195</v>
      </c>
      <c r="AI96" s="64">
        <v>0.78278552139089452</v>
      </c>
      <c r="AJ96" s="64">
        <v>0.79199823376524447</v>
      </c>
      <c r="AK96" s="64">
        <v>0.80104193833878079</v>
      </c>
      <c r="AL96" s="1"/>
    </row>
    <row r="97" spans="1:38" ht="14.25" customHeight="1">
      <c r="A97" s="1"/>
      <c r="B97" s="1"/>
      <c r="C97" s="1"/>
      <c r="D97" s="8" t="s">
        <v>459</v>
      </c>
      <c r="E97" s="64">
        <v>7.0316709300246319E-2</v>
      </c>
      <c r="F97" s="64">
        <v>6.6092036039868615E-2</v>
      </c>
      <c r="G97" s="64">
        <v>7.2996116166727479E-2</v>
      </c>
      <c r="H97" s="64">
        <v>7.422412857892513E-2</v>
      </c>
      <c r="I97" s="64">
        <v>7.546256819191835E-2</v>
      </c>
      <c r="J97" s="64">
        <v>7.6718457936585618E-2</v>
      </c>
      <c r="K97" s="64">
        <v>7.7995695831915957E-2</v>
      </c>
      <c r="L97" s="64">
        <v>7.9277630840128038E-2</v>
      </c>
      <c r="M97" s="64">
        <v>8.0578139908822649E-2</v>
      </c>
      <c r="N97" s="64">
        <v>8.1887848302331312E-2</v>
      </c>
      <c r="O97" s="64">
        <v>8.3214376647777477E-2</v>
      </c>
      <c r="P97" s="64">
        <v>8.4550851438343885E-2</v>
      </c>
      <c r="Q97" s="64">
        <v>8.5906978741313131E-2</v>
      </c>
      <c r="R97" s="64">
        <v>8.7267146990634314E-2</v>
      </c>
      <c r="S97" s="64">
        <v>8.8637248691679105E-2</v>
      </c>
      <c r="T97" s="64">
        <v>9.0020779068140988E-2</v>
      </c>
      <c r="U97" s="64">
        <v>9.1413118967517984E-2</v>
      </c>
      <c r="V97" s="64">
        <v>9.281124742509364E-2</v>
      </c>
      <c r="W97" s="64">
        <v>9.4217106953664129E-2</v>
      </c>
      <c r="X97" s="64">
        <v>9.5625461214387586E-2</v>
      </c>
      <c r="Y97" s="64">
        <v>9.7040468094185595E-2</v>
      </c>
      <c r="Z97" s="64">
        <v>9.8463517886497556E-2</v>
      </c>
      <c r="AA97" s="64">
        <v>9.9883767601835746E-2</v>
      </c>
      <c r="AB97" s="64">
        <v>0.10131148852023619</v>
      </c>
      <c r="AC97" s="64">
        <v>0.10272953585484561</v>
      </c>
      <c r="AD97" s="64">
        <v>0.10414766114983481</v>
      </c>
      <c r="AE97" s="64">
        <v>0.10554899897637808</v>
      </c>
      <c r="AF97" s="64">
        <v>0.10693487466093168</v>
      </c>
      <c r="AG97" s="64">
        <v>0.10830335868409603</v>
      </c>
      <c r="AH97" s="64">
        <v>0.10964981889997259</v>
      </c>
      <c r="AI97" s="64">
        <v>0.11097359264533321</v>
      </c>
      <c r="AJ97" s="64">
        <v>0.11227965639108714</v>
      </c>
      <c r="AK97" s="64">
        <v>0.11356176031345541</v>
      </c>
      <c r="AL97" s="1"/>
    </row>
    <row r="98" spans="1:38" ht="14.25" customHeight="1">
      <c r="A98" s="1"/>
      <c r="B98" s="1"/>
      <c r="C98" s="1"/>
      <c r="D98" s="8" t="s">
        <v>460</v>
      </c>
      <c r="E98" s="64">
        <v>1.1122640411825913E-2</v>
      </c>
      <c r="F98" s="64">
        <v>1.0454384999986374E-2</v>
      </c>
      <c r="G98" s="64">
        <v>1.1546466830744281E-2</v>
      </c>
      <c r="H98" s="64">
        <v>1.1740712844502003E-2</v>
      </c>
      <c r="I98" s="64">
        <v>1.1936608224478723E-2</v>
      </c>
      <c r="J98" s="64">
        <v>1.2135263852221318E-2</v>
      </c>
      <c r="K98" s="64">
        <v>1.2337296313232217E-2</v>
      </c>
      <c r="L98" s="64">
        <v>1.2540071759773543E-2</v>
      </c>
      <c r="M98" s="64">
        <v>1.2745785236233941E-2</v>
      </c>
      <c r="N98" s="64">
        <v>1.2952953854480071E-2</v>
      </c>
      <c r="O98" s="64">
        <v>1.3162783039169184E-2</v>
      </c>
      <c r="P98" s="64">
        <v>1.3374185544531996E-2</v>
      </c>
      <c r="Q98" s="64">
        <v>1.3588696668469553E-2</v>
      </c>
      <c r="R98" s="64">
        <v>1.3803846986044629E-2</v>
      </c>
      <c r="S98" s="64">
        <v>1.4020568569008393E-2</v>
      </c>
      <c r="T98" s="64">
        <v>1.4239414289028026E-2</v>
      </c>
      <c r="U98" s="64">
        <v>1.4459653492283146E-2</v>
      </c>
      <c r="V98" s="64">
        <v>1.4680808325009375E-2</v>
      </c>
      <c r="W98" s="64">
        <v>1.4903186052315422E-2</v>
      </c>
      <c r="X98" s="64">
        <v>1.5125958394343024E-2</v>
      </c>
      <c r="Y98" s="64">
        <v>1.5349783042294771E-2</v>
      </c>
      <c r="Z98" s="64">
        <v>1.557487991166653E-2</v>
      </c>
      <c r="AA98" s="64">
        <v>1.5799533867119044E-2</v>
      </c>
      <c r="AB98" s="64">
        <v>1.6025369611451214E-2</v>
      </c>
      <c r="AC98" s="64">
        <v>1.6249675196094854E-2</v>
      </c>
      <c r="AD98" s="64">
        <v>1.6473993112448546E-2</v>
      </c>
      <c r="AE98" s="64">
        <v>1.6695655600571777E-2</v>
      </c>
      <c r="AF98" s="64">
        <v>1.6914872299535373E-2</v>
      </c>
      <c r="AG98" s="64">
        <v>1.7131337999515626E-2</v>
      </c>
      <c r="AH98" s="64">
        <v>1.7344319991407162E-2</v>
      </c>
      <c r="AI98" s="64">
        <v>1.7553713455674559E-2</v>
      </c>
      <c r="AJ98" s="64">
        <v>1.7760305566475919E-2</v>
      </c>
      <c r="AK98" s="64">
        <v>1.7963107731722348E-2</v>
      </c>
      <c r="AL98" s="1"/>
    </row>
    <row r="99" spans="1:38" ht="14.25" customHeight="1">
      <c r="A99" s="1"/>
      <c r="B99" s="1"/>
      <c r="C99" s="1"/>
      <c r="D99" s="8" t="s">
        <v>461</v>
      </c>
      <c r="E99" s="64">
        <v>0.41456065028792777</v>
      </c>
      <c r="F99" s="64">
        <v>0.38965357896014502</v>
      </c>
      <c r="G99" s="64">
        <v>0.43035741700252828</v>
      </c>
      <c r="H99" s="64">
        <v>0.43759731245879246</v>
      </c>
      <c r="I99" s="64">
        <v>0.44489868273641153</v>
      </c>
      <c r="J99" s="64">
        <v>0.45230293237238506</v>
      </c>
      <c r="K99" s="64">
        <v>0.45983304260834107</v>
      </c>
      <c r="L99" s="64">
        <v>0.46739084524045876</v>
      </c>
      <c r="M99" s="64">
        <v>0.47505815348893365</v>
      </c>
      <c r="N99" s="64">
        <v>0.48277969746765059</v>
      </c>
      <c r="O99" s="64">
        <v>0.49060040550399214</v>
      </c>
      <c r="P99" s="64">
        <v>0.49847975400855443</v>
      </c>
      <c r="Q99" s="64">
        <v>0.50647496627299093</v>
      </c>
      <c r="R99" s="64">
        <v>0.51449400242458176</v>
      </c>
      <c r="S99" s="64">
        <v>0.52257160244025458</v>
      </c>
      <c r="T99" s="64">
        <v>0.53072837283333563</v>
      </c>
      <c r="U99" s="64">
        <v>0.53893708083249581</v>
      </c>
      <c r="V99" s="64">
        <v>0.54717991597547355</v>
      </c>
      <c r="W99" s="64">
        <v>0.55546833058101341</v>
      </c>
      <c r="X99" s="64">
        <v>0.56377145318119526</v>
      </c>
      <c r="Y99" s="64">
        <v>0.57211379710042209</v>
      </c>
      <c r="Z99" s="64">
        <v>0.58050355898154138</v>
      </c>
      <c r="AA99" s="64">
        <v>0.58887681267075775</v>
      </c>
      <c r="AB99" s="64">
        <v>0.59729411373976116</v>
      </c>
      <c r="AC99" s="64">
        <v>0.60565438302745778</v>
      </c>
      <c r="AD99" s="64">
        <v>0.61401511193998703</v>
      </c>
      <c r="AE99" s="64">
        <v>0.62227686830523854</v>
      </c>
      <c r="AF99" s="64">
        <v>0.63044746574536592</v>
      </c>
      <c r="AG99" s="64">
        <v>0.63851552854576299</v>
      </c>
      <c r="AH99" s="64">
        <v>0.64645374733096217</v>
      </c>
      <c r="AI99" s="64">
        <v>0.65425821528988681</v>
      </c>
      <c r="AJ99" s="64">
        <v>0.66195827180768141</v>
      </c>
      <c r="AK99" s="64">
        <v>0.66951707029360308</v>
      </c>
      <c r="AL99" s="1"/>
    </row>
    <row r="100" spans="1:38"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spans="1:38"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spans="1:38"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spans="1:38"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spans="1:38"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spans="1:38"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spans="1:38"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spans="1:38"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spans="1:3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spans="1:38"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spans="1:38"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spans="1:38"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spans="1:38"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spans="1:38"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640625" defaultRowHeight="15" customHeight="1"/>
  <cols>
    <col min="1" max="1" width="8.44140625" customWidth="1"/>
    <col min="2" max="2" width="2.44140625" customWidth="1"/>
    <col min="3" max="3" width="47.21875" customWidth="1"/>
    <col min="4"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619"/>
      <c r="B2" s="619"/>
      <c r="C2" s="4"/>
      <c r="D2" s="619"/>
      <c r="E2" s="619"/>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row>
    <row r="3" spans="1:37" ht="13.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row>
    <row r="4" spans="1:37" ht="13.5" customHeight="1">
      <c r="A4" s="619"/>
      <c r="B4" s="155"/>
      <c r="C4" s="156" t="s">
        <v>7</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row>
    <row r="5" spans="1:37" ht="13.5" customHeight="1">
      <c r="A5" s="619"/>
      <c r="B5" s="155"/>
      <c r="C5" s="440" t="s">
        <v>462</v>
      </c>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2"/>
    </row>
    <row r="6" spans="1:37" ht="13.5" customHeight="1">
      <c r="A6" s="632">
        <v>1</v>
      </c>
      <c r="B6" s="155"/>
      <c r="C6" s="164" t="s">
        <v>463</v>
      </c>
      <c r="D6" s="165">
        <v>12.063902130000001</v>
      </c>
      <c r="E6" s="165">
        <v>13.0199</v>
      </c>
      <c r="F6" s="165">
        <v>10.093</v>
      </c>
      <c r="G6" s="165">
        <f t="shared" ref="G6:AJ6" si="0">AVERAGE(D6:F6)</f>
        <v>11.72560071</v>
      </c>
      <c r="H6" s="165">
        <f t="shared" si="0"/>
        <v>11.612833569999999</v>
      </c>
      <c r="I6" s="165">
        <f t="shared" si="0"/>
        <v>11.143811426666666</v>
      </c>
      <c r="J6" s="165">
        <f t="shared" si="0"/>
        <v>11.494081902222222</v>
      </c>
      <c r="K6" s="165">
        <f t="shared" si="0"/>
        <v>11.416908966296296</v>
      </c>
      <c r="L6" s="165">
        <f t="shared" si="0"/>
        <v>11.351600765061727</v>
      </c>
      <c r="M6" s="165">
        <f t="shared" si="0"/>
        <v>11.42086387786008</v>
      </c>
      <c r="N6" s="165">
        <f t="shared" si="0"/>
        <v>11.396457869739367</v>
      </c>
      <c r="O6" s="165">
        <f t="shared" si="0"/>
        <v>11.389640837553726</v>
      </c>
      <c r="P6" s="165">
        <f t="shared" si="0"/>
        <v>11.402320861717724</v>
      </c>
      <c r="Q6" s="165">
        <f t="shared" si="0"/>
        <v>11.396139856336939</v>
      </c>
      <c r="R6" s="165">
        <f t="shared" si="0"/>
        <v>11.396033851869463</v>
      </c>
      <c r="S6" s="165">
        <f t="shared" si="0"/>
        <v>11.398164856641374</v>
      </c>
      <c r="T6" s="165">
        <f t="shared" si="0"/>
        <v>11.396779521615926</v>
      </c>
      <c r="U6" s="165">
        <f t="shared" si="0"/>
        <v>11.396992743375586</v>
      </c>
      <c r="V6" s="165">
        <f t="shared" si="0"/>
        <v>11.397312373877627</v>
      </c>
      <c r="W6" s="165">
        <f t="shared" si="0"/>
        <v>11.397028212956378</v>
      </c>
      <c r="X6" s="165">
        <f t="shared" si="0"/>
        <v>11.397111110069863</v>
      </c>
      <c r="Y6" s="165">
        <f t="shared" si="0"/>
        <v>11.397150565634623</v>
      </c>
      <c r="Z6" s="165">
        <f t="shared" si="0"/>
        <v>11.397096629553623</v>
      </c>
      <c r="AA6" s="165">
        <f t="shared" si="0"/>
        <v>11.397119435086035</v>
      </c>
      <c r="AB6" s="165">
        <f t="shared" si="0"/>
        <v>11.397122210091426</v>
      </c>
      <c r="AC6" s="165">
        <f t="shared" si="0"/>
        <v>11.397112758243694</v>
      </c>
      <c r="AD6" s="165">
        <f t="shared" si="0"/>
        <v>11.39711813447372</v>
      </c>
      <c r="AE6" s="165">
        <f t="shared" si="0"/>
        <v>11.397117700936279</v>
      </c>
      <c r="AF6" s="165">
        <f t="shared" si="0"/>
        <v>11.397116197884564</v>
      </c>
      <c r="AG6" s="165">
        <f t="shared" si="0"/>
        <v>11.397117344431521</v>
      </c>
      <c r="AH6" s="165">
        <f t="shared" si="0"/>
        <v>11.39711708108412</v>
      </c>
      <c r="AI6" s="165">
        <f t="shared" si="0"/>
        <v>11.397116874466734</v>
      </c>
      <c r="AJ6" s="165">
        <f t="shared" si="0"/>
        <v>11.397117099994125</v>
      </c>
      <c r="AK6" s="142"/>
    </row>
    <row r="7" spans="1:37" ht="13.5" customHeight="1">
      <c r="A7" s="651"/>
      <c r="B7" s="155"/>
      <c r="C7" s="164" t="s">
        <v>464</v>
      </c>
      <c r="D7" s="165">
        <v>10.98401215</v>
      </c>
      <c r="E7" s="165">
        <v>13.8933</v>
      </c>
      <c r="F7" s="165">
        <v>13.0825</v>
      </c>
      <c r="G7" s="165">
        <f t="shared" ref="G7:AJ7" si="1">AVERAGE(D7:F7)</f>
        <v>12.653270716666668</v>
      </c>
      <c r="H7" s="165">
        <f t="shared" si="1"/>
        <v>13.209690238888889</v>
      </c>
      <c r="I7" s="165">
        <f t="shared" si="1"/>
        <v>12.981820318518521</v>
      </c>
      <c r="J7" s="165">
        <f t="shared" si="1"/>
        <v>12.948260424691361</v>
      </c>
      <c r="K7" s="165">
        <f t="shared" si="1"/>
        <v>13.046590327366259</v>
      </c>
      <c r="L7" s="165">
        <f t="shared" si="1"/>
        <v>12.992223690192047</v>
      </c>
      <c r="M7" s="165">
        <f t="shared" si="1"/>
        <v>12.995691480749889</v>
      </c>
      <c r="N7" s="165">
        <f t="shared" si="1"/>
        <v>13.011501832769397</v>
      </c>
      <c r="O7" s="165">
        <f t="shared" si="1"/>
        <v>12.999805667903777</v>
      </c>
      <c r="P7" s="165">
        <f t="shared" si="1"/>
        <v>13.002332993807689</v>
      </c>
      <c r="Q7" s="165">
        <f t="shared" si="1"/>
        <v>13.004546831493622</v>
      </c>
      <c r="R7" s="165">
        <f t="shared" si="1"/>
        <v>13.002228497735031</v>
      </c>
      <c r="S7" s="165">
        <f t="shared" si="1"/>
        <v>13.003036107678781</v>
      </c>
      <c r="T7" s="165">
        <f t="shared" si="1"/>
        <v>13.003270478969144</v>
      </c>
      <c r="U7" s="165">
        <f t="shared" si="1"/>
        <v>13.002845028127652</v>
      </c>
      <c r="V7" s="165">
        <f t="shared" si="1"/>
        <v>13.003050538258526</v>
      </c>
      <c r="W7" s="165">
        <f t="shared" si="1"/>
        <v>13.003055348451774</v>
      </c>
      <c r="X7" s="165">
        <f t="shared" si="1"/>
        <v>13.002983638279318</v>
      </c>
      <c r="Y7" s="165">
        <f t="shared" si="1"/>
        <v>13.003029841663206</v>
      </c>
      <c r="Z7" s="165">
        <f t="shared" si="1"/>
        <v>13.003022942798099</v>
      </c>
      <c r="AA7" s="165">
        <f t="shared" si="1"/>
        <v>13.00301214091354</v>
      </c>
      <c r="AB7" s="165">
        <f t="shared" si="1"/>
        <v>13.003021641791614</v>
      </c>
      <c r="AC7" s="165">
        <f t="shared" si="1"/>
        <v>13.003018908501083</v>
      </c>
      <c r="AD7" s="165">
        <f t="shared" si="1"/>
        <v>13.003017563735412</v>
      </c>
      <c r="AE7" s="165">
        <f t="shared" si="1"/>
        <v>13.003019371342702</v>
      </c>
      <c r="AF7" s="165">
        <f t="shared" si="1"/>
        <v>13.003018614526399</v>
      </c>
      <c r="AG7" s="165">
        <f t="shared" si="1"/>
        <v>13.003018516534837</v>
      </c>
      <c r="AH7" s="165">
        <f t="shared" si="1"/>
        <v>13.003018834134645</v>
      </c>
      <c r="AI7" s="165">
        <f t="shared" si="1"/>
        <v>13.003018655065292</v>
      </c>
      <c r="AJ7" s="165">
        <f t="shared" si="1"/>
        <v>13.003018668578257</v>
      </c>
      <c r="AK7" s="142"/>
    </row>
    <row r="8" spans="1:37" ht="13.5" customHeight="1">
      <c r="A8" s="651"/>
      <c r="B8" s="155"/>
      <c r="C8" s="164" t="s">
        <v>465</v>
      </c>
      <c r="D8" s="165">
        <v>3.4628884389999999</v>
      </c>
      <c r="E8" s="165">
        <v>3.3956900000000001</v>
      </c>
      <c r="F8" s="165">
        <v>3.0583999999999998</v>
      </c>
      <c r="G8" s="165">
        <f t="shared" ref="G8:AJ8" si="2">AVERAGE(D8:F8)</f>
        <v>3.3056594796666672</v>
      </c>
      <c r="H8" s="165">
        <f t="shared" si="2"/>
        <v>3.2532498265555554</v>
      </c>
      <c r="I8" s="165">
        <f t="shared" si="2"/>
        <v>3.2057697687407405</v>
      </c>
      <c r="J8" s="165">
        <f t="shared" si="2"/>
        <v>3.2548930249876542</v>
      </c>
      <c r="K8" s="165">
        <f t="shared" si="2"/>
        <v>3.2379708734279831</v>
      </c>
      <c r="L8" s="165">
        <f t="shared" si="2"/>
        <v>3.2328778890521259</v>
      </c>
      <c r="M8" s="165">
        <f t="shared" si="2"/>
        <v>3.2419139291559209</v>
      </c>
      <c r="N8" s="165">
        <f t="shared" si="2"/>
        <v>3.2375875638786766</v>
      </c>
      <c r="O8" s="165">
        <f t="shared" si="2"/>
        <v>3.2374597940289078</v>
      </c>
      <c r="P8" s="165">
        <f t="shared" si="2"/>
        <v>3.2389870956878348</v>
      </c>
      <c r="Q8" s="165">
        <f t="shared" si="2"/>
        <v>3.2380114845318064</v>
      </c>
      <c r="R8" s="165">
        <f t="shared" si="2"/>
        <v>3.2381527914161832</v>
      </c>
      <c r="S8" s="165">
        <f t="shared" si="2"/>
        <v>3.2383837905452748</v>
      </c>
      <c r="T8" s="165">
        <f t="shared" si="2"/>
        <v>3.2381826888310883</v>
      </c>
      <c r="U8" s="165">
        <f t="shared" si="2"/>
        <v>3.2382397569308488</v>
      </c>
      <c r="V8" s="165">
        <f t="shared" si="2"/>
        <v>3.2382687454357373</v>
      </c>
      <c r="W8" s="165">
        <f t="shared" si="2"/>
        <v>3.2382303970658914</v>
      </c>
      <c r="X8" s="165">
        <f t="shared" si="2"/>
        <v>3.2382462998108257</v>
      </c>
      <c r="Y8" s="165">
        <f t="shared" si="2"/>
        <v>3.2382484807708178</v>
      </c>
      <c r="Z8" s="165">
        <f t="shared" si="2"/>
        <v>3.2382417258825118</v>
      </c>
      <c r="AA8" s="165">
        <f t="shared" si="2"/>
        <v>3.2382455021547187</v>
      </c>
      <c r="AB8" s="165">
        <f t="shared" si="2"/>
        <v>3.2382452362693495</v>
      </c>
      <c r="AC8" s="165">
        <f t="shared" si="2"/>
        <v>3.2382441547688603</v>
      </c>
      <c r="AD8" s="165">
        <f t="shared" si="2"/>
        <v>3.238244964397643</v>
      </c>
      <c r="AE8" s="165">
        <f t="shared" si="2"/>
        <v>3.2382447851452842</v>
      </c>
      <c r="AF8" s="165">
        <f t="shared" si="2"/>
        <v>3.2382446347705955</v>
      </c>
      <c r="AG8" s="165">
        <f t="shared" si="2"/>
        <v>3.2382447947711746</v>
      </c>
      <c r="AH8" s="165">
        <f t="shared" si="2"/>
        <v>3.2382447382290178</v>
      </c>
      <c r="AI8" s="165">
        <f t="shared" si="2"/>
        <v>3.2382447225902626</v>
      </c>
      <c r="AJ8" s="165">
        <f t="shared" si="2"/>
        <v>3.2382447518634851</v>
      </c>
      <c r="AK8" s="142"/>
    </row>
    <row r="9" spans="1:37" ht="13.5" customHeight="1">
      <c r="A9" s="651"/>
      <c r="B9" s="155"/>
      <c r="C9" s="164" t="s">
        <v>466</v>
      </c>
      <c r="D9" s="165">
        <v>0.80418051499999998</v>
      </c>
      <c r="E9" s="165">
        <v>0.78913</v>
      </c>
      <c r="F9" s="165">
        <v>0.55557000000000001</v>
      </c>
      <c r="G9" s="165">
        <f t="shared" ref="G9:AJ9" si="3">AVERAGE(D9:F9)</f>
        <v>0.716293505</v>
      </c>
      <c r="H9" s="165">
        <f t="shared" si="3"/>
        <v>0.686997835</v>
      </c>
      <c r="I9" s="165">
        <f t="shared" si="3"/>
        <v>0.65295377999999993</v>
      </c>
      <c r="J9" s="165">
        <f t="shared" si="3"/>
        <v>0.68541503999999998</v>
      </c>
      <c r="K9" s="165">
        <f t="shared" si="3"/>
        <v>0.6751222183333333</v>
      </c>
      <c r="L9" s="165">
        <f t="shared" si="3"/>
        <v>0.67116367944444433</v>
      </c>
      <c r="M9" s="165">
        <f t="shared" si="3"/>
        <v>0.67723364592592583</v>
      </c>
      <c r="N9" s="165">
        <f t="shared" si="3"/>
        <v>0.67450651456790123</v>
      </c>
      <c r="O9" s="165">
        <f t="shared" si="3"/>
        <v>0.6743012799794238</v>
      </c>
      <c r="P9" s="165">
        <f t="shared" si="3"/>
        <v>0.67534714682441699</v>
      </c>
      <c r="Q9" s="165">
        <f t="shared" si="3"/>
        <v>0.67471831379058067</v>
      </c>
      <c r="R9" s="165">
        <f t="shared" si="3"/>
        <v>0.67478891353147386</v>
      </c>
      <c r="S9" s="165">
        <f t="shared" si="3"/>
        <v>0.67495145804882384</v>
      </c>
      <c r="T9" s="165">
        <f t="shared" si="3"/>
        <v>0.67481956179029279</v>
      </c>
      <c r="U9" s="165">
        <f t="shared" si="3"/>
        <v>0.6748533111235302</v>
      </c>
      <c r="V9" s="165">
        <f t="shared" si="3"/>
        <v>0.67487477698754894</v>
      </c>
      <c r="W9" s="165">
        <f t="shared" si="3"/>
        <v>0.67484921663379061</v>
      </c>
      <c r="X9" s="165">
        <f t="shared" si="3"/>
        <v>0.67485910158162321</v>
      </c>
      <c r="Y9" s="165">
        <f t="shared" si="3"/>
        <v>0.67486103173432088</v>
      </c>
      <c r="Z9" s="165">
        <f t="shared" si="3"/>
        <v>0.6748564499832449</v>
      </c>
      <c r="AA9" s="165">
        <f t="shared" si="3"/>
        <v>0.6748588610997297</v>
      </c>
      <c r="AB9" s="165">
        <f t="shared" si="3"/>
        <v>0.67485878093909857</v>
      </c>
      <c r="AC9" s="165">
        <f t="shared" si="3"/>
        <v>0.6748580306740245</v>
      </c>
      <c r="AD9" s="165">
        <f t="shared" si="3"/>
        <v>0.67485855757095103</v>
      </c>
      <c r="AE9" s="165">
        <f t="shared" si="3"/>
        <v>0.67485845639469133</v>
      </c>
      <c r="AF9" s="165">
        <f t="shared" si="3"/>
        <v>0.67485834821322221</v>
      </c>
      <c r="AG9" s="165">
        <f t="shared" si="3"/>
        <v>0.67485845405962153</v>
      </c>
      <c r="AH9" s="165">
        <f t="shared" si="3"/>
        <v>0.67485841955584502</v>
      </c>
      <c r="AI9" s="165">
        <f t="shared" si="3"/>
        <v>0.67485840727622959</v>
      </c>
      <c r="AJ9" s="165">
        <f t="shared" si="3"/>
        <v>0.67485842696389875</v>
      </c>
      <c r="AK9" s="142"/>
    </row>
    <row r="10" spans="1:37" ht="13.5" customHeight="1">
      <c r="A10" s="651"/>
      <c r="B10" s="155"/>
      <c r="C10" s="164" t="s">
        <v>467</v>
      </c>
      <c r="D10" s="165">
        <v>16.109515869999999</v>
      </c>
      <c r="E10" s="165">
        <v>16.086500000000001</v>
      </c>
      <c r="F10" s="165">
        <v>12.6517</v>
      </c>
      <c r="G10" s="165">
        <f t="shared" ref="G10:AJ10" si="4">AVERAGE(D10:F10)</f>
        <v>14.949238623333331</v>
      </c>
      <c r="H10" s="165">
        <f t="shared" si="4"/>
        <v>14.562479541111109</v>
      </c>
      <c r="I10" s="165">
        <f t="shared" si="4"/>
        <v>14.05447272148148</v>
      </c>
      <c r="J10" s="165">
        <f t="shared" si="4"/>
        <v>14.522063628641973</v>
      </c>
      <c r="K10" s="165">
        <f t="shared" si="4"/>
        <v>14.379671963744855</v>
      </c>
      <c r="L10" s="165">
        <f t="shared" si="4"/>
        <v>14.31873610462277</v>
      </c>
      <c r="M10" s="165">
        <f t="shared" si="4"/>
        <v>14.4068238990032</v>
      </c>
      <c r="N10" s="165">
        <f t="shared" si="4"/>
        <v>14.368410655790276</v>
      </c>
      <c r="O10" s="165">
        <f t="shared" si="4"/>
        <v>14.364656886472083</v>
      </c>
      <c r="P10" s="165">
        <f t="shared" si="4"/>
        <v>14.379963813755188</v>
      </c>
      <c r="Q10" s="165">
        <f t="shared" si="4"/>
        <v>14.37101045200585</v>
      </c>
      <c r="R10" s="165">
        <f t="shared" si="4"/>
        <v>14.371877050744374</v>
      </c>
      <c r="S10" s="165">
        <f t="shared" si="4"/>
        <v>14.37428377216847</v>
      </c>
      <c r="T10" s="165">
        <f t="shared" si="4"/>
        <v>14.372390424972897</v>
      </c>
      <c r="U10" s="165">
        <f t="shared" si="4"/>
        <v>14.372850415961913</v>
      </c>
      <c r="V10" s="165">
        <f t="shared" si="4"/>
        <v>14.373174871034427</v>
      </c>
      <c r="W10" s="165">
        <f t="shared" si="4"/>
        <v>14.37280523732308</v>
      </c>
      <c r="X10" s="165">
        <f t="shared" si="4"/>
        <v>14.372943508106474</v>
      </c>
      <c r="Y10" s="165">
        <f t="shared" si="4"/>
        <v>14.372974538821326</v>
      </c>
      <c r="Z10" s="165">
        <f t="shared" si="4"/>
        <v>14.372907761416959</v>
      </c>
      <c r="AA10" s="165">
        <f t="shared" si="4"/>
        <v>14.37294193611492</v>
      </c>
      <c r="AB10" s="165">
        <f t="shared" si="4"/>
        <v>14.372941412117735</v>
      </c>
      <c r="AC10" s="165">
        <f t="shared" si="4"/>
        <v>14.372930369883205</v>
      </c>
      <c r="AD10" s="165">
        <f t="shared" si="4"/>
        <v>14.37293790603862</v>
      </c>
      <c r="AE10" s="165">
        <f t="shared" si="4"/>
        <v>14.372936562679854</v>
      </c>
      <c r="AF10" s="165">
        <f t="shared" si="4"/>
        <v>14.372934946200559</v>
      </c>
      <c r="AG10" s="165">
        <f t="shared" si="4"/>
        <v>14.372936471639678</v>
      </c>
      <c r="AH10" s="165">
        <f t="shared" si="4"/>
        <v>14.372935993506696</v>
      </c>
      <c r="AI10" s="165">
        <f t="shared" si="4"/>
        <v>14.37293580378231</v>
      </c>
      <c r="AJ10" s="165">
        <f t="shared" si="4"/>
        <v>14.372936089642893</v>
      </c>
      <c r="AK10" s="142"/>
    </row>
    <row r="11" spans="1:37" ht="13.5" customHeight="1">
      <c r="A11" s="619"/>
      <c r="B11" s="155"/>
      <c r="C11" s="164" t="s">
        <v>468</v>
      </c>
      <c r="D11" s="204"/>
      <c r="E11" s="204"/>
      <c r="F11" s="204"/>
      <c r="G11" s="204"/>
      <c r="H11" s="204"/>
      <c r="I11" s="204"/>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4"/>
      <c r="AG11" s="204"/>
      <c r="AH11" s="204"/>
      <c r="AI11" s="204"/>
      <c r="AJ11" s="204"/>
      <c r="AK11" s="142"/>
    </row>
    <row r="12" spans="1:37" ht="13.5" customHeight="1">
      <c r="A12" s="619"/>
      <c r="B12" s="155"/>
      <c r="C12" s="164" t="s">
        <v>12</v>
      </c>
      <c r="D12" s="204"/>
      <c r="E12" s="204"/>
      <c r="F12" s="204"/>
      <c r="G12" s="204"/>
      <c r="H12" s="204"/>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4"/>
      <c r="AG12" s="204"/>
      <c r="AH12" s="204"/>
      <c r="AI12" s="204"/>
      <c r="AJ12" s="204"/>
      <c r="AK12" s="142"/>
    </row>
    <row r="13" spans="1:37" ht="13.5" customHeight="1">
      <c r="A13" s="619"/>
      <c r="B13" s="155"/>
      <c r="C13" s="164" t="s">
        <v>469</v>
      </c>
      <c r="D13" s="165">
        <f t="shared" ref="D13:AJ13" si="5">SUM(D6:D10)</f>
        <v>43.424499103999999</v>
      </c>
      <c r="E13" s="165">
        <f t="shared" si="5"/>
        <v>47.184519999999999</v>
      </c>
      <c r="F13" s="165">
        <f t="shared" si="5"/>
        <v>39.44117</v>
      </c>
      <c r="G13" s="165">
        <f t="shared" si="5"/>
        <v>43.350063034666668</v>
      </c>
      <c r="H13" s="165">
        <f t="shared" si="5"/>
        <v>43.325251011555551</v>
      </c>
      <c r="I13" s="165">
        <f t="shared" si="5"/>
        <v>42.038828015407411</v>
      </c>
      <c r="J13" s="165">
        <f t="shared" si="5"/>
        <v>42.90471402054321</v>
      </c>
      <c r="K13" s="165">
        <f t="shared" si="5"/>
        <v>42.756264349168724</v>
      </c>
      <c r="L13" s="165">
        <f t="shared" si="5"/>
        <v>42.566602128373113</v>
      </c>
      <c r="M13" s="165">
        <f t="shared" si="5"/>
        <v>42.74252683269502</v>
      </c>
      <c r="N13" s="165">
        <f t="shared" si="5"/>
        <v>42.688464436745619</v>
      </c>
      <c r="O13" s="165">
        <f t="shared" si="5"/>
        <v>42.665864465937915</v>
      </c>
      <c r="P13" s="165">
        <f t="shared" si="5"/>
        <v>42.698951911792854</v>
      </c>
      <c r="Q13" s="165">
        <f t="shared" si="5"/>
        <v>42.684426938158801</v>
      </c>
      <c r="R13" s="165">
        <f t="shared" si="5"/>
        <v>42.683081105296523</v>
      </c>
      <c r="S13" s="165">
        <f t="shared" si="5"/>
        <v>42.688819985082723</v>
      </c>
      <c r="T13" s="165">
        <f t="shared" si="5"/>
        <v>42.685442676179349</v>
      </c>
      <c r="U13" s="165">
        <f t="shared" si="5"/>
        <v>42.68578125551953</v>
      </c>
      <c r="V13" s="165">
        <f t="shared" si="5"/>
        <v>42.686681305593865</v>
      </c>
      <c r="W13" s="165">
        <f t="shared" si="5"/>
        <v>42.685968412430917</v>
      </c>
      <c r="X13" s="165">
        <f t="shared" si="5"/>
        <v>42.686143657848106</v>
      </c>
      <c r="Y13" s="165">
        <f t="shared" si="5"/>
        <v>42.686264458624294</v>
      </c>
      <c r="Z13" s="165">
        <f t="shared" si="5"/>
        <v>42.686125509634437</v>
      </c>
      <c r="AA13" s="165">
        <f t="shared" si="5"/>
        <v>42.686177875368941</v>
      </c>
      <c r="AB13" s="165">
        <f t="shared" si="5"/>
        <v>42.686189281209224</v>
      </c>
      <c r="AC13" s="165">
        <f t="shared" si="5"/>
        <v>42.686164222070865</v>
      </c>
      <c r="AD13" s="165">
        <f t="shared" si="5"/>
        <v>42.68617712621635</v>
      </c>
      <c r="AE13" s="165">
        <f t="shared" si="5"/>
        <v>42.686176876498806</v>
      </c>
      <c r="AF13" s="165">
        <f t="shared" si="5"/>
        <v>42.686172741595335</v>
      </c>
      <c r="AG13" s="165">
        <f t="shared" si="5"/>
        <v>42.686175581436828</v>
      </c>
      <c r="AH13" s="165">
        <f t="shared" si="5"/>
        <v>42.686175066510323</v>
      </c>
      <c r="AI13" s="165">
        <f t="shared" si="5"/>
        <v>42.686174463180826</v>
      </c>
      <c r="AJ13" s="165">
        <f t="shared" si="5"/>
        <v>42.686175037042659</v>
      </c>
      <c r="AK13" s="142"/>
    </row>
    <row r="14" spans="1:37" ht="13.5" customHeight="1">
      <c r="A14" s="619"/>
      <c r="B14" s="155"/>
      <c r="C14" s="355"/>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2"/>
    </row>
    <row r="15" spans="1:37" ht="13.5" customHeight="1">
      <c r="A15" s="619"/>
      <c r="B15" s="155"/>
      <c r="C15" s="440" t="s">
        <v>470</v>
      </c>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2"/>
    </row>
    <row r="16" spans="1:37" ht="13.5" customHeight="1">
      <c r="A16" s="619"/>
      <c r="B16" s="155"/>
      <c r="C16" s="164" t="s">
        <v>463</v>
      </c>
      <c r="D16" s="204"/>
      <c r="E16" s="204"/>
      <c r="F16" s="204"/>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142"/>
    </row>
    <row r="17" spans="1:37" ht="13.5" customHeight="1">
      <c r="A17" s="619"/>
      <c r="B17" s="155"/>
      <c r="C17" s="164" t="s">
        <v>464</v>
      </c>
      <c r="D17" s="204"/>
      <c r="E17" s="204"/>
      <c r="F17" s="204"/>
      <c r="G17" s="204"/>
      <c r="H17" s="204"/>
      <c r="I17" s="204"/>
      <c r="J17" s="204"/>
      <c r="K17" s="204"/>
      <c r="L17" s="204"/>
      <c r="M17" s="204"/>
      <c r="N17" s="204"/>
      <c r="O17" s="204"/>
      <c r="P17" s="204"/>
      <c r="Q17" s="204"/>
      <c r="R17" s="204"/>
      <c r="S17" s="204"/>
      <c r="T17" s="204"/>
      <c r="U17" s="204"/>
      <c r="V17" s="204"/>
      <c r="W17" s="204"/>
      <c r="X17" s="204"/>
      <c r="Y17" s="204"/>
      <c r="Z17" s="204"/>
      <c r="AA17" s="204"/>
      <c r="AB17" s="204"/>
      <c r="AC17" s="204"/>
      <c r="AD17" s="204"/>
      <c r="AE17" s="204"/>
      <c r="AF17" s="204"/>
      <c r="AG17" s="204"/>
      <c r="AH17" s="204"/>
      <c r="AI17" s="204"/>
      <c r="AJ17" s="204"/>
      <c r="AK17" s="142"/>
    </row>
    <row r="18" spans="1:37" ht="13.5" customHeight="1">
      <c r="A18" s="619"/>
      <c r="B18" s="155"/>
      <c r="C18" s="164" t="s">
        <v>465</v>
      </c>
      <c r="D18" s="204"/>
      <c r="E18" s="204"/>
      <c r="F18" s="204"/>
      <c r="G18" s="204"/>
      <c r="H18" s="204"/>
      <c r="I18" s="204"/>
      <c r="J18" s="204"/>
      <c r="K18" s="204"/>
      <c r="L18" s="204"/>
      <c r="M18" s="204"/>
      <c r="N18" s="204"/>
      <c r="O18" s="204"/>
      <c r="P18" s="204"/>
      <c r="Q18" s="204"/>
      <c r="R18" s="204"/>
      <c r="S18" s="204"/>
      <c r="T18" s="204"/>
      <c r="U18" s="204"/>
      <c r="V18" s="204"/>
      <c r="W18" s="204"/>
      <c r="X18" s="204"/>
      <c r="Y18" s="204"/>
      <c r="Z18" s="204"/>
      <c r="AA18" s="204"/>
      <c r="AB18" s="204"/>
      <c r="AC18" s="204"/>
      <c r="AD18" s="204"/>
      <c r="AE18" s="204"/>
      <c r="AF18" s="204"/>
      <c r="AG18" s="204"/>
      <c r="AH18" s="204"/>
      <c r="AI18" s="204"/>
      <c r="AJ18" s="204"/>
      <c r="AK18" s="142"/>
    </row>
    <row r="19" spans="1:37" ht="13.5" customHeight="1">
      <c r="A19" s="619"/>
      <c r="B19" s="155"/>
      <c r="C19" s="164" t="s">
        <v>466</v>
      </c>
      <c r="D19" s="204"/>
      <c r="E19" s="204"/>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142"/>
    </row>
    <row r="20" spans="1:37" ht="13.5" customHeight="1">
      <c r="A20" s="619"/>
      <c r="B20" s="155"/>
      <c r="C20" s="164" t="s">
        <v>467</v>
      </c>
      <c r="D20" s="204"/>
      <c r="E20" s="204"/>
      <c r="F20" s="204"/>
      <c r="G20" s="204"/>
      <c r="H20" s="204"/>
      <c r="I20" s="204"/>
      <c r="J20" s="204"/>
      <c r="K20" s="204"/>
      <c r="L20" s="204"/>
      <c r="M20" s="204"/>
      <c r="N20" s="204"/>
      <c r="O20" s="204"/>
      <c r="P20" s="204"/>
      <c r="Q20" s="204"/>
      <c r="R20" s="204"/>
      <c r="S20" s="204"/>
      <c r="T20" s="204"/>
      <c r="U20" s="204"/>
      <c r="V20" s="204"/>
      <c r="W20" s="204"/>
      <c r="X20" s="204"/>
      <c r="Y20" s="204"/>
      <c r="Z20" s="204"/>
      <c r="AA20" s="204"/>
      <c r="AB20" s="204"/>
      <c r="AC20" s="204"/>
      <c r="AD20" s="204"/>
      <c r="AE20" s="204"/>
      <c r="AF20" s="204"/>
      <c r="AG20" s="204"/>
      <c r="AH20" s="204"/>
      <c r="AI20" s="204"/>
      <c r="AJ20" s="204"/>
      <c r="AK20" s="142"/>
    </row>
    <row r="21" spans="1:37" ht="13.5" customHeight="1">
      <c r="A21" s="619"/>
      <c r="B21" s="155"/>
      <c r="C21" s="164" t="s">
        <v>468</v>
      </c>
      <c r="D21" s="204"/>
      <c r="E21" s="204"/>
      <c r="F21" s="204"/>
      <c r="G21" s="204"/>
      <c r="H21" s="204"/>
      <c r="I21" s="204"/>
      <c r="J21" s="204"/>
      <c r="K21" s="204"/>
      <c r="L21" s="204"/>
      <c r="M21" s="204"/>
      <c r="N21" s="204"/>
      <c r="O21" s="204"/>
      <c r="P21" s="204"/>
      <c r="Q21" s="204"/>
      <c r="R21" s="204"/>
      <c r="S21" s="204"/>
      <c r="T21" s="204"/>
      <c r="U21" s="204"/>
      <c r="V21" s="204"/>
      <c r="W21" s="204"/>
      <c r="X21" s="204"/>
      <c r="Y21" s="204"/>
      <c r="Z21" s="204"/>
      <c r="AA21" s="204"/>
      <c r="AB21" s="204"/>
      <c r="AC21" s="204"/>
      <c r="AD21" s="204"/>
      <c r="AE21" s="204"/>
      <c r="AF21" s="204"/>
      <c r="AG21" s="204"/>
      <c r="AH21" s="204"/>
      <c r="AI21" s="204"/>
      <c r="AJ21" s="204"/>
      <c r="AK21" s="142"/>
    </row>
    <row r="22" spans="1:37" ht="13.5" customHeight="1">
      <c r="A22" s="619"/>
      <c r="B22" s="155"/>
      <c r="C22" s="164" t="s">
        <v>12</v>
      </c>
      <c r="D22" s="204"/>
      <c r="E22" s="204"/>
      <c r="F22" s="204"/>
      <c r="G22" s="204"/>
      <c r="H22" s="204"/>
      <c r="I22" s="204"/>
      <c r="J22" s="204"/>
      <c r="K22" s="204"/>
      <c r="L22" s="204"/>
      <c r="M22" s="204"/>
      <c r="N22" s="204"/>
      <c r="O22" s="204"/>
      <c r="P22" s="204"/>
      <c r="Q22" s="204"/>
      <c r="R22" s="204"/>
      <c r="S22" s="204"/>
      <c r="T22" s="204"/>
      <c r="U22" s="204"/>
      <c r="V22" s="204"/>
      <c r="W22" s="204"/>
      <c r="X22" s="204"/>
      <c r="Y22" s="204"/>
      <c r="Z22" s="204"/>
      <c r="AA22" s="204"/>
      <c r="AB22" s="204"/>
      <c r="AC22" s="204"/>
      <c r="AD22" s="204"/>
      <c r="AE22" s="204"/>
      <c r="AF22" s="204"/>
      <c r="AG22" s="204"/>
      <c r="AH22" s="204"/>
      <c r="AI22" s="204"/>
      <c r="AJ22" s="204"/>
      <c r="AK22" s="142"/>
    </row>
    <row r="23" spans="1:37" ht="13.5" customHeight="1">
      <c r="A23" s="619"/>
      <c r="B23" s="155"/>
      <c r="C23" s="164" t="s">
        <v>469</v>
      </c>
      <c r="D23" s="204">
        <f t="shared" ref="D23:AJ23" si="6">SUM(D16:D20)</f>
        <v>0</v>
      </c>
      <c r="E23" s="204">
        <f t="shared" si="6"/>
        <v>0</v>
      </c>
      <c r="F23" s="204">
        <f t="shared" si="6"/>
        <v>0</v>
      </c>
      <c r="G23" s="204">
        <f t="shared" si="6"/>
        <v>0</v>
      </c>
      <c r="H23" s="204">
        <f t="shared" si="6"/>
        <v>0</v>
      </c>
      <c r="I23" s="204">
        <f t="shared" si="6"/>
        <v>0</v>
      </c>
      <c r="J23" s="204">
        <f t="shared" si="6"/>
        <v>0</v>
      </c>
      <c r="K23" s="204">
        <f t="shared" si="6"/>
        <v>0</v>
      </c>
      <c r="L23" s="204">
        <f t="shared" si="6"/>
        <v>0</v>
      </c>
      <c r="M23" s="204">
        <f t="shared" si="6"/>
        <v>0</v>
      </c>
      <c r="N23" s="204">
        <f t="shared" si="6"/>
        <v>0</v>
      </c>
      <c r="O23" s="204">
        <f t="shared" si="6"/>
        <v>0</v>
      </c>
      <c r="P23" s="204">
        <f t="shared" si="6"/>
        <v>0</v>
      </c>
      <c r="Q23" s="204">
        <f t="shared" si="6"/>
        <v>0</v>
      </c>
      <c r="R23" s="204">
        <f t="shared" si="6"/>
        <v>0</v>
      </c>
      <c r="S23" s="204">
        <f t="shared" si="6"/>
        <v>0</v>
      </c>
      <c r="T23" s="204">
        <f t="shared" si="6"/>
        <v>0</v>
      </c>
      <c r="U23" s="204">
        <f t="shared" si="6"/>
        <v>0</v>
      </c>
      <c r="V23" s="204">
        <f t="shared" si="6"/>
        <v>0</v>
      </c>
      <c r="W23" s="204">
        <f t="shared" si="6"/>
        <v>0</v>
      </c>
      <c r="X23" s="204">
        <f t="shared" si="6"/>
        <v>0</v>
      </c>
      <c r="Y23" s="204">
        <f t="shared" si="6"/>
        <v>0</v>
      </c>
      <c r="Z23" s="204">
        <f t="shared" si="6"/>
        <v>0</v>
      </c>
      <c r="AA23" s="204">
        <f t="shared" si="6"/>
        <v>0</v>
      </c>
      <c r="AB23" s="204">
        <f t="shared" si="6"/>
        <v>0</v>
      </c>
      <c r="AC23" s="204">
        <f t="shared" si="6"/>
        <v>0</v>
      </c>
      <c r="AD23" s="204">
        <f t="shared" si="6"/>
        <v>0</v>
      </c>
      <c r="AE23" s="204">
        <f t="shared" si="6"/>
        <v>0</v>
      </c>
      <c r="AF23" s="204">
        <f t="shared" si="6"/>
        <v>0</v>
      </c>
      <c r="AG23" s="204">
        <f t="shared" si="6"/>
        <v>0</v>
      </c>
      <c r="AH23" s="204">
        <f t="shared" si="6"/>
        <v>0</v>
      </c>
      <c r="AI23" s="204">
        <f t="shared" si="6"/>
        <v>0</v>
      </c>
      <c r="AJ23" s="204">
        <f t="shared" si="6"/>
        <v>0</v>
      </c>
      <c r="AK23" s="142"/>
    </row>
    <row r="24" spans="1:37" ht="13.5" customHeight="1">
      <c r="A24" s="619"/>
      <c r="B24" s="155"/>
      <c r="C24" s="355"/>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2"/>
    </row>
    <row r="25" spans="1:37" ht="13.5" customHeight="1">
      <c r="A25" s="619"/>
      <c r="B25" s="155"/>
      <c r="C25" s="440" t="s">
        <v>471</v>
      </c>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2"/>
    </row>
    <row r="26" spans="1:37" ht="13.5" customHeight="1">
      <c r="A26" s="619"/>
      <c r="B26" s="155"/>
      <c r="C26" s="164" t="s">
        <v>463</v>
      </c>
      <c r="D26" s="204"/>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04"/>
      <c r="AJ26" s="204"/>
      <c r="AK26" s="142"/>
    </row>
    <row r="27" spans="1:37" ht="13.5" customHeight="1">
      <c r="A27" s="619"/>
      <c r="B27" s="155"/>
      <c r="C27" s="164" t="s">
        <v>464</v>
      </c>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142"/>
    </row>
    <row r="28" spans="1:37" ht="13.5" customHeight="1">
      <c r="A28" s="619"/>
      <c r="B28" s="155"/>
      <c r="C28" s="164" t="s">
        <v>465</v>
      </c>
      <c r="D28" s="204"/>
      <c r="E28" s="204"/>
      <c r="F28" s="204"/>
      <c r="G28" s="204"/>
      <c r="H28" s="204"/>
      <c r="I28" s="204"/>
      <c r="J28" s="204"/>
      <c r="K28" s="204"/>
      <c r="L28" s="204"/>
      <c r="M28" s="204"/>
      <c r="N28" s="204"/>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142"/>
    </row>
    <row r="29" spans="1:37" ht="13.5" customHeight="1">
      <c r="A29" s="619"/>
      <c r="B29" s="155"/>
      <c r="C29" s="164" t="s">
        <v>466</v>
      </c>
      <c r="D29" s="204"/>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142"/>
    </row>
    <row r="30" spans="1:37" ht="13.5" customHeight="1">
      <c r="A30" s="619"/>
      <c r="B30" s="155"/>
      <c r="C30" s="164" t="s">
        <v>467</v>
      </c>
      <c r="D30" s="204"/>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c r="AK30" s="142"/>
    </row>
    <row r="31" spans="1:37" ht="13.5" customHeight="1">
      <c r="A31" s="619"/>
      <c r="B31" s="155"/>
      <c r="C31" s="164" t="s">
        <v>468</v>
      </c>
      <c r="D31" s="204"/>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142"/>
    </row>
    <row r="32" spans="1:37" ht="13.5" customHeight="1">
      <c r="A32" s="619"/>
      <c r="B32" s="155"/>
      <c r="C32" s="164" t="s">
        <v>12</v>
      </c>
      <c r="D32" s="204"/>
      <c r="E32" s="204"/>
      <c r="F32" s="204"/>
      <c r="G32" s="204"/>
      <c r="H32" s="204"/>
      <c r="I32" s="204"/>
      <c r="J32" s="204"/>
      <c r="K32" s="204"/>
      <c r="L32" s="204"/>
      <c r="M32" s="204"/>
      <c r="N32" s="204"/>
      <c r="O32" s="204"/>
      <c r="P32" s="204"/>
      <c r="Q32" s="204"/>
      <c r="R32" s="204"/>
      <c r="S32" s="204"/>
      <c r="T32" s="204"/>
      <c r="U32" s="204"/>
      <c r="V32" s="204"/>
      <c r="W32" s="204"/>
      <c r="X32" s="204"/>
      <c r="Y32" s="204"/>
      <c r="Z32" s="204"/>
      <c r="AA32" s="204"/>
      <c r="AB32" s="204"/>
      <c r="AC32" s="204"/>
      <c r="AD32" s="204"/>
      <c r="AE32" s="204"/>
      <c r="AF32" s="204"/>
      <c r="AG32" s="204"/>
      <c r="AH32" s="204"/>
      <c r="AI32" s="204"/>
      <c r="AJ32" s="204"/>
      <c r="AK32" s="142"/>
    </row>
    <row r="33" spans="1:37" ht="13.5" customHeight="1">
      <c r="A33" s="619"/>
      <c r="B33" s="155"/>
      <c r="C33" s="164" t="s">
        <v>469</v>
      </c>
      <c r="D33" s="204">
        <f t="shared" ref="D33:AJ33" si="7">SUM(D26:D30)</f>
        <v>0</v>
      </c>
      <c r="E33" s="204">
        <f t="shared" si="7"/>
        <v>0</v>
      </c>
      <c r="F33" s="204">
        <f t="shared" si="7"/>
        <v>0</v>
      </c>
      <c r="G33" s="204">
        <f t="shared" si="7"/>
        <v>0</v>
      </c>
      <c r="H33" s="204">
        <f t="shared" si="7"/>
        <v>0</v>
      </c>
      <c r="I33" s="204">
        <f t="shared" si="7"/>
        <v>0</v>
      </c>
      <c r="J33" s="204">
        <f t="shared" si="7"/>
        <v>0</v>
      </c>
      <c r="K33" s="204">
        <f t="shared" si="7"/>
        <v>0</v>
      </c>
      <c r="L33" s="204">
        <f t="shared" si="7"/>
        <v>0</v>
      </c>
      <c r="M33" s="204">
        <f t="shared" si="7"/>
        <v>0</v>
      </c>
      <c r="N33" s="204">
        <f t="shared" si="7"/>
        <v>0</v>
      </c>
      <c r="O33" s="204">
        <f t="shared" si="7"/>
        <v>0</v>
      </c>
      <c r="P33" s="204">
        <f t="shared" si="7"/>
        <v>0</v>
      </c>
      <c r="Q33" s="204">
        <f t="shared" si="7"/>
        <v>0</v>
      </c>
      <c r="R33" s="204">
        <f t="shared" si="7"/>
        <v>0</v>
      </c>
      <c r="S33" s="204">
        <f t="shared" si="7"/>
        <v>0</v>
      </c>
      <c r="T33" s="204">
        <f t="shared" si="7"/>
        <v>0</v>
      </c>
      <c r="U33" s="204">
        <f t="shared" si="7"/>
        <v>0</v>
      </c>
      <c r="V33" s="204">
        <f t="shared" si="7"/>
        <v>0</v>
      </c>
      <c r="W33" s="204">
        <f t="shared" si="7"/>
        <v>0</v>
      </c>
      <c r="X33" s="204">
        <f t="shared" si="7"/>
        <v>0</v>
      </c>
      <c r="Y33" s="204">
        <f t="shared" si="7"/>
        <v>0</v>
      </c>
      <c r="Z33" s="204">
        <f t="shared" si="7"/>
        <v>0</v>
      </c>
      <c r="AA33" s="204">
        <f t="shared" si="7"/>
        <v>0</v>
      </c>
      <c r="AB33" s="204">
        <f t="shared" si="7"/>
        <v>0</v>
      </c>
      <c r="AC33" s="204">
        <f t="shared" si="7"/>
        <v>0</v>
      </c>
      <c r="AD33" s="204">
        <f t="shared" si="7"/>
        <v>0</v>
      </c>
      <c r="AE33" s="204">
        <f t="shared" si="7"/>
        <v>0</v>
      </c>
      <c r="AF33" s="204">
        <f t="shared" si="7"/>
        <v>0</v>
      </c>
      <c r="AG33" s="204">
        <f t="shared" si="7"/>
        <v>0</v>
      </c>
      <c r="AH33" s="204">
        <f t="shared" si="7"/>
        <v>0</v>
      </c>
      <c r="AI33" s="204">
        <f t="shared" si="7"/>
        <v>0</v>
      </c>
      <c r="AJ33" s="204">
        <f t="shared" si="7"/>
        <v>0</v>
      </c>
      <c r="AK33" s="142"/>
    </row>
    <row r="34" spans="1:37" ht="13.5" customHeight="1">
      <c r="A34" s="619"/>
      <c r="B34" s="167"/>
      <c r="C34" s="222"/>
      <c r="D34" s="230"/>
      <c r="E34" s="230"/>
      <c r="F34" s="230"/>
      <c r="G34" s="230"/>
      <c r="H34" s="230"/>
      <c r="I34" s="230"/>
      <c r="J34" s="230"/>
      <c r="K34" s="230"/>
      <c r="L34" s="230"/>
      <c r="M34" s="230"/>
      <c r="N34" s="230"/>
      <c r="O34" s="230"/>
      <c r="P34" s="230"/>
      <c r="Q34" s="230"/>
      <c r="R34" s="230"/>
      <c r="S34" s="230"/>
      <c r="T34" s="230"/>
      <c r="U34" s="230"/>
      <c r="V34" s="230"/>
      <c r="W34" s="230"/>
      <c r="X34" s="230"/>
      <c r="Y34" s="230"/>
      <c r="Z34" s="230"/>
      <c r="AA34" s="230"/>
      <c r="AB34" s="230"/>
      <c r="AC34" s="230"/>
      <c r="AD34" s="230"/>
      <c r="AE34" s="230"/>
      <c r="AF34" s="230"/>
      <c r="AG34" s="230"/>
      <c r="AH34" s="230"/>
      <c r="AI34" s="230"/>
      <c r="AJ34" s="230"/>
      <c r="AK34" s="231"/>
    </row>
    <row r="35" spans="1:37"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c r="A36" s="619"/>
      <c r="B36" s="6"/>
      <c r="C36" s="152"/>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1"/>
    </row>
    <row r="37" spans="1:37" ht="13.5" customHeight="1">
      <c r="A37" s="619"/>
      <c r="B37" s="155"/>
      <c r="C37" s="156" t="s">
        <v>60</v>
      </c>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2"/>
    </row>
    <row r="38" spans="1:37" ht="13.5" customHeight="1">
      <c r="A38" s="619"/>
      <c r="B38" s="155"/>
      <c r="C38" s="440" t="s">
        <v>472</v>
      </c>
      <c r="D38" s="143"/>
      <c r="E38" s="143"/>
      <c r="F38" s="143"/>
      <c r="G38" s="143"/>
      <c r="H38" s="143"/>
      <c r="I38" s="143"/>
      <c r="J38" s="143"/>
      <c r="K38" s="143"/>
      <c r="L38" s="143"/>
      <c r="M38" s="143"/>
      <c r="N38" s="143"/>
      <c r="O38" s="143"/>
      <c r="P38" s="143"/>
      <c r="Q38" s="143"/>
      <c r="R38" s="143"/>
      <c r="S38" s="143"/>
      <c r="T38" s="143"/>
      <c r="U38" s="143"/>
      <c r="V38" s="143"/>
      <c r="W38" s="143"/>
      <c r="X38" s="143"/>
      <c r="Y38" s="143"/>
      <c r="Z38" s="143"/>
      <c r="AA38" s="143"/>
      <c r="AB38" s="143"/>
      <c r="AC38" s="143"/>
      <c r="AD38" s="143"/>
      <c r="AE38" s="143"/>
      <c r="AF38" s="143"/>
      <c r="AG38" s="143"/>
      <c r="AH38" s="143"/>
      <c r="AI38" s="143"/>
      <c r="AJ38" s="143"/>
      <c r="AK38" s="142"/>
    </row>
    <row r="39" spans="1:37" ht="13.5" customHeight="1">
      <c r="A39" s="619"/>
      <c r="B39" s="155"/>
      <c r="C39" s="164" t="s">
        <v>473</v>
      </c>
      <c r="D39" s="204"/>
      <c r="E39" s="204"/>
      <c r="F39" s="204"/>
      <c r="G39" s="204"/>
      <c r="H39" s="204"/>
      <c r="I39" s="204"/>
      <c r="J39" s="204"/>
      <c r="K39" s="204"/>
      <c r="L39" s="204"/>
      <c r="M39" s="204"/>
      <c r="N39" s="204"/>
      <c r="O39" s="204"/>
      <c r="P39" s="204"/>
      <c r="Q39" s="204"/>
      <c r="R39" s="204"/>
      <c r="S39" s="204"/>
      <c r="T39" s="204"/>
      <c r="U39" s="204"/>
      <c r="V39" s="204"/>
      <c r="W39" s="204"/>
      <c r="X39" s="204"/>
      <c r="Y39" s="204"/>
      <c r="Z39" s="204"/>
      <c r="AA39" s="204"/>
      <c r="AB39" s="204"/>
      <c r="AC39" s="204"/>
      <c r="AD39" s="204"/>
      <c r="AE39" s="204"/>
      <c r="AF39" s="204"/>
      <c r="AG39" s="204"/>
      <c r="AH39" s="204"/>
      <c r="AI39" s="204"/>
      <c r="AJ39" s="204"/>
      <c r="AK39" s="142"/>
    </row>
    <row r="40" spans="1:37" ht="13.5" customHeight="1">
      <c r="A40" s="619"/>
      <c r="B40" s="155"/>
      <c r="C40" s="164" t="s">
        <v>474</v>
      </c>
      <c r="D40" s="204"/>
      <c r="E40" s="204"/>
      <c r="F40" s="204"/>
      <c r="G40" s="204"/>
      <c r="H40" s="204"/>
      <c r="I40" s="204"/>
      <c r="J40" s="204"/>
      <c r="K40" s="204"/>
      <c r="L40" s="204"/>
      <c r="M40" s="204"/>
      <c r="N40" s="204"/>
      <c r="O40" s="204"/>
      <c r="P40" s="204"/>
      <c r="Q40" s="204"/>
      <c r="R40" s="204"/>
      <c r="S40" s="204"/>
      <c r="T40" s="204"/>
      <c r="U40" s="204"/>
      <c r="V40" s="204"/>
      <c r="W40" s="204"/>
      <c r="X40" s="204"/>
      <c r="Y40" s="204"/>
      <c r="Z40" s="204"/>
      <c r="AA40" s="204"/>
      <c r="AB40" s="204"/>
      <c r="AC40" s="204"/>
      <c r="AD40" s="204"/>
      <c r="AE40" s="204"/>
      <c r="AF40" s="204"/>
      <c r="AG40" s="204"/>
      <c r="AH40" s="204"/>
      <c r="AI40" s="204"/>
      <c r="AJ40" s="204"/>
      <c r="AK40" s="142"/>
    </row>
    <row r="41" spans="1:37" ht="13.5" customHeight="1">
      <c r="A41" s="619"/>
      <c r="B41" s="155"/>
      <c r="C41" s="164" t="s">
        <v>475</v>
      </c>
      <c r="D41" s="204"/>
      <c r="E41" s="204"/>
      <c r="F41" s="204"/>
      <c r="G41" s="204"/>
      <c r="H41" s="204"/>
      <c r="I41" s="204"/>
      <c r="J41" s="204"/>
      <c r="K41" s="204"/>
      <c r="L41" s="204"/>
      <c r="M41" s="204"/>
      <c r="N41" s="204"/>
      <c r="O41" s="204"/>
      <c r="P41" s="204"/>
      <c r="Q41" s="204"/>
      <c r="R41" s="204"/>
      <c r="S41" s="204"/>
      <c r="T41" s="204"/>
      <c r="U41" s="204"/>
      <c r="V41" s="204"/>
      <c r="W41" s="204"/>
      <c r="X41" s="204"/>
      <c r="Y41" s="204"/>
      <c r="Z41" s="204"/>
      <c r="AA41" s="204"/>
      <c r="AB41" s="204"/>
      <c r="AC41" s="204"/>
      <c r="AD41" s="204"/>
      <c r="AE41" s="204"/>
      <c r="AF41" s="204"/>
      <c r="AG41" s="204"/>
      <c r="AH41" s="204"/>
      <c r="AI41" s="204"/>
      <c r="AJ41" s="204"/>
      <c r="AK41" s="142"/>
    </row>
    <row r="42" spans="1:37" ht="13.5" customHeight="1">
      <c r="A42" s="619"/>
      <c r="B42" s="155"/>
      <c r="C42" s="164" t="s">
        <v>476</v>
      </c>
      <c r="D42" s="204"/>
      <c r="E42" s="204"/>
      <c r="F42" s="204"/>
      <c r="G42" s="204"/>
      <c r="H42" s="204"/>
      <c r="I42" s="204"/>
      <c r="J42" s="204"/>
      <c r="K42" s="204"/>
      <c r="L42" s="204"/>
      <c r="M42" s="204"/>
      <c r="N42" s="204"/>
      <c r="O42" s="204"/>
      <c r="P42" s="204"/>
      <c r="Q42" s="204"/>
      <c r="R42" s="204"/>
      <c r="S42" s="204"/>
      <c r="T42" s="204"/>
      <c r="U42" s="204"/>
      <c r="V42" s="204"/>
      <c r="W42" s="204"/>
      <c r="X42" s="204"/>
      <c r="Y42" s="204"/>
      <c r="Z42" s="204"/>
      <c r="AA42" s="204"/>
      <c r="AB42" s="204"/>
      <c r="AC42" s="204"/>
      <c r="AD42" s="204"/>
      <c r="AE42" s="204"/>
      <c r="AF42" s="204"/>
      <c r="AG42" s="204"/>
      <c r="AH42" s="204"/>
      <c r="AI42" s="204"/>
      <c r="AJ42" s="204"/>
      <c r="AK42" s="142"/>
    </row>
    <row r="43" spans="1:37" ht="13.5" customHeight="1">
      <c r="A43" s="619"/>
      <c r="B43" s="155"/>
      <c r="C43" s="164" t="s">
        <v>12</v>
      </c>
      <c r="D43" s="204"/>
      <c r="E43" s="204"/>
      <c r="F43" s="204"/>
      <c r="G43" s="204"/>
      <c r="H43" s="204"/>
      <c r="I43" s="204"/>
      <c r="J43" s="204"/>
      <c r="K43" s="204"/>
      <c r="L43" s="204"/>
      <c r="M43" s="204"/>
      <c r="N43" s="204"/>
      <c r="O43" s="204"/>
      <c r="P43" s="204"/>
      <c r="Q43" s="204"/>
      <c r="R43" s="204"/>
      <c r="S43" s="204"/>
      <c r="T43" s="204"/>
      <c r="U43" s="204"/>
      <c r="V43" s="204"/>
      <c r="W43" s="204"/>
      <c r="X43" s="204"/>
      <c r="Y43" s="204"/>
      <c r="Z43" s="204"/>
      <c r="AA43" s="204"/>
      <c r="AB43" s="204"/>
      <c r="AC43" s="204"/>
      <c r="AD43" s="204"/>
      <c r="AE43" s="204"/>
      <c r="AF43" s="204"/>
      <c r="AG43" s="204"/>
      <c r="AH43" s="204"/>
      <c r="AI43" s="204"/>
      <c r="AJ43" s="204"/>
      <c r="AK43" s="142"/>
    </row>
    <row r="44" spans="1:37" ht="13.5" customHeight="1">
      <c r="A44" s="619"/>
      <c r="B44" s="155"/>
      <c r="C44" s="164" t="s">
        <v>469</v>
      </c>
      <c r="D44" s="204">
        <f t="shared" ref="D44:AJ44" si="8">SUM(D39:D41)</f>
        <v>0</v>
      </c>
      <c r="E44" s="204">
        <f t="shared" si="8"/>
        <v>0</v>
      </c>
      <c r="F44" s="204">
        <f t="shared" si="8"/>
        <v>0</v>
      </c>
      <c r="G44" s="204">
        <f t="shared" si="8"/>
        <v>0</v>
      </c>
      <c r="H44" s="204">
        <f t="shared" si="8"/>
        <v>0</v>
      </c>
      <c r="I44" s="204">
        <f t="shared" si="8"/>
        <v>0</v>
      </c>
      <c r="J44" s="204">
        <f t="shared" si="8"/>
        <v>0</v>
      </c>
      <c r="K44" s="204">
        <f t="shared" si="8"/>
        <v>0</v>
      </c>
      <c r="L44" s="204">
        <f t="shared" si="8"/>
        <v>0</v>
      </c>
      <c r="M44" s="204">
        <f t="shared" si="8"/>
        <v>0</v>
      </c>
      <c r="N44" s="204">
        <f t="shared" si="8"/>
        <v>0</v>
      </c>
      <c r="O44" s="204">
        <f t="shared" si="8"/>
        <v>0</v>
      </c>
      <c r="P44" s="204">
        <f t="shared" si="8"/>
        <v>0</v>
      </c>
      <c r="Q44" s="204">
        <f t="shared" si="8"/>
        <v>0</v>
      </c>
      <c r="R44" s="204">
        <f t="shared" si="8"/>
        <v>0</v>
      </c>
      <c r="S44" s="204">
        <f t="shared" si="8"/>
        <v>0</v>
      </c>
      <c r="T44" s="204">
        <f t="shared" si="8"/>
        <v>0</v>
      </c>
      <c r="U44" s="204">
        <f t="shared" si="8"/>
        <v>0</v>
      </c>
      <c r="V44" s="204">
        <f t="shared" si="8"/>
        <v>0</v>
      </c>
      <c r="W44" s="204">
        <f t="shared" si="8"/>
        <v>0</v>
      </c>
      <c r="X44" s="204">
        <f t="shared" si="8"/>
        <v>0</v>
      </c>
      <c r="Y44" s="204">
        <f t="shared" si="8"/>
        <v>0</v>
      </c>
      <c r="Z44" s="204">
        <f t="shared" si="8"/>
        <v>0</v>
      </c>
      <c r="AA44" s="204">
        <f t="shared" si="8"/>
        <v>0</v>
      </c>
      <c r="AB44" s="204">
        <f t="shared" si="8"/>
        <v>0</v>
      </c>
      <c r="AC44" s="204">
        <f t="shared" si="8"/>
        <v>0</v>
      </c>
      <c r="AD44" s="204">
        <f t="shared" si="8"/>
        <v>0</v>
      </c>
      <c r="AE44" s="204">
        <f t="shared" si="8"/>
        <v>0</v>
      </c>
      <c r="AF44" s="204">
        <f t="shared" si="8"/>
        <v>0</v>
      </c>
      <c r="AG44" s="204">
        <f t="shared" si="8"/>
        <v>0</v>
      </c>
      <c r="AH44" s="204">
        <f t="shared" si="8"/>
        <v>0</v>
      </c>
      <c r="AI44" s="204">
        <f t="shared" si="8"/>
        <v>0</v>
      </c>
      <c r="AJ44" s="204">
        <f t="shared" si="8"/>
        <v>0</v>
      </c>
      <c r="AK44" s="142"/>
    </row>
    <row r="45" spans="1:37" ht="13.5" customHeight="1">
      <c r="A45" s="619"/>
      <c r="B45" s="155"/>
      <c r="C45" s="355"/>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c r="AK45" s="142"/>
    </row>
    <row r="46" spans="1:37" ht="13.5" customHeight="1">
      <c r="A46" s="619"/>
      <c r="B46" s="155"/>
      <c r="C46" s="440" t="s">
        <v>470</v>
      </c>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c r="AC46" s="143"/>
      <c r="AD46" s="143"/>
      <c r="AE46" s="143"/>
      <c r="AF46" s="143"/>
      <c r="AG46" s="143"/>
      <c r="AH46" s="143"/>
      <c r="AI46" s="143"/>
      <c r="AJ46" s="143"/>
      <c r="AK46" s="142"/>
    </row>
    <row r="47" spans="1:37" ht="13.5" customHeight="1">
      <c r="A47" s="619"/>
      <c r="B47" s="155"/>
      <c r="C47" s="164" t="s">
        <v>473</v>
      </c>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142"/>
    </row>
    <row r="48" spans="1:37" ht="13.5" customHeight="1">
      <c r="A48" s="619"/>
      <c r="B48" s="155"/>
      <c r="C48" s="164" t="s">
        <v>474</v>
      </c>
      <c r="D48" s="204"/>
      <c r="E48" s="204"/>
      <c r="F48" s="204"/>
      <c r="G48" s="204"/>
      <c r="H48" s="204"/>
      <c r="I48" s="204"/>
      <c r="J48" s="204"/>
      <c r="K48" s="204"/>
      <c r="L48" s="204"/>
      <c r="M48" s="204"/>
      <c r="N48" s="204"/>
      <c r="O48" s="204"/>
      <c r="P48" s="204"/>
      <c r="Q48" s="204"/>
      <c r="R48" s="204"/>
      <c r="S48" s="204"/>
      <c r="T48" s="204"/>
      <c r="U48" s="204"/>
      <c r="V48" s="204"/>
      <c r="W48" s="204"/>
      <c r="X48" s="204"/>
      <c r="Y48" s="204"/>
      <c r="Z48" s="204"/>
      <c r="AA48" s="204"/>
      <c r="AB48" s="204"/>
      <c r="AC48" s="204"/>
      <c r="AD48" s="204"/>
      <c r="AE48" s="204"/>
      <c r="AF48" s="204"/>
      <c r="AG48" s="204"/>
      <c r="AH48" s="204"/>
      <c r="AI48" s="204"/>
      <c r="AJ48" s="204"/>
      <c r="AK48" s="142"/>
    </row>
    <row r="49" spans="1:37" ht="13.5" customHeight="1">
      <c r="A49" s="619"/>
      <c r="B49" s="155"/>
      <c r="C49" s="164" t="s">
        <v>475</v>
      </c>
      <c r="D49" s="204"/>
      <c r="E49" s="204"/>
      <c r="F49" s="204"/>
      <c r="G49" s="204"/>
      <c r="H49" s="204"/>
      <c r="I49" s="204"/>
      <c r="J49" s="204"/>
      <c r="K49" s="204"/>
      <c r="L49" s="204"/>
      <c r="M49" s="204"/>
      <c r="N49" s="204"/>
      <c r="O49" s="204"/>
      <c r="P49" s="204"/>
      <c r="Q49" s="204"/>
      <c r="R49" s="204"/>
      <c r="S49" s="204"/>
      <c r="T49" s="204"/>
      <c r="U49" s="204"/>
      <c r="V49" s="204"/>
      <c r="W49" s="204"/>
      <c r="X49" s="204"/>
      <c r="Y49" s="204"/>
      <c r="Z49" s="204"/>
      <c r="AA49" s="204"/>
      <c r="AB49" s="204"/>
      <c r="AC49" s="204"/>
      <c r="AD49" s="204"/>
      <c r="AE49" s="204"/>
      <c r="AF49" s="204"/>
      <c r="AG49" s="204"/>
      <c r="AH49" s="204"/>
      <c r="AI49" s="204"/>
      <c r="AJ49" s="204"/>
      <c r="AK49" s="142"/>
    </row>
    <row r="50" spans="1:37" ht="13.5" customHeight="1">
      <c r="A50" s="619"/>
      <c r="B50" s="155"/>
      <c r="C50" s="164" t="s">
        <v>476</v>
      </c>
      <c r="D50" s="204"/>
      <c r="E50" s="204"/>
      <c r="F50" s="204"/>
      <c r="G50" s="204"/>
      <c r="H50" s="204"/>
      <c r="I50" s="204"/>
      <c r="J50" s="204"/>
      <c r="K50" s="204"/>
      <c r="L50" s="204"/>
      <c r="M50" s="204"/>
      <c r="N50" s="204"/>
      <c r="O50" s="204"/>
      <c r="P50" s="204"/>
      <c r="Q50" s="204"/>
      <c r="R50" s="204"/>
      <c r="S50" s="204"/>
      <c r="T50" s="204"/>
      <c r="U50" s="204"/>
      <c r="V50" s="204"/>
      <c r="W50" s="204"/>
      <c r="X50" s="204"/>
      <c r="Y50" s="204"/>
      <c r="Z50" s="204"/>
      <c r="AA50" s="204"/>
      <c r="AB50" s="204"/>
      <c r="AC50" s="204"/>
      <c r="AD50" s="204"/>
      <c r="AE50" s="204"/>
      <c r="AF50" s="204"/>
      <c r="AG50" s="204"/>
      <c r="AH50" s="204"/>
      <c r="AI50" s="204"/>
      <c r="AJ50" s="204"/>
      <c r="AK50" s="142"/>
    </row>
    <row r="51" spans="1:37" ht="13.5" customHeight="1">
      <c r="A51" s="619"/>
      <c r="B51" s="155"/>
      <c r="C51" s="164" t="s">
        <v>12</v>
      </c>
      <c r="D51" s="204"/>
      <c r="E51" s="204"/>
      <c r="F51" s="204"/>
      <c r="G51" s="204"/>
      <c r="H51" s="204"/>
      <c r="I51" s="204"/>
      <c r="J51" s="204"/>
      <c r="K51" s="204"/>
      <c r="L51" s="204"/>
      <c r="M51" s="204"/>
      <c r="N51" s="204"/>
      <c r="O51" s="204"/>
      <c r="P51" s="204"/>
      <c r="Q51" s="204"/>
      <c r="R51" s="204"/>
      <c r="S51" s="204"/>
      <c r="T51" s="204"/>
      <c r="U51" s="204"/>
      <c r="V51" s="204"/>
      <c r="W51" s="204"/>
      <c r="X51" s="204"/>
      <c r="Y51" s="204"/>
      <c r="Z51" s="204"/>
      <c r="AA51" s="204"/>
      <c r="AB51" s="204"/>
      <c r="AC51" s="204"/>
      <c r="AD51" s="204"/>
      <c r="AE51" s="204"/>
      <c r="AF51" s="204"/>
      <c r="AG51" s="204"/>
      <c r="AH51" s="204"/>
      <c r="AI51" s="204"/>
      <c r="AJ51" s="204"/>
      <c r="AK51" s="142"/>
    </row>
    <row r="52" spans="1:37" ht="13.5" customHeight="1">
      <c r="A52" s="619"/>
      <c r="B52" s="155"/>
      <c r="C52" s="164" t="s">
        <v>469</v>
      </c>
      <c r="D52" s="204">
        <f t="shared" ref="D52:AJ52" si="9">SUM(D47:D49)</f>
        <v>0</v>
      </c>
      <c r="E52" s="204">
        <f t="shared" si="9"/>
        <v>0</v>
      </c>
      <c r="F52" s="204">
        <f t="shared" si="9"/>
        <v>0</v>
      </c>
      <c r="G52" s="204">
        <f t="shared" si="9"/>
        <v>0</v>
      </c>
      <c r="H52" s="204">
        <f t="shared" si="9"/>
        <v>0</v>
      </c>
      <c r="I52" s="204">
        <f t="shared" si="9"/>
        <v>0</v>
      </c>
      <c r="J52" s="204">
        <f t="shared" si="9"/>
        <v>0</v>
      </c>
      <c r="K52" s="204">
        <f t="shared" si="9"/>
        <v>0</v>
      </c>
      <c r="L52" s="204">
        <f t="shared" si="9"/>
        <v>0</v>
      </c>
      <c r="M52" s="204">
        <f t="shared" si="9"/>
        <v>0</v>
      </c>
      <c r="N52" s="204">
        <f t="shared" si="9"/>
        <v>0</v>
      </c>
      <c r="O52" s="204">
        <f t="shared" si="9"/>
        <v>0</v>
      </c>
      <c r="P52" s="204">
        <f t="shared" si="9"/>
        <v>0</v>
      </c>
      <c r="Q52" s="204">
        <f t="shared" si="9"/>
        <v>0</v>
      </c>
      <c r="R52" s="204">
        <f t="shared" si="9"/>
        <v>0</v>
      </c>
      <c r="S52" s="204">
        <f t="shared" si="9"/>
        <v>0</v>
      </c>
      <c r="T52" s="204">
        <f t="shared" si="9"/>
        <v>0</v>
      </c>
      <c r="U52" s="204">
        <f t="shared" si="9"/>
        <v>0</v>
      </c>
      <c r="V52" s="204">
        <f t="shared" si="9"/>
        <v>0</v>
      </c>
      <c r="W52" s="204">
        <f t="shared" si="9"/>
        <v>0</v>
      </c>
      <c r="X52" s="204">
        <f t="shared" si="9"/>
        <v>0</v>
      </c>
      <c r="Y52" s="204">
        <f t="shared" si="9"/>
        <v>0</v>
      </c>
      <c r="Z52" s="204">
        <f t="shared" si="9"/>
        <v>0</v>
      </c>
      <c r="AA52" s="204">
        <f t="shared" si="9"/>
        <v>0</v>
      </c>
      <c r="AB52" s="204">
        <f t="shared" si="9"/>
        <v>0</v>
      </c>
      <c r="AC52" s="204">
        <f t="shared" si="9"/>
        <v>0</v>
      </c>
      <c r="AD52" s="204">
        <f t="shared" si="9"/>
        <v>0</v>
      </c>
      <c r="AE52" s="204">
        <f t="shared" si="9"/>
        <v>0</v>
      </c>
      <c r="AF52" s="204">
        <f t="shared" si="9"/>
        <v>0</v>
      </c>
      <c r="AG52" s="204">
        <f t="shared" si="9"/>
        <v>0</v>
      </c>
      <c r="AH52" s="204">
        <f t="shared" si="9"/>
        <v>0</v>
      </c>
      <c r="AI52" s="204">
        <f t="shared" si="9"/>
        <v>0</v>
      </c>
      <c r="AJ52" s="204">
        <f t="shared" si="9"/>
        <v>0</v>
      </c>
      <c r="AK52" s="142"/>
    </row>
    <row r="53" spans="1:37" ht="13.5" customHeight="1">
      <c r="A53" s="619"/>
      <c r="B53" s="155"/>
      <c r="C53" s="355"/>
      <c r="D53" s="143"/>
      <c r="E53" s="143"/>
      <c r="F53" s="143"/>
      <c r="G53" s="143"/>
      <c r="H53" s="143"/>
      <c r="I53" s="143"/>
      <c r="J53" s="143"/>
      <c r="K53" s="143"/>
      <c r="L53" s="143"/>
      <c r="M53" s="143"/>
      <c r="N53" s="143"/>
      <c r="O53" s="143"/>
      <c r="P53" s="143"/>
      <c r="Q53" s="143"/>
      <c r="R53" s="143"/>
      <c r="S53" s="143"/>
      <c r="T53" s="143"/>
      <c r="U53" s="143"/>
      <c r="V53" s="143"/>
      <c r="W53" s="143"/>
      <c r="X53" s="143"/>
      <c r="Y53" s="143"/>
      <c r="Z53" s="143"/>
      <c r="AA53" s="143"/>
      <c r="AB53" s="143"/>
      <c r="AC53" s="143"/>
      <c r="AD53" s="143"/>
      <c r="AE53" s="143"/>
      <c r="AF53" s="143"/>
      <c r="AG53" s="143"/>
      <c r="AH53" s="143"/>
      <c r="AI53" s="143"/>
      <c r="AJ53" s="143"/>
      <c r="AK53" s="142"/>
    </row>
    <row r="54" spans="1:37" ht="13.5" customHeight="1">
      <c r="A54" s="619"/>
      <c r="B54" s="155"/>
      <c r="C54" s="440" t="s">
        <v>471</v>
      </c>
      <c r="D54" s="143"/>
      <c r="E54" s="143"/>
      <c r="F54" s="143"/>
      <c r="G54" s="143"/>
      <c r="H54" s="143"/>
      <c r="I54" s="143"/>
      <c r="J54" s="143"/>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c r="AH54" s="143"/>
      <c r="AI54" s="143"/>
      <c r="AJ54" s="143"/>
      <c r="AK54" s="142"/>
    </row>
    <row r="55" spans="1:37" ht="13.5" customHeight="1">
      <c r="A55" s="619"/>
      <c r="B55" s="155"/>
      <c r="C55" s="164" t="s">
        <v>473</v>
      </c>
      <c r="D55" s="204"/>
      <c r="E55" s="204"/>
      <c r="F55" s="204"/>
      <c r="G55" s="204"/>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4"/>
      <c r="AG55" s="204"/>
      <c r="AH55" s="204"/>
      <c r="AI55" s="204"/>
      <c r="AJ55" s="204"/>
      <c r="AK55" s="142"/>
    </row>
    <row r="56" spans="1:37" ht="13.5" customHeight="1">
      <c r="A56" s="619"/>
      <c r="B56" s="155"/>
      <c r="C56" s="164" t="s">
        <v>474</v>
      </c>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c r="AK56" s="142"/>
    </row>
    <row r="57" spans="1:37" ht="13.5" customHeight="1">
      <c r="A57" s="619"/>
      <c r="B57" s="155"/>
      <c r="C57" s="164" t="s">
        <v>475</v>
      </c>
      <c r="D57" s="204"/>
      <c r="E57" s="204"/>
      <c r="F57" s="204"/>
      <c r="G57" s="204"/>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142"/>
    </row>
    <row r="58" spans="1:37" ht="13.5" customHeight="1">
      <c r="A58" s="619"/>
      <c r="B58" s="155"/>
      <c r="C58" s="164" t="s">
        <v>476</v>
      </c>
      <c r="D58" s="204"/>
      <c r="E58" s="204"/>
      <c r="F58" s="204"/>
      <c r="G58" s="204"/>
      <c r="H58" s="204"/>
      <c r="I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142"/>
    </row>
    <row r="59" spans="1:37" ht="13.5" customHeight="1">
      <c r="A59" s="619"/>
      <c r="B59" s="155"/>
      <c r="C59" s="164" t="s">
        <v>12</v>
      </c>
      <c r="D59" s="204"/>
      <c r="E59" s="204"/>
      <c r="F59" s="204"/>
      <c r="G59" s="204"/>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c r="AK59" s="142"/>
    </row>
    <row r="60" spans="1:37" ht="13.5" customHeight="1">
      <c r="A60" s="619"/>
      <c r="B60" s="155"/>
      <c r="C60" s="164" t="s">
        <v>469</v>
      </c>
      <c r="D60" s="204">
        <f t="shared" ref="D60:AJ60" si="10">SUM(D55:D57)</f>
        <v>0</v>
      </c>
      <c r="E60" s="204">
        <f t="shared" si="10"/>
        <v>0</v>
      </c>
      <c r="F60" s="204">
        <f t="shared" si="10"/>
        <v>0</v>
      </c>
      <c r="G60" s="204">
        <f t="shared" si="10"/>
        <v>0</v>
      </c>
      <c r="H60" s="204">
        <f t="shared" si="10"/>
        <v>0</v>
      </c>
      <c r="I60" s="204">
        <f t="shared" si="10"/>
        <v>0</v>
      </c>
      <c r="J60" s="204">
        <f t="shared" si="10"/>
        <v>0</v>
      </c>
      <c r="K60" s="204">
        <f t="shared" si="10"/>
        <v>0</v>
      </c>
      <c r="L60" s="204">
        <f t="shared" si="10"/>
        <v>0</v>
      </c>
      <c r="M60" s="204">
        <f t="shared" si="10"/>
        <v>0</v>
      </c>
      <c r="N60" s="204">
        <f t="shared" si="10"/>
        <v>0</v>
      </c>
      <c r="O60" s="204">
        <f t="shared" si="10"/>
        <v>0</v>
      </c>
      <c r="P60" s="204">
        <f t="shared" si="10"/>
        <v>0</v>
      </c>
      <c r="Q60" s="204">
        <f t="shared" si="10"/>
        <v>0</v>
      </c>
      <c r="R60" s="204">
        <f t="shared" si="10"/>
        <v>0</v>
      </c>
      <c r="S60" s="204">
        <f t="shared" si="10"/>
        <v>0</v>
      </c>
      <c r="T60" s="204">
        <f t="shared" si="10"/>
        <v>0</v>
      </c>
      <c r="U60" s="204">
        <f t="shared" si="10"/>
        <v>0</v>
      </c>
      <c r="V60" s="204">
        <f t="shared" si="10"/>
        <v>0</v>
      </c>
      <c r="W60" s="204">
        <f t="shared" si="10"/>
        <v>0</v>
      </c>
      <c r="X60" s="204">
        <f t="shared" si="10"/>
        <v>0</v>
      </c>
      <c r="Y60" s="204">
        <f t="shared" si="10"/>
        <v>0</v>
      </c>
      <c r="Z60" s="204">
        <f t="shared" si="10"/>
        <v>0</v>
      </c>
      <c r="AA60" s="204">
        <f t="shared" si="10"/>
        <v>0</v>
      </c>
      <c r="AB60" s="204">
        <f t="shared" si="10"/>
        <v>0</v>
      </c>
      <c r="AC60" s="204">
        <f t="shared" si="10"/>
        <v>0</v>
      </c>
      <c r="AD60" s="204">
        <f t="shared" si="10"/>
        <v>0</v>
      </c>
      <c r="AE60" s="204">
        <f t="shared" si="10"/>
        <v>0</v>
      </c>
      <c r="AF60" s="204">
        <f t="shared" si="10"/>
        <v>0</v>
      </c>
      <c r="AG60" s="204">
        <f t="shared" si="10"/>
        <v>0</v>
      </c>
      <c r="AH60" s="204">
        <f t="shared" si="10"/>
        <v>0</v>
      </c>
      <c r="AI60" s="204">
        <f t="shared" si="10"/>
        <v>0</v>
      </c>
      <c r="AJ60" s="204">
        <f t="shared" si="10"/>
        <v>0</v>
      </c>
      <c r="AK60" s="142"/>
    </row>
    <row r="61" spans="1:37" ht="13.5" customHeight="1">
      <c r="A61" s="619"/>
      <c r="B61" s="167"/>
      <c r="C61" s="222"/>
      <c r="D61" s="230"/>
      <c r="E61" s="230"/>
      <c r="F61" s="230"/>
      <c r="G61" s="230"/>
      <c r="H61" s="230"/>
      <c r="I61" s="230"/>
      <c r="J61" s="230"/>
      <c r="K61" s="230"/>
      <c r="L61" s="230"/>
      <c r="M61" s="230"/>
      <c r="N61" s="230"/>
      <c r="O61" s="230"/>
      <c r="P61" s="230"/>
      <c r="Q61" s="230"/>
      <c r="R61" s="230"/>
      <c r="S61" s="230"/>
      <c r="T61" s="230"/>
      <c r="U61" s="230"/>
      <c r="V61" s="230"/>
      <c r="W61" s="230"/>
      <c r="X61" s="230"/>
      <c r="Y61" s="230"/>
      <c r="Z61" s="230"/>
      <c r="AA61" s="230"/>
      <c r="AB61" s="230"/>
      <c r="AC61" s="230"/>
      <c r="AD61" s="230"/>
      <c r="AE61" s="230"/>
      <c r="AF61" s="230"/>
      <c r="AG61" s="230"/>
      <c r="AH61" s="230"/>
      <c r="AI61" s="230"/>
      <c r="AJ61" s="230"/>
      <c r="AK61" s="231"/>
    </row>
    <row r="62" spans="1:37"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c r="A63" s="619"/>
      <c r="B63" s="258"/>
      <c r="C63" s="258"/>
      <c r="D63" s="258"/>
      <c r="E63" s="258"/>
      <c r="F63" s="258"/>
      <c r="G63" s="258"/>
      <c r="H63" s="258"/>
      <c r="I63" s="258"/>
      <c r="J63" s="258"/>
      <c r="K63" s="258"/>
      <c r="L63" s="258"/>
      <c r="M63" s="258"/>
      <c r="N63" s="258"/>
      <c r="O63" s="258"/>
      <c r="P63" s="258"/>
      <c r="Q63" s="258"/>
      <c r="R63" s="258"/>
      <c r="S63" s="258"/>
      <c r="T63" s="258"/>
      <c r="U63" s="258"/>
      <c r="V63" s="258"/>
      <c r="W63" s="258"/>
      <c r="X63" s="258"/>
      <c r="Y63" s="258"/>
      <c r="Z63" s="258"/>
      <c r="AA63" s="258"/>
      <c r="AB63" s="258"/>
      <c r="AC63" s="258"/>
      <c r="AD63" s="258"/>
      <c r="AE63" s="258"/>
      <c r="AF63" s="258"/>
      <c r="AG63" s="258"/>
      <c r="AH63" s="258"/>
      <c r="AI63" s="258"/>
      <c r="AJ63" s="258"/>
      <c r="AK63" s="258"/>
    </row>
    <row r="64" spans="1:37" ht="13.5" customHeight="1">
      <c r="A64" s="619"/>
      <c r="B64" s="258"/>
      <c r="C64" s="281" t="s">
        <v>477</v>
      </c>
      <c r="D64" s="376"/>
      <c r="E64" s="376"/>
      <c r="F64" s="376"/>
      <c r="G64" s="376"/>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258"/>
    </row>
    <row r="65" spans="1:37" ht="13.5" customHeight="1">
      <c r="A65" s="619"/>
      <c r="B65" s="258"/>
      <c r="C65" s="281" t="s">
        <v>478</v>
      </c>
      <c r="D65" s="376"/>
      <c r="E65" s="376"/>
      <c r="F65" s="376"/>
      <c r="G65" s="376"/>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258"/>
    </row>
    <row r="66" spans="1:37" ht="13.5" customHeight="1">
      <c r="A66" s="619"/>
      <c r="B66" s="258"/>
      <c r="C66" s="281" t="s">
        <v>479</v>
      </c>
      <c r="D66" s="376"/>
      <c r="E66" s="376"/>
      <c r="F66" s="376"/>
      <c r="G66" s="376"/>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258"/>
    </row>
    <row r="67" spans="1:37" ht="13.5" customHeight="1">
      <c r="A67" s="633">
        <v>2</v>
      </c>
      <c r="B67" s="258"/>
      <c r="C67" s="259" t="s">
        <v>480</v>
      </c>
      <c r="D67" s="376">
        <v>1500</v>
      </c>
      <c r="E67" s="376">
        <v>1500</v>
      </c>
      <c r="F67" s="376">
        <v>1500</v>
      </c>
      <c r="G67" s="376">
        <v>1500</v>
      </c>
      <c r="H67" s="376">
        <v>1500</v>
      </c>
      <c r="I67" s="376">
        <v>1500</v>
      </c>
      <c r="J67" s="376">
        <v>1500</v>
      </c>
      <c r="K67" s="376">
        <v>1500</v>
      </c>
      <c r="L67" s="376">
        <v>1500</v>
      </c>
      <c r="M67" s="376">
        <v>1500</v>
      </c>
      <c r="N67" s="376">
        <v>1500</v>
      </c>
      <c r="O67" s="376">
        <v>1500</v>
      </c>
      <c r="P67" s="376">
        <v>1500</v>
      </c>
      <c r="Q67" s="376">
        <v>1500</v>
      </c>
      <c r="R67" s="376">
        <v>1500</v>
      </c>
      <c r="S67" s="376">
        <v>1500</v>
      </c>
      <c r="T67" s="376">
        <v>1500</v>
      </c>
      <c r="U67" s="376">
        <v>1500</v>
      </c>
      <c r="V67" s="376">
        <v>1500</v>
      </c>
      <c r="W67" s="376">
        <v>1500</v>
      </c>
      <c r="X67" s="376">
        <v>1500</v>
      </c>
      <c r="Y67" s="376">
        <v>1500</v>
      </c>
      <c r="Z67" s="376">
        <v>1500</v>
      </c>
      <c r="AA67" s="376">
        <v>1500</v>
      </c>
      <c r="AB67" s="376">
        <v>1500</v>
      </c>
      <c r="AC67" s="376">
        <v>1500</v>
      </c>
      <c r="AD67" s="376">
        <v>1500</v>
      </c>
      <c r="AE67" s="376">
        <v>1500</v>
      </c>
      <c r="AF67" s="376">
        <v>1500</v>
      </c>
      <c r="AG67" s="376">
        <v>1500</v>
      </c>
      <c r="AH67" s="376">
        <v>1500</v>
      </c>
      <c r="AI67" s="376">
        <v>1500</v>
      </c>
      <c r="AJ67" s="376">
        <v>1500</v>
      </c>
      <c r="AK67" s="258"/>
    </row>
    <row r="68" spans="1:37" ht="13.5" customHeight="1">
      <c r="A68" s="651"/>
      <c r="B68" s="258"/>
      <c r="C68" s="259" t="s">
        <v>481</v>
      </c>
      <c r="D68" s="376">
        <v>2785</v>
      </c>
      <c r="E68" s="376">
        <v>2785</v>
      </c>
      <c r="F68" s="376">
        <v>2785</v>
      </c>
      <c r="G68" s="376">
        <v>2785</v>
      </c>
      <c r="H68" s="376">
        <v>2785</v>
      </c>
      <c r="I68" s="376">
        <v>2785</v>
      </c>
      <c r="J68" s="376">
        <v>2785</v>
      </c>
      <c r="K68" s="376">
        <v>2785</v>
      </c>
      <c r="L68" s="376">
        <v>2785</v>
      </c>
      <c r="M68" s="376">
        <v>2785</v>
      </c>
      <c r="N68" s="376">
        <v>2785</v>
      </c>
      <c r="O68" s="376">
        <v>2785</v>
      </c>
      <c r="P68" s="376">
        <v>2785</v>
      </c>
      <c r="Q68" s="376">
        <v>2785</v>
      </c>
      <c r="R68" s="376">
        <v>2785</v>
      </c>
      <c r="S68" s="376">
        <v>2785</v>
      </c>
      <c r="T68" s="376">
        <v>2785</v>
      </c>
      <c r="U68" s="376">
        <v>2785</v>
      </c>
      <c r="V68" s="376">
        <v>2785</v>
      </c>
      <c r="W68" s="376">
        <v>2785</v>
      </c>
      <c r="X68" s="376">
        <v>2785</v>
      </c>
      <c r="Y68" s="376">
        <v>2785</v>
      </c>
      <c r="Z68" s="376">
        <v>2785</v>
      </c>
      <c r="AA68" s="376">
        <v>2785</v>
      </c>
      <c r="AB68" s="376">
        <v>2785</v>
      </c>
      <c r="AC68" s="376">
        <v>2785</v>
      </c>
      <c r="AD68" s="376">
        <v>2785</v>
      </c>
      <c r="AE68" s="376">
        <v>2785</v>
      </c>
      <c r="AF68" s="376">
        <v>2785</v>
      </c>
      <c r="AG68" s="376">
        <v>2785</v>
      </c>
      <c r="AH68" s="376">
        <v>2785</v>
      </c>
      <c r="AI68" s="376">
        <v>2785</v>
      </c>
      <c r="AJ68" s="376">
        <v>2785</v>
      </c>
      <c r="AK68" s="258"/>
    </row>
    <row r="69" spans="1:37" ht="13.5" customHeight="1">
      <c r="A69" s="651"/>
      <c r="B69" s="258"/>
      <c r="C69" s="259" t="s">
        <v>482</v>
      </c>
      <c r="D69" s="376">
        <v>2712</v>
      </c>
      <c r="E69" s="376">
        <v>2712</v>
      </c>
      <c r="F69" s="376">
        <v>2712</v>
      </c>
      <c r="G69" s="376">
        <v>2712</v>
      </c>
      <c r="H69" s="376">
        <v>2712</v>
      </c>
      <c r="I69" s="376">
        <v>2712</v>
      </c>
      <c r="J69" s="376">
        <v>2712</v>
      </c>
      <c r="K69" s="376">
        <v>2712</v>
      </c>
      <c r="L69" s="376">
        <v>2712</v>
      </c>
      <c r="M69" s="376">
        <v>2712</v>
      </c>
      <c r="N69" s="376">
        <v>2712</v>
      </c>
      <c r="O69" s="376">
        <v>2712</v>
      </c>
      <c r="P69" s="376">
        <v>2712</v>
      </c>
      <c r="Q69" s="376">
        <v>2712</v>
      </c>
      <c r="R69" s="376">
        <v>2712</v>
      </c>
      <c r="S69" s="376">
        <v>2712</v>
      </c>
      <c r="T69" s="376">
        <v>2712</v>
      </c>
      <c r="U69" s="376">
        <v>2712</v>
      </c>
      <c r="V69" s="376">
        <v>2712</v>
      </c>
      <c r="W69" s="376">
        <v>2712</v>
      </c>
      <c r="X69" s="376">
        <v>2712</v>
      </c>
      <c r="Y69" s="376">
        <v>2712</v>
      </c>
      <c r="Z69" s="376">
        <v>2712</v>
      </c>
      <c r="AA69" s="376">
        <v>2712</v>
      </c>
      <c r="AB69" s="376">
        <v>2712</v>
      </c>
      <c r="AC69" s="376">
        <v>2712</v>
      </c>
      <c r="AD69" s="376">
        <v>2712</v>
      </c>
      <c r="AE69" s="376">
        <v>2712</v>
      </c>
      <c r="AF69" s="376">
        <v>2712</v>
      </c>
      <c r="AG69" s="376">
        <v>2712</v>
      </c>
      <c r="AH69" s="376">
        <v>2712</v>
      </c>
      <c r="AI69" s="376">
        <v>2712</v>
      </c>
      <c r="AJ69" s="376">
        <v>2712</v>
      </c>
      <c r="AK69" s="258"/>
    </row>
    <row r="70" spans="1:37" ht="13.5" customHeight="1">
      <c r="A70" s="651"/>
      <c r="B70" s="258"/>
      <c r="C70" s="259" t="s">
        <v>483</v>
      </c>
      <c r="D70" s="376">
        <v>2712</v>
      </c>
      <c r="E70" s="376">
        <v>2712</v>
      </c>
      <c r="F70" s="376">
        <v>2712</v>
      </c>
      <c r="G70" s="376">
        <v>2712</v>
      </c>
      <c r="H70" s="376">
        <v>2712</v>
      </c>
      <c r="I70" s="376">
        <v>2712</v>
      </c>
      <c r="J70" s="376">
        <v>2712</v>
      </c>
      <c r="K70" s="376">
        <v>2606</v>
      </c>
      <c r="L70" s="376">
        <v>2606</v>
      </c>
      <c r="M70" s="376">
        <v>2606</v>
      </c>
      <c r="N70" s="376">
        <v>2606</v>
      </c>
      <c r="O70" s="376">
        <v>2606</v>
      </c>
      <c r="P70" s="376">
        <v>2500</v>
      </c>
      <c r="Q70" s="376">
        <v>2500</v>
      </c>
      <c r="R70" s="376">
        <v>2500</v>
      </c>
      <c r="S70" s="376">
        <v>2500</v>
      </c>
      <c r="T70" s="376">
        <v>2500</v>
      </c>
      <c r="U70" s="376">
        <v>2473</v>
      </c>
      <c r="V70" s="376">
        <v>2473</v>
      </c>
      <c r="W70" s="376">
        <v>2473</v>
      </c>
      <c r="X70" s="376">
        <v>2473</v>
      </c>
      <c r="Y70" s="376">
        <v>2473</v>
      </c>
      <c r="Z70" s="376">
        <v>2446</v>
      </c>
      <c r="AA70" s="376">
        <v>2446</v>
      </c>
      <c r="AB70" s="376">
        <v>2446</v>
      </c>
      <c r="AC70" s="376">
        <v>2446</v>
      </c>
      <c r="AD70" s="376">
        <v>2446</v>
      </c>
      <c r="AE70" s="376">
        <v>2419</v>
      </c>
      <c r="AF70" s="376">
        <v>2419</v>
      </c>
      <c r="AG70" s="376">
        <v>2419</v>
      </c>
      <c r="AH70" s="376">
        <v>2419</v>
      </c>
      <c r="AI70" s="376">
        <v>2419</v>
      </c>
      <c r="AJ70" s="376">
        <v>2392</v>
      </c>
      <c r="AK70" s="258"/>
    </row>
    <row r="71" spans="1:37" ht="13.5" customHeight="1">
      <c r="A71" s="651"/>
      <c r="B71" s="258"/>
      <c r="C71" s="259" t="s">
        <v>484</v>
      </c>
      <c r="D71" s="376">
        <v>2500</v>
      </c>
      <c r="E71" s="376">
        <v>2500</v>
      </c>
      <c r="F71" s="376">
        <v>2500</v>
      </c>
      <c r="G71" s="376">
        <v>2500</v>
      </c>
      <c r="H71" s="376">
        <v>2500</v>
      </c>
      <c r="I71" s="376">
        <v>2500</v>
      </c>
      <c r="J71" s="376">
        <v>2500</v>
      </c>
      <c r="K71" s="376">
        <v>2500</v>
      </c>
      <c r="L71" s="376">
        <v>2500</v>
      </c>
      <c r="M71" s="376">
        <v>2500</v>
      </c>
      <c r="N71" s="376">
        <v>2500</v>
      </c>
      <c r="O71" s="376">
        <v>2500</v>
      </c>
      <c r="P71" s="376">
        <v>2500</v>
      </c>
      <c r="Q71" s="376">
        <v>2500</v>
      </c>
      <c r="R71" s="376">
        <v>2500</v>
      </c>
      <c r="S71" s="376">
        <v>2500</v>
      </c>
      <c r="T71" s="376">
        <v>2500</v>
      </c>
      <c r="U71" s="376">
        <v>2500</v>
      </c>
      <c r="V71" s="376">
        <v>2500</v>
      </c>
      <c r="W71" s="376">
        <v>2500</v>
      </c>
      <c r="X71" s="376">
        <v>2500</v>
      </c>
      <c r="Y71" s="376">
        <v>2500</v>
      </c>
      <c r="Z71" s="376">
        <v>2500</v>
      </c>
      <c r="AA71" s="376">
        <v>2500</v>
      </c>
      <c r="AB71" s="376">
        <v>2500</v>
      </c>
      <c r="AC71" s="376">
        <v>2500</v>
      </c>
      <c r="AD71" s="376">
        <v>2500</v>
      </c>
      <c r="AE71" s="376">
        <v>2500</v>
      </c>
      <c r="AF71" s="376">
        <v>2500</v>
      </c>
      <c r="AG71" s="376">
        <v>2500</v>
      </c>
      <c r="AH71" s="376">
        <v>2500</v>
      </c>
      <c r="AI71" s="376">
        <v>2500</v>
      </c>
      <c r="AJ71" s="376">
        <v>2500</v>
      </c>
      <c r="AK71" s="258"/>
    </row>
    <row r="72" spans="1:37" ht="13.5" customHeight="1">
      <c r="A72" s="651"/>
      <c r="B72" s="258"/>
      <c r="C72" s="259" t="s">
        <v>485</v>
      </c>
      <c r="D72" s="376">
        <v>3300</v>
      </c>
      <c r="E72" s="376">
        <v>3300</v>
      </c>
      <c r="F72" s="376">
        <v>3300</v>
      </c>
      <c r="G72" s="376">
        <v>3300</v>
      </c>
      <c r="H72" s="376">
        <v>3300</v>
      </c>
      <c r="I72" s="376">
        <v>3300</v>
      </c>
      <c r="J72" s="376">
        <v>3300</v>
      </c>
      <c r="K72" s="376">
        <v>3300</v>
      </c>
      <c r="L72" s="376">
        <v>3300</v>
      </c>
      <c r="M72" s="376">
        <v>3300</v>
      </c>
      <c r="N72" s="376">
        <v>3300</v>
      </c>
      <c r="O72" s="376">
        <v>3300</v>
      </c>
      <c r="P72" s="376">
        <v>3300</v>
      </c>
      <c r="Q72" s="376">
        <v>3300</v>
      </c>
      <c r="R72" s="376">
        <v>3300</v>
      </c>
      <c r="S72" s="376">
        <v>3300</v>
      </c>
      <c r="T72" s="376">
        <v>3300</v>
      </c>
      <c r="U72" s="376">
        <v>3300</v>
      </c>
      <c r="V72" s="376">
        <v>3300</v>
      </c>
      <c r="W72" s="376">
        <v>3300</v>
      </c>
      <c r="X72" s="376">
        <v>3300</v>
      </c>
      <c r="Y72" s="376">
        <v>3300</v>
      </c>
      <c r="Z72" s="376">
        <v>3300</v>
      </c>
      <c r="AA72" s="376">
        <v>3300</v>
      </c>
      <c r="AB72" s="376">
        <v>3300</v>
      </c>
      <c r="AC72" s="376">
        <v>3300</v>
      </c>
      <c r="AD72" s="376">
        <v>3300</v>
      </c>
      <c r="AE72" s="376">
        <v>3300</v>
      </c>
      <c r="AF72" s="376">
        <v>3300</v>
      </c>
      <c r="AG72" s="376">
        <v>3300</v>
      </c>
      <c r="AH72" s="376">
        <v>3300</v>
      </c>
      <c r="AI72" s="376">
        <v>3300</v>
      </c>
      <c r="AJ72" s="376">
        <v>3300</v>
      </c>
      <c r="AK72" s="258"/>
    </row>
    <row r="73" spans="1:37" ht="13.5" customHeight="1">
      <c r="A73" s="651"/>
      <c r="B73" s="258"/>
      <c r="C73" s="259" t="s">
        <v>486</v>
      </c>
      <c r="D73" s="376">
        <v>2350</v>
      </c>
      <c r="E73" s="376">
        <v>2350</v>
      </c>
      <c r="F73" s="376">
        <v>2350</v>
      </c>
      <c r="G73" s="376">
        <v>2350</v>
      </c>
      <c r="H73" s="376">
        <v>2350</v>
      </c>
      <c r="I73" s="376">
        <v>2350</v>
      </c>
      <c r="J73" s="376">
        <v>2350</v>
      </c>
      <c r="K73" s="376">
        <v>2325</v>
      </c>
      <c r="L73" s="376">
        <v>2325</v>
      </c>
      <c r="M73" s="376">
        <v>2325</v>
      </c>
      <c r="N73" s="376">
        <v>2325</v>
      </c>
      <c r="O73" s="376">
        <v>2325</v>
      </c>
      <c r="P73" s="376">
        <v>2300</v>
      </c>
      <c r="Q73" s="376">
        <v>2300</v>
      </c>
      <c r="R73" s="376">
        <v>2300</v>
      </c>
      <c r="S73" s="376">
        <v>2300</v>
      </c>
      <c r="T73" s="376">
        <v>2300</v>
      </c>
      <c r="U73" s="376">
        <v>2288</v>
      </c>
      <c r="V73" s="376">
        <v>2288</v>
      </c>
      <c r="W73" s="376">
        <v>2288</v>
      </c>
      <c r="X73" s="376">
        <v>2288</v>
      </c>
      <c r="Y73" s="376">
        <v>2288</v>
      </c>
      <c r="Z73" s="376">
        <v>2275</v>
      </c>
      <c r="AA73" s="376">
        <v>2275</v>
      </c>
      <c r="AB73" s="376">
        <v>2275</v>
      </c>
      <c r="AC73" s="376">
        <v>2275</v>
      </c>
      <c r="AD73" s="376">
        <v>2275</v>
      </c>
      <c r="AE73" s="376">
        <v>2263</v>
      </c>
      <c r="AF73" s="376">
        <v>2263</v>
      </c>
      <c r="AG73" s="376">
        <v>2263</v>
      </c>
      <c r="AH73" s="376">
        <v>2263</v>
      </c>
      <c r="AI73" s="376">
        <v>2263</v>
      </c>
      <c r="AJ73" s="376">
        <v>2250</v>
      </c>
      <c r="AK73" s="258"/>
    </row>
    <row r="74" spans="1:37" ht="13.5" customHeight="1">
      <c r="A74" s="651"/>
      <c r="B74" s="258"/>
      <c r="C74" s="281" t="s">
        <v>487</v>
      </c>
      <c r="D74" s="376">
        <v>5855</v>
      </c>
      <c r="E74" s="376">
        <v>5085</v>
      </c>
      <c r="F74" s="376">
        <v>5085</v>
      </c>
      <c r="G74" s="376">
        <v>5085</v>
      </c>
      <c r="H74" s="376">
        <v>5085</v>
      </c>
      <c r="I74" s="376">
        <v>5085</v>
      </c>
      <c r="J74" s="376">
        <v>5085</v>
      </c>
      <c r="K74" s="376">
        <v>4755</v>
      </c>
      <c r="L74" s="376">
        <v>4755</v>
      </c>
      <c r="M74" s="376">
        <v>4755</v>
      </c>
      <c r="N74" s="376">
        <v>4755</v>
      </c>
      <c r="O74" s="376">
        <v>4755</v>
      </c>
      <c r="P74" s="376">
        <v>4424</v>
      </c>
      <c r="Q74" s="376">
        <v>4424</v>
      </c>
      <c r="R74" s="376">
        <v>4424</v>
      </c>
      <c r="S74" s="376">
        <v>4424</v>
      </c>
      <c r="T74" s="376">
        <v>4424</v>
      </c>
      <c r="U74" s="376">
        <v>4424</v>
      </c>
      <c r="V74" s="376">
        <v>4424</v>
      </c>
      <c r="W74" s="376">
        <v>4424</v>
      </c>
      <c r="X74" s="376">
        <v>4424</v>
      </c>
      <c r="Y74" s="376">
        <v>4424</v>
      </c>
      <c r="Z74" s="376">
        <v>4424</v>
      </c>
      <c r="AA74" s="376">
        <v>4424</v>
      </c>
      <c r="AB74" s="376">
        <v>4424</v>
      </c>
      <c r="AC74" s="376">
        <v>4424</v>
      </c>
      <c r="AD74" s="376">
        <v>4424</v>
      </c>
      <c r="AE74" s="376">
        <v>4424</v>
      </c>
      <c r="AF74" s="376">
        <v>4424</v>
      </c>
      <c r="AG74" s="376">
        <v>4424</v>
      </c>
      <c r="AH74" s="376">
        <v>4424</v>
      </c>
      <c r="AI74" s="376">
        <v>4424</v>
      </c>
      <c r="AJ74" s="376">
        <v>4424</v>
      </c>
      <c r="AK74" s="258"/>
    </row>
    <row r="75" spans="1:37" ht="13.5" customHeight="1">
      <c r="A75" s="651"/>
      <c r="B75" s="258"/>
      <c r="C75" s="281" t="s">
        <v>488</v>
      </c>
      <c r="D75" s="376"/>
      <c r="E75" s="376"/>
      <c r="F75" s="376"/>
      <c r="G75" s="376"/>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258"/>
    </row>
    <row r="76" spans="1:37" ht="13.5" customHeight="1">
      <c r="A76" s="651"/>
      <c r="B76" s="258"/>
      <c r="C76" s="259" t="s">
        <v>489</v>
      </c>
      <c r="D76" s="376"/>
      <c r="E76" s="376"/>
      <c r="F76" s="376"/>
      <c r="G76" s="376"/>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258"/>
    </row>
    <row r="77" spans="1:37" ht="13.5" customHeight="1">
      <c r="A77" s="651"/>
      <c r="B77" s="258"/>
      <c r="C77" s="259" t="s">
        <v>490</v>
      </c>
      <c r="D77" s="376">
        <v>5065</v>
      </c>
      <c r="E77" s="376">
        <v>5065</v>
      </c>
      <c r="F77" s="376">
        <v>5065</v>
      </c>
      <c r="G77" s="376">
        <v>5065</v>
      </c>
      <c r="H77" s="376">
        <v>5065</v>
      </c>
      <c r="I77" s="376">
        <v>5065</v>
      </c>
      <c r="J77" s="376">
        <v>5065</v>
      </c>
      <c r="K77" s="376">
        <v>5065</v>
      </c>
      <c r="L77" s="376">
        <v>5065</v>
      </c>
      <c r="M77" s="376">
        <v>5065</v>
      </c>
      <c r="N77" s="376">
        <v>5065</v>
      </c>
      <c r="O77" s="376">
        <v>5065</v>
      </c>
      <c r="P77" s="376">
        <v>5065</v>
      </c>
      <c r="Q77" s="376">
        <v>5065</v>
      </c>
      <c r="R77" s="376">
        <v>5065</v>
      </c>
      <c r="S77" s="376">
        <v>5065</v>
      </c>
      <c r="T77" s="376">
        <v>5065</v>
      </c>
      <c r="U77" s="376">
        <v>5065</v>
      </c>
      <c r="V77" s="376">
        <v>5065</v>
      </c>
      <c r="W77" s="376">
        <v>5065</v>
      </c>
      <c r="X77" s="376">
        <v>5065</v>
      </c>
      <c r="Y77" s="376">
        <v>5065</v>
      </c>
      <c r="Z77" s="376">
        <v>5065</v>
      </c>
      <c r="AA77" s="376">
        <v>5065</v>
      </c>
      <c r="AB77" s="376">
        <v>5065</v>
      </c>
      <c r="AC77" s="376">
        <v>5065</v>
      </c>
      <c r="AD77" s="376">
        <v>5065</v>
      </c>
      <c r="AE77" s="376">
        <v>5065</v>
      </c>
      <c r="AF77" s="376">
        <v>5065</v>
      </c>
      <c r="AG77" s="376">
        <v>5065</v>
      </c>
      <c r="AH77" s="376">
        <v>5065</v>
      </c>
      <c r="AI77" s="376">
        <v>5065</v>
      </c>
      <c r="AJ77" s="376">
        <v>5065</v>
      </c>
      <c r="AK77" s="258"/>
    </row>
    <row r="78" spans="1:37" ht="13.5" customHeight="1">
      <c r="A78" s="651"/>
      <c r="B78" s="258"/>
      <c r="C78" s="259" t="s">
        <v>491</v>
      </c>
      <c r="D78" s="376">
        <v>3360</v>
      </c>
      <c r="E78" s="376">
        <v>3360</v>
      </c>
      <c r="F78" s="376">
        <v>3360</v>
      </c>
      <c r="G78" s="376">
        <v>3360</v>
      </c>
      <c r="H78" s="376">
        <v>3360</v>
      </c>
      <c r="I78" s="376">
        <v>3360</v>
      </c>
      <c r="J78" s="376">
        <v>3360</v>
      </c>
      <c r="K78" s="376">
        <v>3360</v>
      </c>
      <c r="L78" s="376">
        <v>3360</v>
      </c>
      <c r="M78" s="376">
        <v>3360</v>
      </c>
      <c r="N78" s="376">
        <v>3360</v>
      </c>
      <c r="O78" s="376">
        <v>3360</v>
      </c>
      <c r="P78" s="376">
        <v>3360</v>
      </c>
      <c r="Q78" s="376">
        <v>3360</v>
      </c>
      <c r="R78" s="376">
        <v>3360</v>
      </c>
      <c r="S78" s="376">
        <v>3360</v>
      </c>
      <c r="T78" s="376">
        <v>3360</v>
      </c>
      <c r="U78" s="376">
        <v>3360</v>
      </c>
      <c r="V78" s="376">
        <v>3360</v>
      </c>
      <c r="W78" s="376">
        <v>3360</v>
      </c>
      <c r="X78" s="376">
        <v>3360</v>
      </c>
      <c r="Y78" s="376">
        <v>3360</v>
      </c>
      <c r="Z78" s="376">
        <v>3360</v>
      </c>
      <c r="AA78" s="376">
        <v>3360</v>
      </c>
      <c r="AB78" s="376">
        <v>3360</v>
      </c>
      <c r="AC78" s="376">
        <v>3360</v>
      </c>
      <c r="AD78" s="376">
        <v>3360</v>
      </c>
      <c r="AE78" s="376">
        <v>3360</v>
      </c>
      <c r="AF78" s="376">
        <v>3360</v>
      </c>
      <c r="AG78" s="376">
        <v>3360</v>
      </c>
      <c r="AH78" s="376">
        <v>3360</v>
      </c>
      <c r="AI78" s="376">
        <v>3360</v>
      </c>
      <c r="AJ78" s="376">
        <v>3360</v>
      </c>
      <c r="AK78" s="258"/>
    </row>
    <row r="79" spans="1:37" ht="13.5" customHeight="1">
      <c r="A79" s="651"/>
      <c r="B79" s="258"/>
      <c r="C79" s="281" t="s">
        <v>492</v>
      </c>
      <c r="D79" s="376"/>
      <c r="E79" s="376"/>
      <c r="F79" s="376"/>
      <c r="G79" s="376"/>
      <c r="H79" s="376"/>
      <c r="I79" s="376"/>
      <c r="J79" s="376"/>
      <c r="K79" s="376"/>
      <c r="L79" s="376"/>
      <c r="M79" s="376"/>
      <c r="N79" s="376"/>
      <c r="O79" s="376"/>
      <c r="P79" s="376"/>
      <c r="Q79" s="376"/>
      <c r="R79" s="376"/>
      <c r="S79" s="376"/>
      <c r="T79" s="376"/>
      <c r="U79" s="376"/>
      <c r="V79" s="376"/>
      <c r="W79" s="376"/>
      <c r="X79" s="376"/>
      <c r="Y79" s="376"/>
      <c r="Z79" s="376"/>
      <c r="AA79" s="376"/>
      <c r="AB79" s="376"/>
      <c r="AC79" s="376"/>
      <c r="AD79" s="376"/>
      <c r="AE79" s="376"/>
      <c r="AF79" s="376"/>
      <c r="AG79" s="376"/>
      <c r="AH79" s="376"/>
      <c r="AI79" s="376"/>
      <c r="AJ79" s="376"/>
      <c r="AK79" s="258"/>
    </row>
    <row r="80" spans="1:37" ht="13.5" customHeight="1">
      <c r="A80" s="651"/>
      <c r="B80" s="258"/>
      <c r="C80" s="259" t="s">
        <v>489</v>
      </c>
      <c r="D80" s="376">
        <v>5275</v>
      </c>
      <c r="E80" s="376">
        <v>5275</v>
      </c>
      <c r="F80" s="376">
        <v>5275</v>
      </c>
      <c r="G80" s="376">
        <v>5275</v>
      </c>
      <c r="H80" s="376">
        <v>5275</v>
      </c>
      <c r="I80" s="376">
        <v>5275</v>
      </c>
      <c r="J80" s="376">
        <v>5275</v>
      </c>
      <c r="K80" s="376">
        <v>5275</v>
      </c>
      <c r="L80" s="376">
        <v>5275</v>
      </c>
      <c r="M80" s="376">
        <v>5275</v>
      </c>
      <c r="N80" s="376">
        <v>5275</v>
      </c>
      <c r="O80" s="376">
        <v>5275</v>
      </c>
      <c r="P80" s="376">
        <v>5275</v>
      </c>
      <c r="Q80" s="376">
        <v>5275</v>
      </c>
      <c r="R80" s="376">
        <v>5275</v>
      </c>
      <c r="S80" s="376">
        <v>5275</v>
      </c>
      <c r="T80" s="376">
        <v>5275</v>
      </c>
      <c r="U80" s="376">
        <v>5275</v>
      </c>
      <c r="V80" s="376">
        <v>5275</v>
      </c>
      <c r="W80" s="376">
        <v>5275</v>
      </c>
      <c r="X80" s="376">
        <v>5275</v>
      </c>
      <c r="Y80" s="376">
        <v>5275</v>
      </c>
      <c r="Z80" s="376">
        <v>5275</v>
      </c>
      <c r="AA80" s="376">
        <v>5275</v>
      </c>
      <c r="AB80" s="376">
        <v>5275</v>
      </c>
      <c r="AC80" s="376">
        <v>5275</v>
      </c>
      <c r="AD80" s="376">
        <v>5275</v>
      </c>
      <c r="AE80" s="376">
        <v>5275</v>
      </c>
      <c r="AF80" s="376">
        <v>5275</v>
      </c>
      <c r="AG80" s="376">
        <v>5275</v>
      </c>
      <c r="AH80" s="376">
        <v>5275</v>
      </c>
      <c r="AI80" s="376">
        <v>5275</v>
      </c>
      <c r="AJ80" s="376">
        <v>5275</v>
      </c>
      <c r="AK80" s="258"/>
    </row>
    <row r="81" spans="1:37" ht="13.5" customHeight="1">
      <c r="A81" s="651"/>
      <c r="B81" s="258"/>
      <c r="C81" s="259" t="s">
        <v>490</v>
      </c>
      <c r="D81" s="376">
        <v>3518</v>
      </c>
      <c r="E81" s="376">
        <v>3518</v>
      </c>
      <c r="F81" s="376">
        <v>3518</v>
      </c>
      <c r="G81" s="376">
        <v>3518</v>
      </c>
      <c r="H81" s="376">
        <v>3518</v>
      </c>
      <c r="I81" s="376">
        <v>3518</v>
      </c>
      <c r="J81" s="376">
        <v>3518</v>
      </c>
      <c r="K81" s="376">
        <v>3518</v>
      </c>
      <c r="L81" s="376">
        <v>3518</v>
      </c>
      <c r="M81" s="376">
        <v>3518</v>
      </c>
      <c r="N81" s="376">
        <v>3518</v>
      </c>
      <c r="O81" s="376">
        <v>3518</v>
      </c>
      <c r="P81" s="376">
        <v>3518</v>
      </c>
      <c r="Q81" s="376">
        <v>3518</v>
      </c>
      <c r="R81" s="376">
        <v>3518</v>
      </c>
      <c r="S81" s="376">
        <v>3518</v>
      </c>
      <c r="T81" s="376">
        <v>3518</v>
      </c>
      <c r="U81" s="376">
        <v>3518</v>
      </c>
      <c r="V81" s="376">
        <v>3518</v>
      </c>
      <c r="W81" s="376">
        <v>3518</v>
      </c>
      <c r="X81" s="376">
        <v>3518</v>
      </c>
      <c r="Y81" s="376">
        <v>3518</v>
      </c>
      <c r="Z81" s="376">
        <v>3518</v>
      </c>
      <c r="AA81" s="376">
        <v>3518</v>
      </c>
      <c r="AB81" s="376">
        <v>3518</v>
      </c>
      <c r="AC81" s="376">
        <v>3518</v>
      </c>
      <c r="AD81" s="376">
        <v>3518</v>
      </c>
      <c r="AE81" s="376">
        <v>3518</v>
      </c>
      <c r="AF81" s="376">
        <v>3518</v>
      </c>
      <c r="AG81" s="376">
        <v>3518</v>
      </c>
      <c r="AH81" s="376">
        <v>3518</v>
      </c>
      <c r="AI81" s="376">
        <v>3518</v>
      </c>
      <c r="AJ81" s="376">
        <v>3518</v>
      </c>
      <c r="AK81" s="258"/>
    </row>
    <row r="82" spans="1:37" ht="13.5" customHeight="1">
      <c r="A82" s="651"/>
      <c r="B82" s="258"/>
      <c r="C82" s="259" t="s">
        <v>491</v>
      </c>
      <c r="D82" s="376">
        <v>3465</v>
      </c>
      <c r="E82" s="376">
        <v>3465</v>
      </c>
      <c r="F82" s="376">
        <v>3465</v>
      </c>
      <c r="G82" s="376">
        <v>3465</v>
      </c>
      <c r="H82" s="376">
        <v>3465</v>
      </c>
      <c r="I82" s="376">
        <v>3465</v>
      </c>
      <c r="J82" s="376">
        <v>3465</v>
      </c>
      <c r="K82" s="376">
        <v>3465</v>
      </c>
      <c r="L82" s="376">
        <v>3465</v>
      </c>
      <c r="M82" s="376">
        <v>3465</v>
      </c>
      <c r="N82" s="376">
        <v>3465</v>
      </c>
      <c r="O82" s="376">
        <v>3465</v>
      </c>
      <c r="P82" s="376">
        <v>3465</v>
      </c>
      <c r="Q82" s="376">
        <v>3465</v>
      </c>
      <c r="R82" s="376">
        <v>3465</v>
      </c>
      <c r="S82" s="376">
        <v>3465</v>
      </c>
      <c r="T82" s="376">
        <v>3465</v>
      </c>
      <c r="U82" s="376">
        <v>3465</v>
      </c>
      <c r="V82" s="376">
        <v>3465</v>
      </c>
      <c r="W82" s="376">
        <v>3465</v>
      </c>
      <c r="X82" s="376">
        <v>3465</v>
      </c>
      <c r="Y82" s="376">
        <v>3465</v>
      </c>
      <c r="Z82" s="376">
        <v>3465</v>
      </c>
      <c r="AA82" s="376">
        <v>3465</v>
      </c>
      <c r="AB82" s="376">
        <v>3465</v>
      </c>
      <c r="AC82" s="376">
        <v>3465</v>
      </c>
      <c r="AD82" s="376">
        <v>3465</v>
      </c>
      <c r="AE82" s="376">
        <v>3465</v>
      </c>
      <c r="AF82" s="376">
        <v>3465</v>
      </c>
      <c r="AG82" s="376">
        <v>3465</v>
      </c>
      <c r="AH82" s="376">
        <v>3465</v>
      </c>
      <c r="AI82" s="376">
        <v>3465</v>
      </c>
      <c r="AJ82" s="376">
        <v>3465</v>
      </c>
      <c r="AK82" s="258"/>
    </row>
    <row r="83" spans="1:37" ht="13.5" customHeight="1">
      <c r="A83" s="651"/>
      <c r="B83" s="258"/>
      <c r="C83" s="281" t="s">
        <v>493</v>
      </c>
      <c r="D83" s="376"/>
      <c r="E83" s="376"/>
      <c r="F83" s="376"/>
      <c r="G83" s="376"/>
      <c r="H83" s="376"/>
      <c r="I83" s="376"/>
      <c r="J83" s="376"/>
      <c r="K83" s="376"/>
      <c r="L83" s="376"/>
      <c r="M83" s="376"/>
      <c r="N83" s="376"/>
      <c r="O83" s="376"/>
      <c r="P83" s="376"/>
      <c r="Q83" s="376"/>
      <c r="R83" s="376"/>
      <c r="S83" s="376"/>
      <c r="T83" s="376"/>
      <c r="U83" s="376"/>
      <c r="V83" s="376"/>
      <c r="W83" s="376"/>
      <c r="X83" s="376"/>
      <c r="Y83" s="376"/>
      <c r="Z83" s="376"/>
      <c r="AA83" s="376"/>
      <c r="AB83" s="376"/>
      <c r="AC83" s="376"/>
      <c r="AD83" s="376"/>
      <c r="AE83" s="376"/>
      <c r="AF83" s="376"/>
      <c r="AG83" s="376"/>
      <c r="AH83" s="376"/>
      <c r="AI83" s="376"/>
      <c r="AJ83" s="376"/>
      <c r="AK83" s="258"/>
    </row>
    <row r="84" spans="1:37" ht="13.5" customHeight="1">
      <c r="A84" s="651"/>
      <c r="B84" s="258"/>
      <c r="C84" s="259" t="s">
        <v>494</v>
      </c>
      <c r="D84" s="376">
        <v>869</v>
      </c>
      <c r="E84" s="376">
        <v>869</v>
      </c>
      <c r="F84" s="376">
        <v>869</v>
      </c>
      <c r="G84" s="376">
        <v>869</v>
      </c>
      <c r="H84" s="376">
        <v>869</v>
      </c>
      <c r="I84" s="376">
        <v>869</v>
      </c>
      <c r="J84" s="376">
        <v>869</v>
      </c>
      <c r="K84" s="376">
        <v>869</v>
      </c>
      <c r="L84" s="376">
        <v>869</v>
      </c>
      <c r="M84" s="376">
        <v>869</v>
      </c>
      <c r="N84" s="376">
        <v>869</v>
      </c>
      <c r="O84" s="376">
        <v>869</v>
      </c>
      <c r="P84" s="376">
        <v>869</v>
      </c>
      <c r="Q84" s="376">
        <v>869</v>
      </c>
      <c r="R84" s="376">
        <v>869</v>
      </c>
      <c r="S84" s="376">
        <v>869</v>
      </c>
      <c r="T84" s="376">
        <v>869</v>
      </c>
      <c r="U84" s="376">
        <v>869</v>
      </c>
      <c r="V84" s="376">
        <v>869</v>
      </c>
      <c r="W84" s="376">
        <v>869</v>
      </c>
      <c r="X84" s="376">
        <v>869</v>
      </c>
      <c r="Y84" s="376">
        <v>869</v>
      </c>
      <c r="Z84" s="376">
        <v>869</v>
      </c>
      <c r="AA84" s="376">
        <v>869</v>
      </c>
      <c r="AB84" s="376">
        <v>869</v>
      </c>
      <c r="AC84" s="376">
        <v>869</v>
      </c>
      <c r="AD84" s="376">
        <v>869</v>
      </c>
      <c r="AE84" s="376">
        <v>869</v>
      </c>
      <c r="AF84" s="376">
        <v>869</v>
      </c>
      <c r="AG84" s="376">
        <v>869</v>
      </c>
      <c r="AH84" s="376">
        <v>869</v>
      </c>
      <c r="AI84" s="376">
        <v>869</v>
      </c>
      <c r="AJ84" s="376">
        <v>869</v>
      </c>
      <c r="AK84" s="258"/>
    </row>
    <row r="85" spans="1:37" ht="13.5" customHeight="1">
      <c r="A85" s="651"/>
      <c r="B85" s="258"/>
      <c r="C85" s="259" t="s">
        <v>495</v>
      </c>
      <c r="D85" s="376">
        <v>869</v>
      </c>
      <c r="E85" s="376">
        <v>845</v>
      </c>
      <c r="F85" s="376">
        <v>845</v>
      </c>
      <c r="G85" s="376">
        <v>845</v>
      </c>
      <c r="H85" s="376">
        <v>845</v>
      </c>
      <c r="I85" s="376">
        <v>845</v>
      </c>
      <c r="J85" s="376">
        <v>845</v>
      </c>
      <c r="K85" s="376">
        <v>825</v>
      </c>
      <c r="L85" s="376">
        <v>825</v>
      </c>
      <c r="M85" s="376">
        <v>825</v>
      </c>
      <c r="N85" s="376">
        <v>825</v>
      </c>
      <c r="O85" s="376">
        <v>825</v>
      </c>
      <c r="P85" s="376">
        <v>805</v>
      </c>
      <c r="Q85" s="376">
        <v>805</v>
      </c>
      <c r="R85" s="376">
        <v>805</v>
      </c>
      <c r="S85" s="376">
        <v>805</v>
      </c>
      <c r="T85" s="376">
        <v>805</v>
      </c>
      <c r="U85" s="376">
        <v>790</v>
      </c>
      <c r="V85" s="376">
        <v>790</v>
      </c>
      <c r="W85" s="376">
        <v>790</v>
      </c>
      <c r="X85" s="376">
        <v>790</v>
      </c>
      <c r="Y85" s="376">
        <v>790</v>
      </c>
      <c r="Z85" s="376">
        <v>775</v>
      </c>
      <c r="AA85" s="376">
        <v>775</v>
      </c>
      <c r="AB85" s="376">
        <v>775</v>
      </c>
      <c r="AC85" s="376">
        <v>775</v>
      </c>
      <c r="AD85" s="376">
        <v>775</v>
      </c>
      <c r="AE85" s="376">
        <v>759</v>
      </c>
      <c r="AF85" s="376">
        <v>759</v>
      </c>
      <c r="AG85" s="376">
        <v>759</v>
      </c>
      <c r="AH85" s="376">
        <v>759</v>
      </c>
      <c r="AI85" s="376">
        <v>759</v>
      </c>
      <c r="AJ85" s="376">
        <v>744</v>
      </c>
      <c r="AK85" s="258"/>
    </row>
    <row r="86" spans="1:37" ht="13.5" customHeight="1">
      <c r="A86" s="651"/>
      <c r="B86" s="258"/>
      <c r="C86" s="259" t="s">
        <v>496</v>
      </c>
      <c r="D86" s="376">
        <v>1190</v>
      </c>
      <c r="E86" s="376">
        <v>1000</v>
      </c>
      <c r="F86" s="376">
        <v>1000</v>
      </c>
      <c r="G86" s="376">
        <v>1000</v>
      </c>
      <c r="H86" s="376">
        <v>1000</v>
      </c>
      <c r="I86" s="376">
        <v>1000</v>
      </c>
      <c r="J86" s="376">
        <v>1000</v>
      </c>
      <c r="K86" s="376">
        <v>991.5</v>
      </c>
      <c r="L86" s="376">
        <v>991.5</v>
      </c>
      <c r="M86" s="376">
        <v>991.5</v>
      </c>
      <c r="N86" s="376">
        <v>991.5</v>
      </c>
      <c r="O86" s="376">
        <v>991.5</v>
      </c>
      <c r="P86" s="376">
        <v>983</v>
      </c>
      <c r="Q86" s="376">
        <v>983</v>
      </c>
      <c r="R86" s="376">
        <v>983</v>
      </c>
      <c r="S86" s="376">
        <v>983</v>
      </c>
      <c r="T86" s="376">
        <v>983</v>
      </c>
      <c r="U86" s="376">
        <v>965.5</v>
      </c>
      <c r="V86" s="376">
        <v>965.5</v>
      </c>
      <c r="W86" s="376">
        <v>965.5</v>
      </c>
      <c r="X86" s="376">
        <v>965.5</v>
      </c>
      <c r="Y86" s="376">
        <v>965.5</v>
      </c>
      <c r="Z86" s="376">
        <v>948</v>
      </c>
      <c r="AA86" s="376">
        <v>948</v>
      </c>
      <c r="AB86" s="376">
        <v>948</v>
      </c>
      <c r="AC86" s="376">
        <v>948</v>
      </c>
      <c r="AD86" s="376">
        <v>948</v>
      </c>
      <c r="AE86" s="376">
        <v>930.5</v>
      </c>
      <c r="AF86" s="376">
        <v>930.5</v>
      </c>
      <c r="AG86" s="376">
        <v>930.5</v>
      </c>
      <c r="AH86" s="376">
        <v>930.5</v>
      </c>
      <c r="AI86" s="376">
        <v>930.5</v>
      </c>
      <c r="AJ86" s="376">
        <v>913</v>
      </c>
      <c r="AK86" s="258"/>
    </row>
    <row r="87" spans="1:37" ht="13.5" customHeight="1">
      <c r="A87" s="651"/>
      <c r="B87" s="258"/>
      <c r="C87" s="259" t="s">
        <v>497</v>
      </c>
      <c r="D87" s="376">
        <v>2450</v>
      </c>
      <c r="E87" s="376">
        <v>2450</v>
      </c>
      <c r="F87" s="376">
        <v>2450</v>
      </c>
      <c r="G87" s="376">
        <v>2450</v>
      </c>
      <c r="H87" s="376">
        <v>2450</v>
      </c>
      <c r="I87" s="376">
        <v>2450</v>
      </c>
      <c r="J87" s="376">
        <v>2450</v>
      </c>
      <c r="K87" s="376">
        <v>2325</v>
      </c>
      <c r="L87" s="376">
        <v>2325</v>
      </c>
      <c r="M87" s="376">
        <v>2325</v>
      </c>
      <c r="N87" s="376">
        <v>2325</v>
      </c>
      <c r="O87" s="376">
        <v>2325</v>
      </c>
      <c r="P87" s="376">
        <v>2200</v>
      </c>
      <c r="Q87" s="376">
        <v>2200</v>
      </c>
      <c r="R87" s="376">
        <v>2200</v>
      </c>
      <c r="S87" s="376">
        <v>2200</v>
      </c>
      <c r="T87" s="376">
        <v>2200</v>
      </c>
      <c r="U87" s="376">
        <v>2175</v>
      </c>
      <c r="V87" s="376">
        <v>2175</v>
      </c>
      <c r="W87" s="376">
        <v>2175</v>
      </c>
      <c r="X87" s="376">
        <v>2175</v>
      </c>
      <c r="Y87" s="376">
        <v>2175</v>
      </c>
      <c r="Z87" s="376">
        <v>2150</v>
      </c>
      <c r="AA87" s="376">
        <v>2150</v>
      </c>
      <c r="AB87" s="376">
        <v>2150</v>
      </c>
      <c r="AC87" s="376">
        <v>2150</v>
      </c>
      <c r="AD87" s="376">
        <v>2150</v>
      </c>
      <c r="AE87" s="376">
        <v>2125</v>
      </c>
      <c r="AF87" s="376">
        <v>2125</v>
      </c>
      <c r="AG87" s="376">
        <v>2125</v>
      </c>
      <c r="AH87" s="376">
        <v>2125</v>
      </c>
      <c r="AI87" s="376">
        <v>2125</v>
      </c>
      <c r="AJ87" s="376">
        <v>2100</v>
      </c>
      <c r="AK87" s="258"/>
    </row>
    <row r="88" spans="1:37" ht="13.5" customHeight="1">
      <c r="A88" s="651"/>
      <c r="B88" s="258"/>
      <c r="C88" s="281" t="s">
        <v>498</v>
      </c>
      <c r="D88" s="376"/>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258"/>
    </row>
    <row r="89" spans="1:37" ht="13.5" customHeight="1">
      <c r="A89" s="651"/>
      <c r="B89" s="258"/>
      <c r="C89" s="259" t="s">
        <v>499</v>
      </c>
      <c r="D89" s="376"/>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258"/>
    </row>
    <row r="90" spans="1:37" ht="13.5" customHeight="1">
      <c r="A90" s="651"/>
      <c r="B90" s="258"/>
      <c r="C90" s="259" t="s">
        <v>500</v>
      </c>
      <c r="D90" s="376"/>
      <c r="E90" s="376"/>
      <c r="F90" s="376"/>
      <c r="G90" s="376"/>
      <c r="H90" s="376"/>
      <c r="I90" s="376"/>
      <c r="J90" s="376"/>
      <c r="K90" s="376"/>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258"/>
    </row>
    <row r="91" spans="1:37" ht="13.5" customHeight="1">
      <c r="A91" s="651"/>
      <c r="B91" s="258"/>
      <c r="C91" s="281" t="s">
        <v>501</v>
      </c>
      <c r="D91" s="376"/>
      <c r="E91" s="376"/>
      <c r="F91" s="376"/>
      <c r="G91" s="376"/>
      <c r="H91" s="376"/>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76"/>
      <c r="AH91" s="376"/>
      <c r="AI91" s="376"/>
      <c r="AJ91" s="376"/>
      <c r="AK91" s="258"/>
    </row>
    <row r="92" spans="1:37" ht="13.5" customHeight="1">
      <c r="A92" s="651"/>
      <c r="B92" s="258"/>
      <c r="C92" s="259" t="s">
        <v>499</v>
      </c>
      <c r="D92" s="376"/>
      <c r="E92" s="376"/>
      <c r="F92" s="376"/>
      <c r="G92" s="376"/>
      <c r="H92" s="376"/>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6"/>
      <c r="AK92" s="258"/>
    </row>
    <row r="93" spans="1:37" ht="13.5" customHeight="1">
      <c r="A93" s="651"/>
      <c r="B93" s="258"/>
      <c r="C93" s="259" t="s">
        <v>500</v>
      </c>
      <c r="D93" s="376"/>
      <c r="E93" s="376"/>
      <c r="F93" s="376"/>
      <c r="G93" s="376"/>
      <c r="H93" s="376"/>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76"/>
      <c r="AH93" s="376"/>
      <c r="AI93" s="376"/>
      <c r="AJ93" s="376"/>
      <c r="AK93" s="258"/>
    </row>
    <row r="94" spans="1:37" ht="13.5" customHeight="1">
      <c r="A94" s="651"/>
      <c r="B94" s="258"/>
      <c r="C94" s="259" t="s">
        <v>502</v>
      </c>
      <c r="D94" s="376">
        <v>1770</v>
      </c>
      <c r="E94" s="376">
        <v>1770</v>
      </c>
      <c r="F94" s="376">
        <v>1770</v>
      </c>
      <c r="G94" s="376">
        <v>1770</v>
      </c>
      <c r="H94" s="376">
        <v>1770</v>
      </c>
      <c r="I94" s="376">
        <v>1770</v>
      </c>
      <c r="J94" s="376">
        <v>1770</v>
      </c>
      <c r="K94" s="376">
        <v>1770</v>
      </c>
      <c r="L94" s="376">
        <v>1770</v>
      </c>
      <c r="M94" s="376">
        <v>1770</v>
      </c>
      <c r="N94" s="376">
        <v>1770</v>
      </c>
      <c r="O94" s="376">
        <v>1770</v>
      </c>
      <c r="P94" s="376">
        <v>1770</v>
      </c>
      <c r="Q94" s="376">
        <v>1770</v>
      </c>
      <c r="R94" s="376">
        <v>1770</v>
      </c>
      <c r="S94" s="376">
        <v>1770</v>
      </c>
      <c r="T94" s="376">
        <v>1770</v>
      </c>
      <c r="U94" s="376">
        <v>1770</v>
      </c>
      <c r="V94" s="376">
        <v>1770</v>
      </c>
      <c r="W94" s="376">
        <v>1770</v>
      </c>
      <c r="X94" s="376">
        <v>1770</v>
      </c>
      <c r="Y94" s="376">
        <v>1770</v>
      </c>
      <c r="Z94" s="376">
        <v>1770</v>
      </c>
      <c r="AA94" s="376">
        <v>1770</v>
      </c>
      <c r="AB94" s="376">
        <v>1770</v>
      </c>
      <c r="AC94" s="376">
        <v>1770</v>
      </c>
      <c r="AD94" s="376">
        <v>1770</v>
      </c>
      <c r="AE94" s="376">
        <v>1770</v>
      </c>
      <c r="AF94" s="376">
        <v>1770</v>
      </c>
      <c r="AG94" s="376">
        <v>1770</v>
      </c>
      <c r="AH94" s="376">
        <v>1770</v>
      </c>
      <c r="AI94" s="376">
        <v>1770</v>
      </c>
      <c r="AJ94" s="376">
        <v>1770</v>
      </c>
      <c r="AK94" s="258"/>
    </row>
    <row r="95" spans="1:37" ht="13.5" customHeight="1">
      <c r="A95" s="651"/>
      <c r="B95" s="258"/>
      <c r="C95" s="259" t="s">
        <v>503</v>
      </c>
      <c r="D95" s="376">
        <v>4500</v>
      </c>
      <c r="E95" s="376">
        <v>4500</v>
      </c>
      <c r="F95" s="376">
        <v>4500</v>
      </c>
      <c r="G95" s="376">
        <v>4500</v>
      </c>
      <c r="H95" s="376">
        <v>4500</v>
      </c>
      <c r="I95" s="376">
        <v>4500</v>
      </c>
      <c r="J95" s="376">
        <v>4500</v>
      </c>
      <c r="K95" s="376">
        <v>4500</v>
      </c>
      <c r="L95" s="376">
        <v>4500</v>
      </c>
      <c r="M95" s="376">
        <v>4500</v>
      </c>
      <c r="N95" s="376">
        <v>4500</v>
      </c>
      <c r="O95" s="376">
        <v>4500</v>
      </c>
      <c r="P95" s="376">
        <v>4500</v>
      </c>
      <c r="Q95" s="376">
        <v>4500</v>
      </c>
      <c r="R95" s="376">
        <v>4500</v>
      </c>
      <c r="S95" s="376">
        <v>4500</v>
      </c>
      <c r="T95" s="376">
        <v>4500</v>
      </c>
      <c r="U95" s="376">
        <v>4400</v>
      </c>
      <c r="V95" s="376">
        <v>4400</v>
      </c>
      <c r="W95" s="376">
        <v>4400</v>
      </c>
      <c r="X95" s="376">
        <v>4400</v>
      </c>
      <c r="Y95" s="376">
        <v>4400</v>
      </c>
      <c r="Z95" s="376">
        <v>4300</v>
      </c>
      <c r="AA95" s="376">
        <v>4300</v>
      </c>
      <c r="AB95" s="376">
        <v>4300</v>
      </c>
      <c r="AC95" s="376">
        <v>4300</v>
      </c>
      <c r="AD95" s="376">
        <v>4300</v>
      </c>
      <c r="AE95" s="376">
        <v>4200</v>
      </c>
      <c r="AF95" s="376">
        <v>4200</v>
      </c>
      <c r="AG95" s="376">
        <v>4200</v>
      </c>
      <c r="AH95" s="376">
        <v>4200</v>
      </c>
      <c r="AI95" s="376">
        <v>4200</v>
      </c>
      <c r="AJ95" s="376">
        <v>4100</v>
      </c>
      <c r="AK95" s="258"/>
    </row>
    <row r="96" spans="1:37" ht="13.5" customHeight="1">
      <c r="A96" s="651"/>
      <c r="B96" s="258"/>
      <c r="C96" s="281" t="s">
        <v>504</v>
      </c>
      <c r="D96" s="376"/>
      <c r="E96" s="376"/>
      <c r="F96" s="37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258"/>
    </row>
    <row r="97" spans="1:37" ht="13.5" customHeight="1">
      <c r="A97" s="651"/>
      <c r="B97" s="258"/>
      <c r="C97" s="259" t="s">
        <v>505</v>
      </c>
      <c r="D97" s="376">
        <v>2500</v>
      </c>
      <c r="E97" s="376">
        <v>2500</v>
      </c>
      <c r="F97" s="376">
        <v>2500</v>
      </c>
      <c r="G97" s="376">
        <v>2500</v>
      </c>
      <c r="H97" s="376">
        <v>2500</v>
      </c>
      <c r="I97" s="376">
        <v>2500</v>
      </c>
      <c r="J97" s="376">
        <v>2500</v>
      </c>
      <c r="K97" s="376">
        <v>2500</v>
      </c>
      <c r="L97" s="376">
        <v>2500</v>
      </c>
      <c r="M97" s="376">
        <v>2500</v>
      </c>
      <c r="N97" s="376">
        <v>2500</v>
      </c>
      <c r="O97" s="376">
        <v>2500</v>
      </c>
      <c r="P97" s="376">
        <v>2500</v>
      </c>
      <c r="Q97" s="376">
        <v>2500</v>
      </c>
      <c r="R97" s="376">
        <v>2500</v>
      </c>
      <c r="S97" s="376">
        <v>2500</v>
      </c>
      <c r="T97" s="376">
        <v>2500</v>
      </c>
      <c r="U97" s="376">
        <v>2250</v>
      </c>
      <c r="V97" s="376">
        <v>2250</v>
      </c>
      <c r="W97" s="376">
        <v>2250</v>
      </c>
      <c r="X97" s="376">
        <v>2250</v>
      </c>
      <c r="Y97" s="376">
        <v>2250</v>
      </c>
      <c r="Z97" s="376">
        <v>1875</v>
      </c>
      <c r="AA97" s="376">
        <v>1875</v>
      </c>
      <c r="AB97" s="376">
        <v>1875</v>
      </c>
      <c r="AC97" s="376">
        <v>1875</v>
      </c>
      <c r="AD97" s="376">
        <v>1875</v>
      </c>
      <c r="AE97" s="376">
        <v>1875</v>
      </c>
      <c r="AF97" s="376">
        <v>1875</v>
      </c>
      <c r="AG97" s="376">
        <v>1875</v>
      </c>
      <c r="AH97" s="376">
        <v>1875</v>
      </c>
      <c r="AI97" s="376">
        <v>1875</v>
      </c>
      <c r="AJ97" s="376">
        <v>1875</v>
      </c>
      <c r="AK97" s="258"/>
    </row>
    <row r="98" spans="1:37" ht="13.5" customHeight="1">
      <c r="A98" s="651"/>
      <c r="B98" s="258"/>
      <c r="C98" s="259" t="s">
        <v>506</v>
      </c>
      <c r="D98" s="376">
        <v>4275</v>
      </c>
      <c r="E98" s="376">
        <v>4275</v>
      </c>
      <c r="F98" s="376">
        <v>4275</v>
      </c>
      <c r="G98" s="376">
        <v>4275</v>
      </c>
      <c r="H98" s="376">
        <v>4275</v>
      </c>
      <c r="I98" s="376">
        <v>4275</v>
      </c>
      <c r="J98" s="376">
        <v>4275</v>
      </c>
      <c r="K98" s="376">
        <v>4275</v>
      </c>
      <c r="L98" s="376">
        <v>4275</v>
      </c>
      <c r="M98" s="376">
        <v>4275</v>
      </c>
      <c r="N98" s="376">
        <v>4275</v>
      </c>
      <c r="O98" s="376">
        <v>4275</v>
      </c>
      <c r="P98" s="376">
        <v>4275</v>
      </c>
      <c r="Q98" s="376">
        <v>4275</v>
      </c>
      <c r="R98" s="376">
        <v>4275</v>
      </c>
      <c r="S98" s="376">
        <v>4275</v>
      </c>
      <c r="T98" s="376">
        <v>4275</v>
      </c>
      <c r="U98" s="376">
        <v>4275</v>
      </c>
      <c r="V98" s="376">
        <v>4275</v>
      </c>
      <c r="W98" s="376">
        <v>4275</v>
      </c>
      <c r="X98" s="376">
        <v>4275</v>
      </c>
      <c r="Y98" s="376">
        <v>4275</v>
      </c>
      <c r="Z98" s="376">
        <v>3563</v>
      </c>
      <c r="AA98" s="376">
        <v>3563</v>
      </c>
      <c r="AB98" s="376">
        <v>3563</v>
      </c>
      <c r="AC98" s="376">
        <v>3563</v>
      </c>
      <c r="AD98" s="376">
        <v>3563</v>
      </c>
      <c r="AE98" s="376">
        <v>3563</v>
      </c>
      <c r="AF98" s="376">
        <v>3563</v>
      </c>
      <c r="AG98" s="376">
        <v>3563</v>
      </c>
      <c r="AH98" s="376">
        <v>3563</v>
      </c>
      <c r="AI98" s="376">
        <v>3563</v>
      </c>
      <c r="AJ98" s="376">
        <v>3563</v>
      </c>
      <c r="AK98" s="258"/>
    </row>
    <row r="99" spans="1:37" ht="13.5" customHeight="1">
      <c r="A99" s="651"/>
      <c r="B99" s="258"/>
      <c r="C99" s="281" t="s">
        <v>507</v>
      </c>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258"/>
    </row>
    <row r="100" spans="1:37" ht="13.5" customHeight="1">
      <c r="A100" s="651"/>
      <c r="B100" s="258"/>
      <c r="C100" s="259" t="s">
        <v>508</v>
      </c>
      <c r="D100" s="376">
        <v>1980</v>
      </c>
      <c r="E100" s="376"/>
      <c r="F100" s="376"/>
      <c r="G100" s="376"/>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258"/>
    </row>
    <row r="101" spans="1:37" ht="13.5" customHeight="1">
      <c r="A101" s="651"/>
      <c r="B101" s="258"/>
      <c r="C101" s="259" t="s">
        <v>509</v>
      </c>
      <c r="D101" s="376">
        <v>1980</v>
      </c>
      <c r="E101" s="376">
        <v>1360</v>
      </c>
      <c r="F101" s="376">
        <v>1360</v>
      </c>
      <c r="G101" s="376">
        <v>1360</v>
      </c>
      <c r="H101" s="376">
        <v>1360</v>
      </c>
      <c r="I101" s="376">
        <v>1360</v>
      </c>
      <c r="J101" s="376">
        <v>1360</v>
      </c>
      <c r="K101" s="376">
        <v>1220</v>
      </c>
      <c r="L101" s="376">
        <v>1220</v>
      </c>
      <c r="M101" s="376">
        <v>1220</v>
      </c>
      <c r="N101" s="376">
        <v>1220</v>
      </c>
      <c r="O101" s="376">
        <v>1220</v>
      </c>
      <c r="P101" s="376">
        <v>1080</v>
      </c>
      <c r="Q101" s="376">
        <v>1080</v>
      </c>
      <c r="R101" s="376">
        <v>1080</v>
      </c>
      <c r="S101" s="376">
        <v>1080</v>
      </c>
      <c r="T101" s="376">
        <v>1080</v>
      </c>
      <c r="U101" s="376">
        <v>1050</v>
      </c>
      <c r="V101" s="376">
        <v>1050</v>
      </c>
      <c r="W101" s="376">
        <v>1050</v>
      </c>
      <c r="X101" s="376">
        <v>1050</v>
      </c>
      <c r="Y101" s="376">
        <v>1050</v>
      </c>
      <c r="Z101" s="376">
        <v>1020</v>
      </c>
      <c r="AA101" s="376">
        <v>1020</v>
      </c>
      <c r="AB101" s="376">
        <v>1020</v>
      </c>
      <c r="AC101" s="376">
        <v>1020</v>
      </c>
      <c r="AD101" s="376">
        <v>1020</v>
      </c>
      <c r="AE101" s="376">
        <v>990</v>
      </c>
      <c r="AF101" s="376">
        <v>990</v>
      </c>
      <c r="AG101" s="376">
        <v>990</v>
      </c>
      <c r="AH101" s="376">
        <v>990</v>
      </c>
      <c r="AI101" s="376">
        <v>990</v>
      </c>
      <c r="AJ101" s="376">
        <v>960</v>
      </c>
      <c r="AK101" s="258"/>
    </row>
    <row r="102" spans="1:37" ht="13.5" customHeight="1">
      <c r="A102" s="651"/>
      <c r="B102" s="258"/>
      <c r="C102" s="259" t="s">
        <v>510</v>
      </c>
      <c r="D102" s="376">
        <v>1980</v>
      </c>
      <c r="E102" s="376">
        <v>1360</v>
      </c>
      <c r="F102" s="376">
        <v>1360</v>
      </c>
      <c r="G102" s="376">
        <v>1360</v>
      </c>
      <c r="H102" s="376">
        <v>1360</v>
      </c>
      <c r="I102" s="376">
        <v>1360</v>
      </c>
      <c r="J102" s="376">
        <v>1360</v>
      </c>
      <c r="K102" s="376">
        <v>1220</v>
      </c>
      <c r="L102" s="376">
        <v>1220</v>
      </c>
      <c r="M102" s="376">
        <v>1220</v>
      </c>
      <c r="N102" s="376">
        <v>1220</v>
      </c>
      <c r="O102" s="376">
        <v>1220</v>
      </c>
      <c r="P102" s="376">
        <v>1080</v>
      </c>
      <c r="Q102" s="376">
        <v>1080</v>
      </c>
      <c r="R102" s="376">
        <v>1080</v>
      </c>
      <c r="S102" s="376">
        <v>1080</v>
      </c>
      <c r="T102" s="376">
        <v>1080</v>
      </c>
      <c r="U102" s="376">
        <v>1050</v>
      </c>
      <c r="V102" s="376">
        <v>1050</v>
      </c>
      <c r="W102" s="376">
        <v>1050</v>
      </c>
      <c r="X102" s="376">
        <v>1050</v>
      </c>
      <c r="Y102" s="376">
        <v>1050</v>
      </c>
      <c r="Z102" s="376">
        <v>1020</v>
      </c>
      <c r="AA102" s="376">
        <v>1020</v>
      </c>
      <c r="AB102" s="376">
        <v>1020</v>
      </c>
      <c r="AC102" s="376">
        <v>1020</v>
      </c>
      <c r="AD102" s="376">
        <v>1020</v>
      </c>
      <c r="AE102" s="376">
        <v>990</v>
      </c>
      <c r="AF102" s="376">
        <v>990</v>
      </c>
      <c r="AG102" s="376">
        <v>990</v>
      </c>
      <c r="AH102" s="376">
        <v>990</v>
      </c>
      <c r="AI102" s="376">
        <v>990</v>
      </c>
      <c r="AJ102" s="376">
        <v>960</v>
      </c>
      <c r="AK102" s="258"/>
    </row>
    <row r="103" spans="1:37" ht="13.5" customHeight="1">
      <c r="A103" s="651"/>
      <c r="B103" s="258"/>
      <c r="C103" s="259" t="s">
        <v>260</v>
      </c>
      <c r="D103" s="376">
        <v>7254</v>
      </c>
      <c r="E103" s="376">
        <v>6849</v>
      </c>
      <c r="F103" s="376">
        <v>6849</v>
      </c>
      <c r="G103" s="376">
        <v>6849</v>
      </c>
      <c r="H103" s="376">
        <v>6849</v>
      </c>
      <c r="I103" s="376">
        <v>6849</v>
      </c>
      <c r="J103" s="376">
        <v>6849</v>
      </c>
      <c r="K103" s="376">
        <v>6445</v>
      </c>
      <c r="L103" s="376">
        <v>6445</v>
      </c>
      <c r="M103" s="376">
        <v>6445</v>
      </c>
      <c r="N103" s="376">
        <v>6445</v>
      </c>
      <c r="O103" s="376">
        <v>6445</v>
      </c>
      <c r="P103" s="376">
        <v>6040</v>
      </c>
      <c r="Q103" s="376">
        <v>6040</v>
      </c>
      <c r="R103" s="376">
        <v>6040</v>
      </c>
      <c r="S103" s="376">
        <v>6040</v>
      </c>
      <c r="T103" s="376">
        <v>6040</v>
      </c>
      <c r="U103" s="376">
        <v>5636</v>
      </c>
      <c r="V103" s="376">
        <v>5636</v>
      </c>
      <c r="W103" s="376">
        <v>5636</v>
      </c>
      <c r="X103" s="376">
        <v>5636</v>
      </c>
      <c r="Y103" s="376">
        <v>5636</v>
      </c>
      <c r="Z103" s="376">
        <v>5231</v>
      </c>
      <c r="AA103" s="376">
        <v>5231</v>
      </c>
      <c r="AB103" s="376">
        <v>5231</v>
      </c>
      <c r="AC103" s="376">
        <v>5231</v>
      </c>
      <c r="AD103" s="376">
        <v>5231</v>
      </c>
      <c r="AE103" s="376">
        <v>4827</v>
      </c>
      <c r="AF103" s="376">
        <v>4827</v>
      </c>
      <c r="AG103" s="376">
        <v>4827</v>
      </c>
      <c r="AH103" s="376">
        <v>4827</v>
      </c>
      <c r="AI103" s="376">
        <v>4827</v>
      </c>
      <c r="AJ103" s="376">
        <v>4422</v>
      </c>
      <c r="AK103" s="258"/>
    </row>
    <row r="104" spans="1:37" ht="13.5" customHeight="1">
      <c r="A104" s="651"/>
      <c r="B104" s="258"/>
      <c r="C104" s="259" t="s">
        <v>511</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258"/>
    </row>
    <row r="105" spans="1:37" ht="13.5" customHeight="1">
      <c r="A105" s="651"/>
      <c r="B105" s="258"/>
      <c r="C105" s="376"/>
      <c r="D105" s="376"/>
      <c r="E105" s="376"/>
      <c r="F105" s="376"/>
      <c r="G105" s="376"/>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258"/>
    </row>
    <row r="106" spans="1:37" ht="13.5" customHeight="1">
      <c r="A106" s="651"/>
      <c r="B106" s="258"/>
      <c r="C106" s="259" t="s">
        <v>512</v>
      </c>
      <c r="D106" s="376"/>
      <c r="E106" s="376"/>
      <c r="F106" s="376"/>
      <c r="G106" s="376"/>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258"/>
    </row>
    <row r="107" spans="1:37" ht="13.5" customHeight="1">
      <c r="A107" s="651"/>
      <c r="B107" s="258"/>
      <c r="C107" s="258"/>
      <c r="D107" s="258"/>
      <c r="E107" s="258"/>
      <c r="F107" s="258"/>
      <c r="G107" s="258"/>
      <c r="H107" s="258"/>
      <c r="I107" s="258"/>
      <c r="J107" s="258"/>
      <c r="K107" s="258"/>
      <c r="L107" s="258"/>
      <c r="M107" s="258"/>
      <c r="N107" s="258"/>
      <c r="O107" s="258"/>
      <c r="P107" s="258"/>
      <c r="Q107" s="258"/>
      <c r="R107" s="258"/>
      <c r="S107" s="258"/>
      <c r="T107" s="258"/>
      <c r="U107" s="258"/>
      <c r="V107" s="258"/>
      <c r="W107" s="258"/>
      <c r="X107" s="258"/>
      <c r="Y107" s="258"/>
      <c r="Z107" s="258"/>
      <c r="AA107" s="258"/>
      <c r="AB107" s="258"/>
      <c r="AC107" s="258"/>
      <c r="AD107" s="258"/>
      <c r="AE107" s="258"/>
      <c r="AF107" s="258"/>
      <c r="AG107" s="258"/>
      <c r="AH107" s="258"/>
      <c r="AI107" s="258"/>
      <c r="AJ107" s="258"/>
      <c r="AK107" s="258"/>
    </row>
    <row r="108" spans="1:37" ht="13.5" customHeight="1">
      <c r="A108" s="651"/>
      <c r="B108" s="258"/>
      <c r="C108" s="281" t="s">
        <v>513</v>
      </c>
      <c r="D108" s="376"/>
      <c r="E108" s="376"/>
      <c r="F108" s="376"/>
      <c r="G108" s="376"/>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258"/>
    </row>
    <row r="109" spans="1:37" ht="13.5" customHeight="1">
      <c r="A109" s="651"/>
      <c r="B109" s="258"/>
      <c r="C109" s="281" t="s">
        <v>514</v>
      </c>
      <c r="D109" s="376"/>
      <c r="E109" s="376"/>
      <c r="F109" s="376"/>
      <c r="G109" s="376"/>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258"/>
    </row>
    <row r="110" spans="1:37" ht="13.5" customHeight="1">
      <c r="A110" s="651"/>
      <c r="B110" s="258"/>
      <c r="C110" s="259" t="s">
        <v>480</v>
      </c>
      <c r="D110" s="376">
        <v>96</v>
      </c>
      <c r="E110" s="376">
        <v>96</v>
      </c>
      <c r="F110" s="376">
        <v>96</v>
      </c>
      <c r="G110" s="376">
        <v>96</v>
      </c>
      <c r="H110" s="376">
        <v>96</v>
      </c>
      <c r="I110" s="376">
        <v>96</v>
      </c>
      <c r="J110" s="376">
        <v>96</v>
      </c>
      <c r="K110" s="376">
        <v>96</v>
      </c>
      <c r="L110" s="376">
        <v>96</v>
      </c>
      <c r="M110" s="376">
        <v>96</v>
      </c>
      <c r="N110" s="376">
        <v>96</v>
      </c>
      <c r="O110" s="376">
        <v>96</v>
      </c>
      <c r="P110" s="376">
        <v>96</v>
      </c>
      <c r="Q110" s="376">
        <v>96</v>
      </c>
      <c r="R110" s="376">
        <v>96</v>
      </c>
      <c r="S110" s="376">
        <v>96</v>
      </c>
      <c r="T110" s="376">
        <v>96</v>
      </c>
      <c r="U110" s="376">
        <v>96</v>
      </c>
      <c r="V110" s="376">
        <v>96</v>
      </c>
      <c r="W110" s="376">
        <v>96</v>
      </c>
      <c r="X110" s="376">
        <v>96</v>
      </c>
      <c r="Y110" s="376">
        <v>96</v>
      </c>
      <c r="Z110" s="376">
        <v>96</v>
      </c>
      <c r="AA110" s="376">
        <v>96</v>
      </c>
      <c r="AB110" s="376">
        <v>96</v>
      </c>
      <c r="AC110" s="376">
        <v>96</v>
      </c>
      <c r="AD110" s="376">
        <v>96</v>
      </c>
      <c r="AE110" s="376">
        <v>96</v>
      </c>
      <c r="AF110" s="376">
        <v>96</v>
      </c>
      <c r="AG110" s="376">
        <v>96</v>
      </c>
      <c r="AH110" s="376">
        <v>96</v>
      </c>
      <c r="AI110" s="376">
        <v>96</v>
      </c>
      <c r="AJ110" s="376">
        <v>96</v>
      </c>
      <c r="AK110" s="258"/>
    </row>
    <row r="111" spans="1:37" ht="13.5" customHeight="1">
      <c r="A111" s="651"/>
      <c r="B111" s="258"/>
      <c r="C111" s="259" t="s">
        <v>481</v>
      </c>
      <c r="D111" s="376">
        <v>150</v>
      </c>
      <c r="E111" s="376">
        <v>150</v>
      </c>
      <c r="F111" s="376">
        <v>150</v>
      </c>
      <c r="G111" s="376">
        <v>150</v>
      </c>
      <c r="H111" s="376">
        <v>150</v>
      </c>
      <c r="I111" s="376">
        <v>150</v>
      </c>
      <c r="J111" s="376">
        <v>150</v>
      </c>
      <c r="K111" s="376">
        <v>150</v>
      </c>
      <c r="L111" s="376">
        <v>150</v>
      </c>
      <c r="M111" s="376">
        <v>150</v>
      </c>
      <c r="N111" s="376">
        <v>150</v>
      </c>
      <c r="O111" s="376">
        <v>150</v>
      </c>
      <c r="P111" s="376">
        <v>150</v>
      </c>
      <c r="Q111" s="376">
        <v>150</v>
      </c>
      <c r="R111" s="376">
        <v>150</v>
      </c>
      <c r="S111" s="376">
        <v>150</v>
      </c>
      <c r="T111" s="376">
        <v>150</v>
      </c>
      <c r="U111" s="376">
        <v>150</v>
      </c>
      <c r="V111" s="376">
        <v>150</v>
      </c>
      <c r="W111" s="376">
        <v>150</v>
      </c>
      <c r="X111" s="376">
        <v>150</v>
      </c>
      <c r="Y111" s="376">
        <v>150</v>
      </c>
      <c r="Z111" s="376">
        <v>150</v>
      </c>
      <c r="AA111" s="376">
        <v>150</v>
      </c>
      <c r="AB111" s="376">
        <v>150</v>
      </c>
      <c r="AC111" s="376">
        <v>150</v>
      </c>
      <c r="AD111" s="376">
        <v>150</v>
      </c>
      <c r="AE111" s="376">
        <v>150</v>
      </c>
      <c r="AF111" s="376">
        <v>150</v>
      </c>
      <c r="AG111" s="376">
        <v>150</v>
      </c>
      <c r="AH111" s="376">
        <v>150</v>
      </c>
      <c r="AI111" s="376">
        <v>150</v>
      </c>
      <c r="AJ111" s="376">
        <v>150</v>
      </c>
      <c r="AK111" s="258"/>
    </row>
    <row r="112" spans="1:37" ht="13.5" customHeight="1">
      <c r="A112" s="651"/>
      <c r="B112" s="258"/>
      <c r="C112" s="259" t="s">
        <v>482</v>
      </c>
      <c r="D112" s="376">
        <v>90</v>
      </c>
      <c r="E112" s="376">
        <v>90</v>
      </c>
      <c r="F112" s="376">
        <v>90</v>
      </c>
      <c r="G112" s="376">
        <v>90</v>
      </c>
      <c r="H112" s="376">
        <v>90</v>
      </c>
      <c r="I112" s="376">
        <v>90</v>
      </c>
      <c r="J112" s="376">
        <v>90</v>
      </c>
      <c r="K112" s="376">
        <v>90</v>
      </c>
      <c r="L112" s="376">
        <v>90</v>
      </c>
      <c r="M112" s="376">
        <v>90</v>
      </c>
      <c r="N112" s="376">
        <v>90</v>
      </c>
      <c r="O112" s="376">
        <v>90</v>
      </c>
      <c r="P112" s="376">
        <v>90</v>
      </c>
      <c r="Q112" s="376">
        <v>90</v>
      </c>
      <c r="R112" s="376">
        <v>90</v>
      </c>
      <c r="S112" s="376">
        <v>90</v>
      </c>
      <c r="T112" s="376">
        <v>90</v>
      </c>
      <c r="U112" s="376">
        <v>90</v>
      </c>
      <c r="V112" s="376">
        <v>90</v>
      </c>
      <c r="W112" s="376">
        <v>90</v>
      </c>
      <c r="X112" s="376">
        <v>90</v>
      </c>
      <c r="Y112" s="376">
        <v>90</v>
      </c>
      <c r="Z112" s="376">
        <v>90</v>
      </c>
      <c r="AA112" s="376">
        <v>90</v>
      </c>
      <c r="AB112" s="376">
        <v>90</v>
      </c>
      <c r="AC112" s="376">
        <v>90</v>
      </c>
      <c r="AD112" s="376">
        <v>90</v>
      </c>
      <c r="AE112" s="376">
        <v>90</v>
      </c>
      <c r="AF112" s="376">
        <v>90</v>
      </c>
      <c r="AG112" s="376">
        <v>90</v>
      </c>
      <c r="AH112" s="376">
        <v>90</v>
      </c>
      <c r="AI112" s="376">
        <v>90</v>
      </c>
      <c r="AJ112" s="376">
        <v>90</v>
      </c>
      <c r="AK112" s="258"/>
    </row>
    <row r="113" spans="1:37" ht="13.5" customHeight="1">
      <c r="A113" s="651"/>
      <c r="B113" s="258"/>
      <c r="C113" s="259" t="s">
        <v>483</v>
      </c>
      <c r="D113" s="376">
        <v>95</v>
      </c>
      <c r="E113" s="376">
        <v>95</v>
      </c>
      <c r="F113" s="376">
        <v>95</v>
      </c>
      <c r="G113" s="376">
        <v>95</v>
      </c>
      <c r="H113" s="376">
        <v>95</v>
      </c>
      <c r="I113" s="376">
        <v>95</v>
      </c>
      <c r="J113" s="376">
        <v>95</v>
      </c>
      <c r="K113" s="376">
        <v>91</v>
      </c>
      <c r="L113" s="376">
        <v>91</v>
      </c>
      <c r="M113" s="376">
        <v>91</v>
      </c>
      <c r="N113" s="376">
        <v>91</v>
      </c>
      <c r="O113" s="376">
        <v>91</v>
      </c>
      <c r="P113" s="376">
        <v>88</v>
      </c>
      <c r="Q113" s="376">
        <v>88</v>
      </c>
      <c r="R113" s="376">
        <v>88</v>
      </c>
      <c r="S113" s="376">
        <v>88</v>
      </c>
      <c r="T113" s="376">
        <v>88</v>
      </c>
      <c r="U113" s="376">
        <v>87</v>
      </c>
      <c r="V113" s="376">
        <v>87</v>
      </c>
      <c r="W113" s="376">
        <v>87</v>
      </c>
      <c r="X113" s="376">
        <v>87</v>
      </c>
      <c r="Y113" s="376">
        <v>87</v>
      </c>
      <c r="Z113" s="376">
        <v>86</v>
      </c>
      <c r="AA113" s="376">
        <v>86</v>
      </c>
      <c r="AB113" s="376">
        <v>86</v>
      </c>
      <c r="AC113" s="376">
        <v>86</v>
      </c>
      <c r="AD113" s="376">
        <v>86</v>
      </c>
      <c r="AE113" s="376">
        <v>85</v>
      </c>
      <c r="AF113" s="376">
        <v>85</v>
      </c>
      <c r="AG113" s="376">
        <v>85</v>
      </c>
      <c r="AH113" s="376">
        <v>85</v>
      </c>
      <c r="AI113" s="376">
        <v>85</v>
      </c>
      <c r="AJ113" s="376">
        <v>84</v>
      </c>
      <c r="AK113" s="258"/>
    </row>
    <row r="114" spans="1:37" ht="13.5" customHeight="1">
      <c r="A114" s="651"/>
      <c r="B114" s="258"/>
      <c r="C114" s="259" t="s">
        <v>484</v>
      </c>
      <c r="D114" s="376">
        <v>160</v>
      </c>
      <c r="E114" s="376">
        <v>160</v>
      </c>
      <c r="F114" s="376">
        <v>160</v>
      </c>
      <c r="G114" s="376">
        <v>160</v>
      </c>
      <c r="H114" s="376">
        <v>160</v>
      </c>
      <c r="I114" s="376">
        <v>160</v>
      </c>
      <c r="J114" s="376">
        <v>160</v>
      </c>
      <c r="K114" s="376">
        <v>160</v>
      </c>
      <c r="L114" s="376">
        <v>160</v>
      </c>
      <c r="M114" s="376">
        <v>160</v>
      </c>
      <c r="N114" s="376">
        <v>160</v>
      </c>
      <c r="O114" s="376">
        <v>160</v>
      </c>
      <c r="P114" s="376">
        <v>160</v>
      </c>
      <c r="Q114" s="376">
        <v>160</v>
      </c>
      <c r="R114" s="376">
        <v>160</v>
      </c>
      <c r="S114" s="376">
        <v>160</v>
      </c>
      <c r="T114" s="376">
        <v>160</v>
      </c>
      <c r="U114" s="376">
        <v>160</v>
      </c>
      <c r="V114" s="376">
        <v>160</v>
      </c>
      <c r="W114" s="376">
        <v>160</v>
      </c>
      <c r="X114" s="376">
        <v>160</v>
      </c>
      <c r="Y114" s="376">
        <v>160</v>
      </c>
      <c r="Z114" s="376">
        <v>160</v>
      </c>
      <c r="AA114" s="376">
        <v>160</v>
      </c>
      <c r="AB114" s="376">
        <v>160</v>
      </c>
      <c r="AC114" s="376">
        <v>160</v>
      </c>
      <c r="AD114" s="376">
        <v>160</v>
      </c>
      <c r="AE114" s="376">
        <v>160</v>
      </c>
      <c r="AF114" s="376">
        <v>160</v>
      </c>
      <c r="AG114" s="376">
        <v>160</v>
      </c>
      <c r="AH114" s="376">
        <v>160</v>
      </c>
      <c r="AI114" s="376">
        <v>160</v>
      </c>
      <c r="AJ114" s="376">
        <v>160</v>
      </c>
      <c r="AK114" s="258"/>
    </row>
    <row r="115" spans="1:37" ht="13.5" customHeight="1">
      <c r="A115" s="651"/>
      <c r="B115" s="258"/>
      <c r="C115" s="259" t="s">
        <v>485</v>
      </c>
      <c r="D115" s="376">
        <v>195</v>
      </c>
      <c r="E115" s="376">
        <v>195</v>
      </c>
      <c r="F115" s="376">
        <v>195</v>
      </c>
      <c r="G115" s="376">
        <v>195</v>
      </c>
      <c r="H115" s="376">
        <v>195</v>
      </c>
      <c r="I115" s="376">
        <v>195</v>
      </c>
      <c r="J115" s="376">
        <v>195</v>
      </c>
      <c r="K115" s="376">
        <v>195</v>
      </c>
      <c r="L115" s="376">
        <v>195</v>
      </c>
      <c r="M115" s="376">
        <v>195</v>
      </c>
      <c r="N115" s="376">
        <v>195</v>
      </c>
      <c r="O115" s="376">
        <v>195</v>
      </c>
      <c r="P115" s="376">
        <v>195</v>
      </c>
      <c r="Q115" s="376">
        <v>195</v>
      </c>
      <c r="R115" s="376">
        <v>195</v>
      </c>
      <c r="S115" s="376">
        <v>195</v>
      </c>
      <c r="T115" s="376">
        <v>195</v>
      </c>
      <c r="U115" s="376">
        <v>195</v>
      </c>
      <c r="V115" s="376">
        <v>195</v>
      </c>
      <c r="W115" s="376">
        <v>195</v>
      </c>
      <c r="X115" s="376">
        <v>195</v>
      </c>
      <c r="Y115" s="376">
        <v>195</v>
      </c>
      <c r="Z115" s="376">
        <v>195</v>
      </c>
      <c r="AA115" s="376">
        <v>195</v>
      </c>
      <c r="AB115" s="376">
        <v>195</v>
      </c>
      <c r="AC115" s="376">
        <v>195</v>
      </c>
      <c r="AD115" s="376">
        <v>195</v>
      </c>
      <c r="AE115" s="376">
        <v>195</v>
      </c>
      <c r="AF115" s="376">
        <v>195</v>
      </c>
      <c r="AG115" s="376">
        <v>195</v>
      </c>
      <c r="AH115" s="376">
        <v>195</v>
      </c>
      <c r="AI115" s="376">
        <v>195</v>
      </c>
      <c r="AJ115" s="376">
        <v>195</v>
      </c>
      <c r="AK115" s="258"/>
    </row>
    <row r="116" spans="1:37" ht="13.5" customHeight="1">
      <c r="A116" s="651"/>
      <c r="B116" s="258"/>
      <c r="C116" s="281" t="s">
        <v>515</v>
      </c>
      <c r="D116" s="376">
        <v>94</v>
      </c>
      <c r="E116" s="376">
        <v>94</v>
      </c>
      <c r="F116" s="376">
        <v>94</v>
      </c>
      <c r="G116" s="376">
        <v>94</v>
      </c>
      <c r="H116" s="376">
        <v>94</v>
      </c>
      <c r="I116" s="376">
        <v>94</v>
      </c>
      <c r="J116" s="376">
        <v>94</v>
      </c>
      <c r="K116" s="376">
        <v>93</v>
      </c>
      <c r="L116" s="376">
        <v>93</v>
      </c>
      <c r="M116" s="376">
        <v>93</v>
      </c>
      <c r="N116" s="376">
        <v>93</v>
      </c>
      <c r="O116" s="376">
        <v>93</v>
      </c>
      <c r="P116" s="376">
        <v>92</v>
      </c>
      <c r="Q116" s="376">
        <v>92</v>
      </c>
      <c r="R116" s="376">
        <v>92</v>
      </c>
      <c r="S116" s="376">
        <v>92</v>
      </c>
      <c r="T116" s="376">
        <v>92</v>
      </c>
      <c r="U116" s="376">
        <v>92</v>
      </c>
      <c r="V116" s="376">
        <v>92</v>
      </c>
      <c r="W116" s="376">
        <v>92</v>
      </c>
      <c r="X116" s="376">
        <v>92</v>
      </c>
      <c r="Y116" s="376">
        <v>92</v>
      </c>
      <c r="Z116" s="376">
        <v>91</v>
      </c>
      <c r="AA116" s="376">
        <v>91</v>
      </c>
      <c r="AB116" s="376">
        <v>91</v>
      </c>
      <c r="AC116" s="376">
        <v>91</v>
      </c>
      <c r="AD116" s="376">
        <v>91</v>
      </c>
      <c r="AE116" s="376">
        <v>91</v>
      </c>
      <c r="AF116" s="376">
        <v>91</v>
      </c>
      <c r="AG116" s="376">
        <v>91</v>
      </c>
      <c r="AH116" s="376">
        <v>91</v>
      </c>
      <c r="AI116" s="376">
        <v>91</v>
      </c>
      <c r="AJ116" s="376">
        <v>90</v>
      </c>
      <c r="AK116" s="258"/>
    </row>
    <row r="117" spans="1:37" ht="13.5" customHeight="1">
      <c r="A117" s="651"/>
      <c r="B117" s="258"/>
      <c r="C117" s="281" t="s">
        <v>516</v>
      </c>
      <c r="D117" s="376">
        <v>117</v>
      </c>
      <c r="E117" s="376">
        <v>117</v>
      </c>
      <c r="F117" s="376">
        <v>102</v>
      </c>
      <c r="G117" s="376">
        <v>102</v>
      </c>
      <c r="H117" s="376">
        <v>102</v>
      </c>
      <c r="I117" s="376">
        <v>102</v>
      </c>
      <c r="J117" s="376">
        <v>102</v>
      </c>
      <c r="K117" s="376">
        <v>95</v>
      </c>
      <c r="L117" s="376">
        <v>95</v>
      </c>
      <c r="M117" s="376">
        <v>95</v>
      </c>
      <c r="N117" s="376">
        <v>95</v>
      </c>
      <c r="O117" s="376">
        <v>95</v>
      </c>
      <c r="P117" s="376">
        <v>88</v>
      </c>
      <c r="Q117" s="376">
        <v>88</v>
      </c>
      <c r="R117" s="376">
        <v>88</v>
      </c>
      <c r="S117" s="376">
        <v>88</v>
      </c>
      <c r="T117" s="376">
        <v>88</v>
      </c>
      <c r="U117" s="376">
        <v>88</v>
      </c>
      <c r="V117" s="376">
        <v>88</v>
      </c>
      <c r="W117" s="376">
        <v>88</v>
      </c>
      <c r="X117" s="376">
        <v>88</v>
      </c>
      <c r="Y117" s="376">
        <v>88</v>
      </c>
      <c r="Z117" s="376">
        <v>88</v>
      </c>
      <c r="AA117" s="376">
        <v>88</v>
      </c>
      <c r="AB117" s="376">
        <v>88</v>
      </c>
      <c r="AC117" s="376">
        <v>88</v>
      </c>
      <c r="AD117" s="376">
        <v>88</v>
      </c>
      <c r="AE117" s="376">
        <v>88</v>
      </c>
      <c r="AF117" s="376">
        <v>88</v>
      </c>
      <c r="AG117" s="376">
        <v>88</v>
      </c>
      <c r="AH117" s="376">
        <v>88</v>
      </c>
      <c r="AI117" s="376">
        <v>88</v>
      </c>
      <c r="AJ117" s="376">
        <v>88</v>
      </c>
      <c r="AK117" s="258"/>
    </row>
    <row r="118" spans="1:37" ht="13.5" customHeight="1">
      <c r="A118" s="651"/>
      <c r="B118" s="258"/>
      <c r="C118" s="281" t="s">
        <v>517</v>
      </c>
      <c r="D118" s="376"/>
      <c r="E118" s="376"/>
      <c r="F118" s="376"/>
      <c r="G118" s="376"/>
      <c r="H118" s="376"/>
      <c r="I118" s="376"/>
      <c r="J118" s="376"/>
      <c r="K118" s="376"/>
      <c r="L118" s="376"/>
      <c r="M118" s="376"/>
      <c r="N118" s="376"/>
      <c r="O118" s="376"/>
      <c r="P118" s="376"/>
      <c r="Q118" s="376"/>
      <c r="R118" s="376"/>
      <c r="S118" s="376"/>
      <c r="T118" s="376"/>
      <c r="U118" s="376"/>
      <c r="V118" s="376"/>
      <c r="W118" s="376"/>
      <c r="X118" s="376"/>
      <c r="Y118" s="376"/>
      <c r="Z118" s="376"/>
      <c r="AA118" s="376"/>
      <c r="AB118" s="376"/>
      <c r="AC118" s="376"/>
      <c r="AD118" s="376"/>
      <c r="AE118" s="376"/>
      <c r="AF118" s="376"/>
      <c r="AG118" s="376"/>
      <c r="AH118" s="376"/>
      <c r="AI118" s="376"/>
      <c r="AJ118" s="376"/>
      <c r="AK118" s="258"/>
    </row>
    <row r="119" spans="1:37" ht="13.5" customHeight="1">
      <c r="A119" s="651"/>
      <c r="B119" s="258"/>
      <c r="C119" s="259" t="s">
        <v>489</v>
      </c>
      <c r="D119" s="376"/>
      <c r="E119" s="376"/>
      <c r="F119" s="376"/>
      <c r="G119" s="376"/>
      <c r="H119" s="376"/>
      <c r="I119" s="376"/>
      <c r="J119" s="376"/>
      <c r="K119" s="376"/>
      <c r="L119" s="376"/>
      <c r="M119" s="376"/>
      <c r="N119" s="376"/>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258"/>
    </row>
    <row r="120" spans="1:37" ht="13.5" customHeight="1">
      <c r="A120" s="651"/>
      <c r="B120" s="258"/>
      <c r="C120" s="259" t="s">
        <v>490</v>
      </c>
      <c r="D120" s="376">
        <v>63.33</v>
      </c>
      <c r="E120" s="376">
        <v>63.33</v>
      </c>
      <c r="F120" s="376">
        <v>63.33</v>
      </c>
      <c r="G120" s="376">
        <v>63.33</v>
      </c>
      <c r="H120" s="376">
        <v>63.33</v>
      </c>
      <c r="I120" s="376">
        <v>63.33</v>
      </c>
      <c r="J120" s="376">
        <v>63.33</v>
      </c>
      <c r="K120" s="376">
        <v>63.33</v>
      </c>
      <c r="L120" s="376">
        <v>63.33</v>
      </c>
      <c r="M120" s="376">
        <v>63.33</v>
      </c>
      <c r="N120" s="376">
        <v>63.33</v>
      </c>
      <c r="O120" s="376">
        <v>63.33</v>
      </c>
      <c r="P120" s="376">
        <v>63.33</v>
      </c>
      <c r="Q120" s="376">
        <v>63.33</v>
      </c>
      <c r="R120" s="376">
        <v>63.33</v>
      </c>
      <c r="S120" s="376">
        <v>63.33</v>
      </c>
      <c r="T120" s="376">
        <v>63.33</v>
      </c>
      <c r="U120" s="376">
        <v>63.33</v>
      </c>
      <c r="V120" s="376">
        <v>63.33</v>
      </c>
      <c r="W120" s="376">
        <v>63.33</v>
      </c>
      <c r="X120" s="376">
        <v>63.33</v>
      </c>
      <c r="Y120" s="376">
        <v>63.33</v>
      </c>
      <c r="Z120" s="376">
        <v>63.33</v>
      </c>
      <c r="AA120" s="376">
        <v>63.33</v>
      </c>
      <c r="AB120" s="376">
        <v>63.33</v>
      </c>
      <c r="AC120" s="376">
        <v>63.33</v>
      </c>
      <c r="AD120" s="376">
        <v>63.33</v>
      </c>
      <c r="AE120" s="376">
        <v>63.33</v>
      </c>
      <c r="AF120" s="376">
        <v>63.33</v>
      </c>
      <c r="AG120" s="376">
        <v>63.33</v>
      </c>
      <c r="AH120" s="376">
        <v>63.33</v>
      </c>
      <c r="AI120" s="376">
        <v>63.33</v>
      </c>
      <c r="AJ120" s="376">
        <v>63.33</v>
      </c>
      <c r="AK120" s="258"/>
    </row>
    <row r="121" spans="1:37" ht="13.5" customHeight="1">
      <c r="A121" s="651"/>
      <c r="B121" s="258"/>
      <c r="C121" s="259" t="s">
        <v>491</v>
      </c>
      <c r="D121" s="376">
        <v>42</v>
      </c>
      <c r="E121" s="376">
        <v>42</v>
      </c>
      <c r="F121" s="376">
        <v>42</v>
      </c>
      <c r="G121" s="376">
        <v>42</v>
      </c>
      <c r="H121" s="376">
        <v>42</v>
      </c>
      <c r="I121" s="376">
        <v>42</v>
      </c>
      <c r="J121" s="376">
        <v>42</v>
      </c>
      <c r="K121" s="376">
        <v>42</v>
      </c>
      <c r="L121" s="376">
        <v>42</v>
      </c>
      <c r="M121" s="376">
        <v>42</v>
      </c>
      <c r="N121" s="376">
        <v>42</v>
      </c>
      <c r="O121" s="376">
        <v>42</v>
      </c>
      <c r="P121" s="376">
        <v>42</v>
      </c>
      <c r="Q121" s="376">
        <v>42</v>
      </c>
      <c r="R121" s="376">
        <v>42</v>
      </c>
      <c r="S121" s="376">
        <v>42</v>
      </c>
      <c r="T121" s="376">
        <v>42</v>
      </c>
      <c r="U121" s="376">
        <v>42</v>
      </c>
      <c r="V121" s="376">
        <v>42</v>
      </c>
      <c r="W121" s="376">
        <v>42</v>
      </c>
      <c r="X121" s="376">
        <v>42</v>
      </c>
      <c r="Y121" s="376">
        <v>42</v>
      </c>
      <c r="Z121" s="376">
        <v>42</v>
      </c>
      <c r="AA121" s="376">
        <v>42</v>
      </c>
      <c r="AB121" s="376">
        <v>42</v>
      </c>
      <c r="AC121" s="376">
        <v>42</v>
      </c>
      <c r="AD121" s="376">
        <v>42</v>
      </c>
      <c r="AE121" s="376">
        <v>42</v>
      </c>
      <c r="AF121" s="376">
        <v>42</v>
      </c>
      <c r="AG121" s="376">
        <v>42</v>
      </c>
      <c r="AH121" s="376">
        <v>42</v>
      </c>
      <c r="AI121" s="376">
        <v>42</v>
      </c>
      <c r="AJ121" s="376">
        <v>42</v>
      </c>
      <c r="AK121" s="258"/>
    </row>
    <row r="122" spans="1:37" ht="13.5" customHeight="1">
      <c r="A122" s="651"/>
      <c r="B122" s="258"/>
      <c r="C122" s="281" t="s">
        <v>518</v>
      </c>
      <c r="D122" s="376"/>
      <c r="E122" s="376"/>
      <c r="F122" s="376"/>
      <c r="G122" s="376"/>
      <c r="H122" s="376"/>
      <c r="I122" s="376"/>
      <c r="J122" s="376"/>
      <c r="K122" s="376"/>
      <c r="L122" s="376"/>
      <c r="M122" s="376"/>
      <c r="N122" s="376"/>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258"/>
    </row>
    <row r="123" spans="1:37" ht="13.5" customHeight="1">
      <c r="A123" s="651"/>
      <c r="B123" s="258"/>
      <c r="C123" s="259" t="s">
        <v>489</v>
      </c>
      <c r="D123" s="376">
        <v>65.94</v>
      </c>
      <c r="E123" s="376">
        <v>65.94</v>
      </c>
      <c r="F123" s="376">
        <v>65.94</v>
      </c>
      <c r="G123" s="376">
        <v>65.94</v>
      </c>
      <c r="H123" s="376">
        <v>65.94</v>
      </c>
      <c r="I123" s="376">
        <v>65.94</v>
      </c>
      <c r="J123" s="376">
        <v>65.94</v>
      </c>
      <c r="K123" s="376">
        <v>65.94</v>
      </c>
      <c r="L123" s="376">
        <v>65.94</v>
      </c>
      <c r="M123" s="376">
        <v>65.94</v>
      </c>
      <c r="N123" s="376">
        <v>65.94</v>
      </c>
      <c r="O123" s="376">
        <v>65.94</v>
      </c>
      <c r="P123" s="376">
        <v>65.94</v>
      </c>
      <c r="Q123" s="376">
        <v>65.94</v>
      </c>
      <c r="R123" s="376">
        <v>65.94</v>
      </c>
      <c r="S123" s="376">
        <v>65.94</v>
      </c>
      <c r="T123" s="376">
        <v>65.94</v>
      </c>
      <c r="U123" s="376">
        <v>65.94</v>
      </c>
      <c r="V123" s="376">
        <v>65.94</v>
      </c>
      <c r="W123" s="376">
        <v>65.94</v>
      </c>
      <c r="X123" s="376">
        <v>65.94</v>
      </c>
      <c r="Y123" s="376">
        <v>65.94</v>
      </c>
      <c r="Z123" s="376">
        <v>65.94</v>
      </c>
      <c r="AA123" s="376">
        <v>65.94</v>
      </c>
      <c r="AB123" s="376">
        <v>65.94</v>
      </c>
      <c r="AC123" s="376">
        <v>65.94</v>
      </c>
      <c r="AD123" s="376">
        <v>65.94</v>
      </c>
      <c r="AE123" s="376">
        <v>65.94</v>
      </c>
      <c r="AF123" s="376">
        <v>65.94</v>
      </c>
      <c r="AG123" s="376">
        <v>65.94</v>
      </c>
      <c r="AH123" s="376">
        <v>65.94</v>
      </c>
      <c r="AI123" s="376">
        <v>65.94</v>
      </c>
      <c r="AJ123" s="376">
        <v>65.94</v>
      </c>
      <c r="AK123" s="258"/>
    </row>
    <row r="124" spans="1:37" ht="13.5" customHeight="1">
      <c r="A124" s="651"/>
      <c r="B124" s="258"/>
      <c r="C124" s="259" t="s">
        <v>490</v>
      </c>
      <c r="D124" s="376">
        <v>50</v>
      </c>
      <c r="E124" s="376">
        <v>50</v>
      </c>
      <c r="F124" s="376">
        <v>50</v>
      </c>
      <c r="G124" s="376">
        <v>50</v>
      </c>
      <c r="H124" s="376">
        <v>50</v>
      </c>
      <c r="I124" s="376">
        <v>50</v>
      </c>
      <c r="J124" s="376">
        <v>50</v>
      </c>
      <c r="K124" s="376">
        <v>50</v>
      </c>
      <c r="L124" s="376">
        <v>50</v>
      </c>
      <c r="M124" s="376">
        <v>50</v>
      </c>
      <c r="N124" s="376">
        <v>50</v>
      </c>
      <c r="O124" s="376">
        <v>50</v>
      </c>
      <c r="P124" s="376">
        <v>50</v>
      </c>
      <c r="Q124" s="376">
        <v>50</v>
      </c>
      <c r="R124" s="376">
        <v>50</v>
      </c>
      <c r="S124" s="376">
        <v>50</v>
      </c>
      <c r="T124" s="376">
        <v>50</v>
      </c>
      <c r="U124" s="376">
        <v>50</v>
      </c>
      <c r="V124" s="376">
        <v>50</v>
      </c>
      <c r="W124" s="376">
        <v>50</v>
      </c>
      <c r="X124" s="376">
        <v>50</v>
      </c>
      <c r="Y124" s="376">
        <v>50</v>
      </c>
      <c r="Z124" s="376">
        <v>50</v>
      </c>
      <c r="AA124" s="376">
        <v>50</v>
      </c>
      <c r="AB124" s="376">
        <v>50</v>
      </c>
      <c r="AC124" s="376">
        <v>50</v>
      </c>
      <c r="AD124" s="376">
        <v>50</v>
      </c>
      <c r="AE124" s="376">
        <v>50</v>
      </c>
      <c r="AF124" s="376">
        <v>50</v>
      </c>
      <c r="AG124" s="376">
        <v>50</v>
      </c>
      <c r="AH124" s="376">
        <v>50</v>
      </c>
      <c r="AI124" s="376">
        <v>50</v>
      </c>
      <c r="AJ124" s="376">
        <v>50</v>
      </c>
      <c r="AK124" s="258"/>
    </row>
    <row r="125" spans="1:37" ht="13.5" customHeight="1">
      <c r="A125" s="651"/>
      <c r="B125" s="258"/>
      <c r="C125" s="259" t="s">
        <v>491</v>
      </c>
      <c r="D125" s="376">
        <v>42</v>
      </c>
      <c r="E125" s="376">
        <v>42</v>
      </c>
      <c r="F125" s="376">
        <v>42</v>
      </c>
      <c r="G125" s="376">
        <v>42</v>
      </c>
      <c r="H125" s="376">
        <v>42</v>
      </c>
      <c r="I125" s="376">
        <v>42</v>
      </c>
      <c r="J125" s="376">
        <v>42</v>
      </c>
      <c r="K125" s="376">
        <v>42</v>
      </c>
      <c r="L125" s="376">
        <v>42</v>
      </c>
      <c r="M125" s="376">
        <v>42</v>
      </c>
      <c r="N125" s="376">
        <v>42</v>
      </c>
      <c r="O125" s="376">
        <v>42</v>
      </c>
      <c r="P125" s="376">
        <v>42</v>
      </c>
      <c r="Q125" s="376">
        <v>42</v>
      </c>
      <c r="R125" s="376">
        <v>42</v>
      </c>
      <c r="S125" s="376">
        <v>42</v>
      </c>
      <c r="T125" s="376">
        <v>42</v>
      </c>
      <c r="U125" s="376">
        <v>42</v>
      </c>
      <c r="V125" s="376">
        <v>42</v>
      </c>
      <c r="W125" s="376">
        <v>42</v>
      </c>
      <c r="X125" s="376">
        <v>42</v>
      </c>
      <c r="Y125" s="376">
        <v>42</v>
      </c>
      <c r="Z125" s="376">
        <v>42</v>
      </c>
      <c r="AA125" s="376">
        <v>42</v>
      </c>
      <c r="AB125" s="376">
        <v>42</v>
      </c>
      <c r="AC125" s="376">
        <v>42</v>
      </c>
      <c r="AD125" s="376">
        <v>42</v>
      </c>
      <c r="AE125" s="376">
        <v>42</v>
      </c>
      <c r="AF125" s="376">
        <v>42</v>
      </c>
      <c r="AG125" s="376">
        <v>42</v>
      </c>
      <c r="AH125" s="376">
        <v>42</v>
      </c>
      <c r="AI125" s="376">
        <v>42</v>
      </c>
      <c r="AJ125" s="376">
        <v>42</v>
      </c>
      <c r="AK125" s="258"/>
    </row>
    <row r="126" spans="1:37" ht="13.5" customHeight="1">
      <c r="A126" s="651"/>
      <c r="B126" s="258"/>
      <c r="C126" s="281" t="s">
        <v>519</v>
      </c>
      <c r="D126" s="376"/>
      <c r="E126" s="376"/>
      <c r="F126" s="376"/>
      <c r="G126" s="376"/>
      <c r="H126" s="376"/>
      <c r="I126" s="376"/>
      <c r="J126" s="376"/>
      <c r="K126" s="376"/>
      <c r="L126" s="376"/>
      <c r="M126" s="376"/>
      <c r="N126" s="376"/>
      <c r="O126" s="376"/>
      <c r="P126" s="376"/>
      <c r="Q126" s="376"/>
      <c r="R126" s="376"/>
      <c r="S126" s="376"/>
      <c r="T126" s="376"/>
      <c r="U126" s="376"/>
      <c r="V126" s="376"/>
      <c r="W126" s="376"/>
      <c r="X126" s="376"/>
      <c r="Y126" s="376"/>
      <c r="Z126" s="376"/>
      <c r="AA126" s="376"/>
      <c r="AB126" s="376"/>
      <c r="AC126" s="376"/>
      <c r="AD126" s="376"/>
      <c r="AE126" s="376"/>
      <c r="AF126" s="376"/>
      <c r="AG126" s="376"/>
      <c r="AH126" s="376"/>
      <c r="AI126" s="376"/>
      <c r="AJ126" s="376"/>
      <c r="AK126" s="258"/>
    </row>
    <row r="127" spans="1:37" ht="13.5" customHeight="1">
      <c r="A127" s="651"/>
      <c r="B127" s="258"/>
      <c r="C127" s="259" t="s">
        <v>494</v>
      </c>
      <c r="D127" s="376">
        <v>35</v>
      </c>
      <c r="E127" s="376">
        <v>35</v>
      </c>
      <c r="F127" s="376">
        <v>35</v>
      </c>
      <c r="G127" s="376">
        <v>35</v>
      </c>
      <c r="H127" s="376">
        <v>35</v>
      </c>
      <c r="I127" s="376">
        <v>35</v>
      </c>
      <c r="J127" s="376">
        <v>35</v>
      </c>
      <c r="K127" s="376">
        <v>35</v>
      </c>
      <c r="L127" s="376">
        <v>35</v>
      </c>
      <c r="M127" s="376">
        <v>35</v>
      </c>
      <c r="N127" s="376">
        <v>35</v>
      </c>
      <c r="O127" s="376">
        <v>35</v>
      </c>
      <c r="P127" s="376">
        <v>35</v>
      </c>
      <c r="Q127" s="376">
        <v>35</v>
      </c>
      <c r="R127" s="376">
        <v>35</v>
      </c>
      <c r="S127" s="376">
        <v>35</v>
      </c>
      <c r="T127" s="376">
        <v>35</v>
      </c>
      <c r="U127" s="376">
        <v>35</v>
      </c>
      <c r="V127" s="376">
        <v>35</v>
      </c>
      <c r="W127" s="376">
        <v>35</v>
      </c>
      <c r="X127" s="376">
        <v>35</v>
      </c>
      <c r="Y127" s="376">
        <v>35</v>
      </c>
      <c r="Z127" s="376">
        <v>35</v>
      </c>
      <c r="AA127" s="376">
        <v>35</v>
      </c>
      <c r="AB127" s="376">
        <v>35</v>
      </c>
      <c r="AC127" s="376">
        <v>35</v>
      </c>
      <c r="AD127" s="376">
        <v>35</v>
      </c>
      <c r="AE127" s="376">
        <v>35</v>
      </c>
      <c r="AF127" s="376">
        <v>35</v>
      </c>
      <c r="AG127" s="376">
        <v>35</v>
      </c>
      <c r="AH127" s="376">
        <v>35</v>
      </c>
      <c r="AI127" s="376">
        <v>35</v>
      </c>
      <c r="AJ127" s="376">
        <v>35</v>
      </c>
      <c r="AK127" s="258"/>
    </row>
    <row r="128" spans="1:37" ht="13.5" customHeight="1">
      <c r="A128" s="651"/>
      <c r="B128" s="258"/>
      <c r="C128" s="259" t="s">
        <v>495</v>
      </c>
      <c r="D128" s="376">
        <v>21.7</v>
      </c>
      <c r="E128" s="376">
        <v>21.7</v>
      </c>
      <c r="F128" s="376">
        <v>21.1</v>
      </c>
      <c r="G128" s="376">
        <v>21.1</v>
      </c>
      <c r="H128" s="376">
        <v>21.1</v>
      </c>
      <c r="I128" s="376">
        <v>21.1</v>
      </c>
      <c r="J128" s="376">
        <v>21.1</v>
      </c>
      <c r="K128" s="376">
        <v>20.6</v>
      </c>
      <c r="L128" s="376">
        <v>20.6</v>
      </c>
      <c r="M128" s="376">
        <v>20.6</v>
      </c>
      <c r="N128" s="376">
        <v>20.6</v>
      </c>
      <c r="O128" s="376">
        <v>20.6</v>
      </c>
      <c r="P128" s="376">
        <v>20.100000000000001</v>
      </c>
      <c r="Q128" s="376">
        <v>20.100000000000001</v>
      </c>
      <c r="R128" s="376">
        <v>20.100000000000001</v>
      </c>
      <c r="S128" s="376">
        <v>20.100000000000001</v>
      </c>
      <c r="T128" s="376">
        <v>20.100000000000001</v>
      </c>
      <c r="U128" s="376">
        <v>19.7</v>
      </c>
      <c r="V128" s="376">
        <v>19.7</v>
      </c>
      <c r="W128" s="376">
        <v>19.7</v>
      </c>
      <c r="X128" s="376">
        <v>19.7</v>
      </c>
      <c r="Y128" s="376">
        <v>19.7</v>
      </c>
      <c r="Z128" s="376">
        <v>19.399999999999999</v>
      </c>
      <c r="AA128" s="376">
        <v>19.399999999999999</v>
      </c>
      <c r="AB128" s="376">
        <v>19.399999999999999</v>
      </c>
      <c r="AC128" s="376">
        <v>19.399999999999999</v>
      </c>
      <c r="AD128" s="376">
        <v>19.399999999999999</v>
      </c>
      <c r="AE128" s="376">
        <v>19</v>
      </c>
      <c r="AF128" s="376">
        <v>19</v>
      </c>
      <c r="AG128" s="376">
        <v>19</v>
      </c>
      <c r="AH128" s="376">
        <v>19</v>
      </c>
      <c r="AI128" s="376">
        <v>19</v>
      </c>
      <c r="AJ128" s="376">
        <v>18.600000000000001</v>
      </c>
      <c r="AK128" s="258"/>
    </row>
    <row r="129" spans="1:37" ht="13.5" customHeight="1">
      <c r="A129" s="651"/>
      <c r="B129" s="258"/>
      <c r="C129" s="259" t="s">
        <v>496</v>
      </c>
      <c r="D129" s="376">
        <v>23.8</v>
      </c>
      <c r="E129" s="376">
        <v>23.8</v>
      </c>
      <c r="F129" s="376">
        <v>20</v>
      </c>
      <c r="G129" s="376">
        <v>20</v>
      </c>
      <c r="H129" s="376">
        <v>20</v>
      </c>
      <c r="I129" s="376">
        <v>20</v>
      </c>
      <c r="J129" s="376">
        <v>20</v>
      </c>
      <c r="K129" s="376">
        <v>19.829999999999998</v>
      </c>
      <c r="L129" s="376">
        <v>19.829999999999998</v>
      </c>
      <c r="M129" s="376">
        <v>19.829999999999998</v>
      </c>
      <c r="N129" s="376">
        <v>19.829999999999998</v>
      </c>
      <c r="O129" s="376">
        <v>19.829999999999998</v>
      </c>
      <c r="P129" s="376">
        <v>19.66</v>
      </c>
      <c r="Q129" s="376">
        <v>19.66</v>
      </c>
      <c r="R129" s="376">
        <v>19.66</v>
      </c>
      <c r="S129" s="376">
        <v>19.66</v>
      </c>
      <c r="T129" s="376">
        <v>19.66</v>
      </c>
      <c r="U129" s="376">
        <v>19.309999999999999</v>
      </c>
      <c r="V129" s="376">
        <v>19.309999999999999</v>
      </c>
      <c r="W129" s="376">
        <v>19.309999999999999</v>
      </c>
      <c r="X129" s="376">
        <v>19.309999999999999</v>
      </c>
      <c r="Y129" s="376">
        <v>19.309999999999999</v>
      </c>
      <c r="Z129" s="376">
        <v>18.96</v>
      </c>
      <c r="AA129" s="376">
        <v>18.96</v>
      </c>
      <c r="AB129" s="376">
        <v>18.96</v>
      </c>
      <c r="AC129" s="376">
        <v>18.96</v>
      </c>
      <c r="AD129" s="376">
        <v>18.96</v>
      </c>
      <c r="AE129" s="376">
        <v>18.61</v>
      </c>
      <c r="AF129" s="376">
        <v>18.61</v>
      </c>
      <c r="AG129" s="376">
        <v>18.61</v>
      </c>
      <c r="AH129" s="376">
        <v>18.61</v>
      </c>
      <c r="AI129" s="376">
        <v>18.61</v>
      </c>
      <c r="AJ129" s="376">
        <v>18.260000000000002</v>
      </c>
      <c r="AK129" s="258"/>
    </row>
    <row r="130" spans="1:37" ht="13.5" customHeight="1">
      <c r="A130" s="651"/>
      <c r="B130" s="258"/>
      <c r="C130" s="259" t="s">
        <v>497</v>
      </c>
      <c r="D130" s="376">
        <v>85.75</v>
      </c>
      <c r="E130" s="376">
        <v>85.75</v>
      </c>
      <c r="F130" s="376">
        <v>85.75</v>
      </c>
      <c r="G130" s="376">
        <v>85.75</v>
      </c>
      <c r="H130" s="376">
        <v>85.75</v>
      </c>
      <c r="I130" s="376">
        <v>85.75</v>
      </c>
      <c r="J130" s="376">
        <v>85.75</v>
      </c>
      <c r="K130" s="376">
        <v>81.38</v>
      </c>
      <c r="L130" s="376">
        <v>81.38</v>
      </c>
      <c r="M130" s="376">
        <v>81.38</v>
      </c>
      <c r="N130" s="376">
        <v>81.38</v>
      </c>
      <c r="O130" s="376">
        <v>81.38</v>
      </c>
      <c r="P130" s="376">
        <v>77</v>
      </c>
      <c r="Q130" s="376">
        <v>77</v>
      </c>
      <c r="R130" s="376">
        <v>77</v>
      </c>
      <c r="S130" s="376">
        <v>77</v>
      </c>
      <c r="T130" s="376">
        <v>77</v>
      </c>
      <c r="U130" s="376">
        <v>76.13</v>
      </c>
      <c r="V130" s="376">
        <v>76.13</v>
      </c>
      <c r="W130" s="376">
        <v>76.13</v>
      </c>
      <c r="X130" s="376">
        <v>76.13</v>
      </c>
      <c r="Y130" s="376">
        <v>76.13</v>
      </c>
      <c r="Z130" s="376">
        <v>75.25</v>
      </c>
      <c r="AA130" s="376">
        <v>75.25</v>
      </c>
      <c r="AB130" s="376">
        <v>75.25</v>
      </c>
      <c r="AC130" s="376">
        <v>75.25</v>
      </c>
      <c r="AD130" s="376">
        <v>75.25</v>
      </c>
      <c r="AE130" s="376">
        <v>74.38</v>
      </c>
      <c r="AF130" s="376">
        <v>74.38</v>
      </c>
      <c r="AG130" s="376">
        <v>74.38</v>
      </c>
      <c r="AH130" s="376">
        <v>74.38</v>
      </c>
      <c r="AI130" s="376">
        <v>74.38</v>
      </c>
      <c r="AJ130" s="376">
        <v>73.5</v>
      </c>
      <c r="AK130" s="258"/>
    </row>
    <row r="131" spans="1:37" ht="13.5" customHeight="1">
      <c r="A131" s="651"/>
      <c r="B131" s="258"/>
      <c r="C131" s="281" t="s">
        <v>520</v>
      </c>
      <c r="D131" s="376"/>
      <c r="E131" s="376"/>
      <c r="F131" s="376"/>
      <c r="G131" s="376"/>
      <c r="H131" s="376"/>
      <c r="I131" s="376"/>
      <c r="J131" s="376"/>
      <c r="K131" s="376"/>
      <c r="L131" s="376"/>
      <c r="M131" s="376"/>
      <c r="N131" s="376"/>
      <c r="O131" s="376"/>
      <c r="P131" s="376"/>
      <c r="Q131" s="376"/>
      <c r="R131" s="376"/>
      <c r="S131" s="376"/>
      <c r="T131" s="376"/>
      <c r="U131" s="376"/>
      <c r="V131" s="376"/>
      <c r="W131" s="376"/>
      <c r="X131" s="376"/>
      <c r="Y131" s="376"/>
      <c r="Z131" s="376"/>
      <c r="AA131" s="376"/>
      <c r="AB131" s="376"/>
      <c r="AC131" s="376"/>
      <c r="AD131" s="376"/>
      <c r="AE131" s="376"/>
      <c r="AF131" s="376"/>
      <c r="AG131" s="376"/>
      <c r="AH131" s="376"/>
      <c r="AI131" s="376"/>
      <c r="AJ131" s="376"/>
      <c r="AK131" s="258"/>
    </row>
    <row r="132" spans="1:37" ht="13.5" customHeight="1">
      <c r="A132" s="651"/>
      <c r="B132" s="258"/>
      <c r="C132" s="259" t="s">
        <v>521</v>
      </c>
      <c r="D132" s="376">
        <v>20</v>
      </c>
      <c r="E132" s="376">
        <v>20</v>
      </c>
      <c r="F132" s="376">
        <v>20</v>
      </c>
      <c r="G132" s="376">
        <v>20</v>
      </c>
      <c r="H132" s="376">
        <v>20</v>
      </c>
      <c r="I132" s="376">
        <v>20</v>
      </c>
      <c r="J132" s="376">
        <v>20</v>
      </c>
      <c r="K132" s="376">
        <v>20</v>
      </c>
      <c r="L132" s="376">
        <v>20</v>
      </c>
      <c r="M132" s="376">
        <v>20</v>
      </c>
      <c r="N132" s="376">
        <v>20</v>
      </c>
      <c r="O132" s="376">
        <v>20</v>
      </c>
      <c r="P132" s="376">
        <v>20</v>
      </c>
      <c r="Q132" s="376">
        <v>20</v>
      </c>
      <c r="R132" s="376">
        <v>20</v>
      </c>
      <c r="S132" s="376">
        <v>20</v>
      </c>
      <c r="T132" s="376">
        <v>20</v>
      </c>
      <c r="U132" s="376">
        <v>20</v>
      </c>
      <c r="V132" s="376">
        <v>20</v>
      </c>
      <c r="W132" s="376">
        <v>20</v>
      </c>
      <c r="X132" s="376">
        <v>20</v>
      </c>
      <c r="Y132" s="376">
        <v>20</v>
      </c>
      <c r="Z132" s="376">
        <v>20</v>
      </c>
      <c r="AA132" s="376">
        <v>20</v>
      </c>
      <c r="AB132" s="376">
        <v>20</v>
      </c>
      <c r="AC132" s="376">
        <v>20</v>
      </c>
      <c r="AD132" s="376">
        <v>20</v>
      </c>
      <c r="AE132" s="376">
        <v>20</v>
      </c>
      <c r="AF132" s="376">
        <v>20</v>
      </c>
      <c r="AG132" s="376">
        <v>20</v>
      </c>
      <c r="AH132" s="376">
        <v>20</v>
      </c>
      <c r="AI132" s="376">
        <v>20</v>
      </c>
      <c r="AJ132" s="376">
        <v>20</v>
      </c>
      <c r="AK132" s="258"/>
    </row>
    <row r="133" spans="1:37" ht="13.5" customHeight="1">
      <c r="A133" s="651"/>
      <c r="B133" s="258"/>
      <c r="C133" s="259" t="s">
        <v>522</v>
      </c>
      <c r="D133" s="376">
        <v>20</v>
      </c>
      <c r="E133" s="376">
        <v>20</v>
      </c>
      <c r="F133" s="376">
        <v>20</v>
      </c>
      <c r="G133" s="376">
        <v>20</v>
      </c>
      <c r="H133" s="376">
        <v>20</v>
      </c>
      <c r="I133" s="376">
        <v>20</v>
      </c>
      <c r="J133" s="376">
        <v>20</v>
      </c>
      <c r="K133" s="376">
        <v>20</v>
      </c>
      <c r="L133" s="376">
        <v>20</v>
      </c>
      <c r="M133" s="376">
        <v>20</v>
      </c>
      <c r="N133" s="376">
        <v>20</v>
      </c>
      <c r="O133" s="376">
        <v>20</v>
      </c>
      <c r="P133" s="376">
        <v>20</v>
      </c>
      <c r="Q133" s="376">
        <v>20</v>
      </c>
      <c r="R133" s="376">
        <v>20</v>
      </c>
      <c r="S133" s="376">
        <v>20</v>
      </c>
      <c r="T133" s="376">
        <v>20</v>
      </c>
      <c r="U133" s="376">
        <v>20</v>
      </c>
      <c r="V133" s="376">
        <v>20</v>
      </c>
      <c r="W133" s="376">
        <v>20</v>
      </c>
      <c r="X133" s="376">
        <v>20</v>
      </c>
      <c r="Y133" s="376">
        <v>20</v>
      </c>
      <c r="Z133" s="376">
        <v>20</v>
      </c>
      <c r="AA133" s="376">
        <v>20</v>
      </c>
      <c r="AB133" s="376">
        <v>20</v>
      </c>
      <c r="AC133" s="376">
        <v>20</v>
      </c>
      <c r="AD133" s="376">
        <v>20</v>
      </c>
      <c r="AE133" s="376">
        <v>20</v>
      </c>
      <c r="AF133" s="376">
        <v>20</v>
      </c>
      <c r="AG133" s="376">
        <v>20</v>
      </c>
      <c r="AH133" s="376">
        <v>20</v>
      </c>
      <c r="AI133" s="376">
        <v>20</v>
      </c>
      <c r="AJ133" s="376">
        <v>20</v>
      </c>
      <c r="AK133" s="258"/>
    </row>
    <row r="134" spans="1:37" ht="13.5" customHeight="1">
      <c r="A134" s="651"/>
      <c r="B134" s="258"/>
      <c r="C134" s="281" t="s">
        <v>523</v>
      </c>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376"/>
      <c r="AI134" s="376"/>
      <c r="AJ134" s="376"/>
      <c r="AK134" s="258"/>
    </row>
    <row r="135" spans="1:37" ht="13.5" customHeight="1">
      <c r="A135" s="651"/>
      <c r="B135" s="258"/>
      <c r="C135" s="259" t="s">
        <v>499</v>
      </c>
      <c r="D135" s="376">
        <v>20</v>
      </c>
      <c r="E135" s="376">
        <v>20</v>
      </c>
      <c r="F135" s="376">
        <v>20</v>
      </c>
      <c r="G135" s="376">
        <v>20</v>
      </c>
      <c r="H135" s="376">
        <v>20</v>
      </c>
      <c r="I135" s="376">
        <v>20</v>
      </c>
      <c r="J135" s="376">
        <v>20</v>
      </c>
      <c r="K135" s="376">
        <v>20</v>
      </c>
      <c r="L135" s="376">
        <v>20</v>
      </c>
      <c r="M135" s="376">
        <v>20</v>
      </c>
      <c r="N135" s="376">
        <v>20</v>
      </c>
      <c r="O135" s="376">
        <v>20</v>
      </c>
      <c r="P135" s="376">
        <v>20</v>
      </c>
      <c r="Q135" s="376">
        <v>20</v>
      </c>
      <c r="R135" s="376">
        <v>20</v>
      </c>
      <c r="S135" s="376">
        <v>20</v>
      </c>
      <c r="T135" s="376">
        <v>20</v>
      </c>
      <c r="U135" s="376">
        <v>20</v>
      </c>
      <c r="V135" s="376">
        <v>20</v>
      </c>
      <c r="W135" s="376">
        <v>20</v>
      </c>
      <c r="X135" s="376">
        <v>20</v>
      </c>
      <c r="Y135" s="376">
        <v>20</v>
      </c>
      <c r="Z135" s="376">
        <v>20</v>
      </c>
      <c r="AA135" s="376">
        <v>20</v>
      </c>
      <c r="AB135" s="376">
        <v>20</v>
      </c>
      <c r="AC135" s="376">
        <v>20</v>
      </c>
      <c r="AD135" s="376">
        <v>20</v>
      </c>
      <c r="AE135" s="376">
        <v>20</v>
      </c>
      <c r="AF135" s="376">
        <v>20</v>
      </c>
      <c r="AG135" s="376">
        <v>20</v>
      </c>
      <c r="AH135" s="376">
        <v>20</v>
      </c>
      <c r="AI135" s="376">
        <v>20</v>
      </c>
      <c r="AJ135" s="376">
        <v>20</v>
      </c>
      <c r="AK135" s="258"/>
    </row>
    <row r="136" spans="1:37" ht="13.5" customHeight="1">
      <c r="A136" s="651"/>
      <c r="B136" s="258"/>
      <c r="C136" s="259" t="s">
        <v>500</v>
      </c>
      <c r="D136" s="376">
        <v>20</v>
      </c>
      <c r="E136" s="376">
        <v>20</v>
      </c>
      <c r="F136" s="376">
        <v>20</v>
      </c>
      <c r="G136" s="376">
        <v>20</v>
      </c>
      <c r="H136" s="376">
        <v>20</v>
      </c>
      <c r="I136" s="376">
        <v>20</v>
      </c>
      <c r="J136" s="376">
        <v>20</v>
      </c>
      <c r="K136" s="376">
        <v>20</v>
      </c>
      <c r="L136" s="376">
        <v>20</v>
      </c>
      <c r="M136" s="376">
        <v>20</v>
      </c>
      <c r="N136" s="376">
        <v>20</v>
      </c>
      <c r="O136" s="376">
        <v>20</v>
      </c>
      <c r="P136" s="376">
        <v>20</v>
      </c>
      <c r="Q136" s="376">
        <v>20</v>
      </c>
      <c r="R136" s="376">
        <v>20</v>
      </c>
      <c r="S136" s="376">
        <v>20</v>
      </c>
      <c r="T136" s="376">
        <v>20</v>
      </c>
      <c r="U136" s="376">
        <v>20</v>
      </c>
      <c r="V136" s="376">
        <v>20</v>
      </c>
      <c r="W136" s="376">
        <v>20</v>
      </c>
      <c r="X136" s="376">
        <v>20</v>
      </c>
      <c r="Y136" s="376">
        <v>20</v>
      </c>
      <c r="Z136" s="376">
        <v>20</v>
      </c>
      <c r="AA136" s="376">
        <v>20</v>
      </c>
      <c r="AB136" s="376">
        <v>20</v>
      </c>
      <c r="AC136" s="376">
        <v>20</v>
      </c>
      <c r="AD136" s="376">
        <v>20</v>
      </c>
      <c r="AE136" s="376">
        <v>20</v>
      </c>
      <c r="AF136" s="376">
        <v>20</v>
      </c>
      <c r="AG136" s="376">
        <v>20</v>
      </c>
      <c r="AH136" s="376">
        <v>20</v>
      </c>
      <c r="AI136" s="376">
        <v>20</v>
      </c>
      <c r="AJ136" s="376">
        <v>20</v>
      </c>
      <c r="AK136" s="258"/>
    </row>
    <row r="137" spans="1:37" ht="13.5" customHeight="1">
      <c r="A137" s="651"/>
      <c r="B137" s="258"/>
      <c r="C137" s="259" t="s">
        <v>502</v>
      </c>
      <c r="D137" s="376">
        <v>44.3</v>
      </c>
      <c r="E137" s="376">
        <v>44.3</v>
      </c>
      <c r="F137" s="376">
        <v>44.3</v>
      </c>
      <c r="G137" s="376">
        <v>44.3</v>
      </c>
      <c r="H137" s="376">
        <v>44.3</v>
      </c>
      <c r="I137" s="376">
        <v>44.3</v>
      </c>
      <c r="J137" s="376">
        <v>44.3</v>
      </c>
      <c r="K137" s="376">
        <v>44.3</v>
      </c>
      <c r="L137" s="376">
        <v>44.3</v>
      </c>
      <c r="M137" s="376">
        <v>44.3</v>
      </c>
      <c r="N137" s="376">
        <v>44.3</v>
      </c>
      <c r="O137" s="376">
        <v>44.3</v>
      </c>
      <c r="P137" s="376">
        <v>44.3</v>
      </c>
      <c r="Q137" s="376">
        <v>44.3</v>
      </c>
      <c r="R137" s="376">
        <v>44.3</v>
      </c>
      <c r="S137" s="376">
        <v>44.3</v>
      </c>
      <c r="T137" s="376">
        <v>44.3</v>
      </c>
      <c r="U137" s="376">
        <v>44.3</v>
      </c>
      <c r="V137" s="376">
        <v>44.3</v>
      </c>
      <c r="W137" s="376">
        <v>44.3</v>
      </c>
      <c r="X137" s="376">
        <v>44.3</v>
      </c>
      <c r="Y137" s="376">
        <v>44.3</v>
      </c>
      <c r="Z137" s="376">
        <v>44.3</v>
      </c>
      <c r="AA137" s="376">
        <v>44.3</v>
      </c>
      <c r="AB137" s="376">
        <v>44.3</v>
      </c>
      <c r="AC137" s="376">
        <v>44.3</v>
      </c>
      <c r="AD137" s="376">
        <v>44.3</v>
      </c>
      <c r="AE137" s="376">
        <v>44.3</v>
      </c>
      <c r="AF137" s="376">
        <v>44.3</v>
      </c>
      <c r="AG137" s="376">
        <v>44.3</v>
      </c>
      <c r="AH137" s="376">
        <v>44.3</v>
      </c>
      <c r="AI137" s="376">
        <v>44.3</v>
      </c>
      <c r="AJ137" s="376">
        <v>44.3</v>
      </c>
      <c r="AK137" s="258"/>
    </row>
    <row r="138" spans="1:37" ht="13.5" customHeight="1">
      <c r="A138" s="651"/>
      <c r="B138" s="258"/>
      <c r="C138" s="259" t="s">
        <v>503</v>
      </c>
      <c r="D138" s="376">
        <v>180</v>
      </c>
      <c r="E138" s="376">
        <v>180</v>
      </c>
      <c r="F138" s="376">
        <v>180</v>
      </c>
      <c r="G138" s="376">
        <v>180</v>
      </c>
      <c r="H138" s="376">
        <v>180</v>
      </c>
      <c r="I138" s="376">
        <v>180</v>
      </c>
      <c r="J138" s="376">
        <v>180</v>
      </c>
      <c r="K138" s="376">
        <v>180</v>
      </c>
      <c r="L138" s="376">
        <v>180</v>
      </c>
      <c r="M138" s="376">
        <v>180</v>
      </c>
      <c r="N138" s="376">
        <v>180</v>
      </c>
      <c r="O138" s="376">
        <v>180</v>
      </c>
      <c r="P138" s="376">
        <v>180</v>
      </c>
      <c r="Q138" s="376">
        <v>180</v>
      </c>
      <c r="R138" s="376">
        <v>180</v>
      </c>
      <c r="S138" s="376">
        <v>180</v>
      </c>
      <c r="T138" s="376">
        <v>180</v>
      </c>
      <c r="U138" s="376">
        <v>176</v>
      </c>
      <c r="V138" s="376">
        <v>176</v>
      </c>
      <c r="W138" s="376">
        <v>176</v>
      </c>
      <c r="X138" s="376">
        <v>176</v>
      </c>
      <c r="Y138" s="376">
        <v>176</v>
      </c>
      <c r="Z138" s="376">
        <v>172</v>
      </c>
      <c r="AA138" s="376">
        <v>172</v>
      </c>
      <c r="AB138" s="376">
        <v>172</v>
      </c>
      <c r="AC138" s="376">
        <v>172</v>
      </c>
      <c r="AD138" s="376">
        <v>172</v>
      </c>
      <c r="AE138" s="376">
        <v>168</v>
      </c>
      <c r="AF138" s="376">
        <v>168</v>
      </c>
      <c r="AG138" s="376">
        <v>168</v>
      </c>
      <c r="AH138" s="376">
        <v>168</v>
      </c>
      <c r="AI138" s="376">
        <v>168</v>
      </c>
      <c r="AJ138" s="376">
        <v>164</v>
      </c>
      <c r="AK138" s="258"/>
    </row>
    <row r="139" spans="1:37" ht="13.5" customHeight="1">
      <c r="A139" s="651"/>
      <c r="B139" s="258"/>
      <c r="C139" s="281" t="s">
        <v>524</v>
      </c>
      <c r="D139" s="376"/>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258"/>
    </row>
    <row r="140" spans="1:37" ht="13.5" customHeight="1">
      <c r="A140" s="651"/>
      <c r="B140" s="258"/>
      <c r="C140" s="259" t="s">
        <v>505</v>
      </c>
      <c r="D140" s="376">
        <v>18.2</v>
      </c>
      <c r="E140" s="376">
        <v>18.2</v>
      </c>
      <c r="F140" s="376">
        <v>18.2</v>
      </c>
      <c r="G140" s="376">
        <v>18.2</v>
      </c>
      <c r="H140" s="376">
        <v>18.2</v>
      </c>
      <c r="I140" s="376">
        <v>18.2</v>
      </c>
      <c r="J140" s="376">
        <v>18.2</v>
      </c>
      <c r="K140" s="376">
        <v>18.2</v>
      </c>
      <c r="L140" s="376">
        <v>18.2</v>
      </c>
      <c r="M140" s="376">
        <v>18.2</v>
      </c>
      <c r="N140" s="376">
        <v>18.2</v>
      </c>
      <c r="O140" s="376">
        <v>18.2</v>
      </c>
      <c r="P140" s="376">
        <v>18.2</v>
      </c>
      <c r="Q140" s="376">
        <v>18.2</v>
      </c>
      <c r="R140" s="376">
        <v>18.2</v>
      </c>
      <c r="S140" s="376">
        <v>18.2</v>
      </c>
      <c r="T140" s="376">
        <v>18.2</v>
      </c>
      <c r="U140" s="376">
        <v>16.399999999999999</v>
      </c>
      <c r="V140" s="376">
        <v>16.399999999999999</v>
      </c>
      <c r="W140" s="376">
        <v>16.399999999999999</v>
      </c>
      <c r="X140" s="376">
        <v>16.399999999999999</v>
      </c>
      <c r="Y140" s="376">
        <v>16.399999999999999</v>
      </c>
      <c r="Z140" s="376">
        <v>13.6</v>
      </c>
      <c r="AA140" s="376">
        <v>13.6</v>
      </c>
      <c r="AB140" s="376">
        <v>13.6</v>
      </c>
      <c r="AC140" s="376">
        <v>13.6</v>
      </c>
      <c r="AD140" s="376">
        <v>13.6</v>
      </c>
      <c r="AE140" s="376">
        <v>13.6</v>
      </c>
      <c r="AF140" s="376">
        <v>13.6</v>
      </c>
      <c r="AG140" s="376">
        <v>13.6</v>
      </c>
      <c r="AH140" s="376">
        <v>13.6</v>
      </c>
      <c r="AI140" s="376">
        <v>13.6</v>
      </c>
      <c r="AJ140" s="376">
        <v>13.6</v>
      </c>
      <c r="AK140" s="258"/>
    </row>
    <row r="141" spans="1:37" ht="13.5" customHeight="1">
      <c r="A141" s="651"/>
      <c r="B141" s="258"/>
      <c r="C141" s="259" t="s">
        <v>506</v>
      </c>
      <c r="D141" s="376">
        <v>29.1</v>
      </c>
      <c r="E141" s="376">
        <v>29.1</v>
      </c>
      <c r="F141" s="376">
        <v>29.1</v>
      </c>
      <c r="G141" s="376">
        <v>29.1</v>
      </c>
      <c r="H141" s="376">
        <v>29.1</v>
      </c>
      <c r="I141" s="376">
        <v>29.1</v>
      </c>
      <c r="J141" s="376">
        <v>29.1</v>
      </c>
      <c r="K141" s="376">
        <v>29.1</v>
      </c>
      <c r="L141" s="376">
        <v>29.1</v>
      </c>
      <c r="M141" s="376">
        <v>29.1</v>
      </c>
      <c r="N141" s="376">
        <v>29.1</v>
      </c>
      <c r="O141" s="376">
        <v>29.1</v>
      </c>
      <c r="P141" s="376">
        <v>29.1</v>
      </c>
      <c r="Q141" s="376">
        <v>29.1</v>
      </c>
      <c r="R141" s="376">
        <v>29.1</v>
      </c>
      <c r="S141" s="376">
        <v>29.1</v>
      </c>
      <c r="T141" s="376">
        <v>29.1</v>
      </c>
      <c r="U141" s="376">
        <v>29.1</v>
      </c>
      <c r="V141" s="376">
        <v>29.1</v>
      </c>
      <c r="W141" s="376">
        <v>29.1</v>
      </c>
      <c r="X141" s="376">
        <v>29.1</v>
      </c>
      <c r="Y141" s="376">
        <v>29.1</v>
      </c>
      <c r="Z141" s="376">
        <v>24.2</v>
      </c>
      <c r="AA141" s="376">
        <v>24.2</v>
      </c>
      <c r="AB141" s="376">
        <v>24.2</v>
      </c>
      <c r="AC141" s="376">
        <v>24.2</v>
      </c>
      <c r="AD141" s="376">
        <v>24.2</v>
      </c>
      <c r="AE141" s="376">
        <v>24.2</v>
      </c>
      <c r="AF141" s="376">
        <v>24.2</v>
      </c>
      <c r="AG141" s="376">
        <v>24.2</v>
      </c>
      <c r="AH141" s="376">
        <v>24.2</v>
      </c>
      <c r="AI141" s="376">
        <v>24.2</v>
      </c>
      <c r="AJ141" s="376">
        <v>24.2</v>
      </c>
      <c r="AK141" s="258"/>
    </row>
    <row r="142" spans="1:37" ht="13.5" customHeight="1">
      <c r="A142" s="651"/>
      <c r="B142" s="258"/>
      <c r="C142" s="281" t="s">
        <v>525</v>
      </c>
      <c r="D142" s="376"/>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6"/>
      <c r="AH142" s="376"/>
      <c r="AI142" s="376"/>
      <c r="AJ142" s="376"/>
      <c r="AK142" s="258"/>
    </row>
    <row r="143" spans="1:37" ht="13.5" customHeight="1">
      <c r="A143" s="651"/>
      <c r="B143" s="258"/>
      <c r="C143" s="259" t="s">
        <v>508</v>
      </c>
      <c r="D143" s="376">
        <v>20</v>
      </c>
      <c r="E143" s="376">
        <v>20</v>
      </c>
      <c r="F143" s="376"/>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76"/>
      <c r="AH143" s="376"/>
      <c r="AI143" s="376"/>
      <c r="AJ143" s="376"/>
      <c r="AK143" s="258"/>
    </row>
    <row r="144" spans="1:37" ht="13.5" customHeight="1">
      <c r="A144" s="651"/>
      <c r="B144" s="258"/>
      <c r="C144" s="259" t="s">
        <v>509</v>
      </c>
      <c r="D144" s="376">
        <v>19.8</v>
      </c>
      <c r="E144" s="376">
        <v>19.8</v>
      </c>
      <c r="F144" s="376">
        <v>13.6</v>
      </c>
      <c r="G144" s="376">
        <v>13.6</v>
      </c>
      <c r="H144" s="376">
        <v>13.6</v>
      </c>
      <c r="I144" s="376">
        <v>13.6</v>
      </c>
      <c r="J144" s="376">
        <v>13.6</v>
      </c>
      <c r="K144" s="376">
        <v>12.2</v>
      </c>
      <c r="L144" s="376">
        <v>12.2</v>
      </c>
      <c r="M144" s="376">
        <v>12.2</v>
      </c>
      <c r="N144" s="376">
        <v>12.2</v>
      </c>
      <c r="O144" s="376">
        <v>12.2</v>
      </c>
      <c r="P144" s="376">
        <v>10.8</v>
      </c>
      <c r="Q144" s="376">
        <v>10.8</v>
      </c>
      <c r="R144" s="376">
        <v>10.8</v>
      </c>
      <c r="S144" s="376">
        <v>10.8</v>
      </c>
      <c r="T144" s="376">
        <v>10.8</v>
      </c>
      <c r="U144" s="376">
        <v>10.5</v>
      </c>
      <c r="V144" s="376">
        <v>10.5</v>
      </c>
      <c r="W144" s="376">
        <v>10.5</v>
      </c>
      <c r="X144" s="376">
        <v>10.5</v>
      </c>
      <c r="Y144" s="376">
        <v>10.5</v>
      </c>
      <c r="Z144" s="376">
        <v>10.199999999999999</v>
      </c>
      <c r="AA144" s="376">
        <v>10.199999999999999</v>
      </c>
      <c r="AB144" s="376">
        <v>10.199999999999999</v>
      </c>
      <c r="AC144" s="376">
        <v>10.199999999999999</v>
      </c>
      <c r="AD144" s="376">
        <v>10.199999999999999</v>
      </c>
      <c r="AE144" s="376">
        <v>9.9</v>
      </c>
      <c r="AF144" s="376">
        <v>9.9</v>
      </c>
      <c r="AG144" s="376">
        <v>9.9</v>
      </c>
      <c r="AH144" s="376">
        <v>9.9</v>
      </c>
      <c r="AI144" s="376">
        <v>9.9</v>
      </c>
      <c r="AJ144" s="376">
        <v>9.6</v>
      </c>
      <c r="AK144" s="258"/>
    </row>
    <row r="145" spans="1:37" ht="13.5" customHeight="1">
      <c r="A145" s="651"/>
      <c r="B145" s="258"/>
      <c r="C145" s="259" t="s">
        <v>510</v>
      </c>
      <c r="D145" s="376">
        <v>0</v>
      </c>
      <c r="E145" s="376">
        <v>0</v>
      </c>
      <c r="F145" s="376"/>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76"/>
      <c r="AH145" s="376"/>
      <c r="AI145" s="376"/>
      <c r="AJ145" s="376"/>
      <c r="AK145" s="258"/>
    </row>
    <row r="146" spans="1:37" ht="13.5" customHeight="1">
      <c r="A146" s="651"/>
      <c r="B146" s="258"/>
      <c r="C146" s="259" t="s">
        <v>260</v>
      </c>
      <c r="D146" s="376">
        <v>145.08000000000001</v>
      </c>
      <c r="E146" s="376">
        <v>145.08000000000001</v>
      </c>
      <c r="F146" s="376">
        <v>136.99</v>
      </c>
      <c r="G146" s="376">
        <v>136.99</v>
      </c>
      <c r="H146" s="376">
        <v>136.99</v>
      </c>
      <c r="I146" s="376">
        <v>136.99</v>
      </c>
      <c r="J146" s="376">
        <v>136.99</v>
      </c>
      <c r="K146" s="376">
        <v>128.9</v>
      </c>
      <c r="L146" s="376">
        <v>128.9</v>
      </c>
      <c r="M146" s="376">
        <v>128.9</v>
      </c>
      <c r="N146" s="376">
        <v>128.9</v>
      </c>
      <c r="O146" s="376">
        <v>128.9</v>
      </c>
      <c r="P146" s="376">
        <v>120.81</v>
      </c>
      <c r="Q146" s="376">
        <v>120.81</v>
      </c>
      <c r="R146" s="376">
        <v>120.81</v>
      </c>
      <c r="S146" s="376">
        <v>120.81</v>
      </c>
      <c r="T146" s="376">
        <v>120.81</v>
      </c>
      <c r="U146" s="376">
        <v>112.71</v>
      </c>
      <c r="V146" s="376">
        <v>112.71</v>
      </c>
      <c r="W146" s="376">
        <v>112.71</v>
      </c>
      <c r="X146" s="376">
        <v>112.71</v>
      </c>
      <c r="Y146" s="376">
        <v>112.71</v>
      </c>
      <c r="Z146" s="376">
        <v>104.62</v>
      </c>
      <c r="AA146" s="376">
        <v>104.62</v>
      </c>
      <c r="AB146" s="376">
        <v>104.62</v>
      </c>
      <c r="AC146" s="376">
        <v>104.62</v>
      </c>
      <c r="AD146" s="376">
        <v>104.62</v>
      </c>
      <c r="AE146" s="376">
        <v>96.53</v>
      </c>
      <c r="AF146" s="376">
        <v>96.53</v>
      </c>
      <c r="AG146" s="376">
        <v>96.53</v>
      </c>
      <c r="AH146" s="376">
        <v>96.53</v>
      </c>
      <c r="AI146" s="376">
        <v>96.53</v>
      </c>
      <c r="AJ146" s="376">
        <v>88.44</v>
      </c>
      <c r="AK146" s="258"/>
    </row>
    <row r="147" spans="1:37" ht="13.5" customHeight="1">
      <c r="A147" s="651"/>
      <c r="B147" s="258"/>
      <c r="C147" s="281" t="s">
        <v>526</v>
      </c>
      <c r="D147" s="376">
        <v>37.950000000000003</v>
      </c>
      <c r="E147" s="376">
        <v>37.950000000000003</v>
      </c>
      <c r="F147" s="376">
        <v>34.29</v>
      </c>
      <c r="G147" s="376">
        <v>34.29</v>
      </c>
      <c r="H147" s="376">
        <v>34.29</v>
      </c>
      <c r="I147" s="376">
        <v>34.29</v>
      </c>
      <c r="J147" s="376">
        <v>34.29</v>
      </c>
      <c r="K147" s="376">
        <v>30.65</v>
      </c>
      <c r="L147" s="376">
        <v>30.65</v>
      </c>
      <c r="M147" s="376">
        <v>30.65</v>
      </c>
      <c r="N147" s="376">
        <v>30.65</v>
      </c>
      <c r="O147" s="376">
        <v>30.65</v>
      </c>
      <c r="P147" s="376">
        <v>27</v>
      </c>
      <c r="Q147" s="376">
        <v>27</v>
      </c>
      <c r="R147" s="376">
        <v>27</v>
      </c>
      <c r="S147" s="376">
        <v>27</v>
      </c>
      <c r="T147" s="376">
        <v>27</v>
      </c>
      <c r="U147" s="376">
        <v>24.59</v>
      </c>
      <c r="V147" s="376">
        <v>24.59</v>
      </c>
      <c r="W147" s="376">
        <v>24.59</v>
      </c>
      <c r="X147" s="376">
        <v>24.59</v>
      </c>
      <c r="Y147" s="376">
        <v>24.59</v>
      </c>
      <c r="Z147" s="376">
        <v>22.19</v>
      </c>
      <c r="AA147" s="376">
        <v>22.19</v>
      </c>
      <c r="AB147" s="376">
        <v>22.19</v>
      </c>
      <c r="AC147" s="376">
        <v>22.19</v>
      </c>
      <c r="AD147" s="376">
        <v>22.19</v>
      </c>
      <c r="AE147" s="376">
        <v>19.78</v>
      </c>
      <c r="AF147" s="376">
        <v>19.78</v>
      </c>
      <c r="AG147" s="376">
        <v>19.78</v>
      </c>
      <c r="AH147" s="376">
        <v>19.78</v>
      </c>
      <c r="AI147" s="376">
        <v>19.78</v>
      </c>
      <c r="AJ147" s="376">
        <v>17.37</v>
      </c>
      <c r="AK147" s="258"/>
    </row>
    <row r="148" spans="1:37" ht="13.5" customHeight="1">
      <c r="A148" s="651"/>
      <c r="B148" s="258"/>
      <c r="C148" s="259" t="s">
        <v>511</v>
      </c>
      <c r="D148" s="376"/>
      <c r="E148" s="376"/>
      <c r="F148" s="376"/>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6"/>
      <c r="AH148" s="376"/>
      <c r="AI148" s="376"/>
      <c r="AJ148" s="376"/>
      <c r="AK148" s="258"/>
    </row>
    <row r="149" spans="1:37" ht="13.5" customHeight="1">
      <c r="A149" s="651"/>
      <c r="B149" s="258"/>
      <c r="C149" s="376"/>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6"/>
      <c r="AH149" s="376"/>
      <c r="AI149" s="376"/>
      <c r="AJ149" s="376"/>
      <c r="AK149" s="258"/>
    </row>
    <row r="150" spans="1:37" ht="13.5" customHeight="1">
      <c r="A150" s="651"/>
      <c r="B150" s="258"/>
      <c r="C150" s="281" t="s">
        <v>527</v>
      </c>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6"/>
      <c r="AH150" s="376"/>
      <c r="AI150" s="376"/>
      <c r="AJ150" s="376"/>
      <c r="AK150" s="258"/>
    </row>
    <row r="151" spans="1:37" ht="13.5" customHeight="1">
      <c r="A151" s="651"/>
      <c r="B151" s="258"/>
      <c r="C151" s="378"/>
      <c r="D151" s="258"/>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258"/>
    </row>
    <row r="152" spans="1:37" ht="13.5" customHeight="1">
      <c r="A152" s="651"/>
      <c r="B152" s="258"/>
      <c r="C152" s="281" t="s">
        <v>528</v>
      </c>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6"/>
      <c r="AH152" s="376"/>
      <c r="AI152" s="376"/>
      <c r="AJ152" s="376"/>
      <c r="AK152" s="258"/>
    </row>
    <row r="153" spans="1:37" ht="13.5" customHeight="1">
      <c r="A153" s="651"/>
      <c r="B153" s="258"/>
      <c r="C153" s="281" t="s">
        <v>529</v>
      </c>
      <c r="D153" s="376"/>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76"/>
      <c r="AH153" s="376"/>
      <c r="AI153" s="376"/>
      <c r="AJ153" s="376"/>
      <c r="AK153" s="258"/>
    </row>
    <row r="154" spans="1:37" ht="13.5" customHeight="1">
      <c r="A154" s="651"/>
      <c r="B154" s="258"/>
      <c r="C154" s="281" t="s">
        <v>530</v>
      </c>
      <c r="D154" s="376"/>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76"/>
      <c r="AH154" s="376"/>
      <c r="AI154" s="376"/>
      <c r="AJ154" s="376"/>
      <c r="AK154" s="258"/>
    </row>
    <row r="155" spans="1:37" ht="13.5" customHeight="1">
      <c r="A155" s="651"/>
      <c r="B155" s="258"/>
      <c r="C155" s="281" t="s">
        <v>531</v>
      </c>
      <c r="D155" s="376"/>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76"/>
      <c r="AH155" s="376"/>
      <c r="AI155" s="376"/>
      <c r="AJ155" s="376"/>
      <c r="AK155" s="258"/>
    </row>
    <row r="156" spans="1:37" ht="13.5" customHeight="1">
      <c r="A156" s="651"/>
      <c r="B156" s="258"/>
      <c r="C156" s="281" t="s">
        <v>532</v>
      </c>
      <c r="D156" s="376"/>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76"/>
      <c r="AH156" s="376"/>
      <c r="AI156" s="376"/>
      <c r="AJ156" s="376"/>
      <c r="AK156" s="258"/>
    </row>
    <row r="157" spans="1:37" ht="13.5" customHeight="1">
      <c r="A157" s="651"/>
      <c r="B157" s="258"/>
      <c r="C157" s="259" t="s">
        <v>489</v>
      </c>
      <c r="D157" s="376"/>
      <c r="E157" s="376"/>
      <c r="F157" s="376"/>
      <c r="G157" s="376"/>
      <c r="H157" s="376"/>
      <c r="I157" s="376"/>
      <c r="J157" s="376"/>
      <c r="K157" s="376"/>
      <c r="L157" s="376"/>
      <c r="M157" s="376"/>
      <c r="N157" s="376"/>
      <c r="O157" s="376"/>
      <c r="P157" s="376"/>
      <c r="Q157" s="376"/>
      <c r="R157" s="376"/>
      <c r="S157" s="376"/>
      <c r="T157" s="376"/>
      <c r="U157" s="376"/>
      <c r="V157" s="376"/>
      <c r="W157" s="376"/>
      <c r="X157" s="376"/>
      <c r="Y157" s="376"/>
      <c r="Z157" s="376"/>
      <c r="AA157" s="376"/>
      <c r="AB157" s="376"/>
      <c r="AC157" s="376"/>
      <c r="AD157" s="376"/>
      <c r="AE157" s="376"/>
      <c r="AF157" s="376"/>
      <c r="AG157" s="376"/>
      <c r="AH157" s="376"/>
      <c r="AI157" s="376"/>
      <c r="AJ157" s="376"/>
      <c r="AK157" s="258"/>
    </row>
    <row r="158" spans="1:37" ht="13.5" customHeight="1">
      <c r="A158" s="651"/>
      <c r="B158" s="258"/>
      <c r="C158" s="259" t="s">
        <v>490</v>
      </c>
      <c r="D158" s="376">
        <v>0.63</v>
      </c>
      <c r="E158" s="376">
        <v>0.63</v>
      </c>
      <c r="F158" s="376">
        <v>0.63</v>
      </c>
      <c r="G158" s="376">
        <v>0.63</v>
      </c>
      <c r="H158" s="376">
        <v>0.63</v>
      </c>
      <c r="I158" s="376">
        <v>0.63</v>
      </c>
      <c r="J158" s="376">
        <v>0.63</v>
      </c>
      <c r="K158" s="376">
        <v>0.63</v>
      </c>
      <c r="L158" s="376">
        <v>0.63</v>
      </c>
      <c r="M158" s="376">
        <v>0.63</v>
      </c>
      <c r="N158" s="376">
        <v>0.63</v>
      </c>
      <c r="O158" s="376">
        <v>0.63</v>
      </c>
      <c r="P158" s="376">
        <v>0.63</v>
      </c>
      <c r="Q158" s="376">
        <v>0.63</v>
      </c>
      <c r="R158" s="376">
        <v>0.63</v>
      </c>
      <c r="S158" s="376">
        <v>0.63</v>
      </c>
      <c r="T158" s="376">
        <v>0.63</v>
      </c>
      <c r="U158" s="376">
        <v>0.63</v>
      </c>
      <c r="V158" s="376">
        <v>0.63</v>
      </c>
      <c r="W158" s="376">
        <v>0.63</v>
      </c>
      <c r="X158" s="376">
        <v>0.63</v>
      </c>
      <c r="Y158" s="376">
        <v>0.63</v>
      </c>
      <c r="Z158" s="376">
        <v>0.63</v>
      </c>
      <c r="AA158" s="376">
        <v>0.63</v>
      </c>
      <c r="AB158" s="376">
        <v>0.63</v>
      </c>
      <c r="AC158" s="376">
        <v>0.63</v>
      </c>
      <c r="AD158" s="376">
        <v>0.63</v>
      </c>
      <c r="AE158" s="376">
        <v>0.63</v>
      </c>
      <c r="AF158" s="376">
        <v>0.63</v>
      </c>
      <c r="AG158" s="376">
        <v>0.63</v>
      </c>
      <c r="AH158" s="376">
        <v>0.63</v>
      </c>
      <c r="AI158" s="376">
        <v>0.63</v>
      </c>
      <c r="AJ158" s="376">
        <v>0.63</v>
      </c>
      <c r="AK158" s="258"/>
    </row>
    <row r="159" spans="1:37" ht="13.5" customHeight="1">
      <c r="A159" s="651"/>
      <c r="B159" s="258"/>
      <c r="C159" s="259" t="s">
        <v>491</v>
      </c>
      <c r="D159" s="376">
        <v>0.63</v>
      </c>
      <c r="E159" s="376">
        <v>0.63</v>
      </c>
      <c r="F159" s="376">
        <v>0.63</v>
      </c>
      <c r="G159" s="376">
        <v>0.63</v>
      </c>
      <c r="H159" s="376">
        <v>0.63</v>
      </c>
      <c r="I159" s="376">
        <v>0.63</v>
      </c>
      <c r="J159" s="376">
        <v>0.63</v>
      </c>
      <c r="K159" s="376">
        <v>0.63</v>
      </c>
      <c r="L159" s="376">
        <v>0.63</v>
      </c>
      <c r="M159" s="376">
        <v>0.63</v>
      </c>
      <c r="N159" s="376">
        <v>0.63</v>
      </c>
      <c r="O159" s="376">
        <v>0.63</v>
      </c>
      <c r="P159" s="376">
        <v>0.63</v>
      </c>
      <c r="Q159" s="376">
        <v>0.63</v>
      </c>
      <c r="R159" s="376">
        <v>0.63</v>
      </c>
      <c r="S159" s="376">
        <v>0.63</v>
      </c>
      <c r="T159" s="376">
        <v>0.63</v>
      </c>
      <c r="U159" s="376">
        <v>0.63</v>
      </c>
      <c r="V159" s="376">
        <v>0.63</v>
      </c>
      <c r="W159" s="376">
        <v>0.63</v>
      </c>
      <c r="X159" s="376">
        <v>0.63</v>
      </c>
      <c r="Y159" s="376">
        <v>0.63</v>
      </c>
      <c r="Z159" s="376">
        <v>0.63</v>
      </c>
      <c r="AA159" s="376">
        <v>0.63</v>
      </c>
      <c r="AB159" s="376">
        <v>0.63</v>
      </c>
      <c r="AC159" s="376">
        <v>0.63</v>
      </c>
      <c r="AD159" s="376">
        <v>0.63</v>
      </c>
      <c r="AE159" s="376">
        <v>0.63</v>
      </c>
      <c r="AF159" s="376">
        <v>0.63</v>
      </c>
      <c r="AG159" s="376">
        <v>0.63</v>
      </c>
      <c r="AH159" s="376">
        <v>0.63</v>
      </c>
      <c r="AI159" s="376">
        <v>0.63</v>
      </c>
      <c r="AJ159" s="376">
        <v>0.63</v>
      </c>
      <c r="AK159" s="258"/>
    </row>
    <row r="160" spans="1:37" ht="13.5" customHeight="1">
      <c r="A160" s="651"/>
      <c r="B160" s="258"/>
      <c r="C160" s="281" t="s">
        <v>492</v>
      </c>
      <c r="D160" s="376"/>
      <c r="E160" s="376"/>
      <c r="F160" s="376"/>
      <c r="G160" s="376"/>
      <c r="H160" s="376"/>
      <c r="I160" s="376"/>
      <c r="J160" s="376"/>
      <c r="K160" s="376"/>
      <c r="L160" s="376"/>
      <c r="M160" s="376"/>
      <c r="N160" s="376"/>
      <c r="O160" s="376"/>
      <c r="P160" s="376"/>
      <c r="Q160" s="376"/>
      <c r="R160" s="376"/>
      <c r="S160" s="376"/>
      <c r="T160" s="376"/>
      <c r="U160" s="376"/>
      <c r="V160" s="376"/>
      <c r="W160" s="376"/>
      <c r="X160" s="376"/>
      <c r="Y160" s="376"/>
      <c r="Z160" s="376"/>
      <c r="AA160" s="376"/>
      <c r="AB160" s="376"/>
      <c r="AC160" s="376"/>
      <c r="AD160" s="376"/>
      <c r="AE160" s="376"/>
      <c r="AF160" s="376"/>
      <c r="AG160" s="376"/>
      <c r="AH160" s="376"/>
      <c r="AI160" s="376"/>
      <c r="AJ160" s="376"/>
      <c r="AK160" s="258"/>
    </row>
    <row r="161" spans="1:37" ht="13.5" customHeight="1">
      <c r="A161" s="651"/>
      <c r="B161" s="258"/>
      <c r="C161" s="259" t="s">
        <v>489</v>
      </c>
      <c r="D161" s="376">
        <v>0.63</v>
      </c>
      <c r="E161" s="376">
        <v>0.63</v>
      </c>
      <c r="F161" s="376">
        <v>0.63</v>
      </c>
      <c r="G161" s="376">
        <v>0.63</v>
      </c>
      <c r="H161" s="376">
        <v>0.63</v>
      </c>
      <c r="I161" s="376">
        <v>0.63</v>
      </c>
      <c r="J161" s="376">
        <v>0.63</v>
      </c>
      <c r="K161" s="376">
        <v>0.63</v>
      </c>
      <c r="L161" s="376">
        <v>0.63</v>
      </c>
      <c r="M161" s="376">
        <v>0.63</v>
      </c>
      <c r="N161" s="376">
        <v>0.63</v>
      </c>
      <c r="O161" s="376">
        <v>0.63</v>
      </c>
      <c r="P161" s="376">
        <v>0.63</v>
      </c>
      <c r="Q161" s="376">
        <v>0.63</v>
      </c>
      <c r="R161" s="376">
        <v>0.63</v>
      </c>
      <c r="S161" s="376">
        <v>0.63</v>
      </c>
      <c r="T161" s="376">
        <v>0.63</v>
      </c>
      <c r="U161" s="376">
        <v>0.63</v>
      </c>
      <c r="V161" s="376">
        <v>0.63</v>
      </c>
      <c r="W161" s="376">
        <v>0.63</v>
      </c>
      <c r="X161" s="376">
        <v>0.63</v>
      </c>
      <c r="Y161" s="376">
        <v>0.63</v>
      </c>
      <c r="Z161" s="376">
        <v>0.63</v>
      </c>
      <c r="AA161" s="376">
        <v>0.63</v>
      </c>
      <c r="AB161" s="376">
        <v>0.63</v>
      </c>
      <c r="AC161" s="376">
        <v>0.63</v>
      </c>
      <c r="AD161" s="376">
        <v>0.63</v>
      </c>
      <c r="AE161" s="376">
        <v>0.63</v>
      </c>
      <c r="AF161" s="376">
        <v>0.63</v>
      </c>
      <c r="AG161" s="376">
        <v>0.63</v>
      </c>
      <c r="AH161" s="376">
        <v>0.63</v>
      </c>
      <c r="AI161" s="376">
        <v>0.63</v>
      </c>
      <c r="AJ161" s="376">
        <v>0.63</v>
      </c>
      <c r="AK161" s="258"/>
    </row>
    <row r="162" spans="1:37" ht="13.5" customHeight="1">
      <c r="A162" s="651"/>
      <c r="B162" s="258"/>
      <c r="C162" s="259" t="s">
        <v>490</v>
      </c>
      <c r="D162" s="376">
        <v>0.63</v>
      </c>
      <c r="E162" s="376">
        <v>0.63</v>
      </c>
      <c r="F162" s="376">
        <v>0.63</v>
      </c>
      <c r="G162" s="376">
        <v>0.63</v>
      </c>
      <c r="H162" s="376">
        <v>0.63</v>
      </c>
      <c r="I162" s="376">
        <v>0.63</v>
      </c>
      <c r="J162" s="376">
        <v>0.63</v>
      </c>
      <c r="K162" s="376">
        <v>0.63</v>
      </c>
      <c r="L162" s="376">
        <v>0.63</v>
      </c>
      <c r="M162" s="376">
        <v>0.63</v>
      </c>
      <c r="N162" s="376">
        <v>0.63</v>
      </c>
      <c r="O162" s="376">
        <v>0.63</v>
      </c>
      <c r="P162" s="376">
        <v>0.63</v>
      </c>
      <c r="Q162" s="376">
        <v>0.63</v>
      </c>
      <c r="R162" s="376">
        <v>0.63</v>
      </c>
      <c r="S162" s="376">
        <v>0.63</v>
      </c>
      <c r="T162" s="376">
        <v>0.63</v>
      </c>
      <c r="U162" s="376">
        <v>0.63</v>
      </c>
      <c r="V162" s="376">
        <v>0.63</v>
      </c>
      <c r="W162" s="376">
        <v>0.63</v>
      </c>
      <c r="X162" s="376">
        <v>0.63</v>
      </c>
      <c r="Y162" s="376">
        <v>0.63</v>
      </c>
      <c r="Z162" s="376">
        <v>0.63</v>
      </c>
      <c r="AA162" s="376">
        <v>0.63</v>
      </c>
      <c r="AB162" s="376">
        <v>0.63</v>
      </c>
      <c r="AC162" s="376">
        <v>0.63</v>
      </c>
      <c r="AD162" s="376">
        <v>0.63</v>
      </c>
      <c r="AE162" s="376">
        <v>0.63</v>
      </c>
      <c r="AF162" s="376">
        <v>0.63</v>
      </c>
      <c r="AG162" s="376">
        <v>0.63</v>
      </c>
      <c r="AH162" s="376">
        <v>0.63</v>
      </c>
      <c r="AI162" s="376">
        <v>0.63</v>
      </c>
      <c r="AJ162" s="376">
        <v>0.63</v>
      </c>
      <c r="AK162" s="258"/>
    </row>
    <row r="163" spans="1:37" ht="13.5" customHeight="1">
      <c r="A163" s="651"/>
      <c r="B163" s="258"/>
      <c r="C163" s="259" t="s">
        <v>491</v>
      </c>
      <c r="D163" s="376">
        <v>0.63</v>
      </c>
      <c r="E163" s="376">
        <v>0.63</v>
      </c>
      <c r="F163" s="376">
        <v>0.63</v>
      </c>
      <c r="G163" s="376">
        <v>0.63</v>
      </c>
      <c r="H163" s="376">
        <v>0.63</v>
      </c>
      <c r="I163" s="376">
        <v>0.63</v>
      </c>
      <c r="J163" s="376">
        <v>0.63</v>
      </c>
      <c r="K163" s="376">
        <v>0.63</v>
      </c>
      <c r="L163" s="376">
        <v>0.63</v>
      </c>
      <c r="M163" s="376">
        <v>0.63</v>
      </c>
      <c r="N163" s="376">
        <v>0.63</v>
      </c>
      <c r="O163" s="376">
        <v>0.63</v>
      </c>
      <c r="P163" s="376">
        <v>0.63</v>
      </c>
      <c r="Q163" s="376">
        <v>0.63</v>
      </c>
      <c r="R163" s="376">
        <v>0.63</v>
      </c>
      <c r="S163" s="376">
        <v>0.63</v>
      </c>
      <c r="T163" s="376">
        <v>0.63</v>
      </c>
      <c r="U163" s="376">
        <v>0.63</v>
      </c>
      <c r="V163" s="376">
        <v>0.63</v>
      </c>
      <c r="W163" s="376">
        <v>0.63</v>
      </c>
      <c r="X163" s="376">
        <v>0.63</v>
      </c>
      <c r="Y163" s="376">
        <v>0.63</v>
      </c>
      <c r="Z163" s="376">
        <v>0.63</v>
      </c>
      <c r="AA163" s="376">
        <v>0.63</v>
      </c>
      <c r="AB163" s="376">
        <v>0.63</v>
      </c>
      <c r="AC163" s="376">
        <v>0.63</v>
      </c>
      <c r="AD163" s="376">
        <v>0.63</v>
      </c>
      <c r="AE163" s="376">
        <v>0.63</v>
      </c>
      <c r="AF163" s="376">
        <v>0.63</v>
      </c>
      <c r="AG163" s="376">
        <v>0.63</v>
      </c>
      <c r="AH163" s="376">
        <v>0.63</v>
      </c>
      <c r="AI163" s="376">
        <v>0.63</v>
      </c>
      <c r="AJ163" s="376">
        <v>0.63</v>
      </c>
      <c r="AK163" s="258"/>
    </row>
    <row r="164" spans="1:37" ht="13.5" customHeight="1">
      <c r="A164" s="651"/>
      <c r="B164" s="258"/>
      <c r="C164" s="281" t="s">
        <v>493</v>
      </c>
      <c r="D164" s="376"/>
      <c r="E164" s="376"/>
      <c r="F164" s="376"/>
      <c r="G164" s="376"/>
      <c r="H164" s="376"/>
      <c r="I164" s="376"/>
      <c r="J164" s="376"/>
      <c r="K164" s="376"/>
      <c r="L164" s="376"/>
      <c r="M164" s="376"/>
      <c r="N164" s="376"/>
      <c r="O164" s="376"/>
      <c r="P164" s="376"/>
      <c r="Q164" s="376"/>
      <c r="R164" s="376"/>
      <c r="S164" s="376"/>
      <c r="T164" s="376"/>
      <c r="U164" s="376"/>
      <c r="V164" s="376"/>
      <c r="W164" s="376"/>
      <c r="X164" s="376"/>
      <c r="Y164" s="376"/>
      <c r="Z164" s="376"/>
      <c r="AA164" s="376"/>
      <c r="AB164" s="376"/>
      <c r="AC164" s="376"/>
      <c r="AD164" s="376"/>
      <c r="AE164" s="376"/>
      <c r="AF164" s="376"/>
      <c r="AG164" s="376"/>
      <c r="AH164" s="376"/>
      <c r="AI164" s="376"/>
      <c r="AJ164" s="376"/>
      <c r="AK164" s="258"/>
    </row>
    <row r="165" spans="1:37" ht="13.5" customHeight="1">
      <c r="A165" s="651"/>
      <c r="B165" s="258"/>
      <c r="C165" s="259" t="s">
        <v>494</v>
      </c>
      <c r="D165" s="376">
        <v>12.61</v>
      </c>
      <c r="E165" s="376">
        <v>12.61</v>
      </c>
      <c r="F165" s="376">
        <v>12.61</v>
      </c>
      <c r="G165" s="376">
        <v>12.61</v>
      </c>
      <c r="H165" s="376">
        <v>12.61</v>
      </c>
      <c r="I165" s="376">
        <v>12.61</v>
      </c>
      <c r="J165" s="376">
        <v>12.61</v>
      </c>
      <c r="K165" s="376">
        <v>12.61</v>
      </c>
      <c r="L165" s="376">
        <v>12.61</v>
      </c>
      <c r="M165" s="376">
        <v>12.61</v>
      </c>
      <c r="N165" s="376">
        <v>12.61</v>
      </c>
      <c r="O165" s="376">
        <v>12.61</v>
      </c>
      <c r="P165" s="376">
        <v>12.61</v>
      </c>
      <c r="Q165" s="376">
        <v>12.61</v>
      </c>
      <c r="R165" s="376">
        <v>12.61</v>
      </c>
      <c r="S165" s="376">
        <v>12.61</v>
      </c>
      <c r="T165" s="376">
        <v>12.61</v>
      </c>
      <c r="U165" s="376">
        <v>12.61</v>
      </c>
      <c r="V165" s="376">
        <v>12.61</v>
      </c>
      <c r="W165" s="376">
        <v>12.61</v>
      </c>
      <c r="X165" s="376">
        <v>12.61</v>
      </c>
      <c r="Y165" s="376">
        <v>12.61</v>
      </c>
      <c r="Z165" s="376">
        <v>12.61</v>
      </c>
      <c r="AA165" s="376">
        <v>12.61</v>
      </c>
      <c r="AB165" s="376">
        <v>12.61</v>
      </c>
      <c r="AC165" s="376">
        <v>12.61</v>
      </c>
      <c r="AD165" s="376">
        <v>12.61</v>
      </c>
      <c r="AE165" s="376">
        <v>12.61</v>
      </c>
      <c r="AF165" s="376">
        <v>12.61</v>
      </c>
      <c r="AG165" s="376">
        <v>12.61</v>
      </c>
      <c r="AH165" s="376">
        <v>12.61</v>
      </c>
      <c r="AI165" s="376">
        <v>12.61</v>
      </c>
      <c r="AJ165" s="376">
        <v>12.61</v>
      </c>
      <c r="AK165" s="258"/>
    </row>
    <row r="166" spans="1:37" ht="13.5" customHeight="1">
      <c r="A166" s="651"/>
      <c r="B166" s="258"/>
      <c r="C166" s="259" t="s">
        <v>495</v>
      </c>
      <c r="D166" s="376">
        <v>18.899999999999999</v>
      </c>
      <c r="E166" s="376">
        <v>18.899999999999999</v>
      </c>
      <c r="F166" s="376">
        <v>18.899999999999999</v>
      </c>
      <c r="G166" s="376">
        <v>18.899999999999999</v>
      </c>
      <c r="H166" s="376">
        <v>18.899999999999999</v>
      </c>
      <c r="I166" s="376">
        <v>18.899999999999999</v>
      </c>
      <c r="J166" s="376">
        <v>18.899999999999999</v>
      </c>
      <c r="K166" s="376">
        <v>18.899999999999999</v>
      </c>
      <c r="L166" s="376">
        <v>18.899999999999999</v>
      </c>
      <c r="M166" s="376">
        <v>18.899999999999999</v>
      </c>
      <c r="N166" s="376">
        <v>18.899999999999999</v>
      </c>
      <c r="O166" s="376">
        <v>18.899999999999999</v>
      </c>
      <c r="P166" s="376">
        <v>18.899999999999999</v>
      </c>
      <c r="Q166" s="376">
        <v>18.899999999999999</v>
      </c>
      <c r="R166" s="376">
        <v>18.899999999999999</v>
      </c>
      <c r="S166" s="376">
        <v>18.899999999999999</v>
      </c>
      <c r="T166" s="376">
        <v>18.899999999999999</v>
      </c>
      <c r="U166" s="376">
        <v>18.899999999999999</v>
      </c>
      <c r="V166" s="376">
        <v>18.899999999999999</v>
      </c>
      <c r="W166" s="376">
        <v>18.899999999999999</v>
      </c>
      <c r="X166" s="376">
        <v>18.899999999999999</v>
      </c>
      <c r="Y166" s="376">
        <v>18.899999999999999</v>
      </c>
      <c r="Z166" s="376">
        <v>18.899999999999999</v>
      </c>
      <c r="AA166" s="376">
        <v>18.899999999999999</v>
      </c>
      <c r="AB166" s="376">
        <v>18.899999999999999</v>
      </c>
      <c r="AC166" s="376">
        <v>18.899999999999999</v>
      </c>
      <c r="AD166" s="376">
        <v>18.899999999999999</v>
      </c>
      <c r="AE166" s="376">
        <v>18.899999999999999</v>
      </c>
      <c r="AF166" s="376">
        <v>18.899999999999999</v>
      </c>
      <c r="AG166" s="376">
        <v>18.899999999999999</v>
      </c>
      <c r="AH166" s="376">
        <v>18.899999999999999</v>
      </c>
      <c r="AI166" s="376">
        <v>18.899999999999999</v>
      </c>
      <c r="AJ166" s="376">
        <v>18.899999999999999</v>
      </c>
      <c r="AK166" s="258"/>
    </row>
    <row r="167" spans="1:37" ht="13.5" customHeight="1">
      <c r="A167" s="651"/>
      <c r="B167" s="258"/>
      <c r="C167" s="259" t="s">
        <v>496</v>
      </c>
      <c r="D167" s="376">
        <v>18.920000000000002</v>
      </c>
      <c r="E167" s="376">
        <v>18.920000000000002</v>
      </c>
      <c r="F167" s="376">
        <v>18.920000000000002</v>
      </c>
      <c r="G167" s="376">
        <v>18.920000000000002</v>
      </c>
      <c r="H167" s="376">
        <v>18.920000000000002</v>
      </c>
      <c r="I167" s="376">
        <v>18.920000000000002</v>
      </c>
      <c r="J167" s="376">
        <v>18.920000000000002</v>
      </c>
      <c r="K167" s="376">
        <v>18.920000000000002</v>
      </c>
      <c r="L167" s="376">
        <v>18.920000000000002</v>
      </c>
      <c r="M167" s="376">
        <v>18.920000000000002</v>
      </c>
      <c r="N167" s="376">
        <v>18.920000000000002</v>
      </c>
      <c r="O167" s="376">
        <v>18.920000000000002</v>
      </c>
      <c r="P167" s="376">
        <v>18.920000000000002</v>
      </c>
      <c r="Q167" s="376">
        <v>18.920000000000002</v>
      </c>
      <c r="R167" s="376">
        <v>18.920000000000002</v>
      </c>
      <c r="S167" s="376">
        <v>18.920000000000002</v>
      </c>
      <c r="T167" s="376">
        <v>18.920000000000002</v>
      </c>
      <c r="U167" s="376">
        <v>18.920000000000002</v>
      </c>
      <c r="V167" s="376">
        <v>18.920000000000002</v>
      </c>
      <c r="W167" s="376">
        <v>18.920000000000002</v>
      </c>
      <c r="X167" s="376">
        <v>18.920000000000002</v>
      </c>
      <c r="Y167" s="376">
        <v>18.920000000000002</v>
      </c>
      <c r="Z167" s="376">
        <v>18.920000000000002</v>
      </c>
      <c r="AA167" s="376">
        <v>18.920000000000002</v>
      </c>
      <c r="AB167" s="376">
        <v>18.920000000000002</v>
      </c>
      <c r="AC167" s="376">
        <v>18.920000000000002</v>
      </c>
      <c r="AD167" s="376">
        <v>18.920000000000002</v>
      </c>
      <c r="AE167" s="376">
        <v>18.920000000000002</v>
      </c>
      <c r="AF167" s="376">
        <v>18.920000000000002</v>
      </c>
      <c r="AG167" s="376">
        <v>18.920000000000002</v>
      </c>
      <c r="AH167" s="376">
        <v>18.920000000000002</v>
      </c>
      <c r="AI167" s="376">
        <v>18.920000000000002</v>
      </c>
      <c r="AJ167" s="376">
        <v>18.920000000000002</v>
      </c>
      <c r="AK167" s="258"/>
    </row>
    <row r="168" spans="1:37" ht="13.5" customHeight="1">
      <c r="A168" s="651"/>
      <c r="B168" s="258"/>
      <c r="C168" s="259" t="s">
        <v>497</v>
      </c>
      <c r="D168" s="376">
        <v>25.23</v>
      </c>
      <c r="E168" s="376">
        <v>25.23</v>
      </c>
      <c r="F168" s="376">
        <v>25.23</v>
      </c>
      <c r="G168" s="376">
        <v>25.23</v>
      </c>
      <c r="H168" s="376">
        <v>25.23</v>
      </c>
      <c r="I168" s="376">
        <v>25.23</v>
      </c>
      <c r="J168" s="376">
        <v>25.23</v>
      </c>
      <c r="K168" s="376">
        <v>25.23</v>
      </c>
      <c r="L168" s="376">
        <v>25.23</v>
      </c>
      <c r="M168" s="376">
        <v>25.23</v>
      </c>
      <c r="N168" s="376">
        <v>25.23</v>
      </c>
      <c r="O168" s="376">
        <v>25.23</v>
      </c>
      <c r="P168" s="376">
        <v>25.23</v>
      </c>
      <c r="Q168" s="376">
        <v>25.23</v>
      </c>
      <c r="R168" s="376">
        <v>25.23</v>
      </c>
      <c r="S168" s="376">
        <v>25.23</v>
      </c>
      <c r="T168" s="376">
        <v>25.23</v>
      </c>
      <c r="U168" s="376">
        <v>25.23</v>
      </c>
      <c r="V168" s="376">
        <v>25.23</v>
      </c>
      <c r="W168" s="376">
        <v>25.23</v>
      </c>
      <c r="X168" s="376">
        <v>25.23</v>
      </c>
      <c r="Y168" s="376">
        <v>25.23</v>
      </c>
      <c r="Z168" s="376">
        <v>25.23</v>
      </c>
      <c r="AA168" s="376">
        <v>25.23</v>
      </c>
      <c r="AB168" s="376">
        <v>25.23</v>
      </c>
      <c r="AC168" s="376">
        <v>25.23</v>
      </c>
      <c r="AD168" s="376">
        <v>25.23</v>
      </c>
      <c r="AE168" s="376">
        <v>25.23</v>
      </c>
      <c r="AF168" s="376">
        <v>25.23</v>
      </c>
      <c r="AG168" s="376">
        <v>25.23</v>
      </c>
      <c r="AH168" s="376">
        <v>25.23</v>
      </c>
      <c r="AI168" s="376">
        <v>25.23</v>
      </c>
      <c r="AJ168" s="376">
        <v>25.23</v>
      </c>
      <c r="AK168" s="258"/>
    </row>
    <row r="169" spans="1:37" ht="13.5" customHeight="1">
      <c r="A169" s="651"/>
      <c r="B169" s="258"/>
      <c r="C169" s="281" t="s">
        <v>533</v>
      </c>
      <c r="D169" s="376"/>
      <c r="E169" s="376"/>
      <c r="F169" s="376"/>
      <c r="G169" s="376"/>
      <c r="H169" s="376"/>
      <c r="I169" s="376"/>
      <c r="J169" s="376"/>
      <c r="K169" s="376"/>
      <c r="L169" s="376"/>
      <c r="M169" s="376"/>
      <c r="N169" s="376"/>
      <c r="O169" s="376"/>
      <c r="P169" s="376"/>
      <c r="Q169" s="376"/>
      <c r="R169" s="376"/>
      <c r="S169" s="376"/>
      <c r="T169" s="376"/>
      <c r="U169" s="376"/>
      <c r="V169" s="376"/>
      <c r="W169" s="376"/>
      <c r="X169" s="376"/>
      <c r="Y169" s="376"/>
      <c r="Z169" s="376"/>
      <c r="AA169" s="376"/>
      <c r="AB169" s="376"/>
      <c r="AC169" s="376"/>
      <c r="AD169" s="376"/>
      <c r="AE169" s="376"/>
      <c r="AF169" s="376"/>
      <c r="AG169" s="376"/>
      <c r="AH169" s="376"/>
      <c r="AI169" s="376"/>
      <c r="AJ169" s="376"/>
      <c r="AK169" s="258"/>
    </row>
    <row r="170" spans="1:37" ht="13.5" customHeight="1">
      <c r="A170" s="651"/>
      <c r="B170" s="258"/>
      <c r="C170" s="259" t="s">
        <v>521</v>
      </c>
      <c r="D170" s="376">
        <v>9.4600000000000009</v>
      </c>
      <c r="E170" s="376">
        <v>9.4600000000000009</v>
      </c>
      <c r="F170" s="376">
        <v>9.4600000000000009</v>
      </c>
      <c r="G170" s="376">
        <v>9.4600000000000009</v>
      </c>
      <c r="H170" s="376">
        <v>9.4600000000000009</v>
      </c>
      <c r="I170" s="376">
        <v>9.4600000000000009</v>
      </c>
      <c r="J170" s="376">
        <v>9.4600000000000009</v>
      </c>
      <c r="K170" s="376">
        <v>9.4600000000000009</v>
      </c>
      <c r="L170" s="376">
        <v>9.4600000000000009</v>
      </c>
      <c r="M170" s="376">
        <v>9.4600000000000009</v>
      </c>
      <c r="N170" s="376">
        <v>9.4600000000000009</v>
      </c>
      <c r="O170" s="376">
        <v>9.4600000000000009</v>
      </c>
      <c r="P170" s="376">
        <v>9.4600000000000009</v>
      </c>
      <c r="Q170" s="376">
        <v>9.4600000000000009</v>
      </c>
      <c r="R170" s="376">
        <v>9.4600000000000009</v>
      </c>
      <c r="S170" s="376">
        <v>9.4600000000000009</v>
      </c>
      <c r="T170" s="376">
        <v>9.4600000000000009</v>
      </c>
      <c r="U170" s="376">
        <v>9.4600000000000009</v>
      </c>
      <c r="V170" s="376">
        <v>9.4600000000000009</v>
      </c>
      <c r="W170" s="376">
        <v>9.4600000000000009</v>
      </c>
      <c r="X170" s="376">
        <v>9.4600000000000009</v>
      </c>
      <c r="Y170" s="376">
        <v>9.4600000000000009</v>
      </c>
      <c r="Z170" s="376">
        <v>9.4600000000000009</v>
      </c>
      <c r="AA170" s="376">
        <v>9.4600000000000009</v>
      </c>
      <c r="AB170" s="376">
        <v>9.4600000000000009</v>
      </c>
      <c r="AC170" s="376">
        <v>9.4600000000000009</v>
      </c>
      <c r="AD170" s="376">
        <v>9.4600000000000009</v>
      </c>
      <c r="AE170" s="376">
        <v>9.4600000000000009</v>
      </c>
      <c r="AF170" s="376">
        <v>9.4600000000000009</v>
      </c>
      <c r="AG170" s="376">
        <v>9.4600000000000009</v>
      </c>
      <c r="AH170" s="376">
        <v>9.4600000000000009</v>
      </c>
      <c r="AI170" s="376">
        <v>9.4600000000000009</v>
      </c>
      <c r="AJ170" s="376">
        <v>9.4600000000000009</v>
      </c>
      <c r="AK170" s="258"/>
    </row>
    <row r="171" spans="1:37" ht="13.5" customHeight="1">
      <c r="A171" s="651"/>
      <c r="B171" s="258"/>
      <c r="C171" s="259" t="s">
        <v>522</v>
      </c>
      <c r="D171" s="376">
        <v>9.15</v>
      </c>
      <c r="E171" s="376">
        <v>9.15</v>
      </c>
      <c r="F171" s="376">
        <v>9.15</v>
      </c>
      <c r="G171" s="376">
        <v>9.15</v>
      </c>
      <c r="H171" s="376">
        <v>9.15</v>
      </c>
      <c r="I171" s="376">
        <v>9.15</v>
      </c>
      <c r="J171" s="376">
        <v>9.15</v>
      </c>
      <c r="K171" s="376">
        <v>9.15</v>
      </c>
      <c r="L171" s="376">
        <v>9.15</v>
      </c>
      <c r="M171" s="376">
        <v>9.15</v>
      </c>
      <c r="N171" s="376">
        <v>9.15</v>
      </c>
      <c r="O171" s="376">
        <v>9.15</v>
      </c>
      <c r="P171" s="376">
        <v>9.15</v>
      </c>
      <c r="Q171" s="376">
        <v>9.15</v>
      </c>
      <c r="R171" s="376">
        <v>9.15</v>
      </c>
      <c r="S171" s="376">
        <v>9.15</v>
      </c>
      <c r="T171" s="376">
        <v>9.15</v>
      </c>
      <c r="U171" s="376">
        <v>9.15</v>
      </c>
      <c r="V171" s="376">
        <v>9.15</v>
      </c>
      <c r="W171" s="376">
        <v>9.15</v>
      </c>
      <c r="X171" s="376">
        <v>9.15</v>
      </c>
      <c r="Y171" s="376">
        <v>9.15</v>
      </c>
      <c r="Z171" s="376">
        <v>9.15</v>
      </c>
      <c r="AA171" s="376">
        <v>9.15</v>
      </c>
      <c r="AB171" s="376">
        <v>9.15</v>
      </c>
      <c r="AC171" s="376">
        <v>9.15</v>
      </c>
      <c r="AD171" s="376">
        <v>9.15</v>
      </c>
      <c r="AE171" s="376">
        <v>9.15</v>
      </c>
      <c r="AF171" s="376">
        <v>9.15</v>
      </c>
      <c r="AG171" s="376">
        <v>9.15</v>
      </c>
      <c r="AH171" s="376">
        <v>9.15</v>
      </c>
      <c r="AI171" s="376">
        <v>9.15</v>
      </c>
      <c r="AJ171" s="376">
        <v>9.15</v>
      </c>
      <c r="AK171" s="258"/>
    </row>
    <row r="172" spans="1:37" ht="13.5" customHeight="1">
      <c r="A172" s="651"/>
      <c r="B172" s="258"/>
      <c r="C172" s="281" t="s">
        <v>534</v>
      </c>
      <c r="D172" s="376"/>
      <c r="E172" s="376"/>
      <c r="F172" s="376"/>
      <c r="G172" s="376"/>
      <c r="H172" s="376"/>
      <c r="I172" s="376"/>
      <c r="J172" s="376"/>
      <c r="K172" s="376"/>
      <c r="L172" s="376"/>
      <c r="M172" s="376"/>
      <c r="N172" s="376"/>
      <c r="O172" s="376"/>
      <c r="P172" s="376"/>
      <c r="Q172" s="376"/>
      <c r="R172" s="376"/>
      <c r="S172" s="376"/>
      <c r="T172" s="376"/>
      <c r="U172" s="376"/>
      <c r="V172" s="376"/>
      <c r="W172" s="376"/>
      <c r="X172" s="376"/>
      <c r="Y172" s="376"/>
      <c r="Z172" s="376"/>
      <c r="AA172" s="376"/>
      <c r="AB172" s="376"/>
      <c r="AC172" s="376"/>
      <c r="AD172" s="376"/>
      <c r="AE172" s="376"/>
      <c r="AF172" s="376"/>
      <c r="AG172" s="376"/>
      <c r="AH172" s="376"/>
      <c r="AI172" s="376"/>
      <c r="AJ172" s="376"/>
      <c r="AK172" s="258"/>
    </row>
    <row r="173" spans="1:37" ht="13.5" customHeight="1">
      <c r="A173" s="651"/>
      <c r="B173" s="258"/>
      <c r="C173" s="259" t="s">
        <v>499</v>
      </c>
      <c r="D173" s="376">
        <v>9.4600000000000009</v>
      </c>
      <c r="E173" s="376">
        <v>9.4600000000000009</v>
      </c>
      <c r="F173" s="376">
        <v>9.4600000000000009</v>
      </c>
      <c r="G173" s="376">
        <v>9.4600000000000009</v>
      </c>
      <c r="H173" s="376">
        <v>9.4600000000000009</v>
      </c>
      <c r="I173" s="376">
        <v>9.4600000000000009</v>
      </c>
      <c r="J173" s="376">
        <v>9.4600000000000009</v>
      </c>
      <c r="K173" s="376">
        <v>9.4600000000000009</v>
      </c>
      <c r="L173" s="376">
        <v>9.4600000000000009</v>
      </c>
      <c r="M173" s="376">
        <v>9.4600000000000009</v>
      </c>
      <c r="N173" s="376">
        <v>9.4600000000000009</v>
      </c>
      <c r="O173" s="376">
        <v>9.4600000000000009</v>
      </c>
      <c r="P173" s="376">
        <v>9.4600000000000009</v>
      </c>
      <c r="Q173" s="376">
        <v>9.4600000000000009</v>
      </c>
      <c r="R173" s="376">
        <v>9.4600000000000009</v>
      </c>
      <c r="S173" s="376">
        <v>9.4600000000000009</v>
      </c>
      <c r="T173" s="376">
        <v>9.4600000000000009</v>
      </c>
      <c r="U173" s="376">
        <v>9.4600000000000009</v>
      </c>
      <c r="V173" s="376">
        <v>9.4600000000000009</v>
      </c>
      <c r="W173" s="376">
        <v>9.4600000000000009</v>
      </c>
      <c r="X173" s="376">
        <v>9.4600000000000009</v>
      </c>
      <c r="Y173" s="376">
        <v>9.4600000000000009</v>
      </c>
      <c r="Z173" s="376">
        <v>9.4600000000000009</v>
      </c>
      <c r="AA173" s="376">
        <v>9.4600000000000009</v>
      </c>
      <c r="AB173" s="376">
        <v>9.4600000000000009</v>
      </c>
      <c r="AC173" s="376">
        <v>9.4600000000000009</v>
      </c>
      <c r="AD173" s="376">
        <v>9.4600000000000009</v>
      </c>
      <c r="AE173" s="376">
        <v>9.4600000000000009</v>
      </c>
      <c r="AF173" s="376">
        <v>9.4600000000000009</v>
      </c>
      <c r="AG173" s="376">
        <v>9.4600000000000009</v>
      </c>
      <c r="AH173" s="376">
        <v>9.4600000000000009</v>
      </c>
      <c r="AI173" s="376">
        <v>9.4600000000000009</v>
      </c>
      <c r="AJ173" s="376">
        <v>9.4600000000000009</v>
      </c>
      <c r="AK173" s="258"/>
    </row>
    <row r="174" spans="1:37" ht="13.5" customHeight="1">
      <c r="A174" s="651"/>
      <c r="B174" s="258"/>
      <c r="C174" s="259" t="s">
        <v>500</v>
      </c>
      <c r="D174" s="376">
        <v>9.09</v>
      </c>
      <c r="E174" s="376">
        <v>9.09</v>
      </c>
      <c r="F174" s="376">
        <v>9.09</v>
      </c>
      <c r="G174" s="376">
        <v>9.09</v>
      </c>
      <c r="H174" s="376">
        <v>9.09</v>
      </c>
      <c r="I174" s="376">
        <v>9.09</v>
      </c>
      <c r="J174" s="376">
        <v>9.09</v>
      </c>
      <c r="K174" s="376">
        <v>9.09</v>
      </c>
      <c r="L174" s="376">
        <v>9.09</v>
      </c>
      <c r="M174" s="376">
        <v>9.09</v>
      </c>
      <c r="N174" s="376">
        <v>9.09</v>
      </c>
      <c r="O174" s="376">
        <v>9.09</v>
      </c>
      <c r="P174" s="376">
        <v>9.09</v>
      </c>
      <c r="Q174" s="376">
        <v>9.09</v>
      </c>
      <c r="R174" s="376">
        <v>9.09</v>
      </c>
      <c r="S174" s="376">
        <v>9.09</v>
      </c>
      <c r="T174" s="376">
        <v>9.09</v>
      </c>
      <c r="U174" s="376">
        <v>9.09</v>
      </c>
      <c r="V174" s="376">
        <v>9.09</v>
      </c>
      <c r="W174" s="376">
        <v>9.09</v>
      </c>
      <c r="X174" s="376">
        <v>9.09</v>
      </c>
      <c r="Y174" s="376">
        <v>9.09</v>
      </c>
      <c r="Z174" s="376">
        <v>9.09</v>
      </c>
      <c r="AA174" s="376">
        <v>9.09</v>
      </c>
      <c r="AB174" s="376">
        <v>9.09</v>
      </c>
      <c r="AC174" s="376">
        <v>9.09</v>
      </c>
      <c r="AD174" s="376">
        <v>9.09</v>
      </c>
      <c r="AE174" s="376">
        <v>9.09</v>
      </c>
      <c r="AF174" s="376">
        <v>9.09</v>
      </c>
      <c r="AG174" s="376">
        <v>9.09</v>
      </c>
      <c r="AH174" s="376">
        <v>9.09</v>
      </c>
      <c r="AI174" s="376">
        <v>9.09</v>
      </c>
      <c r="AJ174" s="376">
        <v>9.09</v>
      </c>
      <c r="AK174" s="258"/>
    </row>
    <row r="175" spans="1:37" ht="13.5" customHeight="1">
      <c r="A175" s="651"/>
      <c r="B175" s="258"/>
      <c r="C175" s="259" t="s">
        <v>502</v>
      </c>
      <c r="D175" s="376">
        <v>12.61</v>
      </c>
      <c r="E175" s="376">
        <v>12.61</v>
      </c>
      <c r="F175" s="376">
        <v>12.61</v>
      </c>
      <c r="G175" s="376">
        <v>12.61</v>
      </c>
      <c r="H175" s="376">
        <v>12.61</v>
      </c>
      <c r="I175" s="376">
        <v>12.61</v>
      </c>
      <c r="J175" s="376">
        <v>12.61</v>
      </c>
      <c r="K175" s="376">
        <v>12.61</v>
      </c>
      <c r="L175" s="376">
        <v>12.61</v>
      </c>
      <c r="M175" s="376">
        <v>12.61</v>
      </c>
      <c r="N175" s="376">
        <v>12.61</v>
      </c>
      <c r="O175" s="376">
        <v>12.61</v>
      </c>
      <c r="P175" s="376">
        <v>12.61</v>
      </c>
      <c r="Q175" s="376">
        <v>12.61</v>
      </c>
      <c r="R175" s="376">
        <v>12.61</v>
      </c>
      <c r="S175" s="376">
        <v>12.61</v>
      </c>
      <c r="T175" s="376">
        <v>12.61</v>
      </c>
      <c r="U175" s="376">
        <v>12.61</v>
      </c>
      <c r="V175" s="376">
        <v>12.61</v>
      </c>
      <c r="W175" s="376">
        <v>12.61</v>
      </c>
      <c r="X175" s="376">
        <v>12.61</v>
      </c>
      <c r="Y175" s="376">
        <v>12.61</v>
      </c>
      <c r="Z175" s="376">
        <v>12.61</v>
      </c>
      <c r="AA175" s="376">
        <v>12.61</v>
      </c>
      <c r="AB175" s="376">
        <v>12.61</v>
      </c>
      <c r="AC175" s="376">
        <v>12.61</v>
      </c>
      <c r="AD175" s="376">
        <v>12.61</v>
      </c>
      <c r="AE175" s="376">
        <v>12.61</v>
      </c>
      <c r="AF175" s="376">
        <v>12.61</v>
      </c>
      <c r="AG175" s="376">
        <v>12.61</v>
      </c>
      <c r="AH175" s="376">
        <v>12.61</v>
      </c>
      <c r="AI175" s="376">
        <v>12.61</v>
      </c>
      <c r="AJ175" s="376">
        <v>12.61</v>
      </c>
      <c r="AK175" s="258"/>
    </row>
    <row r="176" spans="1:37" ht="13.5" customHeight="1">
      <c r="A176" s="651"/>
      <c r="B176" s="258"/>
      <c r="C176" s="259" t="s">
        <v>503</v>
      </c>
      <c r="D176" s="376">
        <v>180</v>
      </c>
      <c r="E176" s="376">
        <v>180</v>
      </c>
      <c r="F176" s="376">
        <v>180</v>
      </c>
      <c r="G176" s="376">
        <v>180</v>
      </c>
      <c r="H176" s="376">
        <v>180</v>
      </c>
      <c r="I176" s="376">
        <v>180</v>
      </c>
      <c r="J176" s="376">
        <v>180</v>
      </c>
      <c r="K176" s="376">
        <v>180</v>
      </c>
      <c r="L176" s="376">
        <v>180</v>
      </c>
      <c r="M176" s="376">
        <v>180</v>
      </c>
      <c r="N176" s="376">
        <v>180</v>
      </c>
      <c r="O176" s="376">
        <v>180</v>
      </c>
      <c r="P176" s="376">
        <v>180</v>
      </c>
      <c r="Q176" s="376">
        <v>180</v>
      </c>
      <c r="R176" s="376">
        <v>180</v>
      </c>
      <c r="S176" s="376">
        <v>180</v>
      </c>
      <c r="T176" s="376">
        <v>180</v>
      </c>
      <c r="U176" s="376">
        <v>176</v>
      </c>
      <c r="V176" s="376">
        <v>176</v>
      </c>
      <c r="W176" s="376">
        <v>176</v>
      </c>
      <c r="X176" s="376">
        <v>176</v>
      </c>
      <c r="Y176" s="376">
        <v>176</v>
      </c>
      <c r="Z176" s="376">
        <v>172</v>
      </c>
      <c r="AA176" s="376">
        <v>172</v>
      </c>
      <c r="AB176" s="376">
        <v>172</v>
      </c>
      <c r="AC176" s="376">
        <v>172</v>
      </c>
      <c r="AD176" s="376">
        <v>172</v>
      </c>
      <c r="AE176" s="376">
        <v>168</v>
      </c>
      <c r="AF176" s="376">
        <v>168</v>
      </c>
      <c r="AG176" s="376">
        <v>168</v>
      </c>
      <c r="AH176" s="376">
        <v>168</v>
      </c>
      <c r="AI176" s="376">
        <v>168</v>
      </c>
      <c r="AJ176" s="376">
        <v>164</v>
      </c>
      <c r="AK176" s="258"/>
    </row>
    <row r="177" spans="1:37" ht="13.5" customHeight="1">
      <c r="A177" s="651"/>
      <c r="B177" s="258"/>
      <c r="C177" s="281" t="s">
        <v>535</v>
      </c>
      <c r="D177" s="376"/>
      <c r="E177" s="376"/>
      <c r="F177" s="376"/>
      <c r="G177" s="376"/>
      <c r="H177" s="376"/>
      <c r="I177" s="376"/>
      <c r="J177" s="376"/>
      <c r="K177" s="376"/>
      <c r="L177" s="376"/>
      <c r="M177" s="376"/>
      <c r="N177" s="376"/>
      <c r="O177" s="376"/>
      <c r="P177" s="376"/>
      <c r="Q177" s="376"/>
      <c r="R177" s="376"/>
      <c r="S177" s="376"/>
      <c r="T177" s="376"/>
      <c r="U177" s="376"/>
      <c r="V177" s="376"/>
      <c r="W177" s="376"/>
      <c r="X177" s="376"/>
      <c r="Y177" s="376"/>
      <c r="Z177" s="376"/>
      <c r="AA177" s="376"/>
      <c r="AB177" s="376"/>
      <c r="AC177" s="376"/>
      <c r="AD177" s="376"/>
      <c r="AE177" s="376"/>
      <c r="AF177" s="376"/>
      <c r="AG177" s="376"/>
      <c r="AH177" s="376"/>
      <c r="AI177" s="376"/>
      <c r="AJ177" s="376"/>
      <c r="AK177" s="258"/>
    </row>
    <row r="178" spans="1:37" ht="13.5" customHeight="1">
      <c r="A178" s="651"/>
      <c r="B178" s="258"/>
      <c r="C178" s="259" t="s">
        <v>505</v>
      </c>
      <c r="D178" s="376">
        <v>19.100000000000001</v>
      </c>
      <c r="E178" s="376">
        <v>19.100000000000001</v>
      </c>
      <c r="F178" s="376">
        <v>19.100000000000001</v>
      </c>
      <c r="G178" s="376">
        <v>19.100000000000001</v>
      </c>
      <c r="H178" s="376">
        <v>19.100000000000001</v>
      </c>
      <c r="I178" s="376">
        <v>19.100000000000001</v>
      </c>
      <c r="J178" s="376">
        <v>19.100000000000001</v>
      </c>
      <c r="K178" s="376">
        <v>19.100000000000001</v>
      </c>
      <c r="L178" s="376">
        <v>19.100000000000001</v>
      </c>
      <c r="M178" s="376">
        <v>19.100000000000001</v>
      </c>
      <c r="N178" s="376">
        <v>19.100000000000001</v>
      </c>
      <c r="O178" s="376">
        <v>19.100000000000001</v>
      </c>
      <c r="P178" s="376">
        <v>19.100000000000001</v>
      </c>
      <c r="Q178" s="376">
        <v>19.100000000000001</v>
      </c>
      <c r="R178" s="376">
        <v>19.100000000000001</v>
      </c>
      <c r="S178" s="376">
        <v>19.100000000000001</v>
      </c>
      <c r="T178" s="376">
        <v>19.100000000000001</v>
      </c>
      <c r="U178" s="376">
        <v>17.2</v>
      </c>
      <c r="V178" s="376">
        <v>17.2</v>
      </c>
      <c r="W178" s="376">
        <v>17.2</v>
      </c>
      <c r="X178" s="376">
        <v>17.2</v>
      </c>
      <c r="Y178" s="376">
        <v>17.2</v>
      </c>
      <c r="Z178" s="376">
        <v>14.3</v>
      </c>
      <c r="AA178" s="376">
        <v>14.3</v>
      </c>
      <c r="AB178" s="376">
        <v>14.3</v>
      </c>
      <c r="AC178" s="376">
        <v>14.3</v>
      </c>
      <c r="AD178" s="376">
        <v>14.3</v>
      </c>
      <c r="AE178" s="376">
        <v>14.3</v>
      </c>
      <c r="AF178" s="376">
        <v>14.3</v>
      </c>
      <c r="AG178" s="376">
        <v>14.3</v>
      </c>
      <c r="AH178" s="376">
        <v>14.3</v>
      </c>
      <c r="AI178" s="376">
        <v>14.3</v>
      </c>
      <c r="AJ178" s="376">
        <v>14.3</v>
      </c>
      <c r="AK178" s="258"/>
    </row>
    <row r="179" spans="1:37" ht="13.5" customHeight="1">
      <c r="A179" s="651"/>
      <c r="B179" s="258"/>
      <c r="C179" s="259" t="s">
        <v>506</v>
      </c>
      <c r="D179" s="376">
        <v>28.6</v>
      </c>
      <c r="E179" s="376">
        <v>28.6</v>
      </c>
      <c r="F179" s="376">
        <v>28.6</v>
      </c>
      <c r="G179" s="376">
        <v>28.6</v>
      </c>
      <c r="H179" s="376">
        <v>28.6</v>
      </c>
      <c r="I179" s="376">
        <v>28.6</v>
      </c>
      <c r="J179" s="376">
        <v>28.6</v>
      </c>
      <c r="K179" s="376">
        <v>28.6</v>
      </c>
      <c r="L179" s="376">
        <v>28.6</v>
      </c>
      <c r="M179" s="376">
        <v>28.6</v>
      </c>
      <c r="N179" s="376">
        <v>28.6</v>
      </c>
      <c r="O179" s="376">
        <v>28.6</v>
      </c>
      <c r="P179" s="376">
        <v>28.6</v>
      </c>
      <c r="Q179" s="376">
        <v>28.6</v>
      </c>
      <c r="R179" s="376">
        <v>28.6</v>
      </c>
      <c r="S179" s="376">
        <v>28.6</v>
      </c>
      <c r="T179" s="376">
        <v>28.6</v>
      </c>
      <c r="U179" s="376">
        <v>28.6</v>
      </c>
      <c r="V179" s="376">
        <v>28.6</v>
      </c>
      <c r="W179" s="376">
        <v>28.6</v>
      </c>
      <c r="X179" s="376">
        <v>28.6</v>
      </c>
      <c r="Y179" s="376">
        <v>28.6</v>
      </c>
      <c r="Z179" s="376">
        <v>23.9</v>
      </c>
      <c r="AA179" s="376">
        <v>23.9</v>
      </c>
      <c r="AB179" s="376">
        <v>23.9</v>
      </c>
      <c r="AC179" s="376">
        <v>23.9</v>
      </c>
      <c r="AD179" s="376">
        <v>23.9</v>
      </c>
      <c r="AE179" s="376">
        <v>23.9</v>
      </c>
      <c r="AF179" s="376">
        <v>23.9</v>
      </c>
      <c r="AG179" s="376">
        <v>23.9</v>
      </c>
      <c r="AH179" s="376">
        <v>23.9</v>
      </c>
      <c r="AI179" s="376">
        <v>23.9</v>
      </c>
      <c r="AJ179" s="376">
        <v>23.9</v>
      </c>
      <c r="AK179" s="258"/>
    </row>
    <row r="180" spans="1:37" ht="13.5" customHeight="1">
      <c r="A180" s="651"/>
      <c r="B180" s="258"/>
      <c r="C180" s="281" t="s">
        <v>536</v>
      </c>
      <c r="D180" s="376"/>
      <c r="E180" s="376"/>
      <c r="F180" s="376"/>
      <c r="G180" s="376"/>
      <c r="H180" s="376"/>
      <c r="I180" s="376"/>
      <c r="J180" s="376"/>
      <c r="K180" s="376"/>
      <c r="L180" s="376"/>
      <c r="M180" s="376"/>
      <c r="N180" s="376"/>
      <c r="O180" s="376"/>
      <c r="P180" s="376"/>
      <c r="Q180" s="376"/>
      <c r="R180" s="376"/>
      <c r="S180" s="376"/>
      <c r="T180" s="376"/>
      <c r="U180" s="376"/>
      <c r="V180" s="376"/>
      <c r="W180" s="376"/>
      <c r="X180" s="376"/>
      <c r="Y180" s="376"/>
      <c r="Z180" s="376"/>
      <c r="AA180" s="376"/>
      <c r="AB180" s="376"/>
      <c r="AC180" s="376"/>
      <c r="AD180" s="376"/>
      <c r="AE180" s="376"/>
      <c r="AF180" s="376"/>
      <c r="AG180" s="376"/>
      <c r="AH180" s="376"/>
      <c r="AI180" s="376"/>
      <c r="AJ180" s="376"/>
      <c r="AK180" s="258"/>
    </row>
    <row r="181" spans="1:37" ht="13.5" customHeight="1">
      <c r="A181" s="651"/>
      <c r="B181" s="258"/>
      <c r="C181" s="281" t="s">
        <v>537</v>
      </c>
      <c r="D181" s="376"/>
      <c r="E181" s="376"/>
      <c r="F181" s="376"/>
      <c r="G181" s="376"/>
      <c r="H181" s="376"/>
      <c r="I181" s="376"/>
      <c r="J181" s="376"/>
      <c r="K181" s="376"/>
      <c r="L181" s="376"/>
      <c r="M181" s="376"/>
      <c r="N181" s="376"/>
      <c r="O181" s="376"/>
      <c r="P181" s="376"/>
      <c r="Q181" s="376"/>
      <c r="R181" s="376"/>
      <c r="S181" s="376"/>
      <c r="T181" s="376"/>
      <c r="U181" s="376"/>
      <c r="V181" s="376"/>
      <c r="W181" s="376"/>
      <c r="X181" s="376"/>
      <c r="Y181" s="376"/>
      <c r="Z181" s="376"/>
      <c r="AA181" s="376"/>
      <c r="AB181" s="376"/>
      <c r="AC181" s="376"/>
      <c r="AD181" s="376"/>
      <c r="AE181" s="376"/>
      <c r="AF181" s="376"/>
      <c r="AG181" s="376"/>
      <c r="AH181" s="376"/>
      <c r="AI181" s="376"/>
      <c r="AJ181" s="376"/>
      <c r="AK181" s="258"/>
    </row>
    <row r="182" spans="1:37" ht="13.5" customHeight="1">
      <c r="A182" s="651"/>
      <c r="B182" s="258"/>
      <c r="C182" s="281" t="s">
        <v>535</v>
      </c>
      <c r="D182" s="376"/>
      <c r="E182" s="376"/>
      <c r="F182" s="376"/>
      <c r="G182" s="376"/>
      <c r="H182" s="376"/>
      <c r="I182" s="376"/>
      <c r="J182" s="376"/>
      <c r="K182" s="376"/>
      <c r="L182" s="376"/>
      <c r="M182" s="376"/>
      <c r="N182" s="376"/>
      <c r="O182" s="376"/>
      <c r="P182" s="376"/>
      <c r="Q182" s="376"/>
      <c r="R182" s="376"/>
      <c r="S182" s="376"/>
      <c r="T182" s="376"/>
      <c r="U182" s="376"/>
      <c r="V182" s="376"/>
      <c r="W182" s="376"/>
      <c r="X182" s="376"/>
      <c r="Y182" s="376"/>
      <c r="Z182" s="376"/>
      <c r="AA182" s="376"/>
      <c r="AB182" s="376"/>
      <c r="AC182" s="376"/>
      <c r="AD182" s="376"/>
      <c r="AE182" s="376"/>
      <c r="AF182" s="376"/>
      <c r="AG182" s="376"/>
      <c r="AH182" s="376"/>
      <c r="AI182" s="376"/>
      <c r="AJ182" s="376"/>
      <c r="AK182" s="258"/>
    </row>
    <row r="183" spans="1:37" ht="13.5" customHeight="1">
      <c r="A183" s="651"/>
      <c r="B183" s="258"/>
      <c r="C183" s="281" t="s">
        <v>538</v>
      </c>
      <c r="D183" s="376"/>
      <c r="E183" s="376"/>
      <c r="F183" s="376"/>
      <c r="G183" s="376"/>
      <c r="H183" s="376"/>
      <c r="I183" s="376"/>
      <c r="J183" s="376"/>
      <c r="K183" s="376"/>
      <c r="L183" s="376"/>
      <c r="M183" s="376"/>
      <c r="N183" s="376"/>
      <c r="O183" s="376"/>
      <c r="P183" s="376"/>
      <c r="Q183" s="376"/>
      <c r="R183" s="376"/>
      <c r="S183" s="376"/>
      <c r="T183" s="376"/>
      <c r="U183" s="376"/>
      <c r="V183" s="376"/>
      <c r="W183" s="376"/>
      <c r="X183" s="376"/>
      <c r="Y183" s="376"/>
      <c r="Z183" s="376"/>
      <c r="AA183" s="376"/>
      <c r="AB183" s="376"/>
      <c r="AC183" s="376"/>
      <c r="AD183" s="376"/>
      <c r="AE183" s="376"/>
      <c r="AF183" s="376"/>
      <c r="AG183" s="376"/>
      <c r="AH183" s="376"/>
      <c r="AI183" s="376"/>
      <c r="AJ183" s="376"/>
      <c r="AK183" s="258"/>
    </row>
    <row r="184" spans="1:37" ht="13.5" customHeight="1">
      <c r="A184" s="651"/>
      <c r="B184" s="258"/>
      <c r="C184" s="281" t="s">
        <v>539</v>
      </c>
      <c r="D184" s="376"/>
      <c r="E184" s="376"/>
      <c r="F184" s="376"/>
      <c r="G184" s="376"/>
      <c r="H184" s="376"/>
      <c r="I184" s="376"/>
      <c r="J184" s="376"/>
      <c r="K184" s="376"/>
      <c r="L184" s="376"/>
      <c r="M184" s="376"/>
      <c r="N184" s="376"/>
      <c r="O184" s="376"/>
      <c r="P184" s="376"/>
      <c r="Q184" s="376"/>
      <c r="R184" s="376"/>
      <c r="S184" s="376"/>
      <c r="T184" s="376"/>
      <c r="U184" s="376"/>
      <c r="V184" s="376"/>
      <c r="W184" s="376"/>
      <c r="X184" s="376"/>
      <c r="Y184" s="376"/>
      <c r="Z184" s="376"/>
      <c r="AA184" s="376"/>
      <c r="AB184" s="376"/>
      <c r="AC184" s="376"/>
      <c r="AD184" s="376"/>
      <c r="AE184" s="376"/>
      <c r="AF184" s="376"/>
      <c r="AG184" s="376"/>
      <c r="AH184" s="376"/>
      <c r="AI184" s="376"/>
      <c r="AJ184" s="376"/>
      <c r="AK184" s="258"/>
    </row>
    <row r="185" spans="1:37" ht="13.5" customHeight="1">
      <c r="A185" s="1"/>
      <c r="B185" s="258"/>
      <c r="C185" s="259" t="s">
        <v>511</v>
      </c>
      <c r="D185" s="376"/>
      <c r="E185" s="376"/>
      <c r="F185" s="376"/>
      <c r="G185" s="376"/>
      <c r="H185" s="376"/>
      <c r="I185" s="376"/>
      <c r="J185" s="376"/>
      <c r="K185" s="376"/>
      <c r="L185" s="376"/>
      <c r="M185" s="376"/>
      <c r="N185" s="376"/>
      <c r="O185" s="376"/>
      <c r="P185" s="376"/>
      <c r="Q185" s="376"/>
      <c r="R185" s="376"/>
      <c r="S185" s="376"/>
      <c r="T185" s="376"/>
      <c r="U185" s="376"/>
      <c r="V185" s="376"/>
      <c r="W185" s="376"/>
      <c r="X185" s="376"/>
      <c r="Y185" s="376"/>
      <c r="Z185" s="376"/>
      <c r="AA185" s="376"/>
      <c r="AB185" s="376"/>
      <c r="AC185" s="376"/>
      <c r="AD185" s="376"/>
      <c r="AE185" s="376"/>
      <c r="AF185" s="376"/>
      <c r="AG185" s="376"/>
      <c r="AH185" s="376"/>
      <c r="AI185" s="376"/>
      <c r="AJ185" s="376"/>
      <c r="AK185" s="258"/>
    </row>
    <row r="186" spans="1:37" ht="13.5" customHeight="1">
      <c r="A186" s="1"/>
      <c r="B186" s="258"/>
      <c r="C186" s="376"/>
      <c r="D186" s="376"/>
      <c r="E186" s="376"/>
      <c r="F186" s="376"/>
      <c r="G186" s="376"/>
      <c r="H186" s="376"/>
      <c r="I186" s="376"/>
      <c r="J186" s="376"/>
      <c r="K186" s="376"/>
      <c r="L186" s="376"/>
      <c r="M186" s="376"/>
      <c r="N186" s="376"/>
      <c r="O186" s="376"/>
      <c r="P186" s="376"/>
      <c r="Q186" s="376"/>
      <c r="R186" s="376"/>
      <c r="S186" s="376"/>
      <c r="T186" s="376"/>
      <c r="U186" s="376"/>
      <c r="V186" s="376"/>
      <c r="W186" s="376"/>
      <c r="X186" s="376"/>
      <c r="Y186" s="376"/>
      <c r="Z186" s="376"/>
      <c r="AA186" s="376"/>
      <c r="AB186" s="376"/>
      <c r="AC186" s="376"/>
      <c r="AD186" s="376"/>
      <c r="AE186" s="376"/>
      <c r="AF186" s="376"/>
      <c r="AG186" s="376"/>
      <c r="AH186" s="376"/>
      <c r="AI186" s="376"/>
      <c r="AJ186" s="376"/>
      <c r="AK186" s="258"/>
    </row>
    <row r="187" spans="1:37" ht="13.5" customHeight="1">
      <c r="A187" s="1"/>
      <c r="B187" s="258"/>
      <c r="C187" s="376" t="s">
        <v>540</v>
      </c>
      <c r="D187" s="376"/>
      <c r="E187" s="376"/>
      <c r="F187" s="376"/>
      <c r="G187" s="376"/>
      <c r="H187" s="376"/>
      <c r="I187" s="376"/>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6"/>
      <c r="AK187" s="258"/>
    </row>
    <row r="188" spans="1:37" ht="13.5" customHeight="1">
      <c r="A188" s="1"/>
      <c r="B188" s="258"/>
      <c r="C188" s="258"/>
      <c r="D188" s="258"/>
      <c r="E188" s="258"/>
      <c r="F188" s="258"/>
      <c r="G188" s="258"/>
      <c r="H188" s="258"/>
      <c r="I188" s="258"/>
      <c r="J188" s="258"/>
      <c r="K188" s="258"/>
      <c r="L188" s="258"/>
      <c r="M188" s="258"/>
      <c r="N188" s="258"/>
      <c r="O188" s="258"/>
      <c r="P188" s="258"/>
      <c r="Q188" s="258"/>
      <c r="R188" s="258"/>
      <c r="S188" s="258"/>
      <c r="T188" s="258"/>
      <c r="U188" s="258"/>
      <c r="V188" s="258"/>
      <c r="W188" s="258"/>
      <c r="X188" s="258"/>
      <c r="Y188" s="258"/>
      <c r="Z188" s="258"/>
      <c r="AA188" s="258"/>
      <c r="AB188" s="258"/>
      <c r="AC188" s="258"/>
      <c r="AD188" s="258"/>
      <c r="AE188" s="258"/>
      <c r="AF188" s="258"/>
      <c r="AG188" s="258"/>
      <c r="AH188" s="258"/>
      <c r="AI188" s="258"/>
      <c r="AJ188" s="258"/>
      <c r="AK188" s="258"/>
    </row>
    <row r="189" spans="1:37" ht="13.5" customHeight="1">
      <c r="A189" s="1"/>
      <c r="B189" s="258"/>
      <c r="C189" s="441" t="s">
        <v>541</v>
      </c>
      <c r="D189" s="376"/>
      <c r="E189" s="376"/>
      <c r="F189" s="376"/>
      <c r="G189" s="376"/>
      <c r="H189" s="376"/>
      <c r="I189" s="376"/>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6"/>
      <c r="AK189" s="258"/>
    </row>
    <row r="190" spans="1:37" ht="13.5" customHeight="1">
      <c r="A190" s="1">
        <v>3</v>
      </c>
      <c r="B190" s="258"/>
      <c r="C190" s="313" t="s">
        <v>542</v>
      </c>
      <c r="D190" s="376"/>
      <c r="E190" s="376"/>
      <c r="F190" s="376" t="s">
        <v>543</v>
      </c>
      <c r="G190" s="376"/>
      <c r="H190" s="376"/>
      <c r="I190" s="376"/>
      <c r="J190" s="376"/>
      <c r="K190" s="376"/>
      <c r="L190" s="376"/>
      <c r="M190" s="376"/>
      <c r="N190" s="376"/>
      <c r="O190" s="376"/>
      <c r="P190" s="376"/>
      <c r="Q190" s="376"/>
      <c r="R190" s="376"/>
      <c r="S190" s="376"/>
      <c r="T190" s="376"/>
      <c r="U190" s="376"/>
      <c r="V190" s="376"/>
      <c r="W190" s="376"/>
      <c r="X190" s="376"/>
      <c r="Y190" s="376"/>
      <c r="Z190" s="376"/>
      <c r="AA190" s="376"/>
      <c r="AB190" s="376"/>
      <c r="AC190" s="376"/>
      <c r="AD190" s="376"/>
      <c r="AE190" s="376"/>
      <c r="AF190" s="376"/>
      <c r="AG190" s="376"/>
      <c r="AH190" s="376"/>
      <c r="AI190" s="376"/>
      <c r="AJ190" s="376"/>
      <c r="AK190" s="258"/>
    </row>
    <row r="191" spans="1:37" ht="13.5" customHeight="1">
      <c r="A191" s="1">
        <v>3</v>
      </c>
      <c r="B191" s="258"/>
      <c r="C191" s="313" t="s">
        <v>544</v>
      </c>
      <c r="D191" s="376"/>
      <c r="E191" s="376"/>
      <c r="F191" s="376" t="s">
        <v>545</v>
      </c>
      <c r="G191" s="376"/>
      <c r="H191" s="376"/>
      <c r="I191" s="376"/>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6"/>
      <c r="AK191" s="258"/>
    </row>
    <row r="192" spans="1:37" ht="13.5" customHeight="1">
      <c r="A192" s="1">
        <v>3</v>
      </c>
      <c r="B192" s="258"/>
      <c r="C192" s="313" t="s">
        <v>546</v>
      </c>
      <c r="D192" s="376"/>
      <c r="E192" s="376"/>
      <c r="F192" s="376" t="s">
        <v>547</v>
      </c>
      <c r="G192" s="376"/>
      <c r="H192" s="376"/>
      <c r="I192" s="376"/>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76"/>
      <c r="AH192" s="376"/>
      <c r="AI192" s="376"/>
      <c r="AJ192" s="376"/>
      <c r="AK192" s="258"/>
    </row>
    <row r="193" spans="1:37" ht="13.5" customHeight="1">
      <c r="A193" s="1"/>
      <c r="B193" s="258"/>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8"/>
      <c r="AA193" s="258"/>
      <c r="AB193" s="258"/>
      <c r="AC193" s="258"/>
      <c r="AD193" s="258"/>
      <c r="AE193" s="258"/>
      <c r="AF193" s="258"/>
      <c r="AG193" s="258"/>
      <c r="AH193" s="258"/>
      <c r="AI193" s="258"/>
      <c r="AJ193" s="258"/>
      <c r="AK193" s="258"/>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v>1</v>
      </c>
      <c r="C196" s="1" t="s">
        <v>548</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v>2</v>
      </c>
      <c r="C197" s="1" t="s">
        <v>549</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v>3</v>
      </c>
      <c r="C198" s="442" t="s">
        <v>550</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E457"/>
  <sheetViews>
    <sheetView workbookViewId="0">
      <pane ySplit="1" topLeftCell="A248" activePane="bottomLeft" state="frozen"/>
      <selection pane="bottomLeft" activeCell="E194" sqref="E194"/>
    </sheetView>
  </sheetViews>
  <sheetFormatPr defaultColWidth="12.6640625" defaultRowHeight="15" customHeight="1"/>
  <cols>
    <col min="1" max="1" width="8.77734375" customWidth="1"/>
    <col min="2" max="2" width="2.44140625" customWidth="1"/>
    <col min="3" max="3" width="16.77734375" customWidth="1"/>
    <col min="4" max="4" width="58.21875" customWidth="1"/>
    <col min="5" max="57" width="8.44140625" customWidth="1"/>
  </cols>
  <sheetData>
    <row r="1" spans="1:57" ht="13.5" customHeight="1">
      <c r="A1" s="619"/>
      <c r="B1" s="52"/>
      <c r="C1" s="443" t="s">
        <v>551</v>
      </c>
      <c r="D1" s="621" t="s">
        <v>6</v>
      </c>
      <c r="E1" s="374">
        <v>2018</v>
      </c>
      <c r="F1" s="374">
        <v>2019</v>
      </c>
      <c r="G1" s="374">
        <v>2020</v>
      </c>
      <c r="H1" s="373">
        <v>2021</v>
      </c>
      <c r="I1" s="373">
        <v>2022</v>
      </c>
      <c r="J1" s="373">
        <v>2023</v>
      </c>
      <c r="K1" s="373">
        <v>2024</v>
      </c>
      <c r="L1" s="373">
        <v>2025</v>
      </c>
      <c r="M1" s="373">
        <v>2026</v>
      </c>
      <c r="N1" s="373">
        <v>2027</v>
      </c>
      <c r="O1" s="373">
        <v>2028</v>
      </c>
      <c r="P1" s="373">
        <v>2029</v>
      </c>
      <c r="Q1" s="373">
        <v>2030</v>
      </c>
      <c r="R1" s="373">
        <v>2031</v>
      </c>
      <c r="S1" s="373">
        <v>2032</v>
      </c>
      <c r="T1" s="373">
        <v>2033</v>
      </c>
      <c r="U1" s="373">
        <v>2034</v>
      </c>
      <c r="V1" s="373">
        <v>2035</v>
      </c>
      <c r="W1" s="373">
        <v>2036</v>
      </c>
      <c r="X1" s="373">
        <v>2037</v>
      </c>
      <c r="Y1" s="373">
        <v>2038</v>
      </c>
      <c r="Z1" s="373">
        <v>2039</v>
      </c>
      <c r="AA1" s="373">
        <v>2040</v>
      </c>
      <c r="AB1" s="373">
        <v>2041</v>
      </c>
      <c r="AC1" s="373">
        <v>2042</v>
      </c>
      <c r="AD1" s="373">
        <v>2043</v>
      </c>
      <c r="AE1" s="373">
        <v>2044</v>
      </c>
      <c r="AF1" s="373">
        <v>2045</v>
      </c>
      <c r="AG1" s="373">
        <v>2046</v>
      </c>
      <c r="AH1" s="373">
        <v>2047</v>
      </c>
      <c r="AI1" s="373">
        <v>2048</v>
      </c>
      <c r="AJ1" s="373">
        <v>2049</v>
      </c>
      <c r="AK1" s="373">
        <v>2050</v>
      </c>
      <c r="AL1" s="373">
        <v>2051</v>
      </c>
      <c r="AM1" s="373">
        <v>2052</v>
      </c>
      <c r="AN1" s="373">
        <v>2053</v>
      </c>
      <c r="AO1" s="373">
        <v>2054</v>
      </c>
      <c r="AP1" s="373">
        <v>2055</v>
      </c>
      <c r="AQ1" s="373">
        <v>2056</v>
      </c>
      <c r="AR1" s="373">
        <v>2057</v>
      </c>
      <c r="AS1" s="373">
        <v>2058</v>
      </c>
      <c r="AT1" s="373">
        <v>2059</v>
      </c>
      <c r="AU1" s="373">
        <v>2060</v>
      </c>
      <c r="AV1" s="373">
        <v>2061</v>
      </c>
      <c r="AW1" s="373">
        <v>2062</v>
      </c>
      <c r="AX1" s="373">
        <v>2063</v>
      </c>
      <c r="AY1" s="373">
        <v>2064</v>
      </c>
      <c r="AZ1" s="373">
        <v>2065</v>
      </c>
      <c r="BA1" s="373">
        <v>2066</v>
      </c>
      <c r="BB1" s="373">
        <v>2067</v>
      </c>
      <c r="BC1" s="373">
        <v>2068</v>
      </c>
      <c r="BD1" s="373">
        <v>2069</v>
      </c>
      <c r="BE1" s="373">
        <v>2070</v>
      </c>
    </row>
    <row r="2" spans="1:57"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ht="13.5" customHeight="1">
      <c r="A3" s="619"/>
      <c r="B3" s="23"/>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row>
    <row r="4" spans="1:57" ht="21">
      <c r="A4" s="619"/>
      <c r="B4" s="253"/>
      <c r="C4" s="258"/>
      <c r="D4" s="444" t="s">
        <v>477</v>
      </c>
      <c r="E4" s="445"/>
      <c r="F4" s="445"/>
      <c r="G4" s="445"/>
      <c r="H4" s="445"/>
      <c r="I4" s="445"/>
      <c r="J4" s="445"/>
      <c r="K4" s="445"/>
      <c r="L4" s="445"/>
      <c r="M4" s="445"/>
      <c r="N4" s="445"/>
      <c r="O4" s="445"/>
      <c r="P4" s="445"/>
      <c r="Q4" s="445"/>
      <c r="R4" s="445"/>
      <c r="S4" s="445"/>
      <c r="T4" s="445"/>
      <c r="U4" s="445"/>
      <c r="V4" s="445"/>
      <c r="W4" s="445"/>
      <c r="X4" s="445"/>
      <c r="Y4" s="445"/>
      <c r="Z4" s="445"/>
      <c r="AA4" s="445"/>
      <c r="AB4" s="445"/>
      <c r="AC4" s="445"/>
      <c r="AD4" s="445"/>
      <c r="AE4" s="445"/>
      <c r="AF4" s="445"/>
      <c r="AG4" s="445"/>
      <c r="AH4" s="445"/>
      <c r="AI4" s="445"/>
      <c r="AJ4" s="445"/>
      <c r="AK4" s="445"/>
      <c r="AL4" s="445"/>
      <c r="AM4" s="445"/>
      <c r="AN4" s="445"/>
      <c r="AO4" s="445"/>
      <c r="AP4" s="445"/>
      <c r="AQ4" s="445"/>
      <c r="AR4" s="445"/>
      <c r="AS4" s="445"/>
      <c r="AT4" s="445"/>
      <c r="AU4" s="445"/>
      <c r="AV4" s="445"/>
      <c r="AW4" s="445"/>
      <c r="AX4" s="445"/>
      <c r="AY4" s="445"/>
      <c r="AZ4" s="445"/>
      <c r="BA4" s="445"/>
      <c r="BB4" s="445"/>
      <c r="BC4" s="445"/>
      <c r="BD4" s="445"/>
      <c r="BE4" s="445"/>
    </row>
    <row r="5" spans="1:57" ht="13.5" customHeight="1">
      <c r="A5" s="619"/>
      <c r="B5" s="253"/>
      <c r="C5" s="258"/>
      <c r="D5" s="446"/>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5"/>
      <c r="AL5" s="445"/>
      <c r="AM5" s="445"/>
      <c r="AN5" s="445"/>
      <c r="AO5" s="445"/>
      <c r="AP5" s="445"/>
      <c r="AQ5" s="445"/>
      <c r="AR5" s="445"/>
      <c r="AS5" s="445"/>
      <c r="AT5" s="445"/>
      <c r="AU5" s="445"/>
      <c r="AV5" s="445"/>
      <c r="AW5" s="445"/>
      <c r="AX5" s="445"/>
      <c r="AY5" s="445"/>
      <c r="AZ5" s="445"/>
      <c r="BA5" s="445"/>
      <c r="BB5" s="445"/>
      <c r="BC5" s="445"/>
      <c r="BD5" s="445"/>
      <c r="BE5" s="445"/>
    </row>
    <row r="6" spans="1:57" ht="13.5" customHeight="1">
      <c r="A6" s="619"/>
      <c r="B6" s="253"/>
      <c r="C6" s="258"/>
      <c r="D6" s="65"/>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7"/>
      <c r="AL6" s="67"/>
      <c r="AM6" s="67"/>
      <c r="AN6" s="67"/>
      <c r="AO6" s="67"/>
      <c r="AP6" s="67"/>
      <c r="AQ6" s="67"/>
      <c r="AR6" s="67"/>
      <c r="AS6" s="67"/>
      <c r="AT6" s="67"/>
      <c r="AU6" s="67"/>
      <c r="AV6" s="67"/>
      <c r="AW6" s="67"/>
      <c r="AX6" s="67"/>
      <c r="AY6" s="67"/>
      <c r="AZ6" s="67"/>
      <c r="BA6" s="67"/>
      <c r="BB6" s="67"/>
      <c r="BC6" s="67"/>
      <c r="BD6" s="67"/>
      <c r="BE6" s="67"/>
    </row>
    <row r="7" spans="1:57" ht="13.5" customHeight="1">
      <c r="A7" s="619"/>
      <c r="B7" s="253"/>
      <c r="C7" s="258"/>
      <c r="D7" s="68" t="s">
        <v>552</v>
      </c>
      <c r="E7" s="376"/>
      <c r="F7" s="376"/>
      <c r="G7" s="376"/>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69"/>
      <c r="AL7" s="69"/>
      <c r="AM7" s="69"/>
      <c r="AN7" s="69"/>
      <c r="AO7" s="69"/>
      <c r="AP7" s="69"/>
      <c r="AQ7" s="69"/>
      <c r="AR7" s="69"/>
      <c r="AS7" s="69"/>
      <c r="AT7" s="69"/>
      <c r="AU7" s="69"/>
      <c r="AV7" s="69"/>
      <c r="AW7" s="69"/>
      <c r="AX7" s="69"/>
      <c r="AY7" s="69"/>
      <c r="AZ7" s="69"/>
      <c r="BA7" s="69"/>
      <c r="BB7" s="69"/>
      <c r="BC7" s="69"/>
      <c r="BD7" s="69"/>
      <c r="BE7" s="69"/>
    </row>
    <row r="8" spans="1:57" ht="13.5" customHeight="1">
      <c r="A8" s="619"/>
      <c r="B8" s="253"/>
      <c r="C8" s="258"/>
      <c r="D8" s="70"/>
      <c r="E8" s="376"/>
      <c r="F8" s="376"/>
      <c r="G8" s="376"/>
      <c r="H8" s="376"/>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376"/>
      <c r="AK8" s="69"/>
      <c r="AL8" s="69"/>
      <c r="AM8" s="69"/>
      <c r="AN8" s="69"/>
      <c r="AO8" s="69"/>
      <c r="AP8" s="69"/>
      <c r="AQ8" s="69"/>
      <c r="AR8" s="69"/>
      <c r="AS8" s="69"/>
      <c r="AT8" s="69"/>
      <c r="AU8" s="69"/>
      <c r="AV8" s="69"/>
      <c r="AW8" s="69"/>
      <c r="AX8" s="69"/>
      <c r="AY8" s="69"/>
      <c r="AZ8" s="69"/>
      <c r="BA8" s="69"/>
      <c r="BB8" s="69"/>
      <c r="BC8" s="69"/>
      <c r="BD8" s="69"/>
      <c r="BE8" s="69"/>
    </row>
    <row r="9" spans="1:57" ht="13.5" customHeight="1">
      <c r="A9" s="619"/>
      <c r="B9" s="253"/>
      <c r="C9" s="258"/>
      <c r="D9" s="68" t="s">
        <v>553</v>
      </c>
      <c r="E9" s="376"/>
      <c r="F9" s="376"/>
      <c r="G9" s="376"/>
      <c r="H9" s="376"/>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76"/>
      <c r="AH9" s="376"/>
      <c r="AI9" s="376"/>
      <c r="AJ9" s="376"/>
      <c r="AK9" s="69"/>
      <c r="AL9" s="69"/>
      <c r="AM9" s="69"/>
      <c r="AN9" s="69"/>
      <c r="AO9" s="69"/>
      <c r="AP9" s="69"/>
      <c r="AQ9" s="69"/>
      <c r="AR9" s="69"/>
      <c r="AS9" s="69"/>
      <c r="AT9" s="69"/>
      <c r="AU9" s="69"/>
      <c r="AV9" s="69"/>
      <c r="AW9" s="69"/>
      <c r="AX9" s="69"/>
      <c r="AY9" s="69"/>
      <c r="AZ9" s="69"/>
      <c r="BA9" s="69"/>
      <c r="BB9" s="69"/>
      <c r="BC9" s="69"/>
      <c r="BD9" s="69"/>
      <c r="BE9" s="69"/>
    </row>
    <row r="10" spans="1:57" ht="13.5" customHeight="1">
      <c r="A10" s="619"/>
      <c r="B10" s="253"/>
      <c r="C10" s="258"/>
      <c r="D10" s="71"/>
      <c r="E10" s="376"/>
      <c r="F10" s="376"/>
      <c r="G10" s="376"/>
      <c r="H10" s="376"/>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76"/>
      <c r="AH10" s="376"/>
      <c r="AI10" s="376"/>
      <c r="AJ10" s="376"/>
      <c r="AK10" s="69"/>
      <c r="AL10" s="69"/>
      <c r="AM10" s="69"/>
      <c r="AN10" s="69"/>
      <c r="AO10" s="69"/>
      <c r="AP10" s="69"/>
      <c r="AQ10" s="69"/>
      <c r="AR10" s="69"/>
      <c r="AS10" s="69"/>
      <c r="AT10" s="69"/>
      <c r="AU10" s="69"/>
      <c r="AV10" s="69"/>
      <c r="AW10" s="69"/>
      <c r="AX10" s="69"/>
      <c r="AY10" s="69"/>
      <c r="AZ10" s="69"/>
      <c r="BA10" s="69"/>
      <c r="BB10" s="69"/>
      <c r="BC10" s="69"/>
      <c r="BD10" s="69"/>
      <c r="BE10" s="69"/>
    </row>
    <row r="11" spans="1:57" ht="13.5" customHeight="1">
      <c r="A11" s="619"/>
      <c r="B11" s="253"/>
      <c r="C11" s="258"/>
      <c r="D11" s="72" t="s">
        <v>131</v>
      </c>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4"/>
      <c r="AL11" s="74">
        <f t="shared" ref="AL11:BE11" si="0">AK11</f>
        <v>0</v>
      </c>
      <c r="AM11" s="74">
        <f t="shared" si="0"/>
        <v>0</v>
      </c>
      <c r="AN11" s="74">
        <f t="shared" si="0"/>
        <v>0</v>
      </c>
      <c r="AO11" s="74">
        <f t="shared" si="0"/>
        <v>0</v>
      </c>
      <c r="AP11" s="74">
        <f t="shared" si="0"/>
        <v>0</v>
      </c>
      <c r="AQ11" s="74">
        <f t="shared" si="0"/>
        <v>0</v>
      </c>
      <c r="AR11" s="74">
        <f t="shared" si="0"/>
        <v>0</v>
      </c>
      <c r="AS11" s="74">
        <f t="shared" si="0"/>
        <v>0</v>
      </c>
      <c r="AT11" s="74">
        <f t="shared" si="0"/>
        <v>0</v>
      </c>
      <c r="AU11" s="74">
        <f t="shared" si="0"/>
        <v>0</v>
      </c>
      <c r="AV11" s="74">
        <f t="shared" si="0"/>
        <v>0</v>
      </c>
      <c r="AW11" s="74">
        <f t="shared" si="0"/>
        <v>0</v>
      </c>
      <c r="AX11" s="74">
        <f t="shared" si="0"/>
        <v>0</v>
      </c>
      <c r="AY11" s="74">
        <f t="shared" si="0"/>
        <v>0</v>
      </c>
      <c r="AZ11" s="74">
        <f t="shared" si="0"/>
        <v>0</v>
      </c>
      <c r="BA11" s="74">
        <f t="shared" si="0"/>
        <v>0</v>
      </c>
      <c r="BB11" s="74">
        <f t="shared" si="0"/>
        <v>0</v>
      </c>
      <c r="BC11" s="74">
        <f t="shared" si="0"/>
        <v>0</v>
      </c>
      <c r="BD11" s="74">
        <f t="shared" si="0"/>
        <v>0</v>
      </c>
      <c r="BE11" s="74">
        <f t="shared" si="0"/>
        <v>0</v>
      </c>
    </row>
    <row r="12" spans="1:57" ht="13.5" customHeight="1">
      <c r="A12" s="619"/>
      <c r="B12" s="253"/>
      <c r="C12" s="258"/>
      <c r="D12" s="75" t="s">
        <v>132</v>
      </c>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c r="AH12" s="447"/>
      <c r="AI12" s="447"/>
      <c r="AJ12" s="447"/>
      <c r="AK12" s="76"/>
      <c r="AL12" s="74">
        <f t="shared" ref="AL12:BE12" si="1">AK12</f>
        <v>0</v>
      </c>
      <c r="AM12" s="74">
        <f t="shared" si="1"/>
        <v>0</v>
      </c>
      <c r="AN12" s="74">
        <f t="shared" si="1"/>
        <v>0</v>
      </c>
      <c r="AO12" s="74">
        <f t="shared" si="1"/>
        <v>0</v>
      </c>
      <c r="AP12" s="74">
        <f t="shared" si="1"/>
        <v>0</v>
      </c>
      <c r="AQ12" s="74">
        <f t="shared" si="1"/>
        <v>0</v>
      </c>
      <c r="AR12" s="74">
        <f t="shared" si="1"/>
        <v>0</v>
      </c>
      <c r="AS12" s="74">
        <f t="shared" si="1"/>
        <v>0</v>
      </c>
      <c r="AT12" s="74">
        <f t="shared" si="1"/>
        <v>0</v>
      </c>
      <c r="AU12" s="74">
        <f t="shared" si="1"/>
        <v>0</v>
      </c>
      <c r="AV12" s="74">
        <f t="shared" si="1"/>
        <v>0</v>
      </c>
      <c r="AW12" s="74">
        <f t="shared" si="1"/>
        <v>0</v>
      </c>
      <c r="AX12" s="74">
        <f t="shared" si="1"/>
        <v>0</v>
      </c>
      <c r="AY12" s="74">
        <f t="shared" si="1"/>
        <v>0</v>
      </c>
      <c r="AZ12" s="74">
        <f t="shared" si="1"/>
        <v>0</v>
      </c>
      <c r="BA12" s="74">
        <f t="shared" si="1"/>
        <v>0</v>
      </c>
      <c r="BB12" s="74">
        <f t="shared" si="1"/>
        <v>0</v>
      </c>
      <c r="BC12" s="74">
        <f t="shared" si="1"/>
        <v>0</v>
      </c>
      <c r="BD12" s="74">
        <f t="shared" si="1"/>
        <v>0</v>
      </c>
      <c r="BE12" s="74">
        <f t="shared" si="1"/>
        <v>0</v>
      </c>
    </row>
    <row r="13" spans="1:57" ht="13.5" customHeight="1">
      <c r="A13" s="619" t="s">
        <v>554</v>
      </c>
      <c r="B13" s="253"/>
      <c r="C13" s="258" t="s">
        <v>133</v>
      </c>
      <c r="D13" s="77" t="s">
        <v>134</v>
      </c>
      <c r="E13" s="376">
        <f>'Costos Sector Eléctrico'!E11</f>
        <v>2600</v>
      </c>
      <c r="F13" s="376">
        <f>'Costos Sector Eléctrico'!F11</f>
        <v>2593.5</v>
      </c>
      <c r="G13" s="376">
        <f>'Costos Sector Eléctrico'!G11</f>
        <v>2587</v>
      </c>
      <c r="H13" s="376">
        <f>'Costos Sector Eléctrico'!H11</f>
        <v>2580.5</v>
      </c>
      <c r="I13" s="376">
        <f>'Costos Sector Eléctrico'!I11</f>
        <v>2574</v>
      </c>
      <c r="J13" s="376">
        <f>'Costos Sector Eléctrico'!J11</f>
        <v>2567.5</v>
      </c>
      <c r="K13" s="376">
        <f>'Costos Sector Eléctrico'!K11</f>
        <v>2561</v>
      </c>
      <c r="L13" s="376">
        <f>'Costos Sector Eléctrico'!L11</f>
        <v>2554.5</v>
      </c>
      <c r="M13" s="376">
        <f>'Costos Sector Eléctrico'!M11</f>
        <v>2548</v>
      </c>
      <c r="N13" s="376">
        <f>'Costos Sector Eléctrico'!N11</f>
        <v>2541.5</v>
      </c>
      <c r="O13" s="376">
        <f>'Costos Sector Eléctrico'!O11</f>
        <v>2535</v>
      </c>
      <c r="P13" s="376">
        <f>'Costos Sector Eléctrico'!P11</f>
        <v>2528.5</v>
      </c>
      <c r="Q13" s="376">
        <f>'Costos Sector Eléctrico'!Q11</f>
        <v>2522</v>
      </c>
      <c r="R13" s="376">
        <f>'Costos Sector Eléctrico'!R11</f>
        <v>2515.5</v>
      </c>
      <c r="S13" s="376">
        <f>'Costos Sector Eléctrico'!S11</f>
        <v>2509</v>
      </c>
      <c r="T13" s="376">
        <f>'Costos Sector Eléctrico'!T11</f>
        <v>2502.5</v>
      </c>
      <c r="U13" s="376">
        <f>'Costos Sector Eléctrico'!U11</f>
        <v>2496</v>
      </c>
      <c r="V13" s="376">
        <f>'Costos Sector Eléctrico'!V11</f>
        <v>2489.5</v>
      </c>
      <c r="W13" s="376">
        <f>'Costos Sector Eléctrico'!W11</f>
        <v>2483</v>
      </c>
      <c r="X13" s="376">
        <f>'Costos Sector Eléctrico'!X11</f>
        <v>2476.5</v>
      </c>
      <c r="Y13" s="376">
        <f>'Costos Sector Eléctrico'!Y11</f>
        <v>2470</v>
      </c>
      <c r="Z13" s="376">
        <f>'Costos Sector Eléctrico'!Z11</f>
        <v>2463.5</v>
      </c>
      <c r="AA13" s="376">
        <f>'Costos Sector Eléctrico'!AA11</f>
        <v>2457</v>
      </c>
      <c r="AB13" s="376">
        <f>'Costos Sector Eléctrico'!AB11</f>
        <v>2450.5</v>
      </c>
      <c r="AC13" s="376">
        <f>'Costos Sector Eléctrico'!AC11</f>
        <v>2444</v>
      </c>
      <c r="AD13" s="376">
        <f>'Costos Sector Eléctrico'!AD11</f>
        <v>2437.5</v>
      </c>
      <c r="AE13" s="376">
        <f>'Costos Sector Eléctrico'!AE11</f>
        <v>2431</v>
      </c>
      <c r="AF13" s="376">
        <f>'Costos Sector Eléctrico'!AF11</f>
        <v>2424.5</v>
      </c>
      <c r="AG13" s="376">
        <f>'Costos Sector Eléctrico'!AG11</f>
        <v>2418</v>
      </c>
      <c r="AH13" s="376">
        <f>'Costos Sector Eléctrico'!AH11</f>
        <v>2411.5</v>
      </c>
      <c r="AI13" s="376">
        <f>'Costos Sector Eléctrico'!AI11</f>
        <v>2405</v>
      </c>
      <c r="AJ13" s="376">
        <f>'Costos Sector Eléctrico'!AJ11</f>
        <v>2398.5</v>
      </c>
      <c r="AK13" s="69">
        <f>'Costos Sector Eléctrico'!AK11</f>
        <v>2392</v>
      </c>
      <c r="AL13" s="74">
        <f t="shared" ref="AL13:BE13" si="2">AK13</f>
        <v>2392</v>
      </c>
      <c r="AM13" s="74">
        <f t="shared" si="2"/>
        <v>2392</v>
      </c>
      <c r="AN13" s="74">
        <f t="shared" si="2"/>
        <v>2392</v>
      </c>
      <c r="AO13" s="74">
        <f t="shared" si="2"/>
        <v>2392</v>
      </c>
      <c r="AP13" s="74">
        <f t="shared" si="2"/>
        <v>2392</v>
      </c>
      <c r="AQ13" s="74">
        <f t="shared" si="2"/>
        <v>2392</v>
      </c>
      <c r="AR13" s="74">
        <f t="shared" si="2"/>
        <v>2392</v>
      </c>
      <c r="AS13" s="74">
        <f t="shared" si="2"/>
        <v>2392</v>
      </c>
      <c r="AT13" s="74">
        <f t="shared" si="2"/>
        <v>2392</v>
      </c>
      <c r="AU13" s="74">
        <f t="shared" si="2"/>
        <v>2392</v>
      </c>
      <c r="AV13" s="74">
        <f t="shared" si="2"/>
        <v>2392</v>
      </c>
      <c r="AW13" s="74">
        <f t="shared" si="2"/>
        <v>2392</v>
      </c>
      <c r="AX13" s="74">
        <f t="shared" si="2"/>
        <v>2392</v>
      </c>
      <c r="AY13" s="74">
        <f t="shared" si="2"/>
        <v>2392</v>
      </c>
      <c r="AZ13" s="74">
        <f t="shared" si="2"/>
        <v>2392</v>
      </c>
      <c r="BA13" s="74">
        <f t="shared" si="2"/>
        <v>2392</v>
      </c>
      <c r="BB13" s="74">
        <f t="shared" si="2"/>
        <v>2392</v>
      </c>
      <c r="BC13" s="74">
        <f t="shared" si="2"/>
        <v>2392</v>
      </c>
      <c r="BD13" s="74">
        <f t="shared" si="2"/>
        <v>2392</v>
      </c>
      <c r="BE13" s="74">
        <f t="shared" si="2"/>
        <v>2392</v>
      </c>
    </row>
    <row r="14" spans="1:57" ht="13.5" customHeight="1">
      <c r="A14" s="619">
        <v>1</v>
      </c>
      <c r="B14" s="253"/>
      <c r="C14" s="258" t="s">
        <v>135</v>
      </c>
      <c r="D14" s="78" t="s">
        <v>136</v>
      </c>
      <c r="E14" s="448">
        <f>'Costos Sector Eléctrico'!E18</f>
        <v>1643.8888888888889</v>
      </c>
      <c r="F14" s="448">
        <f>'Costos Sector Eléctrico'!F18</f>
        <v>1628.7048611111111</v>
      </c>
      <c r="G14" s="448">
        <f>'Costos Sector Eléctrico'!G18</f>
        <v>1613.5208333333333</v>
      </c>
      <c r="H14" s="448">
        <f>'Costos Sector Eléctrico'!H18</f>
        <v>1598.3368055555557</v>
      </c>
      <c r="I14" s="448">
        <f>'Costos Sector Eléctrico'!I18</f>
        <v>1583.1527777777778</v>
      </c>
      <c r="J14" s="448">
        <f>'Costos Sector Eléctrico'!J18</f>
        <v>1567.96875</v>
      </c>
      <c r="K14" s="448">
        <f>'Costos Sector Eléctrico'!K18</f>
        <v>1552.7847222222222</v>
      </c>
      <c r="L14" s="448">
        <f>'Costos Sector Eléctrico'!L18</f>
        <v>1537.6006944444443</v>
      </c>
      <c r="M14" s="448">
        <f>'Costos Sector Eléctrico'!M18</f>
        <v>1522.4166666666667</v>
      </c>
      <c r="N14" s="448">
        <f>'Costos Sector Eléctrico'!N18</f>
        <v>1507.2326388888889</v>
      </c>
      <c r="O14" s="448">
        <f>'Costos Sector Eléctrico'!O18</f>
        <v>1492.0486111111111</v>
      </c>
      <c r="P14" s="448">
        <f>'Costos Sector Eléctrico'!P18</f>
        <v>1476.8645833333333</v>
      </c>
      <c r="Q14" s="448">
        <f>'Costos Sector Eléctrico'!Q18</f>
        <v>1461.6805555555557</v>
      </c>
      <c r="R14" s="448">
        <f>'Costos Sector Eléctrico'!R18</f>
        <v>1446.4965277777778</v>
      </c>
      <c r="S14" s="448">
        <f>'Costos Sector Eléctrico'!S18</f>
        <v>1431.3125</v>
      </c>
      <c r="T14" s="448">
        <f>'Costos Sector Eléctrico'!T18</f>
        <v>1416.1284722222222</v>
      </c>
      <c r="U14" s="448">
        <f>'Costos Sector Eléctrico'!U18</f>
        <v>1400.9444444444443</v>
      </c>
      <c r="V14" s="448">
        <f>'Costos Sector Eléctrico'!V18</f>
        <v>1385.7604166666667</v>
      </c>
      <c r="W14" s="448">
        <f>'Costos Sector Eléctrico'!W18</f>
        <v>1370.5763888888889</v>
      </c>
      <c r="X14" s="448">
        <f>'Costos Sector Eléctrico'!X18</f>
        <v>1355.3923611111111</v>
      </c>
      <c r="Y14" s="448">
        <f>'Costos Sector Eléctrico'!Y18</f>
        <v>1340.2083333333335</v>
      </c>
      <c r="Z14" s="448">
        <f>'Costos Sector Eléctrico'!Z18</f>
        <v>1325.0243055555557</v>
      </c>
      <c r="AA14" s="448">
        <f>'Costos Sector Eléctrico'!AA18</f>
        <v>1309.8402777777778</v>
      </c>
      <c r="AB14" s="448">
        <f>'Costos Sector Eléctrico'!AB18</f>
        <v>1294.65625</v>
      </c>
      <c r="AC14" s="448">
        <f>'Costos Sector Eléctrico'!AC18</f>
        <v>1279.4722222222222</v>
      </c>
      <c r="AD14" s="448">
        <f>'Costos Sector Eléctrico'!AD18</f>
        <v>1264.2881944444443</v>
      </c>
      <c r="AE14" s="448">
        <f>'Costos Sector Eléctrico'!AE18</f>
        <v>1249.1041666666667</v>
      </c>
      <c r="AF14" s="448">
        <f>'Costos Sector Eléctrico'!AF18</f>
        <v>1233.9201388888889</v>
      </c>
      <c r="AG14" s="448">
        <f>'Costos Sector Eléctrico'!AG18</f>
        <v>1218.7361111111111</v>
      </c>
      <c r="AH14" s="448">
        <f>'Costos Sector Eléctrico'!AH18</f>
        <v>1203.5520833333333</v>
      </c>
      <c r="AI14" s="448">
        <f>'Costos Sector Eléctrico'!AI18</f>
        <v>1188.3680555555557</v>
      </c>
      <c r="AJ14" s="448">
        <f>'Costos Sector Eléctrico'!AJ18</f>
        <v>1173.1840277777778</v>
      </c>
      <c r="AK14" s="79">
        <f>'Costos Sector Eléctrico'!AK18</f>
        <v>1158</v>
      </c>
      <c r="AL14" s="80">
        <f t="shared" ref="AL14:BE14" si="3">AK14</f>
        <v>1158</v>
      </c>
      <c r="AM14" s="80">
        <f t="shared" si="3"/>
        <v>1158</v>
      </c>
      <c r="AN14" s="80">
        <f t="shared" si="3"/>
        <v>1158</v>
      </c>
      <c r="AO14" s="80">
        <f t="shared" si="3"/>
        <v>1158</v>
      </c>
      <c r="AP14" s="80">
        <f t="shared" si="3"/>
        <v>1158</v>
      </c>
      <c r="AQ14" s="80">
        <f t="shared" si="3"/>
        <v>1158</v>
      </c>
      <c r="AR14" s="80">
        <f t="shared" si="3"/>
        <v>1158</v>
      </c>
      <c r="AS14" s="80">
        <f t="shared" si="3"/>
        <v>1158</v>
      </c>
      <c r="AT14" s="80">
        <f t="shared" si="3"/>
        <v>1158</v>
      </c>
      <c r="AU14" s="80">
        <f t="shared" si="3"/>
        <v>1158</v>
      </c>
      <c r="AV14" s="80">
        <f t="shared" si="3"/>
        <v>1158</v>
      </c>
      <c r="AW14" s="80">
        <f t="shared" si="3"/>
        <v>1158</v>
      </c>
      <c r="AX14" s="80">
        <f t="shared" si="3"/>
        <v>1158</v>
      </c>
      <c r="AY14" s="80">
        <f t="shared" si="3"/>
        <v>1158</v>
      </c>
      <c r="AZ14" s="80">
        <f t="shared" si="3"/>
        <v>1158</v>
      </c>
      <c r="BA14" s="80">
        <f t="shared" si="3"/>
        <v>1158</v>
      </c>
      <c r="BB14" s="80">
        <f t="shared" si="3"/>
        <v>1158</v>
      </c>
      <c r="BC14" s="80">
        <f t="shared" si="3"/>
        <v>1158</v>
      </c>
      <c r="BD14" s="80">
        <f t="shared" si="3"/>
        <v>1158</v>
      </c>
      <c r="BE14" s="80">
        <f t="shared" si="3"/>
        <v>1158</v>
      </c>
    </row>
    <row r="15" spans="1:57" ht="13.5" customHeight="1">
      <c r="A15" s="619"/>
      <c r="B15" s="253"/>
      <c r="C15" s="258"/>
      <c r="D15" s="78" t="s">
        <v>137</v>
      </c>
      <c r="E15" s="449"/>
      <c r="F15" s="262"/>
      <c r="G15" s="262"/>
      <c r="H15" s="262"/>
      <c r="I15" s="262"/>
      <c r="J15" s="262"/>
      <c r="K15" s="262"/>
      <c r="L15" s="262"/>
      <c r="M15" s="262"/>
      <c r="N15" s="262"/>
      <c r="O15" s="262"/>
      <c r="P15" s="262"/>
      <c r="Q15" s="262"/>
      <c r="R15" s="262"/>
      <c r="S15" s="262"/>
      <c r="T15" s="262"/>
      <c r="U15" s="262"/>
      <c r="V15" s="262"/>
      <c r="W15" s="262"/>
      <c r="X15" s="262"/>
      <c r="Y15" s="262"/>
      <c r="Z15" s="262"/>
      <c r="AA15" s="262"/>
      <c r="AB15" s="262"/>
      <c r="AC15" s="262"/>
      <c r="AD15" s="262"/>
      <c r="AE15" s="262"/>
      <c r="AF15" s="262"/>
      <c r="AG15" s="262"/>
      <c r="AH15" s="262"/>
      <c r="AI15" s="262"/>
      <c r="AJ15" s="262"/>
      <c r="AK15" s="81"/>
      <c r="AL15" s="74">
        <f t="shared" ref="AL15:BE15" si="4">AK15</f>
        <v>0</v>
      </c>
      <c r="AM15" s="74">
        <f t="shared" si="4"/>
        <v>0</v>
      </c>
      <c r="AN15" s="74">
        <f t="shared" si="4"/>
        <v>0</v>
      </c>
      <c r="AO15" s="74">
        <f t="shared" si="4"/>
        <v>0</v>
      </c>
      <c r="AP15" s="74">
        <f t="shared" si="4"/>
        <v>0</v>
      </c>
      <c r="AQ15" s="74">
        <f t="shared" si="4"/>
        <v>0</v>
      </c>
      <c r="AR15" s="74">
        <f t="shared" si="4"/>
        <v>0</v>
      </c>
      <c r="AS15" s="74">
        <f t="shared" si="4"/>
        <v>0</v>
      </c>
      <c r="AT15" s="74">
        <f t="shared" si="4"/>
        <v>0</v>
      </c>
      <c r="AU15" s="74">
        <f t="shared" si="4"/>
        <v>0</v>
      </c>
      <c r="AV15" s="74">
        <f t="shared" si="4"/>
        <v>0</v>
      </c>
      <c r="AW15" s="74">
        <f t="shared" si="4"/>
        <v>0</v>
      </c>
      <c r="AX15" s="74">
        <f t="shared" si="4"/>
        <v>0</v>
      </c>
      <c r="AY15" s="74">
        <f t="shared" si="4"/>
        <v>0</v>
      </c>
      <c r="AZ15" s="74">
        <f t="shared" si="4"/>
        <v>0</v>
      </c>
      <c r="BA15" s="74">
        <f t="shared" si="4"/>
        <v>0</v>
      </c>
      <c r="BB15" s="74">
        <f t="shared" si="4"/>
        <v>0</v>
      </c>
      <c r="BC15" s="74">
        <f t="shared" si="4"/>
        <v>0</v>
      </c>
      <c r="BD15" s="74">
        <f t="shared" si="4"/>
        <v>0</v>
      </c>
      <c r="BE15" s="74">
        <f t="shared" si="4"/>
        <v>0</v>
      </c>
    </row>
    <row r="16" spans="1:57" ht="13.5" customHeight="1">
      <c r="A16" s="619"/>
      <c r="B16" s="253"/>
      <c r="C16" s="258"/>
      <c r="D16" s="75" t="s">
        <v>138</v>
      </c>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76"/>
      <c r="AL16" s="74">
        <f t="shared" ref="AL16:BE16" si="5">AK16</f>
        <v>0</v>
      </c>
      <c r="AM16" s="74">
        <f t="shared" si="5"/>
        <v>0</v>
      </c>
      <c r="AN16" s="74">
        <f t="shared" si="5"/>
        <v>0</v>
      </c>
      <c r="AO16" s="74">
        <f t="shared" si="5"/>
        <v>0</v>
      </c>
      <c r="AP16" s="74">
        <f t="shared" si="5"/>
        <v>0</v>
      </c>
      <c r="AQ16" s="74">
        <f t="shared" si="5"/>
        <v>0</v>
      </c>
      <c r="AR16" s="74">
        <f t="shared" si="5"/>
        <v>0</v>
      </c>
      <c r="AS16" s="74">
        <f t="shared" si="5"/>
        <v>0</v>
      </c>
      <c r="AT16" s="74">
        <f t="shared" si="5"/>
        <v>0</v>
      </c>
      <c r="AU16" s="74">
        <f t="shared" si="5"/>
        <v>0</v>
      </c>
      <c r="AV16" s="74">
        <f t="shared" si="5"/>
        <v>0</v>
      </c>
      <c r="AW16" s="74">
        <f t="shared" si="5"/>
        <v>0</v>
      </c>
      <c r="AX16" s="74">
        <f t="shared" si="5"/>
        <v>0</v>
      </c>
      <c r="AY16" s="74">
        <f t="shared" si="5"/>
        <v>0</v>
      </c>
      <c r="AZ16" s="74">
        <f t="shared" si="5"/>
        <v>0</v>
      </c>
      <c r="BA16" s="74">
        <f t="shared" si="5"/>
        <v>0</v>
      </c>
      <c r="BB16" s="74">
        <f t="shared" si="5"/>
        <v>0</v>
      </c>
      <c r="BC16" s="74">
        <f t="shared" si="5"/>
        <v>0</v>
      </c>
      <c r="BD16" s="74">
        <f t="shared" si="5"/>
        <v>0</v>
      </c>
      <c r="BE16" s="74">
        <f t="shared" si="5"/>
        <v>0</v>
      </c>
    </row>
    <row r="17" spans="1:57" ht="13.5" customHeight="1">
      <c r="A17" s="619">
        <v>1</v>
      </c>
      <c r="B17" s="253"/>
      <c r="C17" s="258" t="s">
        <v>165</v>
      </c>
      <c r="D17" s="77" t="s">
        <v>172</v>
      </c>
      <c r="E17" s="323">
        <f>'Costos Sector Eléctrico'!E23</f>
        <v>3046.6669999999999</v>
      </c>
      <c r="F17" s="323">
        <f>'Costos Sector Eléctrico'!F23</f>
        <v>3046.6669999999999</v>
      </c>
      <c r="G17" s="323">
        <f>'Costos Sector Eléctrico'!G23</f>
        <v>3046.6669999999999</v>
      </c>
      <c r="H17" s="323">
        <f>'Costos Sector Eléctrico'!H23</f>
        <v>3046.6669999999999</v>
      </c>
      <c r="I17" s="323">
        <f>'Costos Sector Eléctrico'!I23</f>
        <v>3046.6669999999999</v>
      </c>
      <c r="J17" s="323">
        <f>'Costos Sector Eléctrico'!J23</f>
        <v>3046.6669999999999</v>
      </c>
      <c r="K17" s="323">
        <f>'Costos Sector Eléctrico'!K23</f>
        <v>3046.6669999999999</v>
      </c>
      <c r="L17" s="323">
        <f>'Costos Sector Eléctrico'!L23</f>
        <v>3046.6669999999999</v>
      </c>
      <c r="M17" s="323">
        <f>'Costos Sector Eléctrico'!M23</f>
        <v>3046.6669999999999</v>
      </c>
      <c r="N17" s="323">
        <f>'Costos Sector Eléctrico'!N23</f>
        <v>3046.6669999999999</v>
      </c>
      <c r="O17" s="323">
        <f>'Costos Sector Eléctrico'!O23</f>
        <v>3046.6669999999999</v>
      </c>
      <c r="P17" s="323">
        <f>'Costos Sector Eléctrico'!P23</f>
        <v>3046.6669999999999</v>
      </c>
      <c r="Q17" s="323">
        <f>'Costos Sector Eléctrico'!Q23</f>
        <v>3046.6669999999999</v>
      </c>
      <c r="R17" s="323">
        <f>'Costos Sector Eléctrico'!R23</f>
        <v>3046.6669999999999</v>
      </c>
      <c r="S17" s="323">
        <f>'Costos Sector Eléctrico'!S23</f>
        <v>3046.6669999999999</v>
      </c>
      <c r="T17" s="323">
        <f>'Costos Sector Eléctrico'!T23</f>
        <v>3046.6669999999999</v>
      </c>
      <c r="U17" s="323">
        <f>'Costos Sector Eléctrico'!U23</f>
        <v>3046.6669999999999</v>
      </c>
      <c r="V17" s="323">
        <f>'Costos Sector Eléctrico'!V23</f>
        <v>3046.6669999999999</v>
      </c>
      <c r="W17" s="323">
        <f>'Costos Sector Eléctrico'!W23</f>
        <v>3046.6669999999999</v>
      </c>
      <c r="X17" s="323">
        <f>'Costos Sector Eléctrico'!X23</f>
        <v>3046.6669999999999</v>
      </c>
      <c r="Y17" s="323">
        <f>'Costos Sector Eléctrico'!Y23</f>
        <v>3046.6669999999999</v>
      </c>
      <c r="Z17" s="323">
        <f>'Costos Sector Eléctrico'!Z23</f>
        <v>3046.6669999999999</v>
      </c>
      <c r="AA17" s="323">
        <f>'Costos Sector Eléctrico'!AA23</f>
        <v>3046.6669999999999</v>
      </c>
      <c r="AB17" s="323">
        <f>'Costos Sector Eléctrico'!AB23</f>
        <v>3046.6669999999999</v>
      </c>
      <c r="AC17" s="323">
        <f>'Costos Sector Eléctrico'!AC23</f>
        <v>3046.6669999999999</v>
      </c>
      <c r="AD17" s="323">
        <f>'Costos Sector Eléctrico'!AD23</f>
        <v>3046.6669999999999</v>
      </c>
      <c r="AE17" s="323">
        <f>'Costos Sector Eléctrico'!AE23</f>
        <v>3046.6669999999999</v>
      </c>
      <c r="AF17" s="323">
        <f>'Costos Sector Eléctrico'!AF23</f>
        <v>3046.6669999999999</v>
      </c>
      <c r="AG17" s="323">
        <f>'Costos Sector Eléctrico'!AG23</f>
        <v>3046.6669999999999</v>
      </c>
      <c r="AH17" s="323">
        <f>'Costos Sector Eléctrico'!AH23</f>
        <v>3046.6669999999999</v>
      </c>
      <c r="AI17" s="323">
        <f>'Costos Sector Eléctrico'!AI23</f>
        <v>3046.6669999999999</v>
      </c>
      <c r="AJ17" s="323">
        <f>'Costos Sector Eléctrico'!AJ23</f>
        <v>3046.6669999999999</v>
      </c>
      <c r="AK17" s="82">
        <f>'Costos Sector Eléctrico'!AK23</f>
        <v>3046.6669999999999</v>
      </c>
      <c r="AL17" s="80">
        <f t="shared" ref="AL17:BE17" si="6">AK17</f>
        <v>3046.6669999999999</v>
      </c>
      <c r="AM17" s="80">
        <f t="shared" si="6"/>
        <v>3046.6669999999999</v>
      </c>
      <c r="AN17" s="80">
        <f t="shared" si="6"/>
        <v>3046.6669999999999</v>
      </c>
      <c r="AO17" s="80">
        <f t="shared" si="6"/>
        <v>3046.6669999999999</v>
      </c>
      <c r="AP17" s="80">
        <f t="shared" si="6"/>
        <v>3046.6669999999999</v>
      </c>
      <c r="AQ17" s="80">
        <f t="shared" si="6"/>
        <v>3046.6669999999999</v>
      </c>
      <c r="AR17" s="80">
        <f t="shared" si="6"/>
        <v>3046.6669999999999</v>
      </c>
      <c r="AS17" s="80">
        <f t="shared" si="6"/>
        <v>3046.6669999999999</v>
      </c>
      <c r="AT17" s="80">
        <f t="shared" si="6"/>
        <v>3046.6669999999999</v>
      </c>
      <c r="AU17" s="80">
        <f t="shared" si="6"/>
        <v>3046.6669999999999</v>
      </c>
      <c r="AV17" s="80">
        <f t="shared" si="6"/>
        <v>3046.6669999999999</v>
      </c>
      <c r="AW17" s="80">
        <f t="shared" si="6"/>
        <v>3046.6669999999999</v>
      </c>
      <c r="AX17" s="80">
        <f t="shared" si="6"/>
        <v>3046.6669999999999</v>
      </c>
      <c r="AY17" s="80">
        <f t="shared" si="6"/>
        <v>3046.6669999999999</v>
      </c>
      <c r="AZ17" s="80">
        <f t="shared" si="6"/>
        <v>3046.6669999999999</v>
      </c>
      <c r="BA17" s="80">
        <f t="shared" si="6"/>
        <v>3046.6669999999999</v>
      </c>
      <c r="BB17" s="80">
        <f t="shared" si="6"/>
        <v>3046.6669999999999</v>
      </c>
      <c r="BC17" s="80">
        <f t="shared" si="6"/>
        <v>3046.6669999999999</v>
      </c>
      <c r="BD17" s="80">
        <f t="shared" si="6"/>
        <v>3046.6669999999999</v>
      </c>
      <c r="BE17" s="80">
        <f t="shared" si="6"/>
        <v>3046.6669999999999</v>
      </c>
    </row>
    <row r="18" spans="1:57" ht="13.5" customHeight="1">
      <c r="A18" s="619">
        <v>1</v>
      </c>
      <c r="B18" s="253"/>
      <c r="C18" s="258" t="s">
        <v>167</v>
      </c>
      <c r="D18" s="77" t="s">
        <v>174</v>
      </c>
      <c r="E18" s="323">
        <f>'Costos Sector Eléctrico'!E24</f>
        <v>2890.9666666666667</v>
      </c>
      <c r="F18" s="323">
        <f>'Costos Sector Eléctrico'!F24</f>
        <v>2890.9666666666667</v>
      </c>
      <c r="G18" s="323">
        <f>'Costos Sector Eléctrico'!G24</f>
        <v>2890.9666666666667</v>
      </c>
      <c r="H18" s="323">
        <f>'Costos Sector Eléctrico'!H24</f>
        <v>2890.9666666666667</v>
      </c>
      <c r="I18" s="323">
        <f>'Costos Sector Eléctrico'!I24</f>
        <v>2890.9666666666667</v>
      </c>
      <c r="J18" s="323">
        <f>'Costos Sector Eléctrico'!J24</f>
        <v>2890.9666666666667</v>
      </c>
      <c r="K18" s="323">
        <f>'Costos Sector Eléctrico'!K24</f>
        <v>2890.9666666666667</v>
      </c>
      <c r="L18" s="323">
        <f>'Costos Sector Eléctrico'!L24</f>
        <v>2890.9666666666667</v>
      </c>
      <c r="M18" s="323">
        <f>'Costos Sector Eléctrico'!M24</f>
        <v>2890.9666666666667</v>
      </c>
      <c r="N18" s="323">
        <f>'Costos Sector Eléctrico'!N24</f>
        <v>2890.9666666666667</v>
      </c>
      <c r="O18" s="323">
        <f>'Costos Sector Eléctrico'!O24</f>
        <v>2890.9666666666667</v>
      </c>
      <c r="P18" s="323">
        <f>'Costos Sector Eléctrico'!P24</f>
        <v>2890.9666666666667</v>
      </c>
      <c r="Q18" s="323">
        <f>'Costos Sector Eléctrico'!Q24</f>
        <v>2890.9666666666667</v>
      </c>
      <c r="R18" s="323">
        <f>'Costos Sector Eléctrico'!R24</f>
        <v>2890.9666666666667</v>
      </c>
      <c r="S18" s="323">
        <f>'Costos Sector Eléctrico'!S24</f>
        <v>2890.9666666666667</v>
      </c>
      <c r="T18" s="323">
        <f>'Costos Sector Eléctrico'!T24</f>
        <v>2890.9666666666667</v>
      </c>
      <c r="U18" s="323">
        <f>'Costos Sector Eléctrico'!U24</f>
        <v>2890.9666666666667</v>
      </c>
      <c r="V18" s="323">
        <f>'Costos Sector Eléctrico'!V24</f>
        <v>2890.9666666666667</v>
      </c>
      <c r="W18" s="323">
        <f>'Costos Sector Eléctrico'!W24</f>
        <v>2890.9666666666667</v>
      </c>
      <c r="X18" s="323">
        <f>'Costos Sector Eléctrico'!X24</f>
        <v>2890.9666666666667</v>
      </c>
      <c r="Y18" s="323">
        <f>'Costos Sector Eléctrico'!Y24</f>
        <v>2890.9666666666667</v>
      </c>
      <c r="Z18" s="323">
        <f>'Costos Sector Eléctrico'!Z24</f>
        <v>2890.9666666666667</v>
      </c>
      <c r="AA18" s="323">
        <f>'Costos Sector Eléctrico'!AA24</f>
        <v>2890.9666666666667</v>
      </c>
      <c r="AB18" s="323">
        <f>'Costos Sector Eléctrico'!AB24</f>
        <v>2890.9666666666667</v>
      </c>
      <c r="AC18" s="323">
        <f>'Costos Sector Eléctrico'!AC24</f>
        <v>2890.9666666666667</v>
      </c>
      <c r="AD18" s="323">
        <f>'Costos Sector Eléctrico'!AD24</f>
        <v>2890.9666666666667</v>
      </c>
      <c r="AE18" s="323">
        <f>'Costos Sector Eléctrico'!AE24</f>
        <v>2890.9666666666667</v>
      </c>
      <c r="AF18" s="323">
        <f>'Costos Sector Eléctrico'!AF24</f>
        <v>2890.9666666666667</v>
      </c>
      <c r="AG18" s="323">
        <f>'Costos Sector Eléctrico'!AG24</f>
        <v>2890.9666666666667</v>
      </c>
      <c r="AH18" s="323">
        <f>'Costos Sector Eléctrico'!AH24</f>
        <v>2890.9666666666667</v>
      </c>
      <c r="AI18" s="323">
        <f>'Costos Sector Eléctrico'!AI24</f>
        <v>2890.9666666666667</v>
      </c>
      <c r="AJ18" s="323">
        <f>'Costos Sector Eléctrico'!AJ24</f>
        <v>2890.9666666666667</v>
      </c>
      <c r="AK18" s="82">
        <f>'Costos Sector Eléctrico'!AK24</f>
        <v>2890.9666666666667</v>
      </c>
      <c r="AL18" s="80">
        <f t="shared" ref="AL18:BE18" si="7">AK18</f>
        <v>2890.9666666666667</v>
      </c>
      <c r="AM18" s="80">
        <f t="shared" si="7"/>
        <v>2890.9666666666667</v>
      </c>
      <c r="AN18" s="80">
        <f t="shared" si="7"/>
        <v>2890.9666666666667</v>
      </c>
      <c r="AO18" s="80">
        <f t="shared" si="7"/>
        <v>2890.9666666666667</v>
      </c>
      <c r="AP18" s="80">
        <f t="shared" si="7"/>
        <v>2890.9666666666667</v>
      </c>
      <c r="AQ18" s="80">
        <f t="shared" si="7"/>
        <v>2890.9666666666667</v>
      </c>
      <c r="AR18" s="80">
        <f t="shared" si="7"/>
        <v>2890.9666666666667</v>
      </c>
      <c r="AS18" s="80">
        <f t="shared" si="7"/>
        <v>2890.9666666666667</v>
      </c>
      <c r="AT18" s="80">
        <f t="shared" si="7"/>
        <v>2890.9666666666667</v>
      </c>
      <c r="AU18" s="80">
        <f t="shared" si="7"/>
        <v>2890.9666666666667</v>
      </c>
      <c r="AV18" s="80">
        <f t="shared" si="7"/>
        <v>2890.9666666666667</v>
      </c>
      <c r="AW18" s="80">
        <f t="shared" si="7"/>
        <v>2890.9666666666667</v>
      </c>
      <c r="AX18" s="80">
        <f t="shared" si="7"/>
        <v>2890.9666666666667</v>
      </c>
      <c r="AY18" s="80">
        <f t="shared" si="7"/>
        <v>2890.9666666666667</v>
      </c>
      <c r="AZ18" s="80">
        <f t="shared" si="7"/>
        <v>2890.9666666666667</v>
      </c>
      <c r="BA18" s="80">
        <f t="shared" si="7"/>
        <v>2890.9666666666667</v>
      </c>
      <c r="BB18" s="80">
        <f t="shared" si="7"/>
        <v>2890.9666666666667</v>
      </c>
      <c r="BC18" s="80">
        <f t="shared" si="7"/>
        <v>2890.9666666666667</v>
      </c>
      <c r="BD18" s="80">
        <f t="shared" si="7"/>
        <v>2890.9666666666667</v>
      </c>
      <c r="BE18" s="80">
        <f t="shared" si="7"/>
        <v>2890.9666666666667</v>
      </c>
    </row>
    <row r="19" spans="1:57" ht="13.5" customHeight="1">
      <c r="A19" s="619">
        <v>1</v>
      </c>
      <c r="B19" s="253"/>
      <c r="C19" s="258" t="s">
        <v>169</v>
      </c>
      <c r="D19" s="77" t="s">
        <v>176</v>
      </c>
      <c r="E19" s="323">
        <f>'Costos Sector Eléctrico'!E25</f>
        <v>1572.4504999999999</v>
      </c>
      <c r="F19" s="323">
        <f>'Costos Sector Eléctrico'!F25</f>
        <v>1572.4504999999999</v>
      </c>
      <c r="G19" s="323">
        <f>'Costos Sector Eléctrico'!G25</f>
        <v>1572.4504999999999</v>
      </c>
      <c r="H19" s="323">
        <f>'Costos Sector Eléctrico'!H25</f>
        <v>1572.4504999999999</v>
      </c>
      <c r="I19" s="323">
        <f>'Costos Sector Eléctrico'!I25</f>
        <v>1572.4504999999999</v>
      </c>
      <c r="J19" s="323">
        <f>'Costos Sector Eléctrico'!J25</f>
        <v>1572.4504999999999</v>
      </c>
      <c r="K19" s="323">
        <f>'Costos Sector Eléctrico'!K25</f>
        <v>1572.4504999999999</v>
      </c>
      <c r="L19" s="323">
        <f>'Costos Sector Eléctrico'!L25</f>
        <v>1572.4504999999999</v>
      </c>
      <c r="M19" s="323">
        <f>'Costos Sector Eléctrico'!M25</f>
        <v>1572.4504999999999</v>
      </c>
      <c r="N19" s="323">
        <f>'Costos Sector Eléctrico'!N25</f>
        <v>1572.4504999999999</v>
      </c>
      <c r="O19" s="323">
        <f>'Costos Sector Eléctrico'!O25</f>
        <v>1572.4504999999999</v>
      </c>
      <c r="P19" s="323">
        <f>'Costos Sector Eléctrico'!P25</f>
        <v>1572.4504999999999</v>
      </c>
      <c r="Q19" s="323">
        <f>'Costos Sector Eléctrico'!Q25</f>
        <v>1572.4504999999999</v>
      </c>
      <c r="R19" s="323">
        <f>'Costos Sector Eléctrico'!R25</f>
        <v>1572.4504999999999</v>
      </c>
      <c r="S19" s="323">
        <f>'Costos Sector Eléctrico'!S25</f>
        <v>1572.4504999999999</v>
      </c>
      <c r="T19" s="323">
        <f>'Costos Sector Eléctrico'!T25</f>
        <v>1572.4504999999999</v>
      </c>
      <c r="U19" s="323">
        <f>'Costos Sector Eléctrico'!U25</f>
        <v>1572.4504999999999</v>
      </c>
      <c r="V19" s="323">
        <f>'Costos Sector Eléctrico'!V25</f>
        <v>1572.4504999999999</v>
      </c>
      <c r="W19" s="323">
        <f>'Costos Sector Eléctrico'!W25</f>
        <v>1572.4504999999999</v>
      </c>
      <c r="X19" s="323">
        <f>'Costos Sector Eléctrico'!X25</f>
        <v>1572.4504999999999</v>
      </c>
      <c r="Y19" s="323">
        <f>'Costos Sector Eléctrico'!Y25</f>
        <v>1572.4504999999999</v>
      </c>
      <c r="Z19" s="323">
        <f>'Costos Sector Eléctrico'!Z25</f>
        <v>1572.4504999999999</v>
      </c>
      <c r="AA19" s="323">
        <f>'Costos Sector Eléctrico'!AA25</f>
        <v>1572.4504999999999</v>
      </c>
      <c r="AB19" s="323">
        <f>'Costos Sector Eléctrico'!AB25</f>
        <v>1572.4504999999999</v>
      </c>
      <c r="AC19" s="323">
        <f>'Costos Sector Eléctrico'!AC25</f>
        <v>1572.4504999999999</v>
      </c>
      <c r="AD19" s="323">
        <f>'Costos Sector Eléctrico'!AD25</f>
        <v>1572.4504999999999</v>
      </c>
      <c r="AE19" s="323">
        <f>'Costos Sector Eléctrico'!AE25</f>
        <v>1572.4504999999999</v>
      </c>
      <c r="AF19" s="323">
        <f>'Costos Sector Eléctrico'!AF25</f>
        <v>1572.4504999999999</v>
      </c>
      <c r="AG19" s="323">
        <f>'Costos Sector Eléctrico'!AG25</f>
        <v>1572.4504999999999</v>
      </c>
      <c r="AH19" s="323">
        <f>'Costos Sector Eléctrico'!AH25</f>
        <v>1572.4504999999999</v>
      </c>
      <c r="AI19" s="323">
        <f>'Costos Sector Eléctrico'!AI25</f>
        <v>1572.4504999999999</v>
      </c>
      <c r="AJ19" s="323">
        <f>'Costos Sector Eléctrico'!AJ25</f>
        <v>1572.4504999999999</v>
      </c>
      <c r="AK19" s="82">
        <f>'Costos Sector Eléctrico'!AK25</f>
        <v>1572.4504999999999</v>
      </c>
      <c r="AL19" s="80">
        <f t="shared" ref="AL19:BE19" si="8">AK19</f>
        <v>1572.4504999999999</v>
      </c>
      <c r="AM19" s="80">
        <f t="shared" si="8"/>
        <v>1572.4504999999999</v>
      </c>
      <c r="AN19" s="80">
        <f t="shared" si="8"/>
        <v>1572.4504999999999</v>
      </c>
      <c r="AO19" s="80">
        <f t="shared" si="8"/>
        <v>1572.4504999999999</v>
      </c>
      <c r="AP19" s="80">
        <f t="shared" si="8"/>
        <v>1572.4504999999999</v>
      </c>
      <c r="AQ19" s="80">
        <f t="shared" si="8"/>
        <v>1572.4504999999999</v>
      </c>
      <c r="AR19" s="80">
        <f t="shared" si="8"/>
        <v>1572.4504999999999</v>
      </c>
      <c r="AS19" s="80">
        <f t="shared" si="8"/>
        <v>1572.4504999999999</v>
      </c>
      <c r="AT19" s="80">
        <f t="shared" si="8"/>
        <v>1572.4504999999999</v>
      </c>
      <c r="AU19" s="80">
        <f t="shared" si="8"/>
        <v>1572.4504999999999</v>
      </c>
      <c r="AV19" s="80">
        <f t="shared" si="8"/>
        <v>1572.4504999999999</v>
      </c>
      <c r="AW19" s="80">
        <f t="shared" si="8"/>
        <v>1572.4504999999999</v>
      </c>
      <c r="AX19" s="80">
        <f t="shared" si="8"/>
        <v>1572.4504999999999</v>
      </c>
      <c r="AY19" s="80">
        <f t="shared" si="8"/>
        <v>1572.4504999999999</v>
      </c>
      <c r="AZ19" s="80">
        <f t="shared" si="8"/>
        <v>1572.4504999999999</v>
      </c>
      <c r="BA19" s="80">
        <f t="shared" si="8"/>
        <v>1572.4504999999999</v>
      </c>
      <c r="BB19" s="80">
        <f t="shared" si="8"/>
        <v>1572.4504999999999</v>
      </c>
      <c r="BC19" s="80">
        <f t="shared" si="8"/>
        <v>1572.4504999999999</v>
      </c>
      <c r="BD19" s="80">
        <f t="shared" si="8"/>
        <v>1572.4504999999999</v>
      </c>
      <c r="BE19" s="80">
        <f t="shared" si="8"/>
        <v>1572.4504999999999</v>
      </c>
    </row>
    <row r="20" spans="1:57" ht="13.5" customHeight="1">
      <c r="A20" s="619">
        <v>1</v>
      </c>
      <c r="B20" s="253"/>
      <c r="C20" s="258" t="s">
        <v>171</v>
      </c>
      <c r="D20" s="77" t="s">
        <v>166</v>
      </c>
      <c r="E20" s="323">
        <f>'Costos Sector Eléctrico'!E26</f>
        <v>3046.6669999999999</v>
      </c>
      <c r="F20" s="323">
        <f>'Costos Sector Eléctrico'!F26</f>
        <v>3046.6669999999999</v>
      </c>
      <c r="G20" s="323">
        <f>'Costos Sector Eléctrico'!G26</f>
        <v>3046.6669999999999</v>
      </c>
      <c r="H20" s="323">
        <f>'Costos Sector Eléctrico'!H26</f>
        <v>3046.6669999999999</v>
      </c>
      <c r="I20" s="323">
        <f>'Costos Sector Eléctrico'!I26</f>
        <v>3046.6669999999999</v>
      </c>
      <c r="J20" s="323">
        <f>'Costos Sector Eléctrico'!J26</f>
        <v>3046.6669999999999</v>
      </c>
      <c r="K20" s="323">
        <f>'Costos Sector Eléctrico'!K26</f>
        <v>3046.6669999999999</v>
      </c>
      <c r="L20" s="323">
        <f>'Costos Sector Eléctrico'!L26</f>
        <v>3046.6669999999999</v>
      </c>
      <c r="M20" s="323">
        <f>'Costos Sector Eléctrico'!M26</f>
        <v>3046.6669999999999</v>
      </c>
      <c r="N20" s="323">
        <f>'Costos Sector Eléctrico'!N26</f>
        <v>3046.6669999999999</v>
      </c>
      <c r="O20" s="323">
        <f>'Costos Sector Eléctrico'!O26</f>
        <v>3046.6669999999999</v>
      </c>
      <c r="P20" s="323">
        <f>'Costos Sector Eléctrico'!P26</f>
        <v>3046.6669999999999</v>
      </c>
      <c r="Q20" s="323">
        <f>'Costos Sector Eléctrico'!Q26</f>
        <v>3046.6669999999999</v>
      </c>
      <c r="R20" s="323">
        <f>'Costos Sector Eléctrico'!R26</f>
        <v>3046.6669999999999</v>
      </c>
      <c r="S20" s="323">
        <f>'Costos Sector Eléctrico'!S26</f>
        <v>3046.6669999999999</v>
      </c>
      <c r="T20" s="323">
        <f>'Costos Sector Eléctrico'!T26</f>
        <v>3046.6669999999999</v>
      </c>
      <c r="U20" s="323">
        <f>'Costos Sector Eléctrico'!U26</f>
        <v>3046.6669999999999</v>
      </c>
      <c r="V20" s="323">
        <f>'Costos Sector Eléctrico'!V26</f>
        <v>3046.6669999999999</v>
      </c>
      <c r="W20" s="323">
        <f>'Costos Sector Eléctrico'!W26</f>
        <v>3046.6669999999999</v>
      </c>
      <c r="X20" s="323">
        <f>'Costos Sector Eléctrico'!X26</f>
        <v>3046.6669999999999</v>
      </c>
      <c r="Y20" s="323">
        <f>'Costos Sector Eléctrico'!Y26</f>
        <v>3046.6669999999999</v>
      </c>
      <c r="Z20" s="323">
        <f>'Costos Sector Eléctrico'!Z26</f>
        <v>3046.6669999999999</v>
      </c>
      <c r="AA20" s="323">
        <f>'Costos Sector Eléctrico'!AA26</f>
        <v>3046.6669999999999</v>
      </c>
      <c r="AB20" s="323">
        <f>'Costos Sector Eléctrico'!AB26</f>
        <v>3046.6669999999999</v>
      </c>
      <c r="AC20" s="323">
        <f>'Costos Sector Eléctrico'!AC26</f>
        <v>3046.6669999999999</v>
      </c>
      <c r="AD20" s="323">
        <f>'Costos Sector Eléctrico'!AD26</f>
        <v>3046.6669999999999</v>
      </c>
      <c r="AE20" s="323">
        <f>'Costos Sector Eléctrico'!AE26</f>
        <v>3046.6669999999999</v>
      </c>
      <c r="AF20" s="323">
        <f>'Costos Sector Eléctrico'!AF26</f>
        <v>3046.6669999999999</v>
      </c>
      <c r="AG20" s="323">
        <f>'Costos Sector Eléctrico'!AG26</f>
        <v>3046.6669999999999</v>
      </c>
      <c r="AH20" s="323">
        <f>'Costos Sector Eléctrico'!AH26</f>
        <v>3046.6669999999999</v>
      </c>
      <c r="AI20" s="323">
        <f>'Costos Sector Eléctrico'!AI26</f>
        <v>3046.6669999999999</v>
      </c>
      <c r="AJ20" s="323">
        <f>'Costos Sector Eléctrico'!AJ26</f>
        <v>3046.6669999999999</v>
      </c>
      <c r="AK20" s="82">
        <f>'Costos Sector Eléctrico'!AK26</f>
        <v>3046.6669999999999</v>
      </c>
      <c r="AL20" s="80">
        <f t="shared" ref="AL20:BE20" si="9">AK20</f>
        <v>3046.6669999999999</v>
      </c>
      <c r="AM20" s="80">
        <f t="shared" si="9"/>
        <v>3046.6669999999999</v>
      </c>
      <c r="AN20" s="80">
        <f t="shared" si="9"/>
        <v>3046.6669999999999</v>
      </c>
      <c r="AO20" s="80">
        <f t="shared" si="9"/>
        <v>3046.6669999999999</v>
      </c>
      <c r="AP20" s="80">
        <f t="shared" si="9"/>
        <v>3046.6669999999999</v>
      </c>
      <c r="AQ20" s="80">
        <f t="shared" si="9"/>
        <v>3046.6669999999999</v>
      </c>
      <c r="AR20" s="80">
        <f t="shared" si="9"/>
        <v>3046.6669999999999</v>
      </c>
      <c r="AS20" s="80">
        <f t="shared" si="9"/>
        <v>3046.6669999999999</v>
      </c>
      <c r="AT20" s="80">
        <f t="shared" si="9"/>
        <v>3046.6669999999999</v>
      </c>
      <c r="AU20" s="80">
        <f t="shared" si="9"/>
        <v>3046.6669999999999</v>
      </c>
      <c r="AV20" s="80">
        <f t="shared" si="9"/>
        <v>3046.6669999999999</v>
      </c>
      <c r="AW20" s="80">
        <f t="shared" si="9"/>
        <v>3046.6669999999999</v>
      </c>
      <c r="AX20" s="80">
        <f t="shared" si="9"/>
        <v>3046.6669999999999</v>
      </c>
      <c r="AY20" s="80">
        <f t="shared" si="9"/>
        <v>3046.6669999999999</v>
      </c>
      <c r="AZ20" s="80">
        <f t="shared" si="9"/>
        <v>3046.6669999999999</v>
      </c>
      <c r="BA20" s="80">
        <f t="shared" si="9"/>
        <v>3046.6669999999999</v>
      </c>
      <c r="BB20" s="80">
        <f t="shared" si="9"/>
        <v>3046.6669999999999</v>
      </c>
      <c r="BC20" s="80">
        <f t="shared" si="9"/>
        <v>3046.6669999999999</v>
      </c>
      <c r="BD20" s="80">
        <f t="shared" si="9"/>
        <v>3046.6669999999999</v>
      </c>
      <c r="BE20" s="80">
        <f t="shared" si="9"/>
        <v>3046.6669999999999</v>
      </c>
    </row>
    <row r="21" spans="1:57" ht="13.5" customHeight="1">
      <c r="A21" s="619">
        <v>1</v>
      </c>
      <c r="B21" s="253"/>
      <c r="C21" s="258" t="s">
        <v>173</v>
      </c>
      <c r="D21" s="77" t="s">
        <v>168</v>
      </c>
      <c r="E21" s="323">
        <f>'Costos Sector Eléctrico'!E27</f>
        <v>2890.9666666666667</v>
      </c>
      <c r="F21" s="323">
        <f>'Costos Sector Eléctrico'!F27</f>
        <v>2890.9666666666667</v>
      </c>
      <c r="G21" s="323">
        <f>'Costos Sector Eléctrico'!G27</f>
        <v>2890.9666666666667</v>
      </c>
      <c r="H21" s="323">
        <f>'Costos Sector Eléctrico'!H27</f>
        <v>2890.9666666666667</v>
      </c>
      <c r="I21" s="323">
        <f>'Costos Sector Eléctrico'!I27</f>
        <v>2890.9666666666667</v>
      </c>
      <c r="J21" s="323">
        <f>'Costos Sector Eléctrico'!J27</f>
        <v>2890.9666666666667</v>
      </c>
      <c r="K21" s="323">
        <f>'Costos Sector Eléctrico'!K27</f>
        <v>2890.9666666666667</v>
      </c>
      <c r="L21" s="323">
        <f>'Costos Sector Eléctrico'!L27</f>
        <v>2890.9666666666667</v>
      </c>
      <c r="M21" s="323">
        <f>'Costos Sector Eléctrico'!M27</f>
        <v>2890.9666666666667</v>
      </c>
      <c r="N21" s="323">
        <f>'Costos Sector Eléctrico'!N27</f>
        <v>2890.9666666666667</v>
      </c>
      <c r="O21" s="323">
        <f>'Costos Sector Eléctrico'!O27</f>
        <v>2890.9666666666667</v>
      </c>
      <c r="P21" s="323">
        <f>'Costos Sector Eléctrico'!P27</f>
        <v>2890.9666666666667</v>
      </c>
      <c r="Q21" s="323">
        <f>'Costos Sector Eléctrico'!Q27</f>
        <v>2890.9666666666667</v>
      </c>
      <c r="R21" s="323">
        <f>'Costos Sector Eléctrico'!R27</f>
        <v>2890.9666666666667</v>
      </c>
      <c r="S21" s="323">
        <f>'Costos Sector Eléctrico'!S27</f>
        <v>2890.9666666666667</v>
      </c>
      <c r="T21" s="323">
        <f>'Costos Sector Eléctrico'!T27</f>
        <v>2890.9666666666667</v>
      </c>
      <c r="U21" s="323">
        <f>'Costos Sector Eléctrico'!U27</f>
        <v>2890.9666666666667</v>
      </c>
      <c r="V21" s="323">
        <f>'Costos Sector Eléctrico'!V27</f>
        <v>2890.9666666666667</v>
      </c>
      <c r="W21" s="323">
        <f>'Costos Sector Eléctrico'!W27</f>
        <v>2890.9666666666667</v>
      </c>
      <c r="X21" s="323">
        <f>'Costos Sector Eléctrico'!X27</f>
        <v>2890.9666666666667</v>
      </c>
      <c r="Y21" s="323">
        <f>'Costos Sector Eléctrico'!Y27</f>
        <v>2890.9666666666667</v>
      </c>
      <c r="Z21" s="323">
        <f>'Costos Sector Eléctrico'!Z27</f>
        <v>2890.9666666666667</v>
      </c>
      <c r="AA21" s="323">
        <f>'Costos Sector Eléctrico'!AA27</f>
        <v>2890.9666666666667</v>
      </c>
      <c r="AB21" s="323">
        <f>'Costos Sector Eléctrico'!AB27</f>
        <v>2890.9666666666667</v>
      </c>
      <c r="AC21" s="323">
        <f>'Costos Sector Eléctrico'!AC27</f>
        <v>2890.9666666666667</v>
      </c>
      <c r="AD21" s="323">
        <f>'Costos Sector Eléctrico'!AD27</f>
        <v>2890.9666666666667</v>
      </c>
      <c r="AE21" s="323">
        <f>'Costos Sector Eléctrico'!AE27</f>
        <v>2890.9666666666667</v>
      </c>
      <c r="AF21" s="323">
        <f>'Costos Sector Eléctrico'!AF27</f>
        <v>2890.9666666666667</v>
      </c>
      <c r="AG21" s="323">
        <f>'Costos Sector Eléctrico'!AG27</f>
        <v>2890.9666666666667</v>
      </c>
      <c r="AH21" s="323">
        <f>'Costos Sector Eléctrico'!AH27</f>
        <v>2890.9666666666667</v>
      </c>
      <c r="AI21" s="323">
        <f>'Costos Sector Eléctrico'!AI27</f>
        <v>2890.9666666666667</v>
      </c>
      <c r="AJ21" s="323">
        <f>'Costos Sector Eléctrico'!AJ27</f>
        <v>2890.9666666666667</v>
      </c>
      <c r="AK21" s="82">
        <f>'Costos Sector Eléctrico'!AK27</f>
        <v>2890.9666666666667</v>
      </c>
      <c r="AL21" s="80">
        <f t="shared" ref="AL21:BE21" si="10">AK21</f>
        <v>2890.9666666666667</v>
      </c>
      <c r="AM21" s="80">
        <f t="shared" si="10"/>
        <v>2890.9666666666667</v>
      </c>
      <c r="AN21" s="80">
        <f t="shared" si="10"/>
        <v>2890.9666666666667</v>
      </c>
      <c r="AO21" s="80">
        <f t="shared" si="10"/>
        <v>2890.9666666666667</v>
      </c>
      <c r="AP21" s="80">
        <f t="shared" si="10"/>
        <v>2890.9666666666667</v>
      </c>
      <c r="AQ21" s="80">
        <f t="shared" si="10"/>
        <v>2890.9666666666667</v>
      </c>
      <c r="AR21" s="80">
        <f t="shared" si="10"/>
        <v>2890.9666666666667</v>
      </c>
      <c r="AS21" s="80">
        <f t="shared" si="10"/>
        <v>2890.9666666666667</v>
      </c>
      <c r="AT21" s="80">
        <f t="shared" si="10"/>
        <v>2890.9666666666667</v>
      </c>
      <c r="AU21" s="80">
        <f t="shared" si="10"/>
        <v>2890.9666666666667</v>
      </c>
      <c r="AV21" s="80">
        <f t="shared" si="10"/>
        <v>2890.9666666666667</v>
      </c>
      <c r="AW21" s="80">
        <f t="shared" si="10"/>
        <v>2890.9666666666667</v>
      </c>
      <c r="AX21" s="80">
        <f t="shared" si="10"/>
        <v>2890.9666666666667</v>
      </c>
      <c r="AY21" s="80">
        <f t="shared" si="10"/>
        <v>2890.9666666666667</v>
      </c>
      <c r="AZ21" s="80">
        <f t="shared" si="10"/>
        <v>2890.9666666666667</v>
      </c>
      <c r="BA21" s="80">
        <f t="shared" si="10"/>
        <v>2890.9666666666667</v>
      </c>
      <c r="BB21" s="80">
        <f t="shared" si="10"/>
        <v>2890.9666666666667</v>
      </c>
      <c r="BC21" s="80">
        <f t="shared" si="10"/>
        <v>2890.9666666666667</v>
      </c>
      <c r="BD21" s="80">
        <f t="shared" si="10"/>
        <v>2890.9666666666667</v>
      </c>
      <c r="BE21" s="80">
        <f t="shared" si="10"/>
        <v>2890.9666666666667</v>
      </c>
    </row>
    <row r="22" spans="1:57" ht="13.5" customHeight="1">
      <c r="A22" s="619">
        <v>1</v>
      </c>
      <c r="B22" s="253"/>
      <c r="C22" s="258" t="s">
        <v>175</v>
      </c>
      <c r="D22" s="77" t="s">
        <v>170</v>
      </c>
      <c r="E22" s="323">
        <f>'Costos Sector Eléctrico'!E28</f>
        <v>1572.4504999999999</v>
      </c>
      <c r="F22" s="323">
        <f>'Costos Sector Eléctrico'!F28</f>
        <v>1572.4504999999999</v>
      </c>
      <c r="G22" s="323">
        <f>'Costos Sector Eléctrico'!G28</f>
        <v>1572.4504999999999</v>
      </c>
      <c r="H22" s="323">
        <f>'Costos Sector Eléctrico'!H28</f>
        <v>1572.4504999999999</v>
      </c>
      <c r="I22" s="323">
        <f>'Costos Sector Eléctrico'!I28</f>
        <v>1572.4504999999999</v>
      </c>
      <c r="J22" s="323">
        <f>'Costos Sector Eléctrico'!J28</f>
        <v>1572.4504999999999</v>
      </c>
      <c r="K22" s="323">
        <f>'Costos Sector Eléctrico'!K28</f>
        <v>1572.4504999999999</v>
      </c>
      <c r="L22" s="323">
        <f>'Costos Sector Eléctrico'!L28</f>
        <v>1572.4504999999999</v>
      </c>
      <c r="M22" s="323">
        <f>'Costos Sector Eléctrico'!M28</f>
        <v>1572.4504999999999</v>
      </c>
      <c r="N22" s="323">
        <f>'Costos Sector Eléctrico'!N28</f>
        <v>1572.4504999999999</v>
      </c>
      <c r="O22" s="323">
        <f>'Costos Sector Eléctrico'!O28</f>
        <v>1572.4504999999999</v>
      </c>
      <c r="P22" s="323">
        <f>'Costos Sector Eléctrico'!P28</f>
        <v>1572.4504999999999</v>
      </c>
      <c r="Q22" s="323">
        <f>'Costos Sector Eléctrico'!Q28</f>
        <v>1572.4504999999999</v>
      </c>
      <c r="R22" s="323">
        <f>'Costos Sector Eléctrico'!R28</f>
        <v>1572.4504999999999</v>
      </c>
      <c r="S22" s="323">
        <f>'Costos Sector Eléctrico'!S28</f>
        <v>1572.4504999999999</v>
      </c>
      <c r="T22" s="323">
        <f>'Costos Sector Eléctrico'!T28</f>
        <v>1572.4504999999999</v>
      </c>
      <c r="U22" s="323">
        <f>'Costos Sector Eléctrico'!U28</f>
        <v>1572.4504999999999</v>
      </c>
      <c r="V22" s="323">
        <f>'Costos Sector Eléctrico'!V28</f>
        <v>1572.4504999999999</v>
      </c>
      <c r="W22" s="323">
        <f>'Costos Sector Eléctrico'!W28</f>
        <v>1572.4504999999999</v>
      </c>
      <c r="X22" s="323">
        <f>'Costos Sector Eléctrico'!X28</f>
        <v>1572.4504999999999</v>
      </c>
      <c r="Y22" s="323">
        <f>'Costos Sector Eléctrico'!Y28</f>
        <v>1572.4504999999999</v>
      </c>
      <c r="Z22" s="323">
        <f>'Costos Sector Eléctrico'!Z28</f>
        <v>1572.4504999999999</v>
      </c>
      <c r="AA22" s="323">
        <f>'Costos Sector Eléctrico'!AA28</f>
        <v>1572.4504999999999</v>
      </c>
      <c r="AB22" s="323">
        <f>'Costos Sector Eléctrico'!AB28</f>
        <v>1572.4504999999999</v>
      </c>
      <c r="AC22" s="323">
        <f>'Costos Sector Eléctrico'!AC28</f>
        <v>1572.4504999999999</v>
      </c>
      <c r="AD22" s="323">
        <f>'Costos Sector Eléctrico'!AD28</f>
        <v>1572.4504999999999</v>
      </c>
      <c r="AE22" s="323">
        <f>'Costos Sector Eléctrico'!AE28</f>
        <v>1572.4504999999999</v>
      </c>
      <c r="AF22" s="323">
        <f>'Costos Sector Eléctrico'!AF28</f>
        <v>1572.4504999999999</v>
      </c>
      <c r="AG22" s="323">
        <f>'Costos Sector Eléctrico'!AG28</f>
        <v>1572.4504999999999</v>
      </c>
      <c r="AH22" s="323">
        <f>'Costos Sector Eléctrico'!AH28</f>
        <v>1572.4504999999999</v>
      </c>
      <c r="AI22" s="323">
        <f>'Costos Sector Eléctrico'!AI28</f>
        <v>1572.4504999999999</v>
      </c>
      <c r="AJ22" s="323">
        <f>'Costos Sector Eléctrico'!AJ28</f>
        <v>1572.4504999999999</v>
      </c>
      <c r="AK22" s="82">
        <f>'Costos Sector Eléctrico'!AK28</f>
        <v>1572.4504999999999</v>
      </c>
      <c r="AL22" s="80">
        <f t="shared" ref="AL22:BE22" si="11">AK22</f>
        <v>1572.4504999999999</v>
      </c>
      <c r="AM22" s="80">
        <f t="shared" si="11"/>
        <v>1572.4504999999999</v>
      </c>
      <c r="AN22" s="80">
        <f t="shared" si="11"/>
        <v>1572.4504999999999</v>
      </c>
      <c r="AO22" s="80">
        <f t="shared" si="11"/>
        <v>1572.4504999999999</v>
      </c>
      <c r="AP22" s="80">
        <f t="shared" si="11"/>
        <v>1572.4504999999999</v>
      </c>
      <c r="AQ22" s="80">
        <f t="shared" si="11"/>
        <v>1572.4504999999999</v>
      </c>
      <c r="AR22" s="80">
        <f t="shared" si="11"/>
        <v>1572.4504999999999</v>
      </c>
      <c r="AS22" s="80">
        <f t="shared" si="11"/>
        <v>1572.4504999999999</v>
      </c>
      <c r="AT22" s="80">
        <f t="shared" si="11"/>
        <v>1572.4504999999999</v>
      </c>
      <c r="AU22" s="80">
        <f t="shared" si="11"/>
        <v>1572.4504999999999</v>
      </c>
      <c r="AV22" s="80">
        <f t="shared" si="11"/>
        <v>1572.4504999999999</v>
      </c>
      <c r="AW22" s="80">
        <f t="shared" si="11"/>
        <v>1572.4504999999999</v>
      </c>
      <c r="AX22" s="80">
        <f t="shared" si="11"/>
        <v>1572.4504999999999</v>
      </c>
      <c r="AY22" s="80">
        <f t="shared" si="11"/>
        <v>1572.4504999999999</v>
      </c>
      <c r="AZ22" s="80">
        <f t="shared" si="11"/>
        <v>1572.4504999999999</v>
      </c>
      <c r="BA22" s="80">
        <f t="shared" si="11"/>
        <v>1572.4504999999999</v>
      </c>
      <c r="BB22" s="80">
        <f t="shared" si="11"/>
        <v>1572.4504999999999</v>
      </c>
      <c r="BC22" s="80">
        <f t="shared" si="11"/>
        <v>1572.4504999999999</v>
      </c>
      <c r="BD22" s="80">
        <f t="shared" si="11"/>
        <v>1572.4504999999999</v>
      </c>
      <c r="BE22" s="80">
        <f t="shared" si="11"/>
        <v>1572.4504999999999</v>
      </c>
    </row>
    <row r="23" spans="1:57" ht="13.5" customHeight="1">
      <c r="A23" s="619"/>
      <c r="B23" s="253"/>
      <c r="C23" s="258"/>
      <c r="D23" s="75" t="s">
        <v>189</v>
      </c>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76"/>
      <c r="AL23" s="74">
        <f t="shared" ref="AL23:BE23" si="12">AK23</f>
        <v>0</v>
      </c>
      <c r="AM23" s="74">
        <f t="shared" si="12"/>
        <v>0</v>
      </c>
      <c r="AN23" s="74">
        <f t="shared" si="12"/>
        <v>0</v>
      </c>
      <c r="AO23" s="74">
        <f t="shared" si="12"/>
        <v>0</v>
      </c>
      <c r="AP23" s="74">
        <f t="shared" si="12"/>
        <v>0</v>
      </c>
      <c r="AQ23" s="74">
        <f t="shared" si="12"/>
        <v>0</v>
      </c>
      <c r="AR23" s="74">
        <f t="shared" si="12"/>
        <v>0</v>
      </c>
      <c r="AS23" s="74">
        <f t="shared" si="12"/>
        <v>0</v>
      </c>
      <c r="AT23" s="74">
        <f t="shared" si="12"/>
        <v>0</v>
      </c>
      <c r="AU23" s="74">
        <f t="shared" si="12"/>
        <v>0</v>
      </c>
      <c r="AV23" s="74">
        <f t="shared" si="12"/>
        <v>0</v>
      </c>
      <c r="AW23" s="74">
        <f t="shared" si="12"/>
        <v>0</v>
      </c>
      <c r="AX23" s="74">
        <f t="shared" si="12"/>
        <v>0</v>
      </c>
      <c r="AY23" s="74">
        <f t="shared" si="12"/>
        <v>0</v>
      </c>
      <c r="AZ23" s="74">
        <f t="shared" si="12"/>
        <v>0</v>
      </c>
      <c r="BA23" s="74">
        <f t="shared" si="12"/>
        <v>0</v>
      </c>
      <c r="BB23" s="74">
        <f t="shared" si="12"/>
        <v>0</v>
      </c>
      <c r="BC23" s="74">
        <f t="shared" si="12"/>
        <v>0</v>
      </c>
      <c r="BD23" s="74">
        <f t="shared" si="12"/>
        <v>0</v>
      </c>
      <c r="BE23" s="74">
        <f t="shared" si="12"/>
        <v>0</v>
      </c>
    </row>
    <row r="24" spans="1:57" ht="13.5" customHeight="1">
      <c r="A24" s="619">
        <v>1</v>
      </c>
      <c r="B24" s="253"/>
      <c r="C24" s="258" t="s">
        <v>178</v>
      </c>
      <c r="D24" s="77" t="s">
        <v>172</v>
      </c>
      <c r="E24" s="323">
        <f>'Costos Sector Eléctrico'!E31</f>
        <v>3080.5955555555552</v>
      </c>
      <c r="F24" s="323">
        <f>'Costos Sector Eléctrico'!F31</f>
        <v>3080.5955555555552</v>
      </c>
      <c r="G24" s="323">
        <f>'Costos Sector Eléctrico'!G31</f>
        <v>3080.5955555555552</v>
      </c>
      <c r="H24" s="323">
        <f>'Costos Sector Eléctrico'!H31</f>
        <v>3080.5955555555552</v>
      </c>
      <c r="I24" s="323">
        <f>'Costos Sector Eléctrico'!I31</f>
        <v>3080.5955555555552</v>
      </c>
      <c r="J24" s="323">
        <f>'Costos Sector Eléctrico'!J31</f>
        <v>3080.5955555555552</v>
      </c>
      <c r="K24" s="323">
        <f>'Costos Sector Eléctrico'!K31</f>
        <v>3080.5955555555552</v>
      </c>
      <c r="L24" s="323">
        <f>'Costos Sector Eléctrico'!L31</f>
        <v>3080.5955555555552</v>
      </c>
      <c r="M24" s="323">
        <f>'Costos Sector Eléctrico'!M31</f>
        <v>3080.5955555555552</v>
      </c>
      <c r="N24" s="323">
        <f>'Costos Sector Eléctrico'!N31</f>
        <v>3080.5955555555552</v>
      </c>
      <c r="O24" s="323">
        <f>'Costos Sector Eléctrico'!O31</f>
        <v>3080.5955555555552</v>
      </c>
      <c r="P24" s="323">
        <f>'Costos Sector Eléctrico'!P31</f>
        <v>3080.5955555555552</v>
      </c>
      <c r="Q24" s="323">
        <f>'Costos Sector Eléctrico'!Q31</f>
        <v>3080.5955555555552</v>
      </c>
      <c r="R24" s="323">
        <f>'Costos Sector Eléctrico'!R31</f>
        <v>3080.5955555555552</v>
      </c>
      <c r="S24" s="323">
        <f>'Costos Sector Eléctrico'!S31</f>
        <v>3080.5955555555552</v>
      </c>
      <c r="T24" s="323">
        <f>'Costos Sector Eléctrico'!T31</f>
        <v>3080.5955555555552</v>
      </c>
      <c r="U24" s="323">
        <f>'Costos Sector Eléctrico'!U31</f>
        <v>3080.5955555555552</v>
      </c>
      <c r="V24" s="323">
        <f>'Costos Sector Eléctrico'!V31</f>
        <v>3080.5955555555552</v>
      </c>
      <c r="W24" s="323">
        <f>'Costos Sector Eléctrico'!W31</f>
        <v>3080.5955555555552</v>
      </c>
      <c r="X24" s="323">
        <f>'Costos Sector Eléctrico'!X31</f>
        <v>3080.5955555555552</v>
      </c>
      <c r="Y24" s="323">
        <f>'Costos Sector Eléctrico'!Y31</f>
        <v>3080.5955555555552</v>
      </c>
      <c r="Z24" s="323">
        <f>'Costos Sector Eléctrico'!Z31</f>
        <v>3080.5955555555552</v>
      </c>
      <c r="AA24" s="323">
        <f>'Costos Sector Eléctrico'!AA31</f>
        <v>3080.5955555555552</v>
      </c>
      <c r="AB24" s="323">
        <f>'Costos Sector Eléctrico'!AB31</f>
        <v>3080.5955555555552</v>
      </c>
      <c r="AC24" s="323">
        <f>'Costos Sector Eléctrico'!AC31</f>
        <v>3080.5955555555552</v>
      </c>
      <c r="AD24" s="323">
        <f>'Costos Sector Eléctrico'!AD31</f>
        <v>3080.5955555555552</v>
      </c>
      <c r="AE24" s="323">
        <f>'Costos Sector Eléctrico'!AE31</f>
        <v>3080.5955555555552</v>
      </c>
      <c r="AF24" s="323">
        <f>'Costos Sector Eléctrico'!AF31</f>
        <v>3080.5955555555552</v>
      </c>
      <c r="AG24" s="323">
        <f>'Costos Sector Eléctrico'!AG31</f>
        <v>3080.5955555555552</v>
      </c>
      <c r="AH24" s="323">
        <f>'Costos Sector Eléctrico'!AH31</f>
        <v>3080.5955555555552</v>
      </c>
      <c r="AI24" s="323">
        <f>'Costos Sector Eléctrico'!AI31</f>
        <v>3080.5955555555552</v>
      </c>
      <c r="AJ24" s="323">
        <f>'Costos Sector Eléctrico'!AJ31</f>
        <v>3080.5955555555552</v>
      </c>
      <c r="AK24" s="82">
        <f>'Costos Sector Eléctrico'!AK31</f>
        <v>3080.5955555555552</v>
      </c>
      <c r="AL24" s="80">
        <f t="shared" ref="AL24:BE24" si="13">AK24</f>
        <v>3080.5955555555552</v>
      </c>
      <c r="AM24" s="80">
        <f t="shared" si="13"/>
        <v>3080.5955555555552</v>
      </c>
      <c r="AN24" s="80">
        <f t="shared" si="13"/>
        <v>3080.5955555555552</v>
      </c>
      <c r="AO24" s="80">
        <f t="shared" si="13"/>
        <v>3080.5955555555552</v>
      </c>
      <c r="AP24" s="80">
        <f t="shared" si="13"/>
        <v>3080.5955555555552</v>
      </c>
      <c r="AQ24" s="80">
        <f t="shared" si="13"/>
        <v>3080.5955555555552</v>
      </c>
      <c r="AR24" s="80">
        <f t="shared" si="13"/>
        <v>3080.5955555555552</v>
      </c>
      <c r="AS24" s="80">
        <f t="shared" si="13"/>
        <v>3080.5955555555552</v>
      </c>
      <c r="AT24" s="80">
        <f t="shared" si="13"/>
        <v>3080.5955555555552</v>
      </c>
      <c r="AU24" s="80">
        <f t="shared" si="13"/>
        <v>3080.5955555555552</v>
      </c>
      <c r="AV24" s="80">
        <f t="shared" si="13"/>
        <v>3080.5955555555552</v>
      </c>
      <c r="AW24" s="80">
        <f t="shared" si="13"/>
        <v>3080.5955555555552</v>
      </c>
      <c r="AX24" s="80">
        <f t="shared" si="13"/>
        <v>3080.5955555555552</v>
      </c>
      <c r="AY24" s="80">
        <f t="shared" si="13"/>
        <v>3080.5955555555552</v>
      </c>
      <c r="AZ24" s="80">
        <f t="shared" si="13"/>
        <v>3080.5955555555552</v>
      </c>
      <c r="BA24" s="80">
        <f t="shared" si="13"/>
        <v>3080.5955555555552</v>
      </c>
      <c r="BB24" s="80">
        <f t="shared" si="13"/>
        <v>3080.5955555555552</v>
      </c>
      <c r="BC24" s="80">
        <f t="shared" si="13"/>
        <v>3080.5955555555552</v>
      </c>
      <c r="BD24" s="80">
        <f t="shared" si="13"/>
        <v>3080.5955555555552</v>
      </c>
      <c r="BE24" s="80">
        <f t="shared" si="13"/>
        <v>3080.5955555555552</v>
      </c>
    </row>
    <row r="25" spans="1:57" ht="13.5" customHeight="1">
      <c r="A25" s="619">
        <v>1</v>
      </c>
      <c r="B25" s="253"/>
      <c r="C25" s="258" t="s">
        <v>179</v>
      </c>
      <c r="D25" s="77" t="s">
        <v>174</v>
      </c>
      <c r="E25" s="323">
        <f>'Costos Sector Eléctrico'!E32</f>
        <v>2740.8264285714286</v>
      </c>
      <c r="F25" s="323">
        <f>'Costos Sector Eléctrico'!F32</f>
        <v>2740.8264285714286</v>
      </c>
      <c r="G25" s="323">
        <f>'Costos Sector Eléctrico'!G32</f>
        <v>2740.8264285714286</v>
      </c>
      <c r="H25" s="323">
        <f>'Costos Sector Eléctrico'!H32</f>
        <v>2740.8264285714286</v>
      </c>
      <c r="I25" s="323">
        <f>'Costos Sector Eléctrico'!I32</f>
        <v>2740.8264285714286</v>
      </c>
      <c r="J25" s="323">
        <f>'Costos Sector Eléctrico'!J32</f>
        <v>2740.8264285714286</v>
      </c>
      <c r="K25" s="323">
        <f>'Costos Sector Eléctrico'!K32</f>
        <v>2740.8264285714286</v>
      </c>
      <c r="L25" s="323">
        <f>'Costos Sector Eléctrico'!L32</f>
        <v>2740.8264285714286</v>
      </c>
      <c r="M25" s="323">
        <f>'Costos Sector Eléctrico'!M32</f>
        <v>2740.8264285714286</v>
      </c>
      <c r="N25" s="323">
        <f>'Costos Sector Eléctrico'!N32</f>
        <v>2740.8264285714286</v>
      </c>
      <c r="O25" s="323">
        <f>'Costos Sector Eléctrico'!O32</f>
        <v>2740.8264285714286</v>
      </c>
      <c r="P25" s="323">
        <f>'Costos Sector Eléctrico'!P32</f>
        <v>2740.8264285714286</v>
      </c>
      <c r="Q25" s="323">
        <f>'Costos Sector Eléctrico'!Q32</f>
        <v>2740.8264285714286</v>
      </c>
      <c r="R25" s="323">
        <f>'Costos Sector Eléctrico'!R32</f>
        <v>2740.8264285714286</v>
      </c>
      <c r="S25" s="323">
        <f>'Costos Sector Eléctrico'!S32</f>
        <v>2740.8264285714286</v>
      </c>
      <c r="T25" s="323">
        <f>'Costos Sector Eléctrico'!T32</f>
        <v>2740.8264285714286</v>
      </c>
      <c r="U25" s="323">
        <f>'Costos Sector Eléctrico'!U32</f>
        <v>2740.8264285714286</v>
      </c>
      <c r="V25" s="323">
        <f>'Costos Sector Eléctrico'!V32</f>
        <v>2740.8264285714286</v>
      </c>
      <c r="W25" s="323">
        <f>'Costos Sector Eléctrico'!W32</f>
        <v>2740.8264285714286</v>
      </c>
      <c r="X25" s="323">
        <f>'Costos Sector Eléctrico'!X32</f>
        <v>2740.8264285714286</v>
      </c>
      <c r="Y25" s="323">
        <f>'Costos Sector Eléctrico'!Y32</f>
        <v>2740.8264285714286</v>
      </c>
      <c r="Z25" s="323">
        <f>'Costos Sector Eléctrico'!Z32</f>
        <v>2740.8264285714286</v>
      </c>
      <c r="AA25" s="323">
        <f>'Costos Sector Eléctrico'!AA32</f>
        <v>2740.8264285714286</v>
      </c>
      <c r="AB25" s="323">
        <f>'Costos Sector Eléctrico'!AB32</f>
        <v>2740.8264285714286</v>
      </c>
      <c r="AC25" s="323">
        <f>'Costos Sector Eléctrico'!AC32</f>
        <v>2740.8264285714286</v>
      </c>
      <c r="AD25" s="323">
        <f>'Costos Sector Eléctrico'!AD32</f>
        <v>2740.8264285714286</v>
      </c>
      <c r="AE25" s="323">
        <f>'Costos Sector Eléctrico'!AE32</f>
        <v>2740.8264285714286</v>
      </c>
      <c r="AF25" s="323">
        <f>'Costos Sector Eléctrico'!AF32</f>
        <v>2740.8264285714286</v>
      </c>
      <c r="AG25" s="323">
        <f>'Costos Sector Eléctrico'!AG32</f>
        <v>2740.8264285714286</v>
      </c>
      <c r="AH25" s="323">
        <f>'Costos Sector Eléctrico'!AH32</f>
        <v>2740.8264285714286</v>
      </c>
      <c r="AI25" s="323">
        <f>'Costos Sector Eléctrico'!AI32</f>
        <v>2740.8264285714286</v>
      </c>
      <c r="AJ25" s="323">
        <f>'Costos Sector Eléctrico'!AJ32</f>
        <v>2740.8264285714286</v>
      </c>
      <c r="AK25" s="82">
        <f>'Costos Sector Eléctrico'!AK32</f>
        <v>2740.8264285714286</v>
      </c>
      <c r="AL25" s="80">
        <f t="shared" ref="AL25:BE25" si="14">AK25</f>
        <v>2740.8264285714286</v>
      </c>
      <c r="AM25" s="80">
        <f t="shared" si="14"/>
        <v>2740.8264285714286</v>
      </c>
      <c r="AN25" s="80">
        <f t="shared" si="14"/>
        <v>2740.8264285714286</v>
      </c>
      <c r="AO25" s="80">
        <f t="shared" si="14"/>
        <v>2740.8264285714286</v>
      </c>
      <c r="AP25" s="80">
        <f t="shared" si="14"/>
        <v>2740.8264285714286</v>
      </c>
      <c r="AQ25" s="80">
        <f t="shared" si="14"/>
        <v>2740.8264285714286</v>
      </c>
      <c r="AR25" s="80">
        <f t="shared" si="14"/>
        <v>2740.8264285714286</v>
      </c>
      <c r="AS25" s="80">
        <f t="shared" si="14"/>
        <v>2740.8264285714286</v>
      </c>
      <c r="AT25" s="80">
        <f t="shared" si="14"/>
        <v>2740.8264285714286</v>
      </c>
      <c r="AU25" s="80">
        <f t="shared" si="14"/>
        <v>2740.8264285714286</v>
      </c>
      <c r="AV25" s="80">
        <f t="shared" si="14"/>
        <v>2740.8264285714286</v>
      </c>
      <c r="AW25" s="80">
        <f t="shared" si="14"/>
        <v>2740.8264285714286</v>
      </c>
      <c r="AX25" s="80">
        <f t="shared" si="14"/>
        <v>2740.8264285714286</v>
      </c>
      <c r="AY25" s="80">
        <f t="shared" si="14"/>
        <v>2740.8264285714286</v>
      </c>
      <c r="AZ25" s="80">
        <f t="shared" si="14"/>
        <v>2740.8264285714286</v>
      </c>
      <c r="BA25" s="80">
        <f t="shared" si="14"/>
        <v>2740.8264285714286</v>
      </c>
      <c r="BB25" s="80">
        <f t="shared" si="14"/>
        <v>2740.8264285714286</v>
      </c>
      <c r="BC25" s="80">
        <f t="shared" si="14"/>
        <v>2740.8264285714286</v>
      </c>
      <c r="BD25" s="80">
        <f t="shared" si="14"/>
        <v>2740.8264285714286</v>
      </c>
      <c r="BE25" s="80">
        <f t="shared" si="14"/>
        <v>2740.8264285714286</v>
      </c>
    </row>
    <row r="26" spans="1:57" ht="13.5" customHeight="1">
      <c r="A26" s="619">
        <v>1</v>
      </c>
      <c r="B26" s="253"/>
      <c r="C26" s="258" t="s">
        <v>180</v>
      </c>
      <c r="D26" s="77" t="s">
        <v>176</v>
      </c>
      <c r="E26" s="323">
        <f>'Costos Sector Eléctrico'!E33</f>
        <v>1318.4942000000001</v>
      </c>
      <c r="F26" s="323">
        <f>'Costos Sector Eléctrico'!F33</f>
        <v>1318.4942000000001</v>
      </c>
      <c r="G26" s="323">
        <f>'Costos Sector Eléctrico'!G33</f>
        <v>1318.4942000000001</v>
      </c>
      <c r="H26" s="323">
        <f>'Costos Sector Eléctrico'!H33</f>
        <v>1318.4942000000001</v>
      </c>
      <c r="I26" s="323">
        <f>'Costos Sector Eléctrico'!I33</f>
        <v>1318.4942000000001</v>
      </c>
      <c r="J26" s="323">
        <f>'Costos Sector Eléctrico'!J33</f>
        <v>1318.4942000000001</v>
      </c>
      <c r="K26" s="323">
        <f>'Costos Sector Eléctrico'!K33</f>
        <v>1318.4942000000001</v>
      </c>
      <c r="L26" s="323">
        <f>'Costos Sector Eléctrico'!L33</f>
        <v>1318.4942000000001</v>
      </c>
      <c r="M26" s="323">
        <f>'Costos Sector Eléctrico'!M33</f>
        <v>1318.4942000000001</v>
      </c>
      <c r="N26" s="323">
        <f>'Costos Sector Eléctrico'!N33</f>
        <v>1318.4942000000001</v>
      </c>
      <c r="O26" s="323">
        <f>'Costos Sector Eléctrico'!O33</f>
        <v>1318.4942000000001</v>
      </c>
      <c r="P26" s="323">
        <f>'Costos Sector Eléctrico'!P33</f>
        <v>1318.4942000000001</v>
      </c>
      <c r="Q26" s="323">
        <f>'Costos Sector Eléctrico'!Q33</f>
        <v>1318.4942000000001</v>
      </c>
      <c r="R26" s="323">
        <f>'Costos Sector Eléctrico'!R33</f>
        <v>1318.4942000000001</v>
      </c>
      <c r="S26" s="323">
        <f>'Costos Sector Eléctrico'!S33</f>
        <v>1318.4942000000001</v>
      </c>
      <c r="T26" s="323">
        <f>'Costos Sector Eléctrico'!T33</f>
        <v>1318.4942000000001</v>
      </c>
      <c r="U26" s="323">
        <f>'Costos Sector Eléctrico'!U33</f>
        <v>1318.4942000000001</v>
      </c>
      <c r="V26" s="323">
        <f>'Costos Sector Eléctrico'!V33</f>
        <v>1318.4942000000001</v>
      </c>
      <c r="W26" s="323">
        <f>'Costos Sector Eléctrico'!W33</f>
        <v>1318.4942000000001</v>
      </c>
      <c r="X26" s="323">
        <f>'Costos Sector Eléctrico'!X33</f>
        <v>1318.4942000000001</v>
      </c>
      <c r="Y26" s="323">
        <f>'Costos Sector Eléctrico'!Y33</f>
        <v>1318.4942000000001</v>
      </c>
      <c r="Z26" s="323">
        <f>'Costos Sector Eléctrico'!Z33</f>
        <v>1318.4942000000001</v>
      </c>
      <c r="AA26" s="323">
        <f>'Costos Sector Eléctrico'!AA33</f>
        <v>1318.4942000000001</v>
      </c>
      <c r="AB26" s="323">
        <f>'Costos Sector Eléctrico'!AB33</f>
        <v>1318.4942000000001</v>
      </c>
      <c r="AC26" s="323">
        <f>'Costos Sector Eléctrico'!AC33</f>
        <v>1318.4942000000001</v>
      </c>
      <c r="AD26" s="323">
        <f>'Costos Sector Eléctrico'!AD33</f>
        <v>1318.4942000000001</v>
      </c>
      <c r="AE26" s="323">
        <f>'Costos Sector Eléctrico'!AE33</f>
        <v>1318.4942000000001</v>
      </c>
      <c r="AF26" s="323">
        <f>'Costos Sector Eléctrico'!AF33</f>
        <v>1318.4942000000001</v>
      </c>
      <c r="AG26" s="323">
        <f>'Costos Sector Eléctrico'!AG33</f>
        <v>1318.4942000000001</v>
      </c>
      <c r="AH26" s="323">
        <f>'Costos Sector Eléctrico'!AH33</f>
        <v>1318.4942000000001</v>
      </c>
      <c r="AI26" s="323">
        <f>'Costos Sector Eléctrico'!AI33</f>
        <v>1318.4942000000001</v>
      </c>
      <c r="AJ26" s="323">
        <f>'Costos Sector Eléctrico'!AJ33</f>
        <v>1318.4942000000001</v>
      </c>
      <c r="AK26" s="82">
        <f>'Costos Sector Eléctrico'!AK33</f>
        <v>1318.4942000000001</v>
      </c>
      <c r="AL26" s="80">
        <f t="shared" ref="AL26:BE26" si="15">AK26</f>
        <v>1318.4942000000001</v>
      </c>
      <c r="AM26" s="80">
        <f t="shared" si="15"/>
        <v>1318.4942000000001</v>
      </c>
      <c r="AN26" s="80">
        <f t="shared" si="15"/>
        <v>1318.4942000000001</v>
      </c>
      <c r="AO26" s="80">
        <f t="shared" si="15"/>
        <v>1318.4942000000001</v>
      </c>
      <c r="AP26" s="80">
        <f t="shared" si="15"/>
        <v>1318.4942000000001</v>
      </c>
      <c r="AQ26" s="80">
        <f t="shared" si="15"/>
        <v>1318.4942000000001</v>
      </c>
      <c r="AR26" s="80">
        <f t="shared" si="15"/>
        <v>1318.4942000000001</v>
      </c>
      <c r="AS26" s="80">
        <f t="shared" si="15"/>
        <v>1318.4942000000001</v>
      </c>
      <c r="AT26" s="80">
        <f t="shared" si="15"/>
        <v>1318.4942000000001</v>
      </c>
      <c r="AU26" s="80">
        <f t="shared" si="15"/>
        <v>1318.4942000000001</v>
      </c>
      <c r="AV26" s="80">
        <f t="shared" si="15"/>
        <v>1318.4942000000001</v>
      </c>
      <c r="AW26" s="80">
        <f t="shared" si="15"/>
        <v>1318.4942000000001</v>
      </c>
      <c r="AX26" s="80">
        <f t="shared" si="15"/>
        <v>1318.4942000000001</v>
      </c>
      <c r="AY26" s="80">
        <f t="shared" si="15"/>
        <v>1318.4942000000001</v>
      </c>
      <c r="AZ26" s="80">
        <f t="shared" si="15"/>
        <v>1318.4942000000001</v>
      </c>
      <c r="BA26" s="80">
        <f t="shared" si="15"/>
        <v>1318.4942000000001</v>
      </c>
      <c r="BB26" s="80">
        <f t="shared" si="15"/>
        <v>1318.4942000000001</v>
      </c>
      <c r="BC26" s="80">
        <f t="shared" si="15"/>
        <v>1318.4942000000001</v>
      </c>
      <c r="BD26" s="80">
        <f t="shared" si="15"/>
        <v>1318.4942000000001</v>
      </c>
      <c r="BE26" s="80">
        <f t="shared" si="15"/>
        <v>1318.4942000000001</v>
      </c>
    </row>
    <row r="27" spans="1:57" ht="13.5" customHeight="1">
      <c r="A27" s="619">
        <v>1</v>
      </c>
      <c r="B27" s="253"/>
      <c r="C27" s="258" t="s">
        <v>181</v>
      </c>
      <c r="D27" s="77" t="s">
        <v>166</v>
      </c>
      <c r="E27" s="323">
        <f>'Costos Sector Eléctrico'!E34</f>
        <v>3080.5955555555552</v>
      </c>
      <c r="F27" s="323">
        <f>'Costos Sector Eléctrico'!F34</f>
        <v>3080.5955555555552</v>
      </c>
      <c r="G27" s="323">
        <f>'Costos Sector Eléctrico'!G34</f>
        <v>3080.5955555555552</v>
      </c>
      <c r="H27" s="323">
        <f>'Costos Sector Eléctrico'!H34</f>
        <v>3080.5955555555552</v>
      </c>
      <c r="I27" s="323">
        <f>'Costos Sector Eléctrico'!I34</f>
        <v>3080.5955555555552</v>
      </c>
      <c r="J27" s="323">
        <f>'Costos Sector Eléctrico'!J34</f>
        <v>3080.5955555555552</v>
      </c>
      <c r="K27" s="323">
        <f>'Costos Sector Eléctrico'!K34</f>
        <v>3080.5955555555552</v>
      </c>
      <c r="L27" s="323">
        <f>'Costos Sector Eléctrico'!L34</f>
        <v>3080.5955555555552</v>
      </c>
      <c r="M27" s="323">
        <f>'Costos Sector Eléctrico'!M34</f>
        <v>3080.5955555555552</v>
      </c>
      <c r="N27" s="323">
        <f>'Costos Sector Eléctrico'!N34</f>
        <v>3080.5955555555552</v>
      </c>
      <c r="O27" s="323">
        <f>'Costos Sector Eléctrico'!O34</f>
        <v>3080.5955555555552</v>
      </c>
      <c r="P27" s="323">
        <f>'Costos Sector Eléctrico'!P34</f>
        <v>3080.5955555555552</v>
      </c>
      <c r="Q27" s="323">
        <f>'Costos Sector Eléctrico'!Q34</f>
        <v>3080.5955555555552</v>
      </c>
      <c r="R27" s="323">
        <f>'Costos Sector Eléctrico'!R34</f>
        <v>3080.5955555555552</v>
      </c>
      <c r="S27" s="323">
        <f>'Costos Sector Eléctrico'!S34</f>
        <v>3080.5955555555552</v>
      </c>
      <c r="T27" s="323">
        <f>'Costos Sector Eléctrico'!T34</f>
        <v>3080.5955555555552</v>
      </c>
      <c r="U27" s="323">
        <f>'Costos Sector Eléctrico'!U34</f>
        <v>3080.5955555555552</v>
      </c>
      <c r="V27" s="323">
        <f>'Costos Sector Eléctrico'!V34</f>
        <v>3080.5955555555552</v>
      </c>
      <c r="W27" s="323">
        <f>'Costos Sector Eléctrico'!W34</f>
        <v>3080.5955555555552</v>
      </c>
      <c r="X27" s="323">
        <f>'Costos Sector Eléctrico'!X34</f>
        <v>3080.5955555555552</v>
      </c>
      <c r="Y27" s="323">
        <f>'Costos Sector Eléctrico'!Y34</f>
        <v>3080.5955555555552</v>
      </c>
      <c r="Z27" s="323">
        <f>'Costos Sector Eléctrico'!Z34</f>
        <v>3080.5955555555552</v>
      </c>
      <c r="AA27" s="323">
        <f>'Costos Sector Eléctrico'!AA34</f>
        <v>3080.5955555555552</v>
      </c>
      <c r="AB27" s="323">
        <f>'Costos Sector Eléctrico'!AB34</f>
        <v>3080.5955555555552</v>
      </c>
      <c r="AC27" s="323">
        <f>'Costos Sector Eléctrico'!AC34</f>
        <v>3080.5955555555552</v>
      </c>
      <c r="AD27" s="323">
        <f>'Costos Sector Eléctrico'!AD34</f>
        <v>3080.5955555555552</v>
      </c>
      <c r="AE27" s="323">
        <f>'Costos Sector Eléctrico'!AE34</f>
        <v>3080.5955555555552</v>
      </c>
      <c r="AF27" s="323">
        <f>'Costos Sector Eléctrico'!AF34</f>
        <v>3080.5955555555552</v>
      </c>
      <c r="AG27" s="323">
        <f>'Costos Sector Eléctrico'!AG34</f>
        <v>3080.5955555555552</v>
      </c>
      <c r="AH27" s="323">
        <f>'Costos Sector Eléctrico'!AH34</f>
        <v>3080.5955555555552</v>
      </c>
      <c r="AI27" s="323">
        <f>'Costos Sector Eléctrico'!AI34</f>
        <v>3080.5955555555552</v>
      </c>
      <c r="AJ27" s="323">
        <f>'Costos Sector Eléctrico'!AJ34</f>
        <v>3080.5955555555552</v>
      </c>
      <c r="AK27" s="82">
        <f>'Costos Sector Eléctrico'!AK34</f>
        <v>3080.5955555555552</v>
      </c>
      <c r="AL27" s="80">
        <f t="shared" ref="AL27:BE27" si="16">AK27</f>
        <v>3080.5955555555552</v>
      </c>
      <c r="AM27" s="80">
        <f t="shared" si="16"/>
        <v>3080.5955555555552</v>
      </c>
      <c r="AN27" s="80">
        <f t="shared" si="16"/>
        <v>3080.5955555555552</v>
      </c>
      <c r="AO27" s="80">
        <f t="shared" si="16"/>
        <v>3080.5955555555552</v>
      </c>
      <c r="AP27" s="80">
        <f t="shared" si="16"/>
        <v>3080.5955555555552</v>
      </c>
      <c r="AQ27" s="80">
        <f t="shared" si="16"/>
        <v>3080.5955555555552</v>
      </c>
      <c r="AR27" s="80">
        <f t="shared" si="16"/>
        <v>3080.5955555555552</v>
      </c>
      <c r="AS27" s="80">
        <f t="shared" si="16"/>
        <v>3080.5955555555552</v>
      </c>
      <c r="AT27" s="80">
        <f t="shared" si="16"/>
        <v>3080.5955555555552</v>
      </c>
      <c r="AU27" s="80">
        <f t="shared" si="16"/>
        <v>3080.5955555555552</v>
      </c>
      <c r="AV27" s="80">
        <f t="shared" si="16"/>
        <v>3080.5955555555552</v>
      </c>
      <c r="AW27" s="80">
        <f t="shared" si="16"/>
        <v>3080.5955555555552</v>
      </c>
      <c r="AX27" s="80">
        <f t="shared" si="16"/>
        <v>3080.5955555555552</v>
      </c>
      <c r="AY27" s="80">
        <f t="shared" si="16"/>
        <v>3080.5955555555552</v>
      </c>
      <c r="AZ27" s="80">
        <f t="shared" si="16"/>
        <v>3080.5955555555552</v>
      </c>
      <c r="BA27" s="80">
        <f t="shared" si="16"/>
        <v>3080.5955555555552</v>
      </c>
      <c r="BB27" s="80">
        <f t="shared" si="16"/>
        <v>3080.5955555555552</v>
      </c>
      <c r="BC27" s="80">
        <f t="shared" si="16"/>
        <v>3080.5955555555552</v>
      </c>
      <c r="BD27" s="80">
        <f t="shared" si="16"/>
        <v>3080.5955555555552</v>
      </c>
      <c r="BE27" s="80">
        <f t="shared" si="16"/>
        <v>3080.5955555555552</v>
      </c>
    </row>
    <row r="28" spans="1:57" ht="13.5" customHeight="1">
      <c r="A28" s="619">
        <v>1</v>
      </c>
      <c r="B28" s="253"/>
      <c r="C28" s="258" t="s">
        <v>182</v>
      </c>
      <c r="D28" s="77" t="s">
        <v>168</v>
      </c>
      <c r="E28" s="323">
        <f>'Costos Sector Eléctrico'!E35</f>
        <v>2740.8264285714286</v>
      </c>
      <c r="F28" s="323">
        <f>'Costos Sector Eléctrico'!F35</f>
        <v>2740.8264285714286</v>
      </c>
      <c r="G28" s="323">
        <f>'Costos Sector Eléctrico'!G35</f>
        <v>2740.8264285714286</v>
      </c>
      <c r="H28" s="323">
        <f>'Costos Sector Eléctrico'!H35</f>
        <v>2740.8264285714286</v>
      </c>
      <c r="I28" s="323">
        <f>'Costos Sector Eléctrico'!I35</f>
        <v>2740.8264285714286</v>
      </c>
      <c r="J28" s="323">
        <f>'Costos Sector Eléctrico'!J35</f>
        <v>2740.8264285714286</v>
      </c>
      <c r="K28" s="323">
        <f>'Costos Sector Eléctrico'!K35</f>
        <v>2740.8264285714286</v>
      </c>
      <c r="L28" s="323">
        <f>'Costos Sector Eléctrico'!L35</f>
        <v>2740.8264285714286</v>
      </c>
      <c r="M28" s="323">
        <f>'Costos Sector Eléctrico'!M35</f>
        <v>2740.8264285714286</v>
      </c>
      <c r="N28" s="323">
        <f>'Costos Sector Eléctrico'!N35</f>
        <v>2740.8264285714286</v>
      </c>
      <c r="O28" s="323">
        <f>'Costos Sector Eléctrico'!O35</f>
        <v>2740.8264285714286</v>
      </c>
      <c r="P28" s="323">
        <f>'Costos Sector Eléctrico'!P35</f>
        <v>2740.8264285714286</v>
      </c>
      <c r="Q28" s="323">
        <f>'Costos Sector Eléctrico'!Q35</f>
        <v>2740.8264285714286</v>
      </c>
      <c r="R28" s="323">
        <f>'Costos Sector Eléctrico'!R35</f>
        <v>2740.8264285714286</v>
      </c>
      <c r="S28" s="323">
        <f>'Costos Sector Eléctrico'!S35</f>
        <v>2740.8264285714286</v>
      </c>
      <c r="T28" s="323">
        <f>'Costos Sector Eléctrico'!T35</f>
        <v>2740.8264285714286</v>
      </c>
      <c r="U28" s="323">
        <f>'Costos Sector Eléctrico'!U35</f>
        <v>2740.8264285714286</v>
      </c>
      <c r="V28" s="323">
        <f>'Costos Sector Eléctrico'!V35</f>
        <v>2740.8264285714286</v>
      </c>
      <c r="W28" s="323">
        <f>'Costos Sector Eléctrico'!W35</f>
        <v>2740.8264285714286</v>
      </c>
      <c r="X28" s="323">
        <f>'Costos Sector Eléctrico'!X35</f>
        <v>2740.8264285714286</v>
      </c>
      <c r="Y28" s="323">
        <f>'Costos Sector Eléctrico'!Y35</f>
        <v>2740.8264285714286</v>
      </c>
      <c r="Z28" s="323">
        <f>'Costos Sector Eléctrico'!Z35</f>
        <v>2740.8264285714286</v>
      </c>
      <c r="AA28" s="323">
        <f>'Costos Sector Eléctrico'!AA35</f>
        <v>2740.8264285714286</v>
      </c>
      <c r="AB28" s="323">
        <f>'Costos Sector Eléctrico'!AB35</f>
        <v>2740.8264285714286</v>
      </c>
      <c r="AC28" s="323">
        <f>'Costos Sector Eléctrico'!AC35</f>
        <v>2740.8264285714286</v>
      </c>
      <c r="AD28" s="323">
        <f>'Costos Sector Eléctrico'!AD35</f>
        <v>2740.8264285714286</v>
      </c>
      <c r="AE28" s="323">
        <f>'Costos Sector Eléctrico'!AE35</f>
        <v>2740.8264285714286</v>
      </c>
      <c r="AF28" s="323">
        <f>'Costos Sector Eléctrico'!AF35</f>
        <v>2740.8264285714286</v>
      </c>
      <c r="AG28" s="323">
        <f>'Costos Sector Eléctrico'!AG35</f>
        <v>2740.8264285714286</v>
      </c>
      <c r="AH28" s="323">
        <f>'Costos Sector Eléctrico'!AH35</f>
        <v>2740.8264285714286</v>
      </c>
      <c r="AI28" s="323">
        <f>'Costos Sector Eléctrico'!AI35</f>
        <v>2740.8264285714286</v>
      </c>
      <c r="AJ28" s="323">
        <f>'Costos Sector Eléctrico'!AJ35</f>
        <v>2740.8264285714286</v>
      </c>
      <c r="AK28" s="82">
        <f>'Costos Sector Eléctrico'!AK35</f>
        <v>2740.8264285714286</v>
      </c>
      <c r="AL28" s="80">
        <f t="shared" ref="AL28:BE28" si="17">AK28</f>
        <v>2740.8264285714286</v>
      </c>
      <c r="AM28" s="80">
        <f t="shared" si="17"/>
        <v>2740.8264285714286</v>
      </c>
      <c r="AN28" s="80">
        <f t="shared" si="17"/>
        <v>2740.8264285714286</v>
      </c>
      <c r="AO28" s="80">
        <f t="shared" si="17"/>
        <v>2740.8264285714286</v>
      </c>
      <c r="AP28" s="80">
        <f t="shared" si="17"/>
        <v>2740.8264285714286</v>
      </c>
      <c r="AQ28" s="80">
        <f t="shared" si="17"/>
        <v>2740.8264285714286</v>
      </c>
      <c r="AR28" s="80">
        <f t="shared" si="17"/>
        <v>2740.8264285714286</v>
      </c>
      <c r="AS28" s="80">
        <f t="shared" si="17"/>
        <v>2740.8264285714286</v>
      </c>
      <c r="AT28" s="80">
        <f t="shared" si="17"/>
        <v>2740.8264285714286</v>
      </c>
      <c r="AU28" s="80">
        <f t="shared" si="17"/>
        <v>2740.8264285714286</v>
      </c>
      <c r="AV28" s="80">
        <f t="shared" si="17"/>
        <v>2740.8264285714286</v>
      </c>
      <c r="AW28" s="80">
        <f t="shared" si="17"/>
        <v>2740.8264285714286</v>
      </c>
      <c r="AX28" s="80">
        <f t="shared" si="17"/>
        <v>2740.8264285714286</v>
      </c>
      <c r="AY28" s="80">
        <f t="shared" si="17"/>
        <v>2740.8264285714286</v>
      </c>
      <c r="AZ28" s="80">
        <f t="shared" si="17"/>
        <v>2740.8264285714286</v>
      </c>
      <c r="BA28" s="80">
        <f t="shared" si="17"/>
        <v>2740.8264285714286</v>
      </c>
      <c r="BB28" s="80">
        <f t="shared" si="17"/>
        <v>2740.8264285714286</v>
      </c>
      <c r="BC28" s="80">
        <f t="shared" si="17"/>
        <v>2740.8264285714286</v>
      </c>
      <c r="BD28" s="80">
        <f t="shared" si="17"/>
        <v>2740.8264285714286</v>
      </c>
      <c r="BE28" s="80">
        <f t="shared" si="17"/>
        <v>2740.8264285714286</v>
      </c>
    </row>
    <row r="29" spans="1:57" ht="13.5" customHeight="1">
      <c r="A29" s="619">
        <v>1</v>
      </c>
      <c r="B29" s="253"/>
      <c r="C29" s="258" t="s">
        <v>183</v>
      </c>
      <c r="D29" s="77" t="s">
        <v>170</v>
      </c>
      <c r="E29" s="323">
        <f>'Costos Sector Eléctrico'!E36</f>
        <v>1318.4942000000001</v>
      </c>
      <c r="F29" s="323">
        <f>'Costos Sector Eléctrico'!F36</f>
        <v>1318.4942000000001</v>
      </c>
      <c r="G29" s="323">
        <f>'Costos Sector Eléctrico'!G36</f>
        <v>1318.4942000000001</v>
      </c>
      <c r="H29" s="323">
        <f>'Costos Sector Eléctrico'!H36</f>
        <v>1318.4942000000001</v>
      </c>
      <c r="I29" s="323">
        <f>'Costos Sector Eléctrico'!I36</f>
        <v>1318.4942000000001</v>
      </c>
      <c r="J29" s="323">
        <f>'Costos Sector Eléctrico'!J36</f>
        <v>1318.4942000000001</v>
      </c>
      <c r="K29" s="323">
        <f>'Costos Sector Eléctrico'!K36</f>
        <v>1318.4942000000001</v>
      </c>
      <c r="L29" s="323">
        <f>'Costos Sector Eléctrico'!L36</f>
        <v>1318.4942000000001</v>
      </c>
      <c r="M29" s="323">
        <f>'Costos Sector Eléctrico'!M36</f>
        <v>1318.4942000000001</v>
      </c>
      <c r="N29" s="323">
        <f>'Costos Sector Eléctrico'!N36</f>
        <v>1318.4942000000001</v>
      </c>
      <c r="O29" s="323">
        <f>'Costos Sector Eléctrico'!O36</f>
        <v>1318.4942000000001</v>
      </c>
      <c r="P29" s="323">
        <f>'Costos Sector Eléctrico'!P36</f>
        <v>1318.4942000000001</v>
      </c>
      <c r="Q29" s="323">
        <f>'Costos Sector Eléctrico'!Q36</f>
        <v>1318.4942000000001</v>
      </c>
      <c r="R29" s="323">
        <f>'Costos Sector Eléctrico'!R36</f>
        <v>1318.4942000000001</v>
      </c>
      <c r="S29" s="323">
        <f>'Costos Sector Eléctrico'!S36</f>
        <v>1318.4942000000001</v>
      </c>
      <c r="T29" s="323">
        <f>'Costos Sector Eléctrico'!T36</f>
        <v>1318.4942000000001</v>
      </c>
      <c r="U29" s="323">
        <f>'Costos Sector Eléctrico'!U36</f>
        <v>1318.4942000000001</v>
      </c>
      <c r="V29" s="323">
        <f>'Costos Sector Eléctrico'!V36</f>
        <v>1318.4942000000001</v>
      </c>
      <c r="W29" s="323">
        <f>'Costos Sector Eléctrico'!W36</f>
        <v>1318.4942000000001</v>
      </c>
      <c r="X29" s="323">
        <f>'Costos Sector Eléctrico'!X36</f>
        <v>1318.4942000000001</v>
      </c>
      <c r="Y29" s="323">
        <f>'Costos Sector Eléctrico'!Y36</f>
        <v>1318.4942000000001</v>
      </c>
      <c r="Z29" s="323">
        <f>'Costos Sector Eléctrico'!Z36</f>
        <v>1318.4942000000001</v>
      </c>
      <c r="AA29" s="323">
        <f>'Costos Sector Eléctrico'!AA36</f>
        <v>1318.4942000000001</v>
      </c>
      <c r="AB29" s="323">
        <f>'Costos Sector Eléctrico'!AB36</f>
        <v>1318.4942000000001</v>
      </c>
      <c r="AC29" s="323">
        <f>'Costos Sector Eléctrico'!AC36</f>
        <v>1318.4942000000001</v>
      </c>
      <c r="AD29" s="323">
        <f>'Costos Sector Eléctrico'!AD36</f>
        <v>1318.4942000000001</v>
      </c>
      <c r="AE29" s="323">
        <f>'Costos Sector Eléctrico'!AE36</f>
        <v>1318.4942000000001</v>
      </c>
      <c r="AF29" s="323">
        <f>'Costos Sector Eléctrico'!AF36</f>
        <v>1318.4942000000001</v>
      </c>
      <c r="AG29" s="323">
        <f>'Costos Sector Eléctrico'!AG36</f>
        <v>1318.4942000000001</v>
      </c>
      <c r="AH29" s="323">
        <f>'Costos Sector Eléctrico'!AH36</f>
        <v>1318.4942000000001</v>
      </c>
      <c r="AI29" s="323">
        <f>'Costos Sector Eléctrico'!AI36</f>
        <v>1318.4942000000001</v>
      </c>
      <c r="AJ29" s="323">
        <f>'Costos Sector Eléctrico'!AJ36</f>
        <v>1318.4942000000001</v>
      </c>
      <c r="AK29" s="82">
        <f>'Costos Sector Eléctrico'!AK36</f>
        <v>1318.4942000000001</v>
      </c>
      <c r="AL29" s="80">
        <f t="shared" ref="AL29:BE29" si="18">AK29</f>
        <v>1318.4942000000001</v>
      </c>
      <c r="AM29" s="80">
        <f t="shared" si="18"/>
        <v>1318.4942000000001</v>
      </c>
      <c r="AN29" s="80">
        <f t="shared" si="18"/>
        <v>1318.4942000000001</v>
      </c>
      <c r="AO29" s="80">
        <f t="shared" si="18"/>
        <v>1318.4942000000001</v>
      </c>
      <c r="AP29" s="80">
        <f t="shared" si="18"/>
        <v>1318.4942000000001</v>
      </c>
      <c r="AQ29" s="80">
        <f t="shared" si="18"/>
        <v>1318.4942000000001</v>
      </c>
      <c r="AR29" s="80">
        <f t="shared" si="18"/>
        <v>1318.4942000000001</v>
      </c>
      <c r="AS29" s="80">
        <f t="shared" si="18"/>
        <v>1318.4942000000001</v>
      </c>
      <c r="AT29" s="80">
        <f t="shared" si="18"/>
        <v>1318.4942000000001</v>
      </c>
      <c r="AU29" s="80">
        <f t="shared" si="18"/>
        <v>1318.4942000000001</v>
      </c>
      <c r="AV29" s="80">
        <f t="shared" si="18"/>
        <v>1318.4942000000001</v>
      </c>
      <c r="AW29" s="80">
        <f t="shared" si="18"/>
        <v>1318.4942000000001</v>
      </c>
      <c r="AX29" s="80">
        <f t="shared" si="18"/>
        <v>1318.4942000000001</v>
      </c>
      <c r="AY29" s="80">
        <f t="shared" si="18"/>
        <v>1318.4942000000001</v>
      </c>
      <c r="AZ29" s="80">
        <f t="shared" si="18"/>
        <v>1318.4942000000001</v>
      </c>
      <c r="BA29" s="80">
        <f t="shared" si="18"/>
        <v>1318.4942000000001</v>
      </c>
      <c r="BB29" s="80">
        <f t="shared" si="18"/>
        <v>1318.4942000000001</v>
      </c>
      <c r="BC29" s="80">
        <f t="shared" si="18"/>
        <v>1318.4942000000001</v>
      </c>
      <c r="BD29" s="80">
        <f t="shared" si="18"/>
        <v>1318.4942000000001</v>
      </c>
      <c r="BE29" s="80">
        <f t="shared" si="18"/>
        <v>1318.4942000000001</v>
      </c>
    </row>
    <row r="30" spans="1:57" ht="13.5" customHeight="1">
      <c r="A30" s="619">
        <v>3</v>
      </c>
      <c r="B30" s="253"/>
      <c r="C30" s="258" t="s">
        <v>142</v>
      </c>
      <c r="D30" s="78" t="s">
        <v>143</v>
      </c>
      <c r="E30" s="448">
        <f>'Costos Sector Eléctrico'!E40</f>
        <v>1216.6666666666665</v>
      </c>
      <c r="F30" s="448">
        <f>'Costos Sector Eléctrico'!F40</f>
        <v>1174.4444444444443</v>
      </c>
      <c r="G30" s="448">
        <f>'Costos Sector Eléctrico'!G40</f>
        <v>1132.2222222222222</v>
      </c>
      <c r="H30" s="448">
        <f>'Costos Sector Eléctrico'!H40</f>
        <v>1090</v>
      </c>
      <c r="I30" s="448">
        <f>'Costos Sector Eléctrico'!I40</f>
        <v>1047.7777777777778</v>
      </c>
      <c r="J30" s="448">
        <f>'Costos Sector Eléctrico'!J40</f>
        <v>1005.5555555555555</v>
      </c>
      <c r="K30" s="448">
        <f>'Costos Sector Eléctrico'!K40</f>
        <v>963.33333333333337</v>
      </c>
      <c r="L30" s="448">
        <f>'Costos Sector Eléctrico'!L40</f>
        <v>921.11111111111109</v>
      </c>
      <c r="M30" s="448">
        <f>'Costos Sector Eléctrico'!M40</f>
        <v>878.88888888888891</v>
      </c>
      <c r="N30" s="448">
        <f>'Costos Sector Eléctrico'!N40</f>
        <v>836.66666666666663</v>
      </c>
      <c r="O30" s="448">
        <f>'Costos Sector Eléctrico'!O40</f>
        <v>794.44444444444446</v>
      </c>
      <c r="P30" s="448">
        <f>'Costos Sector Eléctrico'!P40</f>
        <v>752.22222222222217</v>
      </c>
      <c r="Q30" s="448">
        <f>'Costos Sector Eléctrico'!Q40</f>
        <v>710</v>
      </c>
      <c r="R30" s="448">
        <f>'Costos Sector Eléctrico'!R40</f>
        <v>700</v>
      </c>
      <c r="S30" s="448">
        <f>'Costos Sector Eléctrico'!S40</f>
        <v>690</v>
      </c>
      <c r="T30" s="448">
        <f>'Costos Sector Eléctrico'!T40</f>
        <v>680</v>
      </c>
      <c r="U30" s="448">
        <f>'Costos Sector Eléctrico'!U40</f>
        <v>670</v>
      </c>
      <c r="V30" s="448">
        <f>'Costos Sector Eléctrico'!V40</f>
        <v>660</v>
      </c>
      <c r="W30" s="448">
        <f>'Costos Sector Eléctrico'!W40</f>
        <v>650</v>
      </c>
      <c r="X30" s="448">
        <f>'Costos Sector Eléctrico'!X40</f>
        <v>640</v>
      </c>
      <c r="Y30" s="448">
        <f>'Costos Sector Eléctrico'!Y40</f>
        <v>630</v>
      </c>
      <c r="Z30" s="448">
        <f>'Costos Sector Eléctrico'!Z40</f>
        <v>620</v>
      </c>
      <c r="AA30" s="448">
        <f>'Costos Sector Eléctrico'!AA40</f>
        <v>610</v>
      </c>
      <c r="AB30" s="448">
        <f>'Costos Sector Eléctrico'!AB40</f>
        <v>600</v>
      </c>
      <c r="AC30" s="448">
        <f>'Costos Sector Eléctrico'!AC40</f>
        <v>590</v>
      </c>
      <c r="AD30" s="448">
        <f>'Costos Sector Eléctrico'!AD40</f>
        <v>580</v>
      </c>
      <c r="AE30" s="448">
        <f>'Costos Sector Eléctrico'!AE40</f>
        <v>570</v>
      </c>
      <c r="AF30" s="448">
        <f>'Costos Sector Eléctrico'!AF40</f>
        <v>560</v>
      </c>
      <c r="AG30" s="448">
        <f>'Costos Sector Eléctrico'!AG40</f>
        <v>550</v>
      </c>
      <c r="AH30" s="448">
        <f>'Costos Sector Eléctrico'!AH40</f>
        <v>540</v>
      </c>
      <c r="AI30" s="448">
        <f>'Costos Sector Eléctrico'!AI40</f>
        <v>530</v>
      </c>
      <c r="AJ30" s="448">
        <f>'Costos Sector Eléctrico'!AJ40</f>
        <v>520</v>
      </c>
      <c r="AK30" s="79">
        <f>'Costos Sector Eléctrico'!AK40</f>
        <v>510</v>
      </c>
      <c r="AL30" s="80">
        <f t="shared" ref="AL30:BE30" si="19">AK30</f>
        <v>510</v>
      </c>
      <c r="AM30" s="80">
        <f t="shared" si="19"/>
        <v>510</v>
      </c>
      <c r="AN30" s="80">
        <f t="shared" si="19"/>
        <v>510</v>
      </c>
      <c r="AO30" s="80">
        <f t="shared" si="19"/>
        <v>510</v>
      </c>
      <c r="AP30" s="80">
        <f t="shared" si="19"/>
        <v>510</v>
      </c>
      <c r="AQ30" s="80">
        <f t="shared" si="19"/>
        <v>510</v>
      </c>
      <c r="AR30" s="80">
        <f t="shared" si="19"/>
        <v>510</v>
      </c>
      <c r="AS30" s="80">
        <f t="shared" si="19"/>
        <v>510</v>
      </c>
      <c r="AT30" s="80">
        <f t="shared" si="19"/>
        <v>510</v>
      </c>
      <c r="AU30" s="80">
        <f t="shared" si="19"/>
        <v>510</v>
      </c>
      <c r="AV30" s="80">
        <f t="shared" si="19"/>
        <v>510</v>
      </c>
      <c r="AW30" s="80">
        <f t="shared" si="19"/>
        <v>510</v>
      </c>
      <c r="AX30" s="80">
        <f t="shared" si="19"/>
        <v>510</v>
      </c>
      <c r="AY30" s="80">
        <f t="shared" si="19"/>
        <v>510</v>
      </c>
      <c r="AZ30" s="80">
        <f t="shared" si="19"/>
        <v>510</v>
      </c>
      <c r="BA30" s="80">
        <f t="shared" si="19"/>
        <v>510</v>
      </c>
      <c r="BB30" s="80">
        <f t="shared" si="19"/>
        <v>510</v>
      </c>
      <c r="BC30" s="80">
        <f t="shared" si="19"/>
        <v>510</v>
      </c>
      <c r="BD30" s="80">
        <f t="shared" si="19"/>
        <v>510</v>
      </c>
      <c r="BE30" s="80">
        <f t="shared" si="19"/>
        <v>510</v>
      </c>
    </row>
    <row r="31" spans="1:57" ht="13.5" customHeight="1">
      <c r="A31" s="619"/>
      <c r="B31" s="253"/>
      <c r="C31" s="258"/>
      <c r="D31" s="78" t="s">
        <v>144</v>
      </c>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81"/>
      <c r="AL31" s="74">
        <f t="shared" ref="AL31:BE31" si="20">AK31</f>
        <v>0</v>
      </c>
      <c r="AM31" s="74">
        <f t="shared" si="20"/>
        <v>0</v>
      </c>
      <c r="AN31" s="74">
        <f t="shared" si="20"/>
        <v>0</v>
      </c>
      <c r="AO31" s="74">
        <f t="shared" si="20"/>
        <v>0</v>
      </c>
      <c r="AP31" s="74">
        <f t="shared" si="20"/>
        <v>0</v>
      </c>
      <c r="AQ31" s="74">
        <f t="shared" si="20"/>
        <v>0</v>
      </c>
      <c r="AR31" s="74">
        <f t="shared" si="20"/>
        <v>0</v>
      </c>
      <c r="AS31" s="74">
        <f t="shared" si="20"/>
        <v>0</v>
      </c>
      <c r="AT31" s="74">
        <f t="shared" si="20"/>
        <v>0</v>
      </c>
      <c r="AU31" s="74">
        <f t="shared" si="20"/>
        <v>0</v>
      </c>
      <c r="AV31" s="74">
        <f t="shared" si="20"/>
        <v>0</v>
      </c>
      <c r="AW31" s="74">
        <f t="shared" si="20"/>
        <v>0</v>
      </c>
      <c r="AX31" s="74">
        <f t="shared" si="20"/>
        <v>0</v>
      </c>
      <c r="AY31" s="74">
        <f t="shared" si="20"/>
        <v>0</v>
      </c>
      <c r="AZ31" s="74">
        <f t="shared" si="20"/>
        <v>0</v>
      </c>
      <c r="BA31" s="74">
        <f t="shared" si="20"/>
        <v>0</v>
      </c>
      <c r="BB31" s="74">
        <f t="shared" si="20"/>
        <v>0</v>
      </c>
      <c r="BC31" s="74">
        <f t="shared" si="20"/>
        <v>0</v>
      </c>
      <c r="BD31" s="74">
        <f t="shared" si="20"/>
        <v>0</v>
      </c>
      <c r="BE31" s="74">
        <f t="shared" si="20"/>
        <v>0</v>
      </c>
    </row>
    <row r="32" spans="1:57" ht="13.5" customHeight="1">
      <c r="A32" s="619"/>
      <c r="B32" s="253"/>
      <c r="C32" s="258"/>
      <c r="D32" s="75" t="s">
        <v>145</v>
      </c>
      <c r="E32" s="447"/>
      <c r="F32" s="447"/>
      <c r="G32" s="447"/>
      <c r="H32" s="447"/>
      <c r="I32" s="447"/>
      <c r="J32" s="447"/>
      <c r="K32" s="447"/>
      <c r="L32" s="447"/>
      <c r="M32" s="447"/>
      <c r="N32" s="447"/>
      <c r="O32" s="447"/>
      <c r="P32" s="447"/>
      <c r="Q32" s="447"/>
      <c r="R32" s="447"/>
      <c r="S32" s="447"/>
      <c r="T32" s="447"/>
      <c r="U32" s="447"/>
      <c r="V32" s="447"/>
      <c r="W32" s="447"/>
      <c r="X32" s="447"/>
      <c r="Y32" s="447"/>
      <c r="Z32" s="447"/>
      <c r="AA32" s="447"/>
      <c r="AB32" s="447"/>
      <c r="AC32" s="447"/>
      <c r="AD32" s="447"/>
      <c r="AE32" s="447"/>
      <c r="AF32" s="447"/>
      <c r="AG32" s="447"/>
      <c r="AH32" s="447"/>
      <c r="AI32" s="447"/>
      <c r="AJ32" s="447"/>
      <c r="AK32" s="76"/>
      <c r="AL32" s="74">
        <f t="shared" ref="AL32:BE32" si="21">AK32</f>
        <v>0</v>
      </c>
      <c r="AM32" s="74">
        <f t="shared" si="21"/>
        <v>0</v>
      </c>
      <c r="AN32" s="74">
        <f t="shared" si="21"/>
        <v>0</v>
      </c>
      <c r="AO32" s="74">
        <f t="shared" si="21"/>
        <v>0</v>
      </c>
      <c r="AP32" s="74">
        <f t="shared" si="21"/>
        <v>0</v>
      </c>
      <c r="AQ32" s="74">
        <f t="shared" si="21"/>
        <v>0</v>
      </c>
      <c r="AR32" s="74">
        <f t="shared" si="21"/>
        <v>0</v>
      </c>
      <c r="AS32" s="74">
        <f t="shared" si="21"/>
        <v>0</v>
      </c>
      <c r="AT32" s="74">
        <f t="shared" si="21"/>
        <v>0</v>
      </c>
      <c r="AU32" s="74">
        <f t="shared" si="21"/>
        <v>0</v>
      </c>
      <c r="AV32" s="74">
        <f t="shared" si="21"/>
        <v>0</v>
      </c>
      <c r="AW32" s="74">
        <f t="shared" si="21"/>
        <v>0</v>
      </c>
      <c r="AX32" s="74">
        <f t="shared" si="21"/>
        <v>0</v>
      </c>
      <c r="AY32" s="74">
        <f t="shared" si="21"/>
        <v>0</v>
      </c>
      <c r="AZ32" s="74">
        <f t="shared" si="21"/>
        <v>0</v>
      </c>
      <c r="BA32" s="74">
        <f t="shared" si="21"/>
        <v>0</v>
      </c>
      <c r="BB32" s="74">
        <f t="shared" si="21"/>
        <v>0</v>
      </c>
      <c r="BC32" s="74">
        <f t="shared" si="21"/>
        <v>0</v>
      </c>
      <c r="BD32" s="74">
        <f t="shared" si="21"/>
        <v>0</v>
      </c>
      <c r="BE32" s="74">
        <f t="shared" si="21"/>
        <v>0</v>
      </c>
    </row>
    <row r="33" spans="1:57" ht="13.5" customHeight="1">
      <c r="A33" s="619">
        <v>1</v>
      </c>
      <c r="B33" s="253"/>
      <c r="C33" s="258" t="s">
        <v>146</v>
      </c>
      <c r="D33" s="77" t="s">
        <v>155</v>
      </c>
      <c r="E33" s="376">
        <f>'Costos Sector Eléctrico'!E49</f>
        <v>1200</v>
      </c>
      <c r="F33" s="376">
        <f>'Costos Sector Eléctrico'!F49</f>
        <v>1200</v>
      </c>
      <c r="G33" s="376">
        <f>'Costos Sector Eléctrico'!G49</f>
        <v>1200</v>
      </c>
      <c r="H33" s="376">
        <f>'Costos Sector Eléctrico'!H49</f>
        <v>1200</v>
      </c>
      <c r="I33" s="376">
        <f>'Costos Sector Eléctrico'!I49</f>
        <v>1200</v>
      </c>
      <c r="J33" s="376">
        <f>'Costos Sector Eléctrico'!J49</f>
        <v>1200</v>
      </c>
      <c r="K33" s="376">
        <f>'Costos Sector Eléctrico'!K49</f>
        <v>1200</v>
      </c>
      <c r="L33" s="376">
        <f>'Costos Sector Eléctrico'!L49</f>
        <v>1200</v>
      </c>
      <c r="M33" s="376">
        <f>'Costos Sector Eléctrico'!M49</f>
        <v>1200</v>
      </c>
      <c r="N33" s="376">
        <f>'Costos Sector Eléctrico'!N49</f>
        <v>1200</v>
      </c>
      <c r="O33" s="376">
        <f>'Costos Sector Eléctrico'!O49</f>
        <v>1200</v>
      </c>
      <c r="P33" s="376">
        <f>'Costos Sector Eléctrico'!P49</f>
        <v>1200</v>
      </c>
      <c r="Q33" s="376">
        <f>'Costos Sector Eléctrico'!Q49</f>
        <v>1200</v>
      </c>
      <c r="R33" s="376">
        <f>'Costos Sector Eléctrico'!R49</f>
        <v>1200</v>
      </c>
      <c r="S33" s="376">
        <f>'Costos Sector Eléctrico'!S49</f>
        <v>1200</v>
      </c>
      <c r="T33" s="376">
        <f>'Costos Sector Eléctrico'!T49</f>
        <v>1200</v>
      </c>
      <c r="U33" s="376">
        <f>'Costos Sector Eléctrico'!U49</f>
        <v>1200</v>
      </c>
      <c r="V33" s="376">
        <f>'Costos Sector Eléctrico'!V49</f>
        <v>1200</v>
      </c>
      <c r="W33" s="376">
        <f>'Costos Sector Eléctrico'!W49</f>
        <v>1200</v>
      </c>
      <c r="X33" s="376">
        <f>'Costos Sector Eléctrico'!X49</f>
        <v>1200</v>
      </c>
      <c r="Y33" s="376">
        <f>'Costos Sector Eléctrico'!Y49</f>
        <v>1200</v>
      </c>
      <c r="Z33" s="376">
        <f>'Costos Sector Eléctrico'!Z49</f>
        <v>1200</v>
      </c>
      <c r="AA33" s="376">
        <f>'Costos Sector Eléctrico'!AA49</f>
        <v>1200</v>
      </c>
      <c r="AB33" s="376">
        <f>'Costos Sector Eléctrico'!AB49</f>
        <v>1200</v>
      </c>
      <c r="AC33" s="376">
        <f>'Costos Sector Eléctrico'!AC49</f>
        <v>1200</v>
      </c>
      <c r="AD33" s="376">
        <f>'Costos Sector Eléctrico'!AD49</f>
        <v>1200</v>
      </c>
      <c r="AE33" s="376">
        <f>'Costos Sector Eléctrico'!AE49</f>
        <v>1200</v>
      </c>
      <c r="AF33" s="376">
        <f>'Costos Sector Eléctrico'!AF49</f>
        <v>1200</v>
      </c>
      <c r="AG33" s="376">
        <f>'Costos Sector Eléctrico'!AG49</f>
        <v>1200</v>
      </c>
      <c r="AH33" s="376">
        <f>'Costos Sector Eléctrico'!AH49</f>
        <v>1200</v>
      </c>
      <c r="AI33" s="376">
        <f>'Costos Sector Eléctrico'!AI49</f>
        <v>1200</v>
      </c>
      <c r="AJ33" s="376">
        <f>'Costos Sector Eléctrico'!AJ49</f>
        <v>1200</v>
      </c>
      <c r="AK33" s="69">
        <f>'Costos Sector Eléctrico'!AK49</f>
        <v>1200</v>
      </c>
      <c r="AL33" s="74">
        <f t="shared" ref="AL33:BE33" si="22">AK33</f>
        <v>1200</v>
      </c>
      <c r="AM33" s="74">
        <f t="shared" si="22"/>
        <v>1200</v>
      </c>
      <c r="AN33" s="74">
        <f t="shared" si="22"/>
        <v>1200</v>
      </c>
      <c r="AO33" s="74">
        <f t="shared" si="22"/>
        <v>1200</v>
      </c>
      <c r="AP33" s="74">
        <f t="shared" si="22"/>
        <v>1200</v>
      </c>
      <c r="AQ33" s="74">
        <f t="shared" si="22"/>
        <v>1200</v>
      </c>
      <c r="AR33" s="74">
        <f t="shared" si="22"/>
        <v>1200</v>
      </c>
      <c r="AS33" s="74">
        <f t="shared" si="22"/>
        <v>1200</v>
      </c>
      <c r="AT33" s="74">
        <f t="shared" si="22"/>
        <v>1200</v>
      </c>
      <c r="AU33" s="74">
        <f t="shared" si="22"/>
        <v>1200</v>
      </c>
      <c r="AV33" s="74">
        <f t="shared" si="22"/>
        <v>1200</v>
      </c>
      <c r="AW33" s="74">
        <f t="shared" si="22"/>
        <v>1200</v>
      </c>
      <c r="AX33" s="74">
        <f t="shared" si="22"/>
        <v>1200</v>
      </c>
      <c r="AY33" s="74">
        <f t="shared" si="22"/>
        <v>1200</v>
      </c>
      <c r="AZ33" s="74">
        <f t="shared" si="22"/>
        <v>1200</v>
      </c>
      <c r="BA33" s="74">
        <f t="shared" si="22"/>
        <v>1200</v>
      </c>
      <c r="BB33" s="74">
        <f t="shared" si="22"/>
        <v>1200</v>
      </c>
      <c r="BC33" s="74">
        <f t="shared" si="22"/>
        <v>1200</v>
      </c>
      <c r="BD33" s="74">
        <f t="shared" si="22"/>
        <v>1200</v>
      </c>
      <c r="BE33" s="74">
        <f t="shared" si="22"/>
        <v>1200</v>
      </c>
    </row>
    <row r="34" spans="1:57" ht="13.5" customHeight="1">
      <c r="A34" s="619">
        <v>4</v>
      </c>
      <c r="B34" s="253"/>
      <c r="C34" s="258" t="s">
        <v>148</v>
      </c>
      <c r="D34" s="77" t="s">
        <v>160</v>
      </c>
      <c r="E34" s="376">
        <f>'Costos Sector Eléctrico'!E50</f>
        <v>1070</v>
      </c>
      <c r="F34" s="376">
        <f>'Costos Sector Eléctrico'!F50</f>
        <v>1070</v>
      </c>
      <c r="G34" s="376">
        <f>'Costos Sector Eléctrico'!G50</f>
        <v>1070</v>
      </c>
      <c r="H34" s="376">
        <f>'Costos Sector Eléctrico'!H50</f>
        <v>1070</v>
      </c>
      <c r="I34" s="376">
        <f>'Costos Sector Eléctrico'!I50</f>
        <v>1070</v>
      </c>
      <c r="J34" s="376">
        <f>'Costos Sector Eléctrico'!J50</f>
        <v>1070</v>
      </c>
      <c r="K34" s="376">
        <f>'Costos Sector Eléctrico'!K50</f>
        <v>1070</v>
      </c>
      <c r="L34" s="376">
        <f>'Costos Sector Eléctrico'!L50</f>
        <v>1070</v>
      </c>
      <c r="M34" s="376">
        <f>'Costos Sector Eléctrico'!M50</f>
        <v>1070</v>
      </c>
      <c r="N34" s="376">
        <f>'Costos Sector Eléctrico'!N50</f>
        <v>1070</v>
      </c>
      <c r="O34" s="376">
        <f>'Costos Sector Eléctrico'!O50</f>
        <v>1070</v>
      </c>
      <c r="P34" s="376">
        <f>'Costos Sector Eléctrico'!P50</f>
        <v>1070</v>
      </c>
      <c r="Q34" s="376">
        <f>'Costos Sector Eléctrico'!Q50</f>
        <v>1070</v>
      </c>
      <c r="R34" s="376">
        <f>'Costos Sector Eléctrico'!R50</f>
        <v>1070</v>
      </c>
      <c r="S34" s="376">
        <f>'Costos Sector Eléctrico'!S50</f>
        <v>1070</v>
      </c>
      <c r="T34" s="376">
        <f>'Costos Sector Eléctrico'!T50</f>
        <v>1070</v>
      </c>
      <c r="U34" s="376">
        <f>'Costos Sector Eléctrico'!U50</f>
        <v>1070</v>
      </c>
      <c r="V34" s="376">
        <f>'Costos Sector Eléctrico'!V50</f>
        <v>1070</v>
      </c>
      <c r="W34" s="376">
        <f>'Costos Sector Eléctrico'!W50</f>
        <v>1070</v>
      </c>
      <c r="X34" s="376">
        <f>'Costos Sector Eléctrico'!X50</f>
        <v>1070</v>
      </c>
      <c r="Y34" s="376">
        <f>'Costos Sector Eléctrico'!Y50</f>
        <v>1070</v>
      </c>
      <c r="Z34" s="376">
        <f>'Costos Sector Eléctrico'!Z50</f>
        <v>1070</v>
      </c>
      <c r="AA34" s="376">
        <f>'Costos Sector Eléctrico'!AA50</f>
        <v>1070</v>
      </c>
      <c r="AB34" s="376">
        <f>'Costos Sector Eléctrico'!AB50</f>
        <v>1070</v>
      </c>
      <c r="AC34" s="376">
        <f>'Costos Sector Eléctrico'!AC50</f>
        <v>1070</v>
      </c>
      <c r="AD34" s="376">
        <f>'Costos Sector Eléctrico'!AD50</f>
        <v>1070</v>
      </c>
      <c r="AE34" s="376">
        <f>'Costos Sector Eléctrico'!AE50</f>
        <v>1070</v>
      </c>
      <c r="AF34" s="376">
        <f>'Costos Sector Eléctrico'!AF50</f>
        <v>1070</v>
      </c>
      <c r="AG34" s="376">
        <f>'Costos Sector Eléctrico'!AG50</f>
        <v>1070</v>
      </c>
      <c r="AH34" s="376">
        <f>'Costos Sector Eléctrico'!AH50</f>
        <v>1070</v>
      </c>
      <c r="AI34" s="376">
        <f>'Costos Sector Eléctrico'!AI50</f>
        <v>1070</v>
      </c>
      <c r="AJ34" s="376">
        <f>'Costos Sector Eléctrico'!AJ50</f>
        <v>1070</v>
      </c>
      <c r="AK34" s="69">
        <f>'Costos Sector Eléctrico'!AK50</f>
        <v>1070</v>
      </c>
      <c r="AL34" s="74">
        <f t="shared" ref="AL34:BE34" si="23">AK34</f>
        <v>1070</v>
      </c>
      <c r="AM34" s="74">
        <f t="shared" si="23"/>
        <v>1070</v>
      </c>
      <c r="AN34" s="74">
        <f t="shared" si="23"/>
        <v>1070</v>
      </c>
      <c r="AO34" s="74">
        <f t="shared" si="23"/>
        <v>1070</v>
      </c>
      <c r="AP34" s="74">
        <f t="shared" si="23"/>
        <v>1070</v>
      </c>
      <c r="AQ34" s="74">
        <f t="shared" si="23"/>
        <v>1070</v>
      </c>
      <c r="AR34" s="74">
        <f t="shared" si="23"/>
        <v>1070</v>
      </c>
      <c r="AS34" s="74">
        <f t="shared" si="23"/>
        <v>1070</v>
      </c>
      <c r="AT34" s="74">
        <f t="shared" si="23"/>
        <v>1070</v>
      </c>
      <c r="AU34" s="74">
        <f t="shared" si="23"/>
        <v>1070</v>
      </c>
      <c r="AV34" s="74">
        <f t="shared" si="23"/>
        <v>1070</v>
      </c>
      <c r="AW34" s="74">
        <f t="shared" si="23"/>
        <v>1070</v>
      </c>
      <c r="AX34" s="74">
        <f t="shared" si="23"/>
        <v>1070</v>
      </c>
      <c r="AY34" s="74">
        <f t="shared" si="23"/>
        <v>1070</v>
      </c>
      <c r="AZ34" s="74">
        <f t="shared" si="23"/>
        <v>1070</v>
      </c>
      <c r="BA34" s="74">
        <f t="shared" si="23"/>
        <v>1070</v>
      </c>
      <c r="BB34" s="74">
        <f t="shared" si="23"/>
        <v>1070</v>
      </c>
      <c r="BC34" s="74">
        <f t="shared" si="23"/>
        <v>1070</v>
      </c>
      <c r="BD34" s="74">
        <f t="shared" si="23"/>
        <v>1070</v>
      </c>
      <c r="BE34" s="74">
        <f t="shared" si="23"/>
        <v>1070</v>
      </c>
    </row>
    <row r="35" spans="1:57" ht="13.5" customHeight="1">
      <c r="A35" s="619">
        <v>4</v>
      </c>
      <c r="B35" s="253"/>
      <c r="C35" s="258" t="s">
        <v>151</v>
      </c>
      <c r="D35" s="83" t="s">
        <v>309</v>
      </c>
      <c r="E35" s="450">
        <f t="shared" ref="E35:AK35" si="24">E34</f>
        <v>1070</v>
      </c>
      <c r="F35" s="450">
        <f t="shared" si="24"/>
        <v>1070</v>
      </c>
      <c r="G35" s="450">
        <f t="shared" si="24"/>
        <v>1070</v>
      </c>
      <c r="H35" s="450">
        <f t="shared" si="24"/>
        <v>1070</v>
      </c>
      <c r="I35" s="450">
        <f t="shared" si="24"/>
        <v>1070</v>
      </c>
      <c r="J35" s="450">
        <f t="shared" si="24"/>
        <v>1070</v>
      </c>
      <c r="K35" s="450">
        <f t="shared" si="24"/>
        <v>1070</v>
      </c>
      <c r="L35" s="450">
        <f t="shared" si="24"/>
        <v>1070</v>
      </c>
      <c r="M35" s="450">
        <f t="shared" si="24"/>
        <v>1070</v>
      </c>
      <c r="N35" s="450">
        <f t="shared" si="24"/>
        <v>1070</v>
      </c>
      <c r="O35" s="450">
        <f t="shared" si="24"/>
        <v>1070</v>
      </c>
      <c r="P35" s="450">
        <f t="shared" si="24"/>
        <v>1070</v>
      </c>
      <c r="Q35" s="450">
        <f t="shared" si="24"/>
        <v>1070</v>
      </c>
      <c r="R35" s="450">
        <f t="shared" si="24"/>
        <v>1070</v>
      </c>
      <c r="S35" s="450">
        <f t="shared" si="24"/>
        <v>1070</v>
      </c>
      <c r="T35" s="450">
        <f t="shared" si="24"/>
        <v>1070</v>
      </c>
      <c r="U35" s="450">
        <f t="shared" si="24"/>
        <v>1070</v>
      </c>
      <c r="V35" s="450">
        <f t="shared" si="24"/>
        <v>1070</v>
      </c>
      <c r="W35" s="450">
        <f t="shared" si="24"/>
        <v>1070</v>
      </c>
      <c r="X35" s="450">
        <f t="shared" si="24"/>
        <v>1070</v>
      </c>
      <c r="Y35" s="450">
        <f t="shared" si="24"/>
        <v>1070</v>
      </c>
      <c r="Z35" s="450">
        <f t="shared" si="24"/>
        <v>1070</v>
      </c>
      <c r="AA35" s="450">
        <f t="shared" si="24"/>
        <v>1070</v>
      </c>
      <c r="AB35" s="450">
        <f t="shared" si="24"/>
        <v>1070</v>
      </c>
      <c r="AC35" s="450">
        <f t="shared" si="24"/>
        <v>1070</v>
      </c>
      <c r="AD35" s="450">
        <f t="shared" si="24"/>
        <v>1070</v>
      </c>
      <c r="AE35" s="450">
        <f t="shared" si="24"/>
        <v>1070</v>
      </c>
      <c r="AF35" s="450">
        <f t="shared" si="24"/>
        <v>1070</v>
      </c>
      <c r="AG35" s="450">
        <f t="shared" si="24"/>
        <v>1070</v>
      </c>
      <c r="AH35" s="450">
        <f t="shared" si="24"/>
        <v>1070</v>
      </c>
      <c r="AI35" s="450">
        <f t="shared" si="24"/>
        <v>1070</v>
      </c>
      <c r="AJ35" s="450">
        <f t="shared" si="24"/>
        <v>1070</v>
      </c>
      <c r="AK35" s="84">
        <f t="shared" si="24"/>
        <v>1070</v>
      </c>
      <c r="AL35" s="74">
        <f t="shared" ref="AL35:BE35" si="25">AK35</f>
        <v>1070</v>
      </c>
      <c r="AM35" s="74">
        <f t="shared" si="25"/>
        <v>1070</v>
      </c>
      <c r="AN35" s="74">
        <f t="shared" si="25"/>
        <v>1070</v>
      </c>
      <c r="AO35" s="74">
        <f t="shared" si="25"/>
        <v>1070</v>
      </c>
      <c r="AP35" s="74">
        <f t="shared" si="25"/>
        <v>1070</v>
      </c>
      <c r="AQ35" s="74">
        <f t="shared" si="25"/>
        <v>1070</v>
      </c>
      <c r="AR35" s="74">
        <f t="shared" si="25"/>
        <v>1070</v>
      </c>
      <c r="AS35" s="74">
        <f t="shared" si="25"/>
        <v>1070</v>
      </c>
      <c r="AT35" s="74">
        <f t="shared" si="25"/>
        <v>1070</v>
      </c>
      <c r="AU35" s="74">
        <f t="shared" si="25"/>
        <v>1070</v>
      </c>
      <c r="AV35" s="74">
        <f t="shared" si="25"/>
        <v>1070</v>
      </c>
      <c r="AW35" s="74">
        <f t="shared" si="25"/>
        <v>1070</v>
      </c>
      <c r="AX35" s="74">
        <f t="shared" si="25"/>
        <v>1070</v>
      </c>
      <c r="AY35" s="74">
        <f t="shared" si="25"/>
        <v>1070</v>
      </c>
      <c r="AZ35" s="74">
        <f t="shared" si="25"/>
        <v>1070</v>
      </c>
      <c r="BA35" s="74">
        <f t="shared" si="25"/>
        <v>1070</v>
      </c>
      <c r="BB35" s="74">
        <f t="shared" si="25"/>
        <v>1070</v>
      </c>
      <c r="BC35" s="74">
        <f t="shared" si="25"/>
        <v>1070</v>
      </c>
      <c r="BD35" s="74">
        <f t="shared" si="25"/>
        <v>1070</v>
      </c>
      <c r="BE35" s="74">
        <f t="shared" si="25"/>
        <v>1070</v>
      </c>
    </row>
    <row r="36" spans="1:57" ht="13.5" customHeight="1">
      <c r="A36" s="619">
        <v>4</v>
      </c>
      <c r="B36" s="253"/>
      <c r="C36" s="258" t="s">
        <v>163</v>
      </c>
      <c r="D36" s="77" t="s">
        <v>161</v>
      </c>
      <c r="E36" s="376">
        <f>'Costos Sector Eléctrico'!E48</f>
        <v>2350</v>
      </c>
      <c r="F36" s="376">
        <f>'Costos Sector Eléctrico'!F48</f>
        <v>2350</v>
      </c>
      <c r="G36" s="376">
        <f>'Costos Sector Eléctrico'!G48</f>
        <v>2350</v>
      </c>
      <c r="H36" s="376">
        <f>'Costos Sector Eléctrico'!H48</f>
        <v>2350</v>
      </c>
      <c r="I36" s="376">
        <f>'Costos Sector Eléctrico'!I48</f>
        <v>2350</v>
      </c>
      <c r="J36" s="376">
        <f>'Costos Sector Eléctrico'!J48</f>
        <v>2350</v>
      </c>
      <c r="K36" s="376">
        <f>'Costos Sector Eléctrico'!K48</f>
        <v>2350</v>
      </c>
      <c r="L36" s="376">
        <f>'Costos Sector Eléctrico'!L48</f>
        <v>2325</v>
      </c>
      <c r="M36" s="376">
        <f>'Costos Sector Eléctrico'!M48</f>
        <v>2325</v>
      </c>
      <c r="N36" s="376">
        <f>'Costos Sector Eléctrico'!N48</f>
        <v>2325</v>
      </c>
      <c r="O36" s="376">
        <f>'Costos Sector Eléctrico'!O48</f>
        <v>2325</v>
      </c>
      <c r="P36" s="376">
        <f>'Costos Sector Eléctrico'!P48</f>
        <v>2325</v>
      </c>
      <c r="Q36" s="376">
        <f>'Costos Sector Eléctrico'!Q48</f>
        <v>2300</v>
      </c>
      <c r="R36" s="376">
        <f>'Costos Sector Eléctrico'!R48</f>
        <v>2300</v>
      </c>
      <c r="S36" s="376">
        <f>'Costos Sector Eléctrico'!S48</f>
        <v>2300</v>
      </c>
      <c r="T36" s="376">
        <f>'Costos Sector Eléctrico'!T48</f>
        <v>2300</v>
      </c>
      <c r="U36" s="376">
        <f>'Costos Sector Eléctrico'!U48</f>
        <v>2300</v>
      </c>
      <c r="V36" s="376">
        <f>'Costos Sector Eléctrico'!V48</f>
        <v>2288</v>
      </c>
      <c r="W36" s="376">
        <f>'Costos Sector Eléctrico'!W48</f>
        <v>2288</v>
      </c>
      <c r="X36" s="376">
        <f>'Costos Sector Eléctrico'!X48</f>
        <v>2288</v>
      </c>
      <c r="Y36" s="376">
        <f>'Costos Sector Eléctrico'!Y48</f>
        <v>2288</v>
      </c>
      <c r="Z36" s="376">
        <f>'Costos Sector Eléctrico'!Z48</f>
        <v>2288</v>
      </c>
      <c r="AA36" s="376">
        <f>'Costos Sector Eléctrico'!AA48</f>
        <v>2275</v>
      </c>
      <c r="AB36" s="376">
        <f>'Costos Sector Eléctrico'!AB48</f>
        <v>2275</v>
      </c>
      <c r="AC36" s="376">
        <f>'Costos Sector Eléctrico'!AC48</f>
        <v>2275</v>
      </c>
      <c r="AD36" s="376">
        <f>'Costos Sector Eléctrico'!AD48</f>
        <v>2275</v>
      </c>
      <c r="AE36" s="376">
        <f>'Costos Sector Eléctrico'!AE48</f>
        <v>2275</v>
      </c>
      <c r="AF36" s="376">
        <f>'Costos Sector Eléctrico'!AF48</f>
        <v>2263</v>
      </c>
      <c r="AG36" s="376">
        <f>'Costos Sector Eléctrico'!AG48</f>
        <v>2263</v>
      </c>
      <c r="AH36" s="376">
        <f>'Costos Sector Eléctrico'!AH48</f>
        <v>2263</v>
      </c>
      <c r="AI36" s="376">
        <f>'Costos Sector Eléctrico'!AI48</f>
        <v>2263</v>
      </c>
      <c r="AJ36" s="376">
        <f>'Costos Sector Eléctrico'!AJ48</f>
        <v>2263</v>
      </c>
      <c r="AK36" s="69">
        <f>'Costos Sector Eléctrico'!AK48</f>
        <v>2250</v>
      </c>
      <c r="AL36" s="74">
        <f t="shared" ref="AL36:BE36" si="26">AK36</f>
        <v>2250</v>
      </c>
      <c r="AM36" s="74">
        <f t="shared" si="26"/>
        <v>2250</v>
      </c>
      <c r="AN36" s="74">
        <f t="shared" si="26"/>
        <v>2250</v>
      </c>
      <c r="AO36" s="74">
        <f t="shared" si="26"/>
        <v>2250</v>
      </c>
      <c r="AP36" s="74">
        <f t="shared" si="26"/>
        <v>2250</v>
      </c>
      <c r="AQ36" s="74">
        <f t="shared" si="26"/>
        <v>2250</v>
      </c>
      <c r="AR36" s="74">
        <f t="shared" si="26"/>
        <v>2250</v>
      </c>
      <c r="AS36" s="74">
        <f t="shared" si="26"/>
        <v>2250</v>
      </c>
      <c r="AT36" s="74">
        <f t="shared" si="26"/>
        <v>2250</v>
      </c>
      <c r="AU36" s="74">
        <f t="shared" si="26"/>
        <v>2250</v>
      </c>
      <c r="AV36" s="74">
        <f t="shared" si="26"/>
        <v>2250</v>
      </c>
      <c r="AW36" s="74">
        <f t="shared" si="26"/>
        <v>2250</v>
      </c>
      <c r="AX36" s="74">
        <f t="shared" si="26"/>
        <v>2250</v>
      </c>
      <c r="AY36" s="74">
        <f t="shared" si="26"/>
        <v>2250</v>
      </c>
      <c r="AZ36" s="74">
        <f t="shared" si="26"/>
        <v>2250</v>
      </c>
      <c r="BA36" s="74">
        <f t="shared" si="26"/>
        <v>2250</v>
      </c>
      <c r="BB36" s="74">
        <f t="shared" si="26"/>
        <v>2250</v>
      </c>
      <c r="BC36" s="74">
        <f t="shared" si="26"/>
        <v>2250</v>
      </c>
      <c r="BD36" s="74">
        <f t="shared" si="26"/>
        <v>2250</v>
      </c>
      <c r="BE36" s="74">
        <f t="shared" si="26"/>
        <v>2250</v>
      </c>
    </row>
    <row r="37" spans="1:57" ht="13.5" customHeight="1">
      <c r="A37" s="619"/>
      <c r="B37" s="253"/>
      <c r="C37" s="258"/>
      <c r="D37" s="75" t="s">
        <v>153</v>
      </c>
      <c r="E37" s="447"/>
      <c r="F37" s="447"/>
      <c r="G37" s="447"/>
      <c r="H37" s="447"/>
      <c r="I37" s="447"/>
      <c r="J37" s="447"/>
      <c r="K37" s="447"/>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76"/>
      <c r="AL37" s="74">
        <f t="shared" ref="AL37:BE37" si="27">AK37</f>
        <v>0</v>
      </c>
      <c r="AM37" s="74">
        <f t="shared" si="27"/>
        <v>0</v>
      </c>
      <c r="AN37" s="74">
        <f t="shared" si="27"/>
        <v>0</v>
      </c>
      <c r="AO37" s="74">
        <f t="shared" si="27"/>
        <v>0</v>
      </c>
      <c r="AP37" s="74">
        <f t="shared" si="27"/>
        <v>0</v>
      </c>
      <c r="AQ37" s="74">
        <f t="shared" si="27"/>
        <v>0</v>
      </c>
      <c r="AR37" s="74">
        <f t="shared" si="27"/>
        <v>0</v>
      </c>
      <c r="AS37" s="74">
        <f t="shared" si="27"/>
        <v>0</v>
      </c>
      <c r="AT37" s="74">
        <f t="shared" si="27"/>
        <v>0</v>
      </c>
      <c r="AU37" s="74">
        <f t="shared" si="27"/>
        <v>0</v>
      </c>
      <c r="AV37" s="74">
        <f t="shared" si="27"/>
        <v>0</v>
      </c>
      <c r="AW37" s="74">
        <f t="shared" si="27"/>
        <v>0</v>
      </c>
      <c r="AX37" s="74">
        <f t="shared" si="27"/>
        <v>0</v>
      </c>
      <c r="AY37" s="74">
        <f t="shared" si="27"/>
        <v>0</v>
      </c>
      <c r="AZ37" s="74">
        <f t="shared" si="27"/>
        <v>0</v>
      </c>
      <c r="BA37" s="74">
        <f t="shared" si="27"/>
        <v>0</v>
      </c>
      <c r="BB37" s="74">
        <f t="shared" si="27"/>
        <v>0</v>
      </c>
      <c r="BC37" s="74">
        <f t="shared" si="27"/>
        <v>0</v>
      </c>
      <c r="BD37" s="74">
        <f t="shared" si="27"/>
        <v>0</v>
      </c>
      <c r="BE37" s="74">
        <f t="shared" si="27"/>
        <v>0</v>
      </c>
    </row>
    <row r="38" spans="1:57" ht="13.5" customHeight="1">
      <c r="A38" s="85">
        <v>4</v>
      </c>
      <c r="B38" s="253"/>
      <c r="C38" s="258" t="s">
        <v>154</v>
      </c>
      <c r="D38" s="83" t="s">
        <v>155</v>
      </c>
      <c r="E38" s="450">
        <v>869</v>
      </c>
      <c r="F38" s="450">
        <v>869</v>
      </c>
      <c r="G38" s="450">
        <v>869</v>
      </c>
      <c r="H38" s="450">
        <v>869</v>
      </c>
      <c r="I38" s="450">
        <v>869</v>
      </c>
      <c r="J38" s="450">
        <v>869</v>
      </c>
      <c r="K38" s="450">
        <v>869</v>
      </c>
      <c r="L38" s="450">
        <v>869</v>
      </c>
      <c r="M38" s="450">
        <v>869</v>
      </c>
      <c r="N38" s="450">
        <v>869</v>
      </c>
      <c r="O38" s="450">
        <v>869</v>
      </c>
      <c r="P38" s="450">
        <v>869</v>
      </c>
      <c r="Q38" s="450">
        <v>869</v>
      </c>
      <c r="R38" s="450">
        <v>869</v>
      </c>
      <c r="S38" s="450">
        <v>869</v>
      </c>
      <c r="T38" s="450">
        <v>869</v>
      </c>
      <c r="U38" s="450">
        <v>869</v>
      </c>
      <c r="V38" s="450">
        <v>869</v>
      </c>
      <c r="W38" s="450">
        <v>869</v>
      </c>
      <c r="X38" s="450">
        <v>869</v>
      </c>
      <c r="Y38" s="450">
        <v>869</v>
      </c>
      <c r="Z38" s="450">
        <v>869</v>
      </c>
      <c r="AA38" s="450">
        <v>869</v>
      </c>
      <c r="AB38" s="450">
        <v>869</v>
      </c>
      <c r="AC38" s="450">
        <v>869</v>
      </c>
      <c r="AD38" s="450">
        <v>869</v>
      </c>
      <c r="AE38" s="450">
        <v>869</v>
      </c>
      <c r="AF38" s="450">
        <v>869</v>
      </c>
      <c r="AG38" s="450">
        <v>869</v>
      </c>
      <c r="AH38" s="450">
        <v>869</v>
      </c>
      <c r="AI38" s="450">
        <v>869</v>
      </c>
      <c r="AJ38" s="450">
        <v>869</v>
      </c>
      <c r="AK38" s="84">
        <v>869</v>
      </c>
      <c r="AL38" s="74">
        <f t="shared" ref="AL38:BE38" si="28">AK38</f>
        <v>869</v>
      </c>
      <c r="AM38" s="74">
        <f t="shared" si="28"/>
        <v>869</v>
      </c>
      <c r="AN38" s="74">
        <f t="shared" si="28"/>
        <v>869</v>
      </c>
      <c r="AO38" s="74">
        <f t="shared" si="28"/>
        <v>869</v>
      </c>
      <c r="AP38" s="74">
        <f t="shared" si="28"/>
        <v>869</v>
      </c>
      <c r="AQ38" s="74">
        <f t="shared" si="28"/>
        <v>869</v>
      </c>
      <c r="AR38" s="74">
        <f t="shared" si="28"/>
        <v>869</v>
      </c>
      <c r="AS38" s="74">
        <f t="shared" si="28"/>
        <v>869</v>
      </c>
      <c r="AT38" s="74">
        <f t="shared" si="28"/>
        <v>869</v>
      </c>
      <c r="AU38" s="74">
        <f t="shared" si="28"/>
        <v>869</v>
      </c>
      <c r="AV38" s="74">
        <f t="shared" si="28"/>
        <v>869</v>
      </c>
      <c r="AW38" s="74">
        <f t="shared" si="28"/>
        <v>869</v>
      </c>
      <c r="AX38" s="74">
        <f t="shared" si="28"/>
        <v>869</v>
      </c>
      <c r="AY38" s="74">
        <f t="shared" si="28"/>
        <v>869</v>
      </c>
      <c r="AZ38" s="74">
        <f t="shared" si="28"/>
        <v>869</v>
      </c>
      <c r="BA38" s="74">
        <f t="shared" si="28"/>
        <v>869</v>
      </c>
      <c r="BB38" s="74">
        <f t="shared" si="28"/>
        <v>869</v>
      </c>
      <c r="BC38" s="74">
        <f t="shared" si="28"/>
        <v>869</v>
      </c>
      <c r="BD38" s="74">
        <f t="shared" si="28"/>
        <v>869</v>
      </c>
      <c r="BE38" s="74">
        <f t="shared" si="28"/>
        <v>869</v>
      </c>
    </row>
    <row r="39" spans="1:57" ht="13.5" customHeight="1">
      <c r="A39" s="619">
        <v>4</v>
      </c>
      <c r="B39" s="253"/>
      <c r="C39" s="258" t="s">
        <v>156</v>
      </c>
      <c r="D39" s="77" t="s">
        <v>157</v>
      </c>
      <c r="E39" s="376">
        <f>'Costos Sector Eléctrico'!E56</f>
        <v>1190</v>
      </c>
      <c r="F39" s="376">
        <f>'Costos Sector Eléctrico'!F56</f>
        <v>1000</v>
      </c>
      <c r="G39" s="376">
        <f>'Costos Sector Eléctrico'!G56</f>
        <v>1000</v>
      </c>
      <c r="H39" s="376">
        <f>'Costos Sector Eléctrico'!H56</f>
        <v>1000</v>
      </c>
      <c r="I39" s="376">
        <f>'Costos Sector Eléctrico'!I56</f>
        <v>1000</v>
      </c>
      <c r="J39" s="376">
        <f>'Costos Sector Eléctrico'!J56</f>
        <v>1000</v>
      </c>
      <c r="K39" s="376">
        <f>'Costos Sector Eléctrico'!K56</f>
        <v>1000</v>
      </c>
      <c r="L39" s="376">
        <f>'Costos Sector Eléctrico'!L56</f>
        <v>991.5</v>
      </c>
      <c r="M39" s="376">
        <f>'Costos Sector Eléctrico'!M56</f>
        <v>991.5</v>
      </c>
      <c r="N39" s="376">
        <f>'Costos Sector Eléctrico'!N56</f>
        <v>991.5</v>
      </c>
      <c r="O39" s="376">
        <f>'Costos Sector Eléctrico'!O56</f>
        <v>991.5</v>
      </c>
      <c r="P39" s="376">
        <f>'Costos Sector Eléctrico'!P56</f>
        <v>991.5</v>
      </c>
      <c r="Q39" s="376">
        <f>'Costos Sector Eléctrico'!Q56</f>
        <v>983</v>
      </c>
      <c r="R39" s="376">
        <f>'Costos Sector Eléctrico'!R56</f>
        <v>983</v>
      </c>
      <c r="S39" s="376">
        <f>'Costos Sector Eléctrico'!S56</f>
        <v>983</v>
      </c>
      <c r="T39" s="376">
        <f>'Costos Sector Eléctrico'!T56</f>
        <v>983</v>
      </c>
      <c r="U39" s="376">
        <f>'Costos Sector Eléctrico'!U56</f>
        <v>983</v>
      </c>
      <c r="V39" s="376">
        <f>'Costos Sector Eléctrico'!V56</f>
        <v>965.5</v>
      </c>
      <c r="W39" s="376">
        <f>'Costos Sector Eléctrico'!W56</f>
        <v>965.5</v>
      </c>
      <c r="X39" s="376">
        <f>'Costos Sector Eléctrico'!X56</f>
        <v>965.5</v>
      </c>
      <c r="Y39" s="376">
        <f>'Costos Sector Eléctrico'!Y56</f>
        <v>965.5</v>
      </c>
      <c r="Z39" s="376">
        <f>'Costos Sector Eléctrico'!Z56</f>
        <v>965.5</v>
      </c>
      <c r="AA39" s="376">
        <f>'Costos Sector Eléctrico'!AA56</f>
        <v>948</v>
      </c>
      <c r="AB39" s="376">
        <f>'Costos Sector Eléctrico'!AB56</f>
        <v>948</v>
      </c>
      <c r="AC39" s="376">
        <f>'Costos Sector Eléctrico'!AC56</f>
        <v>948</v>
      </c>
      <c r="AD39" s="376">
        <f>'Costos Sector Eléctrico'!AD56</f>
        <v>948</v>
      </c>
      <c r="AE39" s="376">
        <f>'Costos Sector Eléctrico'!AE56</f>
        <v>948</v>
      </c>
      <c r="AF39" s="376">
        <f>'Costos Sector Eléctrico'!AF56</f>
        <v>930.5</v>
      </c>
      <c r="AG39" s="376">
        <f>'Costos Sector Eléctrico'!AG56</f>
        <v>930.5</v>
      </c>
      <c r="AH39" s="376">
        <f>'Costos Sector Eléctrico'!AH56</f>
        <v>930.5</v>
      </c>
      <c r="AI39" s="376">
        <f>'Costos Sector Eléctrico'!AI56</f>
        <v>930.5</v>
      </c>
      <c r="AJ39" s="376">
        <f>'Costos Sector Eléctrico'!AJ56</f>
        <v>930.5</v>
      </c>
      <c r="AK39" s="69">
        <f>'Costos Sector Eléctrico'!AK56</f>
        <v>913</v>
      </c>
      <c r="AL39" s="74">
        <f t="shared" ref="AL39:BE39" si="29">AK39</f>
        <v>913</v>
      </c>
      <c r="AM39" s="74">
        <f t="shared" si="29"/>
        <v>913</v>
      </c>
      <c r="AN39" s="74">
        <f t="shared" si="29"/>
        <v>913</v>
      </c>
      <c r="AO39" s="74">
        <f t="shared" si="29"/>
        <v>913</v>
      </c>
      <c r="AP39" s="74">
        <f t="shared" si="29"/>
        <v>913</v>
      </c>
      <c r="AQ39" s="74">
        <f t="shared" si="29"/>
        <v>913</v>
      </c>
      <c r="AR39" s="74">
        <f t="shared" si="29"/>
        <v>913</v>
      </c>
      <c r="AS39" s="74">
        <f t="shared" si="29"/>
        <v>913</v>
      </c>
      <c r="AT39" s="74">
        <f t="shared" si="29"/>
        <v>913</v>
      </c>
      <c r="AU39" s="74">
        <f t="shared" si="29"/>
        <v>913</v>
      </c>
      <c r="AV39" s="74">
        <f t="shared" si="29"/>
        <v>913</v>
      </c>
      <c r="AW39" s="74">
        <f t="shared" si="29"/>
        <v>913</v>
      </c>
      <c r="AX39" s="74">
        <f t="shared" si="29"/>
        <v>913</v>
      </c>
      <c r="AY39" s="74">
        <f t="shared" si="29"/>
        <v>913</v>
      </c>
      <c r="AZ39" s="74">
        <f t="shared" si="29"/>
        <v>913</v>
      </c>
      <c r="BA39" s="74">
        <f t="shared" si="29"/>
        <v>913</v>
      </c>
      <c r="BB39" s="74">
        <f t="shared" si="29"/>
        <v>913</v>
      </c>
      <c r="BC39" s="74">
        <f t="shared" si="29"/>
        <v>913</v>
      </c>
      <c r="BD39" s="74">
        <f t="shared" si="29"/>
        <v>913</v>
      </c>
      <c r="BE39" s="74">
        <f t="shared" si="29"/>
        <v>913</v>
      </c>
    </row>
    <row r="40" spans="1:57" ht="13.5" customHeight="1">
      <c r="A40" s="619"/>
      <c r="B40" s="253"/>
      <c r="C40" s="258"/>
      <c r="D40" s="75" t="s">
        <v>158</v>
      </c>
      <c r="E40" s="447"/>
      <c r="F40" s="447"/>
      <c r="G40" s="447"/>
      <c r="H40" s="447"/>
      <c r="I40" s="447"/>
      <c r="J40" s="447"/>
      <c r="K40" s="447"/>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76"/>
      <c r="AL40" s="74">
        <f t="shared" ref="AL40:BE40" si="30">AK40</f>
        <v>0</v>
      </c>
      <c r="AM40" s="74">
        <f t="shared" si="30"/>
        <v>0</v>
      </c>
      <c r="AN40" s="74">
        <f t="shared" si="30"/>
        <v>0</v>
      </c>
      <c r="AO40" s="74">
        <f t="shared" si="30"/>
        <v>0</v>
      </c>
      <c r="AP40" s="74">
        <f t="shared" si="30"/>
        <v>0</v>
      </c>
      <c r="AQ40" s="74">
        <f t="shared" si="30"/>
        <v>0</v>
      </c>
      <c r="AR40" s="74">
        <f t="shared" si="30"/>
        <v>0</v>
      </c>
      <c r="AS40" s="74">
        <f t="shared" si="30"/>
        <v>0</v>
      </c>
      <c r="AT40" s="74">
        <f t="shared" si="30"/>
        <v>0</v>
      </c>
      <c r="AU40" s="74">
        <f t="shared" si="30"/>
        <v>0</v>
      </c>
      <c r="AV40" s="74">
        <f t="shared" si="30"/>
        <v>0</v>
      </c>
      <c r="AW40" s="74">
        <f t="shared" si="30"/>
        <v>0</v>
      </c>
      <c r="AX40" s="74">
        <f t="shared" si="30"/>
        <v>0</v>
      </c>
      <c r="AY40" s="74">
        <f t="shared" si="30"/>
        <v>0</v>
      </c>
      <c r="AZ40" s="74">
        <f t="shared" si="30"/>
        <v>0</v>
      </c>
      <c r="BA40" s="74">
        <f t="shared" si="30"/>
        <v>0</v>
      </c>
      <c r="BB40" s="74">
        <f t="shared" si="30"/>
        <v>0</v>
      </c>
      <c r="BC40" s="74">
        <f t="shared" si="30"/>
        <v>0</v>
      </c>
      <c r="BD40" s="74">
        <f t="shared" si="30"/>
        <v>0</v>
      </c>
      <c r="BE40" s="74">
        <f t="shared" si="30"/>
        <v>0</v>
      </c>
    </row>
    <row r="41" spans="1:57" ht="13.5" customHeight="1">
      <c r="A41" s="619">
        <v>4</v>
      </c>
      <c r="B41" s="253"/>
      <c r="C41" s="258" t="s">
        <v>159</v>
      </c>
      <c r="D41" s="77" t="s">
        <v>160</v>
      </c>
      <c r="E41" s="376">
        <f>'Costos Sector Eléctrico'!E62</f>
        <v>1770</v>
      </c>
      <c r="F41" s="376">
        <f>'Costos Sector Eléctrico'!F62</f>
        <v>1770</v>
      </c>
      <c r="G41" s="376">
        <f>'Costos Sector Eléctrico'!G62</f>
        <v>1770</v>
      </c>
      <c r="H41" s="376">
        <f>'Costos Sector Eléctrico'!H62</f>
        <v>1770</v>
      </c>
      <c r="I41" s="376">
        <f>'Costos Sector Eléctrico'!I62</f>
        <v>1770</v>
      </c>
      <c r="J41" s="376">
        <f>'Costos Sector Eléctrico'!J62</f>
        <v>1770</v>
      </c>
      <c r="K41" s="376">
        <f>'Costos Sector Eléctrico'!K62</f>
        <v>1770</v>
      </c>
      <c r="L41" s="376">
        <f>'Costos Sector Eléctrico'!L62</f>
        <v>1770</v>
      </c>
      <c r="M41" s="376">
        <f>'Costos Sector Eléctrico'!M62</f>
        <v>1770</v>
      </c>
      <c r="N41" s="376">
        <f>'Costos Sector Eléctrico'!N62</f>
        <v>1770</v>
      </c>
      <c r="O41" s="376">
        <f>'Costos Sector Eléctrico'!O62</f>
        <v>1770</v>
      </c>
      <c r="P41" s="376">
        <f>'Costos Sector Eléctrico'!P62</f>
        <v>1770</v>
      </c>
      <c r="Q41" s="376">
        <f>'Costos Sector Eléctrico'!Q62</f>
        <v>1770</v>
      </c>
      <c r="R41" s="376">
        <f>'Costos Sector Eléctrico'!R62</f>
        <v>1770</v>
      </c>
      <c r="S41" s="376">
        <f>'Costos Sector Eléctrico'!S62</f>
        <v>1770</v>
      </c>
      <c r="T41" s="376">
        <f>'Costos Sector Eléctrico'!T62</f>
        <v>1770</v>
      </c>
      <c r="U41" s="376">
        <f>'Costos Sector Eléctrico'!U62</f>
        <v>1770</v>
      </c>
      <c r="V41" s="376">
        <f>'Costos Sector Eléctrico'!V62</f>
        <v>1770</v>
      </c>
      <c r="W41" s="376">
        <f>'Costos Sector Eléctrico'!W62</f>
        <v>1770</v>
      </c>
      <c r="X41" s="376">
        <f>'Costos Sector Eléctrico'!X62</f>
        <v>1770</v>
      </c>
      <c r="Y41" s="376">
        <f>'Costos Sector Eléctrico'!Y62</f>
        <v>1770</v>
      </c>
      <c r="Z41" s="376">
        <f>'Costos Sector Eléctrico'!Z62</f>
        <v>1770</v>
      </c>
      <c r="AA41" s="376">
        <f>'Costos Sector Eléctrico'!AA62</f>
        <v>1770</v>
      </c>
      <c r="AB41" s="376">
        <f>'Costos Sector Eléctrico'!AB62</f>
        <v>1770</v>
      </c>
      <c r="AC41" s="376">
        <f>'Costos Sector Eléctrico'!AC62</f>
        <v>1770</v>
      </c>
      <c r="AD41" s="376">
        <f>'Costos Sector Eléctrico'!AD62</f>
        <v>1770</v>
      </c>
      <c r="AE41" s="376">
        <f>'Costos Sector Eléctrico'!AE62</f>
        <v>1770</v>
      </c>
      <c r="AF41" s="376">
        <f>'Costos Sector Eléctrico'!AF62</f>
        <v>1770</v>
      </c>
      <c r="AG41" s="376">
        <f>'Costos Sector Eléctrico'!AG62</f>
        <v>1770</v>
      </c>
      <c r="AH41" s="376">
        <f>'Costos Sector Eléctrico'!AH62</f>
        <v>1770</v>
      </c>
      <c r="AI41" s="376">
        <f>'Costos Sector Eléctrico'!AI62</f>
        <v>1770</v>
      </c>
      <c r="AJ41" s="376">
        <f>'Costos Sector Eléctrico'!AJ62</f>
        <v>1770</v>
      </c>
      <c r="AK41" s="69">
        <f>'Costos Sector Eléctrico'!AK62</f>
        <v>1770</v>
      </c>
      <c r="AL41" s="74">
        <f t="shared" ref="AL41:BE41" si="31">AK41</f>
        <v>1770</v>
      </c>
      <c r="AM41" s="74">
        <f t="shared" si="31"/>
        <v>1770</v>
      </c>
      <c r="AN41" s="74">
        <f t="shared" si="31"/>
        <v>1770</v>
      </c>
      <c r="AO41" s="74">
        <f t="shared" si="31"/>
        <v>1770</v>
      </c>
      <c r="AP41" s="74">
        <f t="shared" si="31"/>
        <v>1770</v>
      </c>
      <c r="AQ41" s="74">
        <f t="shared" si="31"/>
        <v>1770</v>
      </c>
      <c r="AR41" s="74">
        <f t="shared" si="31"/>
        <v>1770</v>
      </c>
      <c r="AS41" s="74">
        <f t="shared" si="31"/>
        <v>1770</v>
      </c>
      <c r="AT41" s="74">
        <f t="shared" si="31"/>
        <v>1770</v>
      </c>
      <c r="AU41" s="74">
        <f t="shared" si="31"/>
        <v>1770</v>
      </c>
      <c r="AV41" s="74">
        <f t="shared" si="31"/>
        <v>1770</v>
      </c>
      <c r="AW41" s="74">
        <f t="shared" si="31"/>
        <v>1770</v>
      </c>
      <c r="AX41" s="74">
        <f t="shared" si="31"/>
        <v>1770</v>
      </c>
      <c r="AY41" s="74">
        <f t="shared" si="31"/>
        <v>1770</v>
      </c>
      <c r="AZ41" s="74">
        <f t="shared" si="31"/>
        <v>1770</v>
      </c>
      <c r="BA41" s="74">
        <f t="shared" si="31"/>
        <v>1770</v>
      </c>
      <c r="BB41" s="74">
        <f t="shared" si="31"/>
        <v>1770</v>
      </c>
      <c r="BC41" s="74">
        <f t="shared" si="31"/>
        <v>1770</v>
      </c>
      <c r="BD41" s="74">
        <f t="shared" si="31"/>
        <v>1770</v>
      </c>
      <c r="BE41" s="74">
        <f t="shared" si="31"/>
        <v>1770</v>
      </c>
    </row>
    <row r="42" spans="1:57" ht="13.5" customHeight="1">
      <c r="A42" s="619">
        <v>1</v>
      </c>
      <c r="B42" s="253"/>
      <c r="C42" s="258" t="s">
        <v>267</v>
      </c>
      <c r="D42" s="86" t="s">
        <v>555</v>
      </c>
      <c r="E42" s="87">
        <f>'Costos Sector Eléctrico'!E72</f>
        <v>4066.5</v>
      </c>
      <c r="F42" s="87">
        <f>'Costos Sector Eléctrico'!F72</f>
        <v>4066.5</v>
      </c>
      <c r="G42" s="87">
        <f>'Costos Sector Eléctrico'!G72</f>
        <v>4066.5</v>
      </c>
      <c r="H42" s="87">
        <f>'Costos Sector Eléctrico'!H72</f>
        <v>4066.5</v>
      </c>
      <c r="I42" s="87">
        <f>'Costos Sector Eléctrico'!I72</f>
        <v>4066.5</v>
      </c>
      <c r="J42" s="87">
        <f>'Costos Sector Eléctrico'!J72</f>
        <v>4066.5</v>
      </c>
      <c r="K42" s="87">
        <f>'Costos Sector Eléctrico'!K72</f>
        <v>4066.5</v>
      </c>
      <c r="L42" s="87">
        <f>'Costos Sector Eléctrico'!L72</f>
        <v>4066.5</v>
      </c>
      <c r="M42" s="87">
        <f>'Costos Sector Eléctrico'!M72</f>
        <v>4066.5</v>
      </c>
      <c r="N42" s="87">
        <f>'Costos Sector Eléctrico'!N72</f>
        <v>4066.5</v>
      </c>
      <c r="O42" s="87">
        <f>'Costos Sector Eléctrico'!O72</f>
        <v>4066.5</v>
      </c>
      <c r="P42" s="87">
        <f>'Costos Sector Eléctrico'!P72</f>
        <v>4066.5</v>
      </c>
      <c r="Q42" s="87">
        <f>'Costos Sector Eléctrico'!Q72</f>
        <v>4066.5</v>
      </c>
      <c r="R42" s="87">
        <f>'Costos Sector Eléctrico'!R72</f>
        <v>4066.5</v>
      </c>
      <c r="S42" s="87">
        <f>'Costos Sector Eléctrico'!S72</f>
        <v>4066.5</v>
      </c>
      <c r="T42" s="87">
        <f>'Costos Sector Eléctrico'!T72</f>
        <v>4066.5</v>
      </c>
      <c r="U42" s="87">
        <f>'Costos Sector Eléctrico'!U72</f>
        <v>4066.5</v>
      </c>
      <c r="V42" s="87">
        <f>'Costos Sector Eléctrico'!V72</f>
        <v>4066.5</v>
      </c>
      <c r="W42" s="87">
        <f>'Costos Sector Eléctrico'!W72</f>
        <v>4066.5</v>
      </c>
      <c r="X42" s="87">
        <f>'Costos Sector Eléctrico'!X72</f>
        <v>4066.5</v>
      </c>
      <c r="Y42" s="87">
        <f>'Costos Sector Eléctrico'!Y72</f>
        <v>4066.5</v>
      </c>
      <c r="Z42" s="87">
        <f>'Costos Sector Eléctrico'!Z72</f>
        <v>4066.5</v>
      </c>
      <c r="AA42" s="87">
        <f>'Costos Sector Eléctrico'!AA72</f>
        <v>4066.5</v>
      </c>
      <c r="AB42" s="87">
        <f>'Costos Sector Eléctrico'!AB72</f>
        <v>4066.5</v>
      </c>
      <c r="AC42" s="87">
        <f>'Costos Sector Eléctrico'!AC72</f>
        <v>4066.5</v>
      </c>
      <c r="AD42" s="87">
        <f>'Costos Sector Eléctrico'!AD72</f>
        <v>4066.5</v>
      </c>
      <c r="AE42" s="87">
        <f>'Costos Sector Eléctrico'!AE72</f>
        <v>4066.5</v>
      </c>
      <c r="AF42" s="87">
        <f>'Costos Sector Eléctrico'!AF72</f>
        <v>4066.5</v>
      </c>
      <c r="AG42" s="87">
        <f>'Costos Sector Eléctrico'!AG72</f>
        <v>4066.5</v>
      </c>
      <c r="AH42" s="87">
        <f>'Costos Sector Eléctrico'!AH72</f>
        <v>4066.5</v>
      </c>
      <c r="AI42" s="87">
        <f>'Costos Sector Eléctrico'!AI72</f>
        <v>4066.5</v>
      </c>
      <c r="AJ42" s="87">
        <f>'Costos Sector Eléctrico'!AJ72</f>
        <v>4066.5</v>
      </c>
      <c r="AK42" s="88">
        <f>'Costos Sector Eléctrico'!AK72</f>
        <v>4066.5</v>
      </c>
      <c r="AL42" s="80">
        <f t="shared" ref="AL42:BE42" si="32">AK42</f>
        <v>4066.5</v>
      </c>
      <c r="AM42" s="80">
        <f t="shared" si="32"/>
        <v>4066.5</v>
      </c>
      <c r="AN42" s="80">
        <f t="shared" si="32"/>
        <v>4066.5</v>
      </c>
      <c r="AO42" s="80">
        <f t="shared" si="32"/>
        <v>4066.5</v>
      </c>
      <c r="AP42" s="80">
        <f t="shared" si="32"/>
        <v>4066.5</v>
      </c>
      <c r="AQ42" s="80">
        <f t="shared" si="32"/>
        <v>4066.5</v>
      </c>
      <c r="AR42" s="80">
        <f t="shared" si="32"/>
        <v>4066.5</v>
      </c>
      <c r="AS42" s="80">
        <f t="shared" si="32"/>
        <v>4066.5</v>
      </c>
      <c r="AT42" s="80">
        <f t="shared" si="32"/>
        <v>4066.5</v>
      </c>
      <c r="AU42" s="80">
        <f t="shared" si="32"/>
        <v>4066.5</v>
      </c>
      <c r="AV42" s="80">
        <f t="shared" si="32"/>
        <v>4066.5</v>
      </c>
      <c r="AW42" s="80">
        <f t="shared" si="32"/>
        <v>4066.5</v>
      </c>
      <c r="AX42" s="80">
        <f t="shared" si="32"/>
        <v>4066.5</v>
      </c>
      <c r="AY42" s="80">
        <f t="shared" si="32"/>
        <v>4066.5</v>
      </c>
      <c r="AZ42" s="80">
        <f t="shared" si="32"/>
        <v>4066.5</v>
      </c>
      <c r="BA42" s="80">
        <f t="shared" si="32"/>
        <v>4066.5</v>
      </c>
      <c r="BB42" s="80">
        <f t="shared" si="32"/>
        <v>4066.5</v>
      </c>
      <c r="BC42" s="80">
        <f t="shared" si="32"/>
        <v>4066.5</v>
      </c>
      <c r="BD42" s="80">
        <f t="shared" si="32"/>
        <v>4066.5</v>
      </c>
      <c r="BE42" s="80">
        <f t="shared" si="32"/>
        <v>4066.5</v>
      </c>
    </row>
    <row r="43" spans="1:57" ht="13.5" customHeight="1">
      <c r="A43" s="619"/>
      <c r="B43" s="253"/>
      <c r="C43" s="258"/>
      <c r="D43" s="77"/>
      <c r="E43" s="376"/>
      <c r="F43" s="376"/>
      <c r="G43" s="376"/>
      <c r="H43" s="376"/>
      <c r="I43" s="376"/>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376"/>
      <c r="AJ43" s="376"/>
      <c r="AK43" s="69"/>
      <c r="AL43" s="74">
        <f t="shared" ref="AL43:BE43" si="33">AK43</f>
        <v>0</v>
      </c>
      <c r="AM43" s="74">
        <f t="shared" si="33"/>
        <v>0</v>
      </c>
      <c r="AN43" s="74">
        <f t="shared" si="33"/>
        <v>0</v>
      </c>
      <c r="AO43" s="74">
        <f t="shared" si="33"/>
        <v>0</v>
      </c>
      <c r="AP43" s="74">
        <f t="shared" si="33"/>
        <v>0</v>
      </c>
      <c r="AQ43" s="74">
        <f t="shared" si="33"/>
        <v>0</v>
      </c>
      <c r="AR43" s="74">
        <f t="shared" si="33"/>
        <v>0</v>
      </c>
      <c r="AS43" s="74">
        <f t="shared" si="33"/>
        <v>0</v>
      </c>
      <c r="AT43" s="74">
        <f t="shared" si="33"/>
        <v>0</v>
      </c>
      <c r="AU43" s="74">
        <f t="shared" si="33"/>
        <v>0</v>
      </c>
      <c r="AV43" s="74">
        <f t="shared" si="33"/>
        <v>0</v>
      </c>
      <c r="AW43" s="74">
        <f t="shared" si="33"/>
        <v>0</v>
      </c>
      <c r="AX43" s="74">
        <f t="shared" si="33"/>
        <v>0</v>
      </c>
      <c r="AY43" s="74">
        <f t="shared" si="33"/>
        <v>0</v>
      </c>
      <c r="AZ43" s="74">
        <f t="shared" si="33"/>
        <v>0</v>
      </c>
      <c r="BA43" s="74">
        <f t="shared" si="33"/>
        <v>0</v>
      </c>
      <c r="BB43" s="74">
        <f t="shared" si="33"/>
        <v>0</v>
      </c>
      <c r="BC43" s="74">
        <f t="shared" si="33"/>
        <v>0</v>
      </c>
      <c r="BD43" s="74">
        <f t="shared" si="33"/>
        <v>0</v>
      </c>
      <c r="BE43" s="74">
        <f t="shared" si="33"/>
        <v>0</v>
      </c>
    </row>
    <row r="44" spans="1:57" ht="13.5" customHeight="1">
      <c r="A44" s="619"/>
      <c r="B44" s="253"/>
      <c r="C44" s="258"/>
      <c r="D44" s="68" t="s">
        <v>556</v>
      </c>
      <c r="E44" s="376"/>
      <c r="F44" s="376"/>
      <c r="G44" s="376"/>
      <c r="H44" s="376"/>
      <c r="I44" s="376"/>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376"/>
      <c r="AJ44" s="376"/>
      <c r="AK44" s="69"/>
      <c r="AL44" s="74">
        <f t="shared" ref="AL44:BE44" si="34">AK44</f>
        <v>0</v>
      </c>
      <c r="AM44" s="74">
        <f t="shared" si="34"/>
        <v>0</v>
      </c>
      <c r="AN44" s="74">
        <f t="shared" si="34"/>
        <v>0</v>
      </c>
      <c r="AO44" s="74">
        <f t="shared" si="34"/>
        <v>0</v>
      </c>
      <c r="AP44" s="74">
        <f t="shared" si="34"/>
        <v>0</v>
      </c>
      <c r="AQ44" s="74">
        <f t="shared" si="34"/>
        <v>0</v>
      </c>
      <c r="AR44" s="74">
        <f t="shared" si="34"/>
        <v>0</v>
      </c>
      <c r="AS44" s="74">
        <f t="shared" si="34"/>
        <v>0</v>
      </c>
      <c r="AT44" s="74">
        <f t="shared" si="34"/>
        <v>0</v>
      </c>
      <c r="AU44" s="74">
        <f t="shared" si="34"/>
        <v>0</v>
      </c>
      <c r="AV44" s="74">
        <f t="shared" si="34"/>
        <v>0</v>
      </c>
      <c r="AW44" s="74">
        <f t="shared" si="34"/>
        <v>0</v>
      </c>
      <c r="AX44" s="74">
        <f t="shared" si="34"/>
        <v>0</v>
      </c>
      <c r="AY44" s="74">
        <f t="shared" si="34"/>
        <v>0</v>
      </c>
      <c r="AZ44" s="74">
        <f t="shared" si="34"/>
        <v>0</v>
      </c>
      <c r="BA44" s="74">
        <f t="shared" si="34"/>
        <v>0</v>
      </c>
      <c r="BB44" s="74">
        <f t="shared" si="34"/>
        <v>0</v>
      </c>
      <c r="BC44" s="74">
        <f t="shared" si="34"/>
        <v>0</v>
      </c>
      <c r="BD44" s="74">
        <f t="shared" si="34"/>
        <v>0</v>
      </c>
      <c r="BE44" s="74">
        <f t="shared" si="34"/>
        <v>0</v>
      </c>
    </row>
    <row r="45" spans="1:57" ht="13.5" customHeight="1">
      <c r="A45" s="619"/>
      <c r="B45" s="253"/>
      <c r="C45" s="258"/>
      <c r="D45" s="89"/>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1"/>
      <c r="AL45" s="74">
        <f t="shared" ref="AL45:BE45" si="35">AK45</f>
        <v>0</v>
      </c>
      <c r="AM45" s="74">
        <f t="shared" si="35"/>
        <v>0</v>
      </c>
      <c r="AN45" s="74">
        <f t="shared" si="35"/>
        <v>0</v>
      </c>
      <c r="AO45" s="74">
        <f t="shared" si="35"/>
        <v>0</v>
      </c>
      <c r="AP45" s="74">
        <f t="shared" si="35"/>
        <v>0</v>
      </c>
      <c r="AQ45" s="74">
        <f t="shared" si="35"/>
        <v>0</v>
      </c>
      <c r="AR45" s="74">
        <f t="shared" si="35"/>
        <v>0</v>
      </c>
      <c r="AS45" s="74">
        <f t="shared" si="35"/>
        <v>0</v>
      </c>
      <c r="AT45" s="74">
        <f t="shared" si="35"/>
        <v>0</v>
      </c>
      <c r="AU45" s="74">
        <f t="shared" si="35"/>
        <v>0</v>
      </c>
      <c r="AV45" s="74">
        <f t="shared" si="35"/>
        <v>0</v>
      </c>
      <c r="AW45" s="74">
        <f t="shared" si="35"/>
        <v>0</v>
      </c>
      <c r="AX45" s="74">
        <f t="shared" si="35"/>
        <v>0</v>
      </c>
      <c r="AY45" s="74">
        <f t="shared" si="35"/>
        <v>0</v>
      </c>
      <c r="AZ45" s="74">
        <f t="shared" si="35"/>
        <v>0</v>
      </c>
      <c r="BA45" s="74">
        <f t="shared" si="35"/>
        <v>0</v>
      </c>
      <c r="BB45" s="74">
        <f t="shared" si="35"/>
        <v>0</v>
      </c>
      <c r="BC45" s="74">
        <f t="shared" si="35"/>
        <v>0</v>
      </c>
      <c r="BD45" s="74">
        <f t="shared" si="35"/>
        <v>0</v>
      </c>
      <c r="BE45" s="74">
        <f t="shared" si="35"/>
        <v>0</v>
      </c>
    </row>
    <row r="46" spans="1:57" ht="13.5" customHeight="1">
      <c r="A46" s="619"/>
      <c r="B46" s="253"/>
      <c r="C46" s="258"/>
      <c r="D46" s="78" t="s">
        <v>136</v>
      </c>
      <c r="E46" s="262"/>
      <c r="F46" s="262"/>
      <c r="G46" s="262"/>
      <c r="H46" s="262"/>
      <c r="I46" s="262"/>
      <c r="J46" s="262"/>
      <c r="K46" s="262"/>
      <c r="L46" s="262"/>
      <c r="M46" s="262"/>
      <c r="N46" s="262"/>
      <c r="O46" s="262"/>
      <c r="P46" s="262"/>
      <c r="Q46" s="262"/>
      <c r="R46" s="262"/>
      <c r="S46" s="262"/>
      <c r="T46" s="262"/>
      <c r="U46" s="262"/>
      <c r="V46" s="262"/>
      <c r="W46" s="262"/>
      <c r="X46" s="262"/>
      <c r="Y46" s="262"/>
      <c r="Z46" s="262"/>
      <c r="AA46" s="262"/>
      <c r="AB46" s="262"/>
      <c r="AC46" s="262"/>
      <c r="AD46" s="262"/>
      <c r="AE46" s="262"/>
      <c r="AF46" s="262"/>
      <c r="AG46" s="262"/>
      <c r="AH46" s="262"/>
      <c r="AI46" s="262"/>
      <c r="AJ46" s="262"/>
      <c r="AK46" s="81"/>
      <c r="AL46" s="74">
        <f t="shared" ref="AL46:BE46" si="36">AK46</f>
        <v>0</v>
      </c>
      <c r="AM46" s="74">
        <f t="shared" si="36"/>
        <v>0</v>
      </c>
      <c r="AN46" s="74">
        <f t="shared" si="36"/>
        <v>0</v>
      </c>
      <c r="AO46" s="74">
        <f t="shared" si="36"/>
        <v>0</v>
      </c>
      <c r="AP46" s="74">
        <f t="shared" si="36"/>
        <v>0</v>
      </c>
      <c r="AQ46" s="74">
        <f t="shared" si="36"/>
        <v>0</v>
      </c>
      <c r="AR46" s="74">
        <f t="shared" si="36"/>
        <v>0</v>
      </c>
      <c r="AS46" s="74">
        <f t="shared" si="36"/>
        <v>0</v>
      </c>
      <c r="AT46" s="74">
        <f t="shared" si="36"/>
        <v>0</v>
      </c>
      <c r="AU46" s="74">
        <f t="shared" si="36"/>
        <v>0</v>
      </c>
      <c r="AV46" s="74">
        <f t="shared" si="36"/>
        <v>0</v>
      </c>
      <c r="AW46" s="74">
        <f t="shared" si="36"/>
        <v>0</v>
      </c>
      <c r="AX46" s="74">
        <f t="shared" si="36"/>
        <v>0</v>
      </c>
      <c r="AY46" s="74">
        <f t="shared" si="36"/>
        <v>0</v>
      </c>
      <c r="AZ46" s="74">
        <f t="shared" si="36"/>
        <v>0</v>
      </c>
      <c r="BA46" s="74">
        <f t="shared" si="36"/>
        <v>0</v>
      </c>
      <c r="BB46" s="74">
        <f t="shared" si="36"/>
        <v>0</v>
      </c>
      <c r="BC46" s="74">
        <f t="shared" si="36"/>
        <v>0</v>
      </c>
      <c r="BD46" s="74">
        <f t="shared" si="36"/>
        <v>0</v>
      </c>
      <c r="BE46" s="74">
        <f t="shared" si="36"/>
        <v>0</v>
      </c>
    </row>
    <row r="47" spans="1:57" ht="13.5" customHeight="1">
      <c r="A47" s="619">
        <v>5</v>
      </c>
      <c r="B47" s="253"/>
      <c r="C47" s="258" t="s">
        <v>187</v>
      </c>
      <c r="D47" s="92" t="s">
        <v>188</v>
      </c>
      <c r="E47" s="451">
        <f t="shared" ref="E47:Q47" si="37">2286+(((1639.5-2286)/(2030-2015))*(E1-2015))</f>
        <v>2156.6999999999998</v>
      </c>
      <c r="F47" s="451">
        <f t="shared" si="37"/>
        <v>2113.6</v>
      </c>
      <c r="G47" s="451">
        <f t="shared" si="37"/>
        <v>2070.5</v>
      </c>
      <c r="H47" s="451">
        <f t="shared" si="37"/>
        <v>2027.4</v>
      </c>
      <c r="I47" s="451">
        <f t="shared" si="37"/>
        <v>1984.3</v>
      </c>
      <c r="J47" s="451">
        <f t="shared" si="37"/>
        <v>1941.2</v>
      </c>
      <c r="K47" s="451">
        <f t="shared" si="37"/>
        <v>1898.1</v>
      </c>
      <c r="L47" s="451">
        <f t="shared" si="37"/>
        <v>1855</v>
      </c>
      <c r="M47" s="451">
        <f t="shared" si="37"/>
        <v>1811.9</v>
      </c>
      <c r="N47" s="451">
        <f t="shared" si="37"/>
        <v>1768.8</v>
      </c>
      <c r="O47" s="451">
        <f t="shared" si="37"/>
        <v>1725.6999999999998</v>
      </c>
      <c r="P47" s="451">
        <f t="shared" si="37"/>
        <v>1682.6</v>
      </c>
      <c r="Q47" s="451">
        <f t="shared" si="37"/>
        <v>1639.5</v>
      </c>
      <c r="R47" s="451">
        <f t="shared" ref="R47:AK47" si="38">1639.5+(((1158-1639.5)/(2050-2030))*(R1-2030))</f>
        <v>1615.425</v>
      </c>
      <c r="S47" s="451">
        <f t="shared" si="38"/>
        <v>1591.35</v>
      </c>
      <c r="T47" s="451">
        <f t="shared" si="38"/>
        <v>1567.2750000000001</v>
      </c>
      <c r="U47" s="451">
        <f t="shared" si="38"/>
        <v>1543.2</v>
      </c>
      <c r="V47" s="451">
        <f t="shared" si="38"/>
        <v>1519.125</v>
      </c>
      <c r="W47" s="451">
        <f t="shared" si="38"/>
        <v>1495.05</v>
      </c>
      <c r="X47" s="451">
        <f t="shared" si="38"/>
        <v>1470.9749999999999</v>
      </c>
      <c r="Y47" s="451">
        <f t="shared" si="38"/>
        <v>1446.9</v>
      </c>
      <c r="Z47" s="451">
        <f t="shared" si="38"/>
        <v>1422.825</v>
      </c>
      <c r="AA47" s="451">
        <f t="shared" si="38"/>
        <v>1398.75</v>
      </c>
      <c r="AB47" s="451">
        <f t="shared" si="38"/>
        <v>1374.675</v>
      </c>
      <c r="AC47" s="451">
        <f t="shared" si="38"/>
        <v>1350.6</v>
      </c>
      <c r="AD47" s="451">
        <f t="shared" si="38"/>
        <v>1326.5250000000001</v>
      </c>
      <c r="AE47" s="451">
        <f t="shared" si="38"/>
        <v>1302.45</v>
      </c>
      <c r="AF47" s="451">
        <f t="shared" si="38"/>
        <v>1278.375</v>
      </c>
      <c r="AG47" s="451">
        <f t="shared" si="38"/>
        <v>1254.3</v>
      </c>
      <c r="AH47" s="451">
        <f t="shared" si="38"/>
        <v>1230.2249999999999</v>
      </c>
      <c r="AI47" s="451">
        <f t="shared" si="38"/>
        <v>1206.1500000000001</v>
      </c>
      <c r="AJ47" s="451">
        <f t="shared" si="38"/>
        <v>1182.075</v>
      </c>
      <c r="AK47" s="93">
        <f t="shared" si="38"/>
        <v>1158</v>
      </c>
      <c r="AL47" s="74">
        <f t="shared" ref="AL47:BE47" si="39">AK47</f>
        <v>1158</v>
      </c>
      <c r="AM47" s="74">
        <f t="shared" si="39"/>
        <v>1158</v>
      </c>
      <c r="AN47" s="74">
        <f t="shared" si="39"/>
        <v>1158</v>
      </c>
      <c r="AO47" s="74">
        <f t="shared" si="39"/>
        <v>1158</v>
      </c>
      <c r="AP47" s="74">
        <f t="shared" si="39"/>
        <v>1158</v>
      </c>
      <c r="AQ47" s="74">
        <f t="shared" si="39"/>
        <v>1158</v>
      </c>
      <c r="AR47" s="74">
        <f t="shared" si="39"/>
        <v>1158</v>
      </c>
      <c r="AS47" s="74">
        <f t="shared" si="39"/>
        <v>1158</v>
      </c>
      <c r="AT47" s="74">
        <f t="shared" si="39"/>
        <v>1158</v>
      </c>
      <c r="AU47" s="74">
        <f t="shared" si="39"/>
        <v>1158</v>
      </c>
      <c r="AV47" s="74">
        <f t="shared" si="39"/>
        <v>1158</v>
      </c>
      <c r="AW47" s="74">
        <f t="shared" si="39"/>
        <v>1158</v>
      </c>
      <c r="AX47" s="74">
        <f t="shared" si="39"/>
        <v>1158</v>
      </c>
      <c r="AY47" s="74">
        <f t="shared" si="39"/>
        <v>1158</v>
      </c>
      <c r="AZ47" s="74">
        <f t="shared" si="39"/>
        <v>1158</v>
      </c>
      <c r="BA47" s="74">
        <f t="shared" si="39"/>
        <v>1158</v>
      </c>
      <c r="BB47" s="74">
        <f t="shared" si="39"/>
        <v>1158</v>
      </c>
      <c r="BC47" s="74">
        <f t="shared" si="39"/>
        <v>1158</v>
      </c>
      <c r="BD47" s="74">
        <f t="shared" si="39"/>
        <v>1158</v>
      </c>
      <c r="BE47" s="74">
        <f t="shared" si="39"/>
        <v>1158</v>
      </c>
    </row>
    <row r="48" spans="1:57" ht="13.5" customHeight="1">
      <c r="A48" s="619"/>
      <c r="B48" s="253"/>
      <c r="C48" s="258"/>
      <c r="D48" s="78" t="s">
        <v>137</v>
      </c>
      <c r="E48" s="262"/>
      <c r="F48" s="262"/>
      <c r="G48" s="262"/>
      <c r="H48" s="262"/>
      <c r="I48" s="262"/>
      <c r="J48" s="262"/>
      <c r="K48" s="262"/>
      <c r="L48" s="262"/>
      <c r="M48" s="262"/>
      <c r="N48" s="262"/>
      <c r="O48" s="262"/>
      <c r="P48" s="262"/>
      <c r="Q48" s="262"/>
      <c r="R48" s="262"/>
      <c r="S48" s="262"/>
      <c r="T48" s="262"/>
      <c r="U48" s="262"/>
      <c r="V48" s="262"/>
      <c r="W48" s="262"/>
      <c r="X48" s="262"/>
      <c r="Y48" s="262"/>
      <c r="Z48" s="262"/>
      <c r="AA48" s="262"/>
      <c r="AB48" s="262"/>
      <c r="AC48" s="262"/>
      <c r="AD48" s="262"/>
      <c r="AE48" s="262"/>
      <c r="AF48" s="262"/>
      <c r="AG48" s="262"/>
      <c r="AH48" s="262"/>
      <c r="AI48" s="262"/>
      <c r="AJ48" s="262"/>
      <c r="AK48" s="81"/>
      <c r="AL48" s="74">
        <f t="shared" ref="AL48:BE48" si="40">AK48</f>
        <v>0</v>
      </c>
      <c r="AM48" s="74">
        <f t="shared" si="40"/>
        <v>0</v>
      </c>
      <c r="AN48" s="74">
        <f t="shared" si="40"/>
        <v>0</v>
      </c>
      <c r="AO48" s="74">
        <f t="shared" si="40"/>
        <v>0</v>
      </c>
      <c r="AP48" s="74">
        <f t="shared" si="40"/>
        <v>0</v>
      </c>
      <c r="AQ48" s="74">
        <f t="shared" si="40"/>
        <v>0</v>
      </c>
      <c r="AR48" s="74">
        <f t="shared" si="40"/>
        <v>0</v>
      </c>
      <c r="AS48" s="74">
        <f t="shared" si="40"/>
        <v>0</v>
      </c>
      <c r="AT48" s="74">
        <f t="shared" si="40"/>
        <v>0</v>
      </c>
      <c r="AU48" s="74">
        <f t="shared" si="40"/>
        <v>0</v>
      </c>
      <c r="AV48" s="74">
        <f t="shared" si="40"/>
        <v>0</v>
      </c>
      <c r="AW48" s="74">
        <f t="shared" si="40"/>
        <v>0</v>
      </c>
      <c r="AX48" s="74">
        <f t="shared" si="40"/>
        <v>0</v>
      </c>
      <c r="AY48" s="74">
        <f t="shared" si="40"/>
        <v>0</v>
      </c>
      <c r="AZ48" s="74">
        <f t="shared" si="40"/>
        <v>0</v>
      </c>
      <c r="BA48" s="74">
        <f t="shared" si="40"/>
        <v>0</v>
      </c>
      <c r="BB48" s="74">
        <f t="shared" si="40"/>
        <v>0</v>
      </c>
      <c r="BC48" s="74">
        <f t="shared" si="40"/>
        <v>0</v>
      </c>
      <c r="BD48" s="74">
        <f t="shared" si="40"/>
        <v>0</v>
      </c>
      <c r="BE48" s="74">
        <f t="shared" si="40"/>
        <v>0</v>
      </c>
    </row>
    <row r="49" spans="1:57" ht="13.5" customHeight="1">
      <c r="A49" s="619"/>
      <c r="B49" s="253"/>
      <c r="C49" s="258"/>
      <c r="D49" s="75" t="s">
        <v>189</v>
      </c>
      <c r="E49" s="447"/>
      <c r="F49" s="447"/>
      <c r="G49" s="447"/>
      <c r="H49" s="447"/>
      <c r="I49" s="447"/>
      <c r="J49" s="447"/>
      <c r="K49" s="447"/>
      <c r="L49" s="447"/>
      <c r="M49" s="447"/>
      <c r="N49" s="447"/>
      <c r="O49" s="447"/>
      <c r="P49" s="447"/>
      <c r="Q49" s="447"/>
      <c r="R49" s="447"/>
      <c r="S49" s="447"/>
      <c r="T49" s="447"/>
      <c r="U49" s="447"/>
      <c r="V49" s="447"/>
      <c r="W49" s="447"/>
      <c r="X49" s="447"/>
      <c r="Y49" s="447"/>
      <c r="Z49" s="447"/>
      <c r="AA49" s="447"/>
      <c r="AB49" s="447"/>
      <c r="AC49" s="447"/>
      <c r="AD49" s="447"/>
      <c r="AE49" s="447"/>
      <c r="AF49" s="447"/>
      <c r="AG49" s="447"/>
      <c r="AH49" s="447"/>
      <c r="AI49" s="447"/>
      <c r="AJ49" s="447"/>
      <c r="AK49" s="76"/>
      <c r="AL49" s="74">
        <f t="shared" ref="AL49:BE49" si="41">AK49</f>
        <v>0</v>
      </c>
      <c r="AM49" s="74">
        <f t="shared" si="41"/>
        <v>0</v>
      </c>
      <c r="AN49" s="74">
        <f t="shared" si="41"/>
        <v>0</v>
      </c>
      <c r="AO49" s="74">
        <f t="shared" si="41"/>
        <v>0</v>
      </c>
      <c r="AP49" s="74">
        <f t="shared" si="41"/>
        <v>0</v>
      </c>
      <c r="AQ49" s="74">
        <f t="shared" si="41"/>
        <v>0</v>
      </c>
      <c r="AR49" s="74">
        <f t="shared" si="41"/>
        <v>0</v>
      </c>
      <c r="AS49" s="74">
        <f t="shared" si="41"/>
        <v>0</v>
      </c>
      <c r="AT49" s="74">
        <f t="shared" si="41"/>
        <v>0</v>
      </c>
      <c r="AU49" s="74">
        <f t="shared" si="41"/>
        <v>0</v>
      </c>
      <c r="AV49" s="74">
        <f t="shared" si="41"/>
        <v>0</v>
      </c>
      <c r="AW49" s="74">
        <f t="shared" si="41"/>
        <v>0</v>
      </c>
      <c r="AX49" s="74">
        <f t="shared" si="41"/>
        <v>0</v>
      </c>
      <c r="AY49" s="74">
        <f t="shared" si="41"/>
        <v>0</v>
      </c>
      <c r="AZ49" s="74">
        <f t="shared" si="41"/>
        <v>0</v>
      </c>
      <c r="BA49" s="74">
        <f t="shared" si="41"/>
        <v>0</v>
      </c>
      <c r="BB49" s="74">
        <f t="shared" si="41"/>
        <v>0</v>
      </c>
      <c r="BC49" s="74">
        <f t="shared" si="41"/>
        <v>0</v>
      </c>
      <c r="BD49" s="74">
        <f t="shared" si="41"/>
        <v>0</v>
      </c>
      <c r="BE49" s="74">
        <f t="shared" si="41"/>
        <v>0</v>
      </c>
    </row>
    <row r="50" spans="1:57" ht="13.5" customHeight="1">
      <c r="A50" s="619"/>
      <c r="B50" s="253"/>
      <c r="C50" s="258"/>
      <c r="D50" s="92" t="s">
        <v>190</v>
      </c>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93"/>
      <c r="AL50" s="74">
        <f t="shared" ref="AL50:BE50" si="42">AK50</f>
        <v>0</v>
      </c>
      <c r="AM50" s="74">
        <f t="shared" si="42"/>
        <v>0</v>
      </c>
      <c r="AN50" s="74">
        <f t="shared" si="42"/>
        <v>0</v>
      </c>
      <c r="AO50" s="74">
        <f t="shared" si="42"/>
        <v>0</v>
      </c>
      <c r="AP50" s="74">
        <f t="shared" si="42"/>
        <v>0</v>
      </c>
      <c r="AQ50" s="74">
        <f t="shared" si="42"/>
        <v>0</v>
      </c>
      <c r="AR50" s="74">
        <f t="shared" si="42"/>
        <v>0</v>
      </c>
      <c r="AS50" s="74">
        <f t="shared" si="42"/>
        <v>0</v>
      </c>
      <c r="AT50" s="74">
        <f t="shared" si="42"/>
        <v>0</v>
      </c>
      <c r="AU50" s="74">
        <f t="shared" si="42"/>
        <v>0</v>
      </c>
      <c r="AV50" s="74">
        <f t="shared" si="42"/>
        <v>0</v>
      </c>
      <c r="AW50" s="74">
        <f t="shared" si="42"/>
        <v>0</v>
      </c>
      <c r="AX50" s="74">
        <f t="shared" si="42"/>
        <v>0</v>
      </c>
      <c r="AY50" s="74">
        <f t="shared" si="42"/>
        <v>0</v>
      </c>
      <c r="AZ50" s="74">
        <f t="shared" si="42"/>
        <v>0</v>
      </c>
      <c r="BA50" s="74">
        <f t="shared" si="42"/>
        <v>0</v>
      </c>
      <c r="BB50" s="74">
        <f t="shared" si="42"/>
        <v>0</v>
      </c>
      <c r="BC50" s="74">
        <f t="shared" si="42"/>
        <v>0</v>
      </c>
      <c r="BD50" s="74">
        <f t="shared" si="42"/>
        <v>0</v>
      </c>
      <c r="BE50" s="74">
        <f t="shared" si="42"/>
        <v>0</v>
      </c>
    </row>
    <row r="51" spans="1:57" ht="13.5" customHeight="1">
      <c r="A51" s="619">
        <v>1</v>
      </c>
      <c r="B51" s="253"/>
      <c r="C51" s="258" t="s">
        <v>191</v>
      </c>
      <c r="D51" s="77" t="s">
        <v>557</v>
      </c>
      <c r="E51" s="323">
        <f t="shared" ref="E51:AK51" si="43">E24</f>
        <v>3080.5955555555552</v>
      </c>
      <c r="F51" s="323">
        <f t="shared" si="43"/>
        <v>3080.5955555555552</v>
      </c>
      <c r="G51" s="323">
        <f t="shared" si="43"/>
        <v>3080.5955555555552</v>
      </c>
      <c r="H51" s="323">
        <f t="shared" si="43"/>
        <v>3080.5955555555552</v>
      </c>
      <c r="I51" s="323">
        <f t="shared" si="43"/>
        <v>3080.5955555555552</v>
      </c>
      <c r="J51" s="323">
        <f t="shared" si="43"/>
        <v>3080.5955555555552</v>
      </c>
      <c r="K51" s="323">
        <f t="shared" si="43"/>
        <v>3080.5955555555552</v>
      </c>
      <c r="L51" s="323">
        <f t="shared" si="43"/>
        <v>3080.5955555555552</v>
      </c>
      <c r="M51" s="323">
        <f t="shared" si="43"/>
        <v>3080.5955555555552</v>
      </c>
      <c r="N51" s="323">
        <f t="shared" si="43"/>
        <v>3080.5955555555552</v>
      </c>
      <c r="O51" s="323">
        <f t="shared" si="43"/>
        <v>3080.5955555555552</v>
      </c>
      <c r="P51" s="323">
        <f t="shared" si="43"/>
        <v>3080.5955555555552</v>
      </c>
      <c r="Q51" s="323">
        <f t="shared" si="43"/>
        <v>3080.5955555555552</v>
      </c>
      <c r="R51" s="323">
        <f t="shared" si="43"/>
        <v>3080.5955555555552</v>
      </c>
      <c r="S51" s="323">
        <f t="shared" si="43"/>
        <v>3080.5955555555552</v>
      </c>
      <c r="T51" s="323">
        <f t="shared" si="43"/>
        <v>3080.5955555555552</v>
      </c>
      <c r="U51" s="323">
        <f t="shared" si="43"/>
        <v>3080.5955555555552</v>
      </c>
      <c r="V51" s="323">
        <f t="shared" si="43"/>
        <v>3080.5955555555552</v>
      </c>
      <c r="W51" s="323">
        <f t="shared" si="43"/>
        <v>3080.5955555555552</v>
      </c>
      <c r="X51" s="323">
        <f t="shared" si="43"/>
        <v>3080.5955555555552</v>
      </c>
      <c r="Y51" s="323">
        <f t="shared" si="43"/>
        <v>3080.5955555555552</v>
      </c>
      <c r="Z51" s="323">
        <f t="shared" si="43"/>
        <v>3080.5955555555552</v>
      </c>
      <c r="AA51" s="323">
        <f t="shared" si="43"/>
        <v>3080.5955555555552</v>
      </c>
      <c r="AB51" s="323">
        <f t="shared" si="43"/>
        <v>3080.5955555555552</v>
      </c>
      <c r="AC51" s="323">
        <f t="shared" si="43"/>
        <v>3080.5955555555552</v>
      </c>
      <c r="AD51" s="323">
        <f t="shared" si="43"/>
        <v>3080.5955555555552</v>
      </c>
      <c r="AE51" s="323">
        <f t="shared" si="43"/>
        <v>3080.5955555555552</v>
      </c>
      <c r="AF51" s="323">
        <f t="shared" si="43"/>
        <v>3080.5955555555552</v>
      </c>
      <c r="AG51" s="323">
        <f t="shared" si="43"/>
        <v>3080.5955555555552</v>
      </c>
      <c r="AH51" s="323">
        <f t="shared" si="43"/>
        <v>3080.5955555555552</v>
      </c>
      <c r="AI51" s="323">
        <f t="shared" si="43"/>
        <v>3080.5955555555552</v>
      </c>
      <c r="AJ51" s="323">
        <f t="shared" si="43"/>
        <v>3080.5955555555552</v>
      </c>
      <c r="AK51" s="82">
        <f t="shared" si="43"/>
        <v>3080.5955555555552</v>
      </c>
      <c r="AL51" s="80">
        <f t="shared" ref="AL51:BE51" si="44">AK51</f>
        <v>3080.5955555555552</v>
      </c>
      <c r="AM51" s="80">
        <f t="shared" si="44"/>
        <v>3080.5955555555552</v>
      </c>
      <c r="AN51" s="80">
        <f t="shared" si="44"/>
        <v>3080.5955555555552</v>
      </c>
      <c r="AO51" s="80">
        <f t="shared" si="44"/>
        <v>3080.5955555555552</v>
      </c>
      <c r="AP51" s="80">
        <f t="shared" si="44"/>
        <v>3080.5955555555552</v>
      </c>
      <c r="AQ51" s="80">
        <f t="shared" si="44"/>
        <v>3080.5955555555552</v>
      </c>
      <c r="AR51" s="80">
        <f t="shared" si="44"/>
        <v>3080.5955555555552</v>
      </c>
      <c r="AS51" s="80">
        <f t="shared" si="44"/>
        <v>3080.5955555555552</v>
      </c>
      <c r="AT51" s="80">
        <f t="shared" si="44"/>
        <v>3080.5955555555552</v>
      </c>
      <c r="AU51" s="80">
        <f t="shared" si="44"/>
        <v>3080.5955555555552</v>
      </c>
      <c r="AV51" s="80">
        <f t="shared" si="44"/>
        <v>3080.5955555555552</v>
      </c>
      <c r="AW51" s="80">
        <f t="shared" si="44"/>
        <v>3080.5955555555552</v>
      </c>
      <c r="AX51" s="80">
        <f t="shared" si="44"/>
        <v>3080.5955555555552</v>
      </c>
      <c r="AY51" s="80">
        <f t="shared" si="44"/>
        <v>3080.5955555555552</v>
      </c>
      <c r="AZ51" s="80">
        <f t="shared" si="44"/>
        <v>3080.5955555555552</v>
      </c>
      <c r="BA51" s="80">
        <f t="shared" si="44"/>
        <v>3080.5955555555552</v>
      </c>
      <c r="BB51" s="80">
        <f t="shared" si="44"/>
        <v>3080.5955555555552</v>
      </c>
      <c r="BC51" s="80">
        <f t="shared" si="44"/>
        <v>3080.5955555555552</v>
      </c>
      <c r="BD51" s="80">
        <f t="shared" si="44"/>
        <v>3080.5955555555552</v>
      </c>
      <c r="BE51" s="80">
        <f t="shared" si="44"/>
        <v>3080.5955555555552</v>
      </c>
    </row>
    <row r="52" spans="1:57" ht="13.5" customHeight="1">
      <c r="A52" s="619">
        <v>1</v>
      </c>
      <c r="B52" s="253"/>
      <c r="C52" s="258" t="s">
        <v>193</v>
      </c>
      <c r="D52" s="77" t="s">
        <v>558</v>
      </c>
      <c r="E52" s="323">
        <f t="shared" ref="E52:AK52" si="45">E27</f>
        <v>3080.5955555555552</v>
      </c>
      <c r="F52" s="323">
        <f t="shared" si="45"/>
        <v>3080.5955555555552</v>
      </c>
      <c r="G52" s="323">
        <f t="shared" si="45"/>
        <v>3080.5955555555552</v>
      </c>
      <c r="H52" s="323">
        <f t="shared" si="45"/>
        <v>3080.5955555555552</v>
      </c>
      <c r="I52" s="323">
        <f t="shared" si="45"/>
        <v>3080.5955555555552</v>
      </c>
      <c r="J52" s="323">
        <f t="shared" si="45"/>
        <v>3080.5955555555552</v>
      </c>
      <c r="K52" s="323">
        <f t="shared" si="45"/>
        <v>3080.5955555555552</v>
      </c>
      <c r="L52" s="323">
        <f t="shared" si="45"/>
        <v>3080.5955555555552</v>
      </c>
      <c r="M52" s="323">
        <f t="shared" si="45"/>
        <v>3080.5955555555552</v>
      </c>
      <c r="N52" s="323">
        <f t="shared" si="45"/>
        <v>3080.5955555555552</v>
      </c>
      <c r="O52" s="323">
        <f t="shared" si="45"/>
        <v>3080.5955555555552</v>
      </c>
      <c r="P52" s="323">
        <f t="shared" si="45"/>
        <v>3080.5955555555552</v>
      </c>
      <c r="Q52" s="323">
        <f t="shared" si="45"/>
        <v>3080.5955555555552</v>
      </c>
      <c r="R52" s="323">
        <f t="shared" si="45"/>
        <v>3080.5955555555552</v>
      </c>
      <c r="S52" s="323">
        <f t="shared" si="45"/>
        <v>3080.5955555555552</v>
      </c>
      <c r="T52" s="323">
        <f t="shared" si="45"/>
        <v>3080.5955555555552</v>
      </c>
      <c r="U52" s="323">
        <f t="shared" si="45"/>
        <v>3080.5955555555552</v>
      </c>
      <c r="V52" s="323">
        <f t="shared" si="45"/>
        <v>3080.5955555555552</v>
      </c>
      <c r="W52" s="323">
        <f t="shared" si="45"/>
        <v>3080.5955555555552</v>
      </c>
      <c r="X52" s="323">
        <f t="shared" si="45"/>
        <v>3080.5955555555552</v>
      </c>
      <c r="Y52" s="323">
        <f t="shared" si="45"/>
        <v>3080.5955555555552</v>
      </c>
      <c r="Z52" s="323">
        <f t="shared" si="45"/>
        <v>3080.5955555555552</v>
      </c>
      <c r="AA52" s="323">
        <f t="shared" si="45"/>
        <v>3080.5955555555552</v>
      </c>
      <c r="AB52" s="323">
        <f t="shared" si="45"/>
        <v>3080.5955555555552</v>
      </c>
      <c r="AC52" s="323">
        <f t="shared" si="45"/>
        <v>3080.5955555555552</v>
      </c>
      <c r="AD52" s="323">
        <f t="shared" si="45"/>
        <v>3080.5955555555552</v>
      </c>
      <c r="AE52" s="323">
        <f t="shared" si="45"/>
        <v>3080.5955555555552</v>
      </c>
      <c r="AF52" s="323">
        <f t="shared" si="45"/>
        <v>3080.5955555555552</v>
      </c>
      <c r="AG52" s="323">
        <f t="shared" si="45"/>
        <v>3080.5955555555552</v>
      </c>
      <c r="AH52" s="323">
        <f t="shared" si="45"/>
        <v>3080.5955555555552</v>
      </c>
      <c r="AI52" s="323">
        <f t="shared" si="45"/>
        <v>3080.5955555555552</v>
      </c>
      <c r="AJ52" s="323">
        <f t="shared" si="45"/>
        <v>3080.5955555555552</v>
      </c>
      <c r="AK52" s="82">
        <f t="shared" si="45"/>
        <v>3080.5955555555552</v>
      </c>
      <c r="AL52" s="80">
        <f t="shared" ref="AL52:BE52" si="46">AK52</f>
        <v>3080.5955555555552</v>
      </c>
      <c r="AM52" s="80">
        <f t="shared" si="46"/>
        <v>3080.5955555555552</v>
      </c>
      <c r="AN52" s="80">
        <f t="shared" si="46"/>
        <v>3080.5955555555552</v>
      </c>
      <c r="AO52" s="80">
        <f t="shared" si="46"/>
        <v>3080.5955555555552</v>
      </c>
      <c r="AP52" s="80">
        <f t="shared" si="46"/>
        <v>3080.5955555555552</v>
      </c>
      <c r="AQ52" s="80">
        <f t="shared" si="46"/>
        <v>3080.5955555555552</v>
      </c>
      <c r="AR52" s="80">
        <f t="shared" si="46"/>
        <v>3080.5955555555552</v>
      </c>
      <c r="AS52" s="80">
        <f t="shared" si="46"/>
        <v>3080.5955555555552</v>
      </c>
      <c r="AT52" s="80">
        <f t="shared" si="46"/>
        <v>3080.5955555555552</v>
      </c>
      <c r="AU52" s="80">
        <f t="shared" si="46"/>
        <v>3080.5955555555552</v>
      </c>
      <c r="AV52" s="80">
        <f t="shared" si="46"/>
        <v>3080.5955555555552</v>
      </c>
      <c r="AW52" s="80">
        <f t="shared" si="46"/>
        <v>3080.5955555555552</v>
      </c>
      <c r="AX52" s="80">
        <f t="shared" si="46"/>
        <v>3080.5955555555552</v>
      </c>
      <c r="AY52" s="80">
        <f t="shared" si="46"/>
        <v>3080.5955555555552</v>
      </c>
      <c r="AZ52" s="80">
        <f t="shared" si="46"/>
        <v>3080.5955555555552</v>
      </c>
      <c r="BA52" s="80">
        <f t="shared" si="46"/>
        <v>3080.5955555555552</v>
      </c>
      <c r="BB52" s="80">
        <f t="shared" si="46"/>
        <v>3080.5955555555552</v>
      </c>
      <c r="BC52" s="80">
        <f t="shared" si="46"/>
        <v>3080.5955555555552</v>
      </c>
      <c r="BD52" s="80">
        <f t="shared" si="46"/>
        <v>3080.5955555555552</v>
      </c>
      <c r="BE52" s="80">
        <f t="shared" si="46"/>
        <v>3080.5955555555552</v>
      </c>
    </row>
    <row r="53" spans="1:57" ht="13.5" customHeight="1">
      <c r="A53" s="619"/>
      <c r="B53" s="253"/>
      <c r="C53" s="258"/>
      <c r="D53" s="92" t="s">
        <v>195</v>
      </c>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93"/>
      <c r="AL53" s="74">
        <f t="shared" ref="AL53:BE53" si="47">AK53</f>
        <v>0</v>
      </c>
      <c r="AM53" s="74">
        <f t="shared" si="47"/>
        <v>0</v>
      </c>
      <c r="AN53" s="74">
        <f t="shared" si="47"/>
        <v>0</v>
      </c>
      <c r="AO53" s="74">
        <f t="shared" si="47"/>
        <v>0</v>
      </c>
      <c r="AP53" s="74">
        <f t="shared" si="47"/>
        <v>0</v>
      </c>
      <c r="AQ53" s="74">
        <f t="shared" si="47"/>
        <v>0</v>
      </c>
      <c r="AR53" s="74">
        <f t="shared" si="47"/>
        <v>0</v>
      </c>
      <c r="AS53" s="74">
        <f t="shared" si="47"/>
        <v>0</v>
      </c>
      <c r="AT53" s="74">
        <f t="shared" si="47"/>
        <v>0</v>
      </c>
      <c r="AU53" s="74">
        <f t="shared" si="47"/>
        <v>0</v>
      </c>
      <c r="AV53" s="74">
        <f t="shared" si="47"/>
        <v>0</v>
      </c>
      <c r="AW53" s="74">
        <f t="shared" si="47"/>
        <v>0</v>
      </c>
      <c r="AX53" s="74">
        <f t="shared" si="47"/>
        <v>0</v>
      </c>
      <c r="AY53" s="74">
        <f t="shared" si="47"/>
        <v>0</v>
      </c>
      <c r="AZ53" s="74">
        <f t="shared" si="47"/>
        <v>0</v>
      </c>
      <c r="BA53" s="74">
        <f t="shared" si="47"/>
        <v>0</v>
      </c>
      <c r="BB53" s="74">
        <f t="shared" si="47"/>
        <v>0</v>
      </c>
      <c r="BC53" s="74">
        <f t="shared" si="47"/>
        <v>0</v>
      </c>
      <c r="BD53" s="74">
        <f t="shared" si="47"/>
        <v>0</v>
      </c>
      <c r="BE53" s="74">
        <f t="shared" si="47"/>
        <v>0</v>
      </c>
    </row>
    <row r="54" spans="1:57" ht="13.5" customHeight="1">
      <c r="A54" s="619">
        <v>1</v>
      </c>
      <c r="B54" s="253"/>
      <c r="C54" s="258" t="s">
        <v>196</v>
      </c>
      <c r="D54" s="77" t="s">
        <v>557</v>
      </c>
      <c r="E54" s="323">
        <f t="shared" ref="E54:AK54" si="48">E24</f>
        <v>3080.5955555555552</v>
      </c>
      <c r="F54" s="323">
        <f t="shared" si="48"/>
        <v>3080.5955555555552</v>
      </c>
      <c r="G54" s="323">
        <f t="shared" si="48"/>
        <v>3080.5955555555552</v>
      </c>
      <c r="H54" s="323">
        <f t="shared" si="48"/>
        <v>3080.5955555555552</v>
      </c>
      <c r="I54" s="323">
        <f t="shared" si="48"/>
        <v>3080.5955555555552</v>
      </c>
      <c r="J54" s="323">
        <f t="shared" si="48"/>
        <v>3080.5955555555552</v>
      </c>
      <c r="K54" s="323">
        <f t="shared" si="48"/>
        <v>3080.5955555555552</v>
      </c>
      <c r="L54" s="323">
        <f t="shared" si="48"/>
        <v>3080.5955555555552</v>
      </c>
      <c r="M54" s="323">
        <f t="shared" si="48"/>
        <v>3080.5955555555552</v>
      </c>
      <c r="N54" s="323">
        <f t="shared" si="48"/>
        <v>3080.5955555555552</v>
      </c>
      <c r="O54" s="323">
        <f t="shared" si="48"/>
        <v>3080.5955555555552</v>
      </c>
      <c r="P54" s="323">
        <f t="shared" si="48"/>
        <v>3080.5955555555552</v>
      </c>
      <c r="Q54" s="323">
        <f t="shared" si="48"/>
        <v>3080.5955555555552</v>
      </c>
      <c r="R54" s="323">
        <f t="shared" si="48"/>
        <v>3080.5955555555552</v>
      </c>
      <c r="S54" s="323">
        <f t="shared" si="48"/>
        <v>3080.5955555555552</v>
      </c>
      <c r="T54" s="323">
        <f t="shared" si="48"/>
        <v>3080.5955555555552</v>
      </c>
      <c r="U54" s="323">
        <f t="shared" si="48"/>
        <v>3080.5955555555552</v>
      </c>
      <c r="V54" s="323">
        <f t="shared" si="48"/>
        <v>3080.5955555555552</v>
      </c>
      <c r="W54" s="323">
        <f t="shared" si="48"/>
        <v>3080.5955555555552</v>
      </c>
      <c r="X54" s="323">
        <f t="shared" si="48"/>
        <v>3080.5955555555552</v>
      </c>
      <c r="Y54" s="323">
        <f t="shared" si="48"/>
        <v>3080.5955555555552</v>
      </c>
      <c r="Z54" s="323">
        <f t="shared" si="48"/>
        <v>3080.5955555555552</v>
      </c>
      <c r="AA54" s="323">
        <f t="shared" si="48"/>
        <v>3080.5955555555552</v>
      </c>
      <c r="AB54" s="323">
        <f t="shared" si="48"/>
        <v>3080.5955555555552</v>
      </c>
      <c r="AC54" s="323">
        <f t="shared" si="48"/>
        <v>3080.5955555555552</v>
      </c>
      <c r="AD54" s="323">
        <f t="shared" si="48"/>
        <v>3080.5955555555552</v>
      </c>
      <c r="AE54" s="323">
        <f t="shared" si="48"/>
        <v>3080.5955555555552</v>
      </c>
      <c r="AF54" s="323">
        <f t="shared" si="48"/>
        <v>3080.5955555555552</v>
      </c>
      <c r="AG54" s="323">
        <f t="shared" si="48"/>
        <v>3080.5955555555552</v>
      </c>
      <c r="AH54" s="323">
        <f t="shared" si="48"/>
        <v>3080.5955555555552</v>
      </c>
      <c r="AI54" s="323">
        <f t="shared" si="48"/>
        <v>3080.5955555555552</v>
      </c>
      <c r="AJ54" s="323">
        <f t="shared" si="48"/>
        <v>3080.5955555555552</v>
      </c>
      <c r="AK54" s="82">
        <f t="shared" si="48"/>
        <v>3080.5955555555552</v>
      </c>
      <c r="AL54" s="80">
        <f t="shared" ref="AL54:BE54" si="49">AK54</f>
        <v>3080.5955555555552</v>
      </c>
      <c r="AM54" s="80">
        <f t="shared" si="49"/>
        <v>3080.5955555555552</v>
      </c>
      <c r="AN54" s="80">
        <f t="shared" si="49"/>
        <v>3080.5955555555552</v>
      </c>
      <c r="AO54" s="80">
        <f t="shared" si="49"/>
        <v>3080.5955555555552</v>
      </c>
      <c r="AP54" s="80">
        <f t="shared" si="49"/>
        <v>3080.5955555555552</v>
      </c>
      <c r="AQ54" s="80">
        <f t="shared" si="49"/>
        <v>3080.5955555555552</v>
      </c>
      <c r="AR54" s="80">
        <f t="shared" si="49"/>
        <v>3080.5955555555552</v>
      </c>
      <c r="AS54" s="80">
        <f t="shared" si="49"/>
        <v>3080.5955555555552</v>
      </c>
      <c r="AT54" s="80">
        <f t="shared" si="49"/>
        <v>3080.5955555555552</v>
      </c>
      <c r="AU54" s="80">
        <f t="shared" si="49"/>
        <v>3080.5955555555552</v>
      </c>
      <c r="AV54" s="80">
        <f t="shared" si="49"/>
        <v>3080.5955555555552</v>
      </c>
      <c r="AW54" s="80">
        <f t="shared" si="49"/>
        <v>3080.5955555555552</v>
      </c>
      <c r="AX54" s="80">
        <f t="shared" si="49"/>
        <v>3080.5955555555552</v>
      </c>
      <c r="AY54" s="80">
        <f t="shared" si="49"/>
        <v>3080.5955555555552</v>
      </c>
      <c r="AZ54" s="80">
        <f t="shared" si="49"/>
        <v>3080.5955555555552</v>
      </c>
      <c r="BA54" s="80">
        <f t="shared" si="49"/>
        <v>3080.5955555555552</v>
      </c>
      <c r="BB54" s="80">
        <f t="shared" si="49"/>
        <v>3080.5955555555552</v>
      </c>
      <c r="BC54" s="80">
        <f t="shared" si="49"/>
        <v>3080.5955555555552</v>
      </c>
      <c r="BD54" s="80">
        <f t="shared" si="49"/>
        <v>3080.5955555555552</v>
      </c>
      <c r="BE54" s="80">
        <f t="shared" si="49"/>
        <v>3080.5955555555552</v>
      </c>
    </row>
    <row r="55" spans="1:57" ht="13.5" customHeight="1">
      <c r="A55" s="619">
        <v>1</v>
      </c>
      <c r="B55" s="253"/>
      <c r="C55" s="258" t="s">
        <v>197</v>
      </c>
      <c r="D55" s="77" t="s">
        <v>558</v>
      </c>
      <c r="E55" s="323">
        <f t="shared" ref="E55:AK55" si="50">E27</f>
        <v>3080.5955555555552</v>
      </c>
      <c r="F55" s="323">
        <f t="shared" si="50"/>
        <v>3080.5955555555552</v>
      </c>
      <c r="G55" s="323">
        <f t="shared" si="50"/>
        <v>3080.5955555555552</v>
      </c>
      <c r="H55" s="323">
        <f t="shared" si="50"/>
        <v>3080.5955555555552</v>
      </c>
      <c r="I55" s="323">
        <f t="shared" si="50"/>
        <v>3080.5955555555552</v>
      </c>
      <c r="J55" s="323">
        <f t="shared" si="50"/>
        <v>3080.5955555555552</v>
      </c>
      <c r="K55" s="323">
        <f t="shared" si="50"/>
        <v>3080.5955555555552</v>
      </c>
      <c r="L55" s="323">
        <f t="shared" si="50"/>
        <v>3080.5955555555552</v>
      </c>
      <c r="M55" s="323">
        <f t="shared" si="50"/>
        <v>3080.5955555555552</v>
      </c>
      <c r="N55" s="323">
        <f t="shared" si="50"/>
        <v>3080.5955555555552</v>
      </c>
      <c r="O55" s="323">
        <f t="shared" si="50"/>
        <v>3080.5955555555552</v>
      </c>
      <c r="P55" s="323">
        <f t="shared" si="50"/>
        <v>3080.5955555555552</v>
      </c>
      <c r="Q55" s="323">
        <f t="shared" si="50"/>
        <v>3080.5955555555552</v>
      </c>
      <c r="R55" s="323">
        <f t="shared" si="50"/>
        <v>3080.5955555555552</v>
      </c>
      <c r="S55" s="323">
        <f t="shared" si="50"/>
        <v>3080.5955555555552</v>
      </c>
      <c r="T55" s="323">
        <f t="shared" si="50"/>
        <v>3080.5955555555552</v>
      </c>
      <c r="U55" s="323">
        <f t="shared" si="50"/>
        <v>3080.5955555555552</v>
      </c>
      <c r="V55" s="323">
        <f t="shared" si="50"/>
        <v>3080.5955555555552</v>
      </c>
      <c r="W55" s="323">
        <f t="shared" si="50"/>
        <v>3080.5955555555552</v>
      </c>
      <c r="X55" s="323">
        <f t="shared" si="50"/>
        <v>3080.5955555555552</v>
      </c>
      <c r="Y55" s="323">
        <f t="shared" si="50"/>
        <v>3080.5955555555552</v>
      </c>
      <c r="Z55" s="323">
        <f t="shared" si="50"/>
        <v>3080.5955555555552</v>
      </c>
      <c r="AA55" s="323">
        <f t="shared" si="50"/>
        <v>3080.5955555555552</v>
      </c>
      <c r="AB55" s="323">
        <f t="shared" si="50"/>
        <v>3080.5955555555552</v>
      </c>
      <c r="AC55" s="323">
        <f t="shared" si="50"/>
        <v>3080.5955555555552</v>
      </c>
      <c r="AD55" s="323">
        <f t="shared" si="50"/>
        <v>3080.5955555555552</v>
      </c>
      <c r="AE55" s="323">
        <f t="shared" si="50"/>
        <v>3080.5955555555552</v>
      </c>
      <c r="AF55" s="323">
        <f t="shared" si="50"/>
        <v>3080.5955555555552</v>
      </c>
      <c r="AG55" s="323">
        <f t="shared" si="50"/>
        <v>3080.5955555555552</v>
      </c>
      <c r="AH55" s="323">
        <f t="shared" si="50"/>
        <v>3080.5955555555552</v>
      </c>
      <c r="AI55" s="323">
        <f t="shared" si="50"/>
        <v>3080.5955555555552</v>
      </c>
      <c r="AJ55" s="323">
        <f t="shared" si="50"/>
        <v>3080.5955555555552</v>
      </c>
      <c r="AK55" s="82">
        <f t="shared" si="50"/>
        <v>3080.5955555555552</v>
      </c>
      <c r="AL55" s="80">
        <f t="shared" ref="AL55:BE55" si="51">AK55</f>
        <v>3080.5955555555552</v>
      </c>
      <c r="AM55" s="80">
        <f t="shared" si="51"/>
        <v>3080.5955555555552</v>
      </c>
      <c r="AN55" s="80">
        <f t="shared" si="51"/>
        <v>3080.5955555555552</v>
      </c>
      <c r="AO55" s="80">
        <f t="shared" si="51"/>
        <v>3080.5955555555552</v>
      </c>
      <c r="AP55" s="80">
        <f t="shared" si="51"/>
        <v>3080.5955555555552</v>
      </c>
      <c r="AQ55" s="80">
        <f t="shared" si="51"/>
        <v>3080.5955555555552</v>
      </c>
      <c r="AR55" s="80">
        <f t="shared" si="51"/>
        <v>3080.5955555555552</v>
      </c>
      <c r="AS55" s="80">
        <f t="shared" si="51"/>
        <v>3080.5955555555552</v>
      </c>
      <c r="AT55" s="80">
        <f t="shared" si="51"/>
        <v>3080.5955555555552</v>
      </c>
      <c r="AU55" s="80">
        <f t="shared" si="51"/>
        <v>3080.5955555555552</v>
      </c>
      <c r="AV55" s="80">
        <f t="shared" si="51"/>
        <v>3080.5955555555552</v>
      </c>
      <c r="AW55" s="80">
        <f t="shared" si="51"/>
        <v>3080.5955555555552</v>
      </c>
      <c r="AX55" s="80">
        <f t="shared" si="51"/>
        <v>3080.5955555555552</v>
      </c>
      <c r="AY55" s="80">
        <f t="shared" si="51"/>
        <v>3080.5955555555552</v>
      </c>
      <c r="AZ55" s="80">
        <f t="shared" si="51"/>
        <v>3080.5955555555552</v>
      </c>
      <c r="BA55" s="80">
        <f t="shared" si="51"/>
        <v>3080.5955555555552</v>
      </c>
      <c r="BB55" s="80">
        <f t="shared" si="51"/>
        <v>3080.5955555555552</v>
      </c>
      <c r="BC55" s="80">
        <f t="shared" si="51"/>
        <v>3080.5955555555552</v>
      </c>
      <c r="BD55" s="80">
        <f t="shared" si="51"/>
        <v>3080.5955555555552</v>
      </c>
      <c r="BE55" s="80">
        <f t="shared" si="51"/>
        <v>3080.5955555555552</v>
      </c>
    </row>
    <row r="56" spans="1:57" ht="13.5" customHeight="1">
      <c r="A56" s="619"/>
      <c r="B56" s="253"/>
      <c r="C56" s="258"/>
      <c r="D56" s="78" t="s">
        <v>143</v>
      </c>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2"/>
      <c r="AK56" s="81"/>
      <c r="AL56" s="74">
        <f t="shared" ref="AL56:BE56" si="52">AK56</f>
        <v>0</v>
      </c>
      <c r="AM56" s="74">
        <f t="shared" si="52"/>
        <v>0</v>
      </c>
      <c r="AN56" s="74">
        <f t="shared" si="52"/>
        <v>0</v>
      </c>
      <c r="AO56" s="74">
        <f t="shared" si="52"/>
        <v>0</v>
      </c>
      <c r="AP56" s="74">
        <f t="shared" si="52"/>
        <v>0</v>
      </c>
      <c r="AQ56" s="74">
        <f t="shared" si="52"/>
        <v>0</v>
      </c>
      <c r="AR56" s="74">
        <f t="shared" si="52"/>
        <v>0</v>
      </c>
      <c r="AS56" s="74">
        <f t="shared" si="52"/>
        <v>0</v>
      </c>
      <c r="AT56" s="74">
        <f t="shared" si="52"/>
        <v>0</v>
      </c>
      <c r="AU56" s="74">
        <f t="shared" si="52"/>
        <v>0</v>
      </c>
      <c r="AV56" s="74">
        <f t="shared" si="52"/>
        <v>0</v>
      </c>
      <c r="AW56" s="74">
        <f t="shared" si="52"/>
        <v>0</v>
      </c>
      <c r="AX56" s="74">
        <f t="shared" si="52"/>
        <v>0</v>
      </c>
      <c r="AY56" s="74">
        <f t="shared" si="52"/>
        <v>0</v>
      </c>
      <c r="AZ56" s="74">
        <f t="shared" si="52"/>
        <v>0</v>
      </c>
      <c r="BA56" s="74">
        <f t="shared" si="52"/>
        <v>0</v>
      </c>
      <c r="BB56" s="74">
        <f t="shared" si="52"/>
        <v>0</v>
      </c>
      <c r="BC56" s="74">
        <f t="shared" si="52"/>
        <v>0</v>
      </c>
      <c r="BD56" s="74">
        <f t="shared" si="52"/>
        <v>0</v>
      </c>
      <c r="BE56" s="74">
        <f t="shared" si="52"/>
        <v>0</v>
      </c>
    </row>
    <row r="57" spans="1:57" ht="13.5" customHeight="1">
      <c r="A57" s="619">
        <v>5</v>
      </c>
      <c r="B57" s="253"/>
      <c r="C57" s="258" t="s">
        <v>198</v>
      </c>
      <c r="D57" s="92" t="s">
        <v>188</v>
      </c>
      <c r="E57" s="451">
        <f t="shared" ref="E57:Q57" si="53">1980+(((1080-1980)/(2030-2015))*(E1-2015))</f>
        <v>1800</v>
      </c>
      <c r="F57" s="451">
        <f t="shared" si="53"/>
        <v>1740</v>
      </c>
      <c r="G57" s="451">
        <f t="shared" si="53"/>
        <v>1680</v>
      </c>
      <c r="H57" s="451">
        <f t="shared" si="53"/>
        <v>1620</v>
      </c>
      <c r="I57" s="451">
        <f t="shared" si="53"/>
        <v>1560</v>
      </c>
      <c r="J57" s="451">
        <f t="shared" si="53"/>
        <v>1500</v>
      </c>
      <c r="K57" s="451">
        <f t="shared" si="53"/>
        <v>1440</v>
      </c>
      <c r="L57" s="451">
        <f t="shared" si="53"/>
        <v>1380</v>
      </c>
      <c r="M57" s="451">
        <f t="shared" si="53"/>
        <v>1320</v>
      </c>
      <c r="N57" s="451">
        <f t="shared" si="53"/>
        <v>1260</v>
      </c>
      <c r="O57" s="451">
        <f t="shared" si="53"/>
        <v>1200</v>
      </c>
      <c r="P57" s="451">
        <f t="shared" si="53"/>
        <v>1140</v>
      </c>
      <c r="Q57" s="451">
        <f t="shared" si="53"/>
        <v>1080</v>
      </c>
      <c r="R57" s="451">
        <f t="shared" ref="R57:AK57" si="54">1080+(((960-1080)/(2050-2030))*(R1-2030))</f>
        <v>1074</v>
      </c>
      <c r="S57" s="451">
        <f t="shared" si="54"/>
        <v>1068</v>
      </c>
      <c r="T57" s="451">
        <f t="shared" si="54"/>
        <v>1062</v>
      </c>
      <c r="U57" s="451">
        <f t="shared" si="54"/>
        <v>1056</v>
      </c>
      <c r="V57" s="451">
        <f t="shared" si="54"/>
        <v>1050</v>
      </c>
      <c r="W57" s="451">
        <f t="shared" si="54"/>
        <v>1044</v>
      </c>
      <c r="X57" s="451">
        <f t="shared" si="54"/>
        <v>1038</v>
      </c>
      <c r="Y57" s="451">
        <f t="shared" si="54"/>
        <v>1032</v>
      </c>
      <c r="Z57" s="451">
        <f t="shared" si="54"/>
        <v>1026</v>
      </c>
      <c r="AA57" s="451">
        <f t="shared" si="54"/>
        <v>1020</v>
      </c>
      <c r="AB57" s="451">
        <f t="shared" si="54"/>
        <v>1014</v>
      </c>
      <c r="AC57" s="451">
        <f t="shared" si="54"/>
        <v>1008</v>
      </c>
      <c r="AD57" s="451">
        <f t="shared" si="54"/>
        <v>1002</v>
      </c>
      <c r="AE57" s="451">
        <f t="shared" si="54"/>
        <v>996</v>
      </c>
      <c r="AF57" s="451">
        <f t="shared" si="54"/>
        <v>990</v>
      </c>
      <c r="AG57" s="451">
        <f t="shared" si="54"/>
        <v>984</v>
      </c>
      <c r="AH57" s="451">
        <f t="shared" si="54"/>
        <v>978</v>
      </c>
      <c r="AI57" s="451">
        <f t="shared" si="54"/>
        <v>972</v>
      </c>
      <c r="AJ57" s="451">
        <f t="shared" si="54"/>
        <v>966</v>
      </c>
      <c r="AK57" s="93">
        <f t="shared" si="54"/>
        <v>960</v>
      </c>
      <c r="AL57" s="74">
        <f t="shared" ref="AL57:BE57" si="55">AK57</f>
        <v>960</v>
      </c>
      <c r="AM57" s="74">
        <f t="shared" si="55"/>
        <v>960</v>
      </c>
      <c r="AN57" s="74">
        <f t="shared" si="55"/>
        <v>960</v>
      </c>
      <c r="AO57" s="74">
        <f t="shared" si="55"/>
        <v>960</v>
      </c>
      <c r="AP57" s="74">
        <f t="shared" si="55"/>
        <v>960</v>
      </c>
      <c r="AQ57" s="74">
        <f t="shared" si="55"/>
        <v>960</v>
      </c>
      <c r="AR57" s="74">
        <f t="shared" si="55"/>
        <v>960</v>
      </c>
      <c r="AS57" s="74">
        <f t="shared" si="55"/>
        <v>960</v>
      </c>
      <c r="AT57" s="74">
        <f t="shared" si="55"/>
        <v>960</v>
      </c>
      <c r="AU57" s="74">
        <f t="shared" si="55"/>
        <v>960</v>
      </c>
      <c r="AV57" s="74">
        <f t="shared" si="55"/>
        <v>960</v>
      </c>
      <c r="AW57" s="74">
        <f t="shared" si="55"/>
        <v>960</v>
      </c>
      <c r="AX57" s="74">
        <f t="shared" si="55"/>
        <v>960</v>
      </c>
      <c r="AY57" s="74">
        <f t="shared" si="55"/>
        <v>960</v>
      </c>
      <c r="AZ57" s="74">
        <f t="shared" si="55"/>
        <v>960</v>
      </c>
      <c r="BA57" s="74">
        <f t="shared" si="55"/>
        <v>960</v>
      </c>
      <c r="BB57" s="74">
        <f t="shared" si="55"/>
        <v>960</v>
      </c>
      <c r="BC57" s="74">
        <f t="shared" si="55"/>
        <v>960</v>
      </c>
      <c r="BD57" s="74">
        <f t="shared" si="55"/>
        <v>960</v>
      </c>
      <c r="BE57" s="74">
        <f t="shared" si="55"/>
        <v>960</v>
      </c>
    </row>
    <row r="58" spans="1:57" ht="13.5" customHeight="1">
      <c r="A58" s="619">
        <v>3</v>
      </c>
      <c r="B58" s="253"/>
      <c r="C58" s="258" t="s">
        <v>199</v>
      </c>
      <c r="D58" s="92" t="s">
        <v>190</v>
      </c>
      <c r="E58" s="452">
        <f t="shared" ref="E58:AK58" si="56">E30</f>
        <v>1216.6666666666665</v>
      </c>
      <c r="F58" s="452">
        <f t="shared" si="56"/>
        <v>1174.4444444444443</v>
      </c>
      <c r="G58" s="452">
        <f t="shared" si="56"/>
        <v>1132.2222222222222</v>
      </c>
      <c r="H58" s="452">
        <f t="shared" si="56"/>
        <v>1090</v>
      </c>
      <c r="I58" s="452">
        <f t="shared" si="56"/>
        <v>1047.7777777777778</v>
      </c>
      <c r="J58" s="452">
        <f t="shared" si="56"/>
        <v>1005.5555555555555</v>
      </c>
      <c r="K58" s="452">
        <f t="shared" si="56"/>
        <v>963.33333333333337</v>
      </c>
      <c r="L58" s="452">
        <f t="shared" si="56"/>
        <v>921.11111111111109</v>
      </c>
      <c r="M58" s="452">
        <f t="shared" si="56"/>
        <v>878.88888888888891</v>
      </c>
      <c r="N58" s="452">
        <f t="shared" si="56"/>
        <v>836.66666666666663</v>
      </c>
      <c r="O58" s="452">
        <f t="shared" si="56"/>
        <v>794.44444444444446</v>
      </c>
      <c r="P58" s="452">
        <f t="shared" si="56"/>
        <v>752.22222222222217</v>
      </c>
      <c r="Q58" s="452">
        <f t="shared" si="56"/>
        <v>710</v>
      </c>
      <c r="R58" s="452">
        <f t="shared" si="56"/>
        <v>700</v>
      </c>
      <c r="S58" s="452">
        <f t="shared" si="56"/>
        <v>690</v>
      </c>
      <c r="T58" s="452">
        <f t="shared" si="56"/>
        <v>680</v>
      </c>
      <c r="U58" s="452">
        <f t="shared" si="56"/>
        <v>670</v>
      </c>
      <c r="V58" s="452">
        <f t="shared" si="56"/>
        <v>660</v>
      </c>
      <c r="W58" s="452">
        <f t="shared" si="56"/>
        <v>650</v>
      </c>
      <c r="X58" s="452">
        <f t="shared" si="56"/>
        <v>640</v>
      </c>
      <c r="Y58" s="452">
        <f t="shared" si="56"/>
        <v>630</v>
      </c>
      <c r="Z58" s="452">
        <f t="shared" si="56"/>
        <v>620</v>
      </c>
      <c r="AA58" s="452">
        <f t="shared" si="56"/>
        <v>610</v>
      </c>
      <c r="AB58" s="452">
        <f t="shared" si="56"/>
        <v>600</v>
      </c>
      <c r="AC58" s="452">
        <f t="shared" si="56"/>
        <v>590</v>
      </c>
      <c r="AD58" s="452">
        <f t="shared" si="56"/>
        <v>580</v>
      </c>
      <c r="AE58" s="452">
        <f t="shared" si="56"/>
        <v>570</v>
      </c>
      <c r="AF58" s="452">
        <f t="shared" si="56"/>
        <v>560</v>
      </c>
      <c r="AG58" s="452">
        <f t="shared" si="56"/>
        <v>550</v>
      </c>
      <c r="AH58" s="452">
        <f t="shared" si="56"/>
        <v>540</v>
      </c>
      <c r="AI58" s="452">
        <f t="shared" si="56"/>
        <v>530</v>
      </c>
      <c r="AJ58" s="452">
        <f t="shared" si="56"/>
        <v>520</v>
      </c>
      <c r="AK58" s="94">
        <f t="shared" si="56"/>
        <v>510</v>
      </c>
      <c r="AL58" s="80">
        <f t="shared" ref="AL58:BE58" si="57">AK58</f>
        <v>510</v>
      </c>
      <c r="AM58" s="80">
        <f t="shared" si="57"/>
        <v>510</v>
      </c>
      <c r="AN58" s="80">
        <f t="shared" si="57"/>
        <v>510</v>
      </c>
      <c r="AO58" s="80">
        <f t="shared" si="57"/>
        <v>510</v>
      </c>
      <c r="AP58" s="80">
        <f t="shared" si="57"/>
        <v>510</v>
      </c>
      <c r="AQ58" s="80">
        <f t="shared" si="57"/>
        <v>510</v>
      </c>
      <c r="AR58" s="80">
        <f t="shared" si="57"/>
        <v>510</v>
      </c>
      <c r="AS58" s="80">
        <f t="shared" si="57"/>
        <v>510</v>
      </c>
      <c r="AT58" s="80">
        <f t="shared" si="57"/>
        <v>510</v>
      </c>
      <c r="AU58" s="80">
        <f t="shared" si="57"/>
        <v>510</v>
      </c>
      <c r="AV58" s="80">
        <f t="shared" si="57"/>
        <v>510</v>
      </c>
      <c r="AW58" s="80">
        <f t="shared" si="57"/>
        <v>510</v>
      </c>
      <c r="AX58" s="80">
        <f t="shared" si="57"/>
        <v>510</v>
      </c>
      <c r="AY58" s="80">
        <f t="shared" si="57"/>
        <v>510</v>
      </c>
      <c r="AZ58" s="80">
        <f t="shared" si="57"/>
        <v>510</v>
      </c>
      <c r="BA58" s="80">
        <f t="shared" si="57"/>
        <v>510</v>
      </c>
      <c r="BB58" s="80">
        <f t="shared" si="57"/>
        <v>510</v>
      </c>
      <c r="BC58" s="80">
        <f t="shared" si="57"/>
        <v>510</v>
      </c>
      <c r="BD58" s="80">
        <f t="shared" si="57"/>
        <v>510</v>
      </c>
      <c r="BE58" s="80">
        <f t="shared" si="57"/>
        <v>510</v>
      </c>
    </row>
    <row r="59" spans="1:57" ht="13.5" customHeight="1">
      <c r="A59" s="619"/>
      <c r="B59" s="253"/>
      <c r="C59" s="258"/>
      <c r="D59" s="78" t="s">
        <v>144</v>
      </c>
      <c r="E59" s="262"/>
      <c r="F59" s="262"/>
      <c r="G59" s="262"/>
      <c r="H59" s="262"/>
      <c r="I59" s="262"/>
      <c r="J59" s="262"/>
      <c r="K59" s="262"/>
      <c r="L59" s="262"/>
      <c r="M59" s="262"/>
      <c r="N59" s="262"/>
      <c r="O59" s="262"/>
      <c r="P59" s="262"/>
      <c r="Q59" s="262"/>
      <c r="R59" s="262"/>
      <c r="S59" s="262"/>
      <c r="T59" s="262"/>
      <c r="U59" s="262"/>
      <c r="V59" s="262"/>
      <c r="W59" s="262"/>
      <c r="X59" s="262"/>
      <c r="Y59" s="262"/>
      <c r="Z59" s="262"/>
      <c r="AA59" s="262"/>
      <c r="AB59" s="262"/>
      <c r="AC59" s="262"/>
      <c r="AD59" s="262"/>
      <c r="AE59" s="262"/>
      <c r="AF59" s="262"/>
      <c r="AG59" s="262"/>
      <c r="AH59" s="262"/>
      <c r="AI59" s="262"/>
      <c r="AJ59" s="262"/>
      <c r="AK59" s="81"/>
      <c r="AL59" s="74">
        <f t="shared" ref="AL59:BE59" si="58">AK59</f>
        <v>0</v>
      </c>
      <c r="AM59" s="74">
        <f t="shared" si="58"/>
        <v>0</v>
      </c>
      <c r="AN59" s="74">
        <f t="shared" si="58"/>
        <v>0</v>
      </c>
      <c r="AO59" s="74">
        <f t="shared" si="58"/>
        <v>0</v>
      </c>
      <c r="AP59" s="74">
        <f t="shared" si="58"/>
        <v>0</v>
      </c>
      <c r="AQ59" s="74">
        <f t="shared" si="58"/>
        <v>0</v>
      </c>
      <c r="AR59" s="74">
        <f t="shared" si="58"/>
        <v>0</v>
      </c>
      <c r="AS59" s="74">
        <f t="shared" si="58"/>
        <v>0</v>
      </c>
      <c r="AT59" s="74">
        <f t="shared" si="58"/>
        <v>0</v>
      </c>
      <c r="AU59" s="74">
        <f t="shared" si="58"/>
        <v>0</v>
      </c>
      <c r="AV59" s="74">
        <f t="shared" si="58"/>
        <v>0</v>
      </c>
      <c r="AW59" s="74">
        <f t="shared" si="58"/>
        <v>0</v>
      </c>
      <c r="AX59" s="74">
        <f t="shared" si="58"/>
        <v>0</v>
      </c>
      <c r="AY59" s="74">
        <f t="shared" si="58"/>
        <v>0</v>
      </c>
      <c r="AZ59" s="74">
        <f t="shared" si="58"/>
        <v>0</v>
      </c>
      <c r="BA59" s="74">
        <f t="shared" si="58"/>
        <v>0</v>
      </c>
      <c r="BB59" s="74">
        <f t="shared" si="58"/>
        <v>0</v>
      </c>
      <c r="BC59" s="74">
        <f t="shared" si="58"/>
        <v>0</v>
      </c>
      <c r="BD59" s="74">
        <f t="shared" si="58"/>
        <v>0</v>
      </c>
      <c r="BE59" s="74">
        <f t="shared" si="58"/>
        <v>0</v>
      </c>
    </row>
    <row r="60" spans="1:57" ht="13.5" customHeight="1">
      <c r="A60" s="619"/>
      <c r="B60" s="253"/>
      <c r="C60" s="258"/>
      <c r="D60" s="75" t="s">
        <v>145</v>
      </c>
      <c r="E60" s="447"/>
      <c r="F60" s="447"/>
      <c r="G60" s="447"/>
      <c r="H60" s="447"/>
      <c r="I60" s="447"/>
      <c r="J60" s="447"/>
      <c r="K60" s="447"/>
      <c r="L60" s="447"/>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76"/>
      <c r="AL60" s="74">
        <f t="shared" ref="AL60:BE60" si="59">AK60</f>
        <v>0</v>
      </c>
      <c r="AM60" s="74">
        <f t="shared" si="59"/>
        <v>0</v>
      </c>
      <c r="AN60" s="74">
        <f t="shared" si="59"/>
        <v>0</v>
      </c>
      <c r="AO60" s="74">
        <f t="shared" si="59"/>
        <v>0</v>
      </c>
      <c r="AP60" s="74">
        <f t="shared" si="59"/>
        <v>0</v>
      </c>
      <c r="AQ60" s="74">
        <f t="shared" si="59"/>
        <v>0</v>
      </c>
      <c r="AR60" s="74">
        <f t="shared" si="59"/>
        <v>0</v>
      </c>
      <c r="AS60" s="74">
        <f t="shared" si="59"/>
        <v>0</v>
      </c>
      <c r="AT60" s="74">
        <f t="shared" si="59"/>
        <v>0</v>
      </c>
      <c r="AU60" s="74">
        <f t="shared" si="59"/>
        <v>0</v>
      </c>
      <c r="AV60" s="74">
        <f t="shared" si="59"/>
        <v>0</v>
      </c>
      <c r="AW60" s="74">
        <f t="shared" si="59"/>
        <v>0</v>
      </c>
      <c r="AX60" s="74">
        <f t="shared" si="59"/>
        <v>0</v>
      </c>
      <c r="AY60" s="74">
        <f t="shared" si="59"/>
        <v>0</v>
      </c>
      <c r="AZ60" s="74">
        <f t="shared" si="59"/>
        <v>0</v>
      </c>
      <c r="BA60" s="74">
        <f t="shared" si="59"/>
        <v>0</v>
      </c>
      <c r="BB60" s="74">
        <f t="shared" si="59"/>
        <v>0</v>
      </c>
      <c r="BC60" s="74">
        <f t="shared" si="59"/>
        <v>0</v>
      </c>
      <c r="BD60" s="74">
        <f t="shared" si="59"/>
        <v>0</v>
      </c>
      <c r="BE60" s="74">
        <f t="shared" si="59"/>
        <v>0</v>
      </c>
    </row>
    <row r="61" spans="1:57" ht="13.5" customHeight="1">
      <c r="A61" s="619"/>
      <c r="B61" s="253"/>
      <c r="C61" s="258"/>
      <c r="D61" s="92" t="s">
        <v>190</v>
      </c>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93"/>
      <c r="AL61" s="74">
        <f t="shared" ref="AL61:BE61" si="60">AK61</f>
        <v>0</v>
      </c>
      <c r="AM61" s="74">
        <f t="shared" si="60"/>
        <v>0</v>
      </c>
      <c r="AN61" s="74">
        <f t="shared" si="60"/>
        <v>0</v>
      </c>
      <c r="AO61" s="74">
        <f t="shared" si="60"/>
        <v>0</v>
      </c>
      <c r="AP61" s="74">
        <f t="shared" si="60"/>
        <v>0</v>
      </c>
      <c r="AQ61" s="74">
        <f t="shared" si="60"/>
        <v>0</v>
      </c>
      <c r="AR61" s="74">
        <f t="shared" si="60"/>
        <v>0</v>
      </c>
      <c r="AS61" s="74">
        <f t="shared" si="60"/>
        <v>0</v>
      </c>
      <c r="AT61" s="74">
        <f t="shared" si="60"/>
        <v>0</v>
      </c>
      <c r="AU61" s="74">
        <f t="shared" si="60"/>
        <v>0</v>
      </c>
      <c r="AV61" s="74">
        <f t="shared" si="60"/>
        <v>0</v>
      </c>
      <c r="AW61" s="74">
        <f t="shared" si="60"/>
        <v>0</v>
      </c>
      <c r="AX61" s="74">
        <f t="shared" si="60"/>
        <v>0</v>
      </c>
      <c r="AY61" s="74">
        <f t="shared" si="60"/>
        <v>0</v>
      </c>
      <c r="AZ61" s="74">
        <f t="shared" si="60"/>
        <v>0</v>
      </c>
      <c r="BA61" s="74">
        <f t="shared" si="60"/>
        <v>0</v>
      </c>
      <c r="BB61" s="74">
        <f t="shared" si="60"/>
        <v>0</v>
      </c>
      <c r="BC61" s="74">
        <f t="shared" si="60"/>
        <v>0</v>
      </c>
      <c r="BD61" s="74">
        <f t="shared" si="60"/>
        <v>0</v>
      </c>
      <c r="BE61" s="74">
        <f t="shared" si="60"/>
        <v>0</v>
      </c>
    </row>
    <row r="62" spans="1:57" ht="13.5" customHeight="1">
      <c r="A62" s="619">
        <v>1</v>
      </c>
      <c r="B62" s="253"/>
      <c r="C62" s="258" t="s">
        <v>200</v>
      </c>
      <c r="D62" s="77" t="s">
        <v>201</v>
      </c>
      <c r="E62" s="376">
        <f t="shared" ref="E62:AK62" si="61">E33</f>
        <v>1200</v>
      </c>
      <c r="F62" s="376">
        <f t="shared" si="61"/>
        <v>1200</v>
      </c>
      <c r="G62" s="376">
        <f t="shared" si="61"/>
        <v>1200</v>
      </c>
      <c r="H62" s="376">
        <f t="shared" si="61"/>
        <v>1200</v>
      </c>
      <c r="I62" s="376">
        <f t="shared" si="61"/>
        <v>1200</v>
      </c>
      <c r="J62" s="376">
        <f t="shared" si="61"/>
        <v>1200</v>
      </c>
      <c r="K62" s="376">
        <f t="shared" si="61"/>
        <v>1200</v>
      </c>
      <c r="L62" s="376">
        <f t="shared" si="61"/>
        <v>1200</v>
      </c>
      <c r="M62" s="376">
        <f t="shared" si="61"/>
        <v>1200</v>
      </c>
      <c r="N62" s="376">
        <f t="shared" si="61"/>
        <v>1200</v>
      </c>
      <c r="O62" s="376">
        <f t="shared" si="61"/>
        <v>1200</v>
      </c>
      <c r="P62" s="376">
        <f t="shared" si="61"/>
        <v>1200</v>
      </c>
      <c r="Q62" s="376">
        <f t="shared" si="61"/>
        <v>1200</v>
      </c>
      <c r="R62" s="376">
        <f t="shared" si="61"/>
        <v>1200</v>
      </c>
      <c r="S62" s="376">
        <f t="shared" si="61"/>
        <v>1200</v>
      </c>
      <c r="T62" s="376">
        <f t="shared" si="61"/>
        <v>1200</v>
      </c>
      <c r="U62" s="376">
        <f t="shared" si="61"/>
        <v>1200</v>
      </c>
      <c r="V62" s="376">
        <f t="shared" si="61"/>
        <v>1200</v>
      </c>
      <c r="W62" s="376">
        <f t="shared" si="61"/>
        <v>1200</v>
      </c>
      <c r="X62" s="376">
        <f t="shared" si="61"/>
        <v>1200</v>
      </c>
      <c r="Y62" s="376">
        <f t="shared" si="61"/>
        <v>1200</v>
      </c>
      <c r="Z62" s="376">
        <f t="shared" si="61"/>
        <v>1200</v>
      </c>
      <c r="AA62" s="376">
        <f t="shared" si="61"/>
        <v>1200</v>
      </c>
      <c r="AB62" s="376">
        <f t="shared" si="61"/>
        <v>1200</v>
      </c>
      <c r="AC62" s="376">
        <f t="shared" si="61"/>
        <v>1200</v>
      </c>
      <c r="AD62" s="376">
        <f t="shared" si="61"/>
        <v>1200</v>
      </c>
      <c r="AE62" s="376">
        <f t="shared" si="61"/>
        <v>1200</v>
      </c>
      <c r="AF62" s="376">
        <f t="shared" si="61"/>
        <v>1200</v>
      </c>
      <c r="AG62" s="376">
        <f t="shared" si="61"/>
        <v>1200</v>
      </c>
      <c r="AH62" s="376">
        <f t="shared" si="61"/>
        <v>1200</v>
      </c>
      <c r="AI62" s="376">
        <f t="shared" si="61"/>
        <v>1200</v>
      </c>
      <c r="AJ62" s="376">
        <f t="shared" si="61"/>
        <v>1200</v>
      </c>
      <c r="AK62" s="69">
        <f t="shared" si="61"/>
        <v>1200</v>
      </c>
      <c r="AL62" s="74">
        <f t="shared" ref="AL62:BE62" si="62">AK62</f>
        <v>1200</v>
      </c>
      <c r="AM62" s="74">
        <f t="shared" si="62"/>
        <v>1200</v>
      </c>
      <c r="AN62" s="74">
        <f t="shared" si="62"/>
        <v>1200</v>
      </c>
      <c r="AO62" s="74">
        <f t="shared" si="62"/>
        <v>1200</v>
      </c>
      <c r="AP62" s="74">
        <f t="shared" si="62"/>
        <v>1200</v>
      </c>
      <c r="AQ62" s="74">
        <f t="shared" si="62"/>
        <v>1200</v>
      </c>
      <c r="AR62" s="74">
        <f t="shared" si="62"/>
        <v>1200</v>
      </c>
      <c r="AS62" s="74">
        <f t="shared" si="62"/>
        <v>1200</v>
      </c>
      <c r="AT62" s="74">
        <f t="shared" si="62"/>
        <v>1200</v>
      </c>
      <c r="AU62" s="74">
        <f t="shared" si="62"/>
        <v>1200</v>
      </c>
      <c r="AV62" s="74">
        <f t="shared" si="62"/>
        <v>1200</v>
      </c>
      <c r="AW62" s="74">
        <f t="shared" si="62"/>
        <v>1200</v>
      </c>
      <c r="AX62" s="74">
        <f t="shared" si="62"/>
        <v>1200</v>
      </c>
      <c r="AY62" s="74">
        <f t="shared" si="62"/>
        <v>1200</v>
      </c>
      <c r="AZ62" s="74">
        <f t="shared" si="62"/>
        <v>1200</v>
      </c>
      <c r="BA62" s="74">
        <f t="shared" si="62"/>
        <v>1200</v>
      </c>
      <c r="BB62" s="74">
        <f t="shared" si="62"/>
        <v>1200</v>
      </c>
      <c r="BC62" s="74">
        <f t="shared" si="62"/>
        <v>1200</v>
      </c>
      <c r="BD62" s="74">
        <f t="shared" si="62"/>
        <v>1200</v>
      </c>
      <c r="BE62" s="74">
        <f t="shared" si="62"/>
        <v>1200</v>
      </c>
    </row>
    <row r="63" spans="1:57" ht="13.5" customHeight="1">
      <c r="A63" s="619"/>
      <c r="B63" s="253"/>
      <c r="C63" s="258"/>
      <c r="D63" s="92" t="s">
        <v>188</v>
      </c>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93"/>
      <c r="AL63" s="74">
        <f t="shared" ref="AL63:BE63" si="63">AK63</f>
        <v>0</v>
      </c>
      <c r="AM63" s="74">
        <f t="shared" si="63"/>
        <v>0</v>
      </c>
      <c r="AN63" s="74">
        <f t="shared" si="63"/>
        <v>0</v>
      </c>
      <c r="AO63" s="74">
        <f t="shared" si="63"/>
        <v>0</v>
      </c>
      <c r="AP63" s="74">
        <f t="shared" si="63"/>
        <v>0</v>
      </c>
      <c r="AQ63" s="74">
        <f t="shared" si="63"/>
        <v>0</v>
      </c>
      <c r="AR63" s="74">
        <f t="shared" si="63"/>
        <v>0</v>
      </c>
      <c r="AS63" s="74">
        <f t="shared" si="63"/>
        <v>0</v>
      </c>
      <c r="AT63" s="74">
        <f t="shared" si="63"/>
        <v>0</v>
      </c>
      <c r="AU63" s="74">
        <f t="shared" si="63"/>
        <v>0</v>
      </c>
      <c r="AV63" s="74">
        <f t="shared" si="63"/>
        <v>0</v>
      </c>
      <c r="AW63" s="74">
        <f t="shared" si="63"/>
        <v>0</v>
      </c>
      <c r="AX63" s="74">
        <f t="shared" si="63"/>
        <v>0</v>
      </c>
      <c r="AY63" s="74">
        <f t="shared" si="63"/>
        <v>0</v>
      </c>
      <c r="AZ63" s="74">
        <f t="shared" si="63"/>
        <v>0</v>
      </c>
      <c r="BA63" s="74">
        <f t="shared" si="63"/>
        <v>0</v>
      </c>
      <c r="BB63" s="74">
        <f t="shared" si="63"/>
        <v>0</v>
      </c>
      <c r="BC63" s="74">
        <f t="shared" si="63"/>
        <v>0</v>
      </c>
      <c r="BD63" s="74">
        <f t="shared" si="63"/>
        <v>0</v>
      </c>
      <c r="BE63" s="74">
        <f t="shared" si="63"/>
        <v>0</v>
      </c>
    </row>
    <row r="64" spans="1:57" ht="13.5" customHeight="1">
      <c r="A64" s="619">
        <v>5</v>
      </c>
      <c r="B64" s="253"/>
      <c r="C64" s="258" t="s">
        <v>202</v>
      </c>
      <c r="D64" s="77" t="s">
        <v>201</v>
      </c>
      <c r="E64" s="376">
        <v>1000</v>
      </c>
      <c r="F64" s="376">
        <v>1000</v>
      </c>
      <c r="G64" s="376">
        <v>1000</v>
      </c>
      <c r="H64" s="376">
        <v>1000</v>
      </c>
      <c r="I64" s="376">
        <v>1000</v>
      </c>
      <c r="J64" s="376">
        <v>1000</v>
      </c>
      <c r="K64" s="376">
        <v>1000</v>
      </c>
      <c r="L64" s="376">
        <v>1000</v>
      </c>
      <c r="M64" s="376">
        <v>1000</v>
      </c>
      <c r="N64" s="376">
        <v>1000</v>
      </c>
      <c r="O64" s="376">
        <v>1000</v>
      </c>
      <c r="P64" s="376">
        <v>1000</v>
      </c>
      <c r="Q64" s="376">
        <v>1000</v>
      </c>
      <c r="R64" s="376">
        <v>1000</v>
      </c>
      <c r="S64" s="376">
        <v>1000</v>
      </c>
      <c r="T64" s="376">
        <v>1000</v>
      </c>
      <c r="U64" s="376">
        <v>1000</v>
      </c>
      <c r="V64" s="376">
        <v>1000</v>
      </c>
      <c r="W64" s="376">
        <v>1000</v>
      </c>
      <c r="X64" s="376">
        <v>1000</v>
      </c>
      <c r="Y64" s="376">
        <v>1000</v>
      </c>
      <c r="Z64" s="376">
        <v>1000</v>
      </c>
      <c r="AA64" s="376">
        <v>1000</v>
      </c>
      <c r="AB64" s="376">
        <v>1000</v>
      </c>
      <c r="AC64" s="376">
        <v>1000</v>
      </c>
      <c r="AD64" s="376">
        <v>1000</v>
      </c>
      <c r="AE64" s="376">
        <v>1000</v>
      </c>
      <c r="AF64" s="376">
        <v>1000</v>
      </c>
      <c r="AG64" s="376">
        <v>1000</v>
      </c>
      <c r="AH64" s="376">
        <v>1000</v>
      </c>
      <c r="AI64" s="376">
        <v>1000</v>
      </c>
      <c r="AJ64" s="376">
        <v>1000</v>
      </c>
      <c r="AK64" s="69">
        <v>1000</v>
      </c>
      <c r="AL64" s="74">
        <f t="shared" ref="AL64:BE64" si="64">AK64</f>
        <v>1000</v>
      </c>
      <c r="AM64" s="74">
        <f t="shared" si="64"/>
        <v>1000</v>
      </c>
      <c r="AN64" s="74">
        <f t="shared" si="64"/>
        <v>1000</v>
      </c>
      <c r="AO64" s="74">
        <f t="shared" si="64"/>
        <v>1000</v>
      </c>
      <c r="AP64" s="74">
        <f t="shared" si="64"/>
        <v>1000</v>
      </c>
      <c r="AQ64" s="74">
        <f t="shared" si="64"/>
        <v>1000</v>
      </c>
      <c r="AR64" s="74">
        <f t="shared" si="64"/>
        <v>1000</v>
      </c>
      <c r="AS64" s="74">
        <f t="shared" si="64"/>
        <v>1000</v>
      </c>
      <c r="AT64" s="74">
        <f t="shared" si="64"/>
        <v>1000</v>
      </c>
      <c r="AU64" s="74">
        <f t="shared" si="64"/>
        <v>1000</v>
      </c>
      <c r="AV64" s="74">
        <f t="shared" si="64"/>
        <v>1000</v>
      </c>
      <c r="AW64" s="74">
        <f t="shared" si="64"/>
        <v>1000</v>
      </c>
      <c r="AX64" s="74">
        <f t="shared" si="64"/>
        <v>1000</v>
      </c>
      <c r="AY64" s="74">
        <f t="shared" si="64"/>
        <v>1000</v>
      </c>
      <c r="AZ64" s="74">
        <f t="shared" si="64"/>
        <v>1000</v>
      </c>
      <c r="BA64" s="74">
        <f t="shared" si="64"/>
        <v>1000</v>
      </c>
      <c r="BB64" s="74">
        <f t="shared" si="64"/>
        <v>1000</v>
      </c>
      <c r="BC64" s="74">
        <f t="shared" si="64"/>
        <v>1000</v>
      </c>
      <c r="BD64" s="74">
        <f t="shared" si="64"/>
        <v>1000</v>
      </c>
      <c r="BE64" s="74">
        <f t="shared" si="64"/>
        <v>1000</v>
      </c>
    </row>
    <row r="65" spans="1:57" ht="13.5" customHeight="1">
      <c r="A65" s="619"/>
      <c r="B65" s="253"/>
      <c r="C65" s="258"/>
      <c r="D65" s="92" t="s">
        <v>203</v>
      </c>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93"/>
      <c r="AL65" s="74">
        <f t="shared" ref="AL65:BE65" si="65">AK65</f>
        <v>0</v>
      </c>
      <c r="AM65" s="74">
        <f t="shared" si="65"/>
        <v>0</v>
      </c>
      <c r="AN65" s="74">
        <f t="shared" si="65"/>
        <v>0</v>
      </c>
      <c r="AO65" s="74">
        <f t="shared" si="65"/>
        <v>0</v>
      </c>
      <c r="AP65" s="74">
        <f t="shared" si="65"/>
        <v>0</v>
      </c>
      <c r="AQ65" s="74">
        <f t="shared" si="65"/>
        <v>0</v>
      </c>
      <c r="AR65" s="74">
        <f t="shared" si="65"/>
        <v>0</v>
      </c>
      <c r="AS65" s="74">
        <f t="shared" si="65"/>
        <v>0</v>
      </c>
      <c r="AT65" s="74">
        <f t="shared" si="65"/>
        <v>0</v>
      </c>
      <c r="AU65" s="74">
        <f t="shared" si="65"/>
        <v>0</v>
      </c>
      <c r="AV65" s="74">
        <f t="shared" si="65"/>
        <v>0</v>
      </c>
      <c r="AW65" s="74">
        <f t="shared" si="65"/>
        <v>0</v>
      </c>
      <c r="AX65" s="74">
        <f t="shared" si="65"/>
        <v>0</v>
      </c>
      <c r="AY65" s="74">
        <f t="shared" si="65"/>
        <v>0</v>
      </c>
      <c r="AZ65" s="74">
        <f t="shared" si="65"/>
        <v>0</v>
      </c>
      <c r="BA65" s="74">
        <f t="shared" si="65"/>
        <v>0</v>
      </c>
      <c r="BB65" s="74">
        <f t="shared" si="65"/>
        <v>0</v>
      </c>
      <c r="BC65" s="74">
        <f t="shared" si="65"/>
        <v>0</v>
      </c>
      <c r="BD65" s="74">
        <f t="shared" si="65"/>
        <v>0</v>
      </c>
      <c r="BE65" s="74">
        <f t="shared" si="65"/>
        <v>0</v>
      </c>
    </row>
    <row r="66" spans="1:57" ht="13.5" customHeight="1">
      <c r="A66" s="619">
        <v>6</v>
      </c>
      <c r="B66" s="253"/>
      <c r="C66" s="258" t="s">
        <v>204</v>
      </c>
      <c r="D66" s="83" t="s">
        <v>205</v>
      </c>
      <c r="E66" s="450">
        <v>1070</v>
      </c>
      <c r="F66" s="450">
        <v>1070</v>
      </c>
      <c r="G66" s="450">
        <v>1070</v>
      </c>
      <c r="H66" s="450">
        <v>1070</v>
      </c>
      <c r="I66" s="450">
        <v>1070</v>
      </c>
      <c r="J66" s="450">
        <v>1070</v>
      </c>
      <c r="K66" s="450">
        <v>1070</v>
      </c>
      <c r="L66" s="450">
        <v>1070</v>
      </c>
      <c r="M66" s="450">
        <v>1070</v>
      </c>
      <c r="N66" s="450">
        <v>1070</v>
      </c>
      <c r="O66" s="450">
        <v>1070</v>
      </c>
      <c r="P66" s="450">
        <v>1070</v>
      </c>
      <c r="Q66" s="450">
        <v>1070</v>
      </c>
      <c r="R66" s="450">
        <v>1070</v>
      </c>
      <c r="S66" s="450">
        <v>1070</v>
      </c>
      <c r="T66" s="450">
        <v>1070</v>
      </c>
      <c r="U66" s="450">
        <v>1070</v>
      </c>
      <c r="V66" s="450">
        <v>1070</v>
      </c>
      <c r="W66" s="450">
        <v>1070</v>
      </c>
      <c r="X66" s="450">
        <v>1070</v>
      </c>
      <c r="Y66" s="450">
        <v>1070</v>
      </c>
      <c r="Z66" s="450">
        <v>1070</v>
      </c>
      <c r="AA66" s="450">
        <v>1070</v>
      </c>
      <c r="AB66" s="450">
        <v>1070</v>
      </c>
      <c r="AC66" s="450">
        <v>1070</v>
      </c>
      <c r="AD66" s="450">
        <v>1070</v>
      </c>
      <c r="AE66" s="450">
        <v>1070</v>
      </c>
      <c r="AF66" s="450">
        <v>1070</v>
      </c>
      <c r="AG66" s="450">
        <v>1070</v>
      </c>
      <c r="AH66" s="450">
        <v>1070</v>
      </c>
      <c r="AI66" s="450">
        <v>1070</v>
      </c>
      <c r="AJ66" s="450">
        <v>1070</v>
      </c>
      <c r="AK66" s="84">
        <v>1070</v>
      </c>
      <c r="AL66" s="74">
        <f t="shared" ref="AL66:BE66" si="66">AK66</f>
        <v>1070</v>
      </c>
      <c r="AM66" s="74">
        <f t="shared" si="66"/>
        <v>1070</v>
      </c>
      <c r="AN66" s="74">
        <f t="shared" si="66"/>
        <v>1070</v>
      </c>
      <c r="AO66" s="74">
        <f t="shared" si="66"/>
        <v>1070</v>
      </c>
      <c r="AP66" s="74">
        <f t="shared" si="66"/>
        <v>1070</v>
      </c>
      <c r="AQ66" s="74">
        <f t="shared" si="66"/>
        <v>1070</v>
      </c>
      <c r="AR66" s="74">
        <f t="shared" si="66"/>
        <v>1070</v>
      </c>
      <c r="AS66" s="74">
        <f t="shared" si="66"/>
        <v>1070</v>
      </c>
      <c r="AT66" s="74">
        <f t="shared" si="66"/>
        <v>1070</v>
      </c>
      <c r="AU66" s="74">
        <f t="shared" si="66"/>
        <v>1070</v>
      </c>
      <c r="AV66" s="74">
        <f t="shared" si="66"/>
        <v>1070</v>
      </c>
      <c r="AW66" s="74">
        <f t="shared" si="66"/>
        <v>1070</v>
      </c>
      <c r="AX66" s="74">
        <f t="shared" si="66"/>
        <v>1070</v>
      </c>
      <c r="AY66" s="74">
        <f t="shared" si="66"/>
        <v>1070</v>
      </c>
      <c r="AZ66" s="74">
        <f t="shared" si="66"/>
        <v>1070</v>
      </c>
      <c r="BA66" s="74">
        <f t="shared" si="66"/>
        <v>1070</v>
      </c>
      <c r="BB66" s="74">
        <f t="shared" si="66"/>
        <v>1070</v>
      </c>
      <c r="BC66" s="74">
        <f t="shared" si="66"/>
        <v>1070</v>
      </c>
      <c r="BD66" s="74">
        <f t="shared" si="66"/>
        <v>1070</v>
      </c>
      <c r="BE66" s="74">
        <f t="shared" si="66"/>
        <v>1070</v>
      </c>
    </row>
    <row r="67" spans="1:57" ht="13.5" customHeight="1">
      <c r="A67" s="619">
        <v>1</v>
      </c>
      <c r="B67" s="253"/>
      <c r="C67" s="258" t="s">
        <v>206</v>
      </c>
      <c r="D67" s="77" t="s">
        <v>201</v>
      </c>
      <c r="E67" s="376">
        <f t="shared" ref="E67:AK67" si="67">E33</f>
        <v>1200</v>
      </c>
      <c r="F67" s="376">
        <f t="shared" si="67"/>
        <v>1200</v>
      </c>
      <c r="G67" s="376">
        <f t="shared" si="67"/>
        <v>1200</v>
      </c>
      <c r="H67" s="376">
        <f t="shared" si="67"/>
        <v>1200</v>
      </c>
      <c r="I67" s="376">
        <f t="shared" si="67"/>
        <v>1200</v>
      </c>
      <c r="J67" s="376">
        <f t="shared" si="67"/>
        <v>1200</v>
      </c>
      <c r="K67" s="376">
        <f t="shared" si="67"/>
        <v>1200</v>
      </c>
      <c r="L67" s="376">
        <f t="shared" si="67"/>
        <v>1200</v>
      </c>
      <c r="M67" s="376">
        <f t="shared" si="67"/>
        <v>1200</v>
      </c>
      <c r="N67" s="376">
        <f t="shared" si="67"/>
        <v>1200</v>
      </c>
      <c r="O67" s="376">
        <f t="shared" si="67"/>
        <v>1200</v>
      </c>
      <c r="P67" s="376">
        <f t="shared" si="67"/>
        <v>1200</v>
      </c>
      <c r="Q67" s="376">
        <f t="shared" si="67"/>
        <v>1200</v>
      </c>
      <c r="R67" s="376">
        <f t="shared" si="67"/>
        <v>1200</v>
      </c>
      <c r="S67" s="376">
        <f t="shared" si="67"/>
        <v>1200</v>
      </c>
      <c r="T67" s="376">
        <f t="shared" si="67"/>
        <v>1200</v>
      </c>
      <c r="U67" s="376">
        <f t="shared" si="67"/>
        <v>1200</v>
      </c>
      <c r="V67" s="376">
        <f t="shared" si="67"/>
        <v>1200</v>
      </c>
      <c r="W67" s="376">
        <f t="shared" si="67"/>
        <v>1200</v>
      </c>
      <c r="X67" s="376">
        <f t="shared" si="67"/>
        <v>1200</v>
      </c>
      <c r="Y67" s="376">
        <f t="shared" si="67"/>
        <v>1200</v>
      </c>
      <c r="Z67" s="376">
        <f t="shared" si="67"/>
        <v>1200</v>
      </c>
      <c r="AA67" s="376">
        <f t="shared" si="67"/>
        <v>1200</v>
      </c>
      <c r="AB67" s="376">
        <f t="shared" si="67"/>
        <v>1200</v>
      </c>
      <c r="AC67" s="376">
        <f t="shared" si="67"/>
        <v>1200</v>
      </c>
      <c r="AD67" s="376">
        <f t="shared" si="67"/>
        <v>1200</v>
      </c>
      <c r="AE67" s="376">
        <f t="shared" si="67"/>
        <v>1200</v>
      </c>
      <c r="AF67" s="376">
        <f t="shared" si="67"/>
        <v>1200</v>
      </c>
      <c r="AG67" s="376">
        <f t="shared" si="67"/>
        <v>1200</v>
      </c>
      <c r="AH67" s="376">
        <f t="shared" si="67"/>
        <v>1200</v>
      </c>
      <c r="AI67" s="376">
        <f t="shared" si="67"/>
        <v>1200</v>
      </c>
      <c r="AJ67" s="376">
        <f t="shared" si="67"/>
        <v>1200</v>
      </c>
      <c r="AK67" s="69">
        <f t="shared" si="67"/>
        <v>1200</v>
      </c>
      <c r="AL67" s="74">
        <f t="shared" ref="AL67:BE67" si="68">AK67</f>
        <v>1200</v>
      </c>
      <c r="AM67" s="74">
        <f t="shared" si="68"/>
        <v>1200</v>
      </c>
      <c r="AN67" s="74">
        <f t="shared" si="68"/>
        <v>1200</v>
      </c>
      <c r="AO67" s="74">
        <f t="shared" si="68"/>
        <v>1200</v>
      </c>
      <c r="AP67" s="74">
        <f t="shared" si="68"/>
        <v>1200</v>
      </c>
      <c r="AQ67" s="74">
        <f t="shared" si="68"/>
        <v>1200</v>
      </c>
      <c r="AR67" s="74">
        <f t="shared" si="68"/>
        <v>1200</v>
      </c>
      <c r="AS67" s="74">
        <f t="shared" si="68"/>
        <v>1200</v>
      </c>
      <c r="AT67" s="74">
        <f t="shared" si="68"/>
        <v>1200</v>
      </c>
      <c r="AU67" s="74">
        <f t="shared" si="68"/>
        <v>1200</v>
      </c>
      <c r="AV67" s="74">
        <f t="shared" si="68"/>
        <v>1200</v>
      </c>
      <c r="AW67" s="74">
        <f t="shared" si="68"/>
        <v>1200</v>
      </c>
      <c r="AX67" s="74">
        <f t="shared" si="68"/>
        <v>1200</v>
      </c>
      <c r="AY67" s="74">
        <f t="shared" si="68"/>
        <v>1200</v>
      </c>
      <c r="AZ67" s="74">
        <f t="shared" si="68"/>
        <v>1200</v>
      </c>
      <c r="BA67" s="74">
        <f t="shared" si="68"/>
        <v>1200</v>
      </c>
      <c r="BB67" s="74">
        <f t="shared" si="68"/>
        <v>1200</v>
      </c>
      <c r="BC67" s="74">
        <f t="shared" si="68"/>
        <v>1200</v>
      </c>
      <c r="BD67" s="74">
        <f t="shared" si="68"/>
        <v>1200</v>
      </c>
      <c r="BE67" s="74">
        <f t="shared" si="68"/>
        <v>1200</v>
      </c>
    </row>
    <row r="68" spans="1:57" ht="13.5" customHeight="1">
      <c r="A68" s="619">
        <v>4</v>
      </c>
      <c r="B68" s="253"/>
      <c r="C68" s="258" t="s">
        <v>207</v>
      </c>
      <c r="D68" s="77" t="s">
        <v>208</v>
      </c>
      <c r="E68" s="376">
        <f t="shared" ref="E68:AK68" si="69">E34</f>
        <v>1070</v>
      </c>
      <c r="F68" s="376">
        <f t="shared" si="69"/>
        <v>1070</v>
      </c>
      <c r="G68" s="376">
        <f t="shared" si="69"/>
        <v>1070</v>
      </c>
      <c r="H68" s="376">
        <f t="shared" si="69"/>
        <v>1070</v>
      </c>
      <c r="I68" s="376">
        <f t="shared" si="69"/>
        <v>1070</v>
      </c>
      <c r="J68" s="376">
        <f t="shared" si="69"/>
        <v>1070</v>
      </c>
      <c r="K68" s="376">
        <f t="shared" si="69"/>
        <v>1070</v>
      </c>
      <c r="L68" s="376">
        <f t="shared" si="69"/>
        <v>1070</v>
      </c>
      <c r="M68" s="376">
        <f t="shared" si="69"/>
        <v>1070</v>
      </c>
      <c r="N68" s="376">
        <f t="shared" si="69"/>
        <v>1070</v>
      </c>
      <c r="O68" s="376">
        <f t="shared" si="69"/>
        <v>1070</v>
      </c>
      <c r="P68" s="376">
        <f t="shared" si="69"/>
        <v>1070</v>
      </c>
      <c r="Q68" s="376">
        <f t="shared" si="69"/>
        <v>1070</v>
      </c>
      <c r="R68" s="376">
        <f t="shared" si="69"/>
        <v>1070</v>
      </c>
      <c r="S68" s="376">
        <f t="shared" si="69"/>
        <v>1070</v>
      </c>
      <c r="T68" s="376">
        <f t="shared" si="69"/>
        <v>1070</v>
      </c>
      <c r="U68" s="376">
        <f t="shared" si="69"/>
        <v>1070</v>
      </c>
      <c r="V68" s="376">
        <f t="shared" si="69"/>
        <v>1070</v>
      </c>
      <c r="W68" s="376">
        <f t="shared" si="69"/>
        <v>1070</v>
      </c>
      <c r="X68" s="376">
        <f t="shared" si="69"/>
        <v>1070</v>
      </c>
      <c r="Y68" s="376">
        <f t="shared" si="69"/>
        <v>1070</v>
      </c>
      <c r="Z68" s="376">
        <f t="shared" si="69"/>
        <v>1070</v>
      </c>
      <c r="AA68" s="376">
        <f t="shared" si="69"/>
        <v>1070</v>
      </c>
      <c r="AB68" s="376">
        <f t="shared" si="69"/>
        <v>1070</v>
      </c>
      <c r="AC68" s="376">
        <f t="shared" si="69"/>
        <v>1070</v>
      </c>
      <c r="AD68" s="376">
        <f t="shared" si="69"/>
        <v>1070</v>
      </c>
      <c r="AE68" s="376">
        <f t="shared" si="69"/>
        <v>1070</v>
      </c>
      <c r="AF68" s="376">
        <f t="shared" si="69"/>
        <v>1070</v>
      </c>
      <c r="AG68" s="376">
        <f t="shared" si="69"/>
        <v>1070</v>
      </c>
      <c r="AH68" s="376">
        <f t="shared" si="69"/>
        <v>1070</v>
      </c>
      <c r="AI68" s="376">
        <f t="shared" si="69"/>
        <v>1070</v>
      </c>
      <c r="AJ68" s="376">
        <f t="shared" si="69"/>
        <v>1070</v>
      </c>
      <c r="AK68" s="69">
        <f t="shared" si="69"/>
        <v>1070</v>
      </c>
      <c r="AL68" s="74">
        <f t="shared" ref="AL68:BE68" si="70">AK68</f>
        <v>1070</v>
      </c>
      <c r="AM68" s="74">
        <f t="shared" si="70"/>
        <v>1070</v>
      </c>
      <c r="AN68" s="74">
        <f t="shared" si="70"/>
        <v>1070</v>
      </c>
      <c r="AO68" s="74">
        <f t="shared" si="70"/>
        <v>1070</v>
      </c>
      <c r="AP68" s="74">
        <f t="shared" si="70"/>
        <v>1070</v>
      </c>
      <c r="AQ68" s="74">
        <f t="shared" si="70"/>
        <v>1070</v>
      </c>
      <c r="AR68" s="74">
        <f t="shared" si="70"/>
        <v>1070</v>
      </c>
      <c r="AS68" s="74">
        <f t="shared" si="70"/>
        <v>1070</v>
      </c>
      <c r="AT68" s="74">
        <f t="shared" si="70"/>
        <v>1070</v>
      </c>
      <c r="AU68" s="74">
        <f t="shared" si="70"/>
        <v>1070</v>
      </c>
      <c r="AV68" s="74">
        <f t="shared" si="70"/>
        <v>1070</v>
      </c>
      <c r="AW68" s="74">
        <f t="shared" si="70"/>
        <v>1070</v>
      </c>
      <c r="AX68" s="74">
        <f t="shared" si="70"/>
        <v>1070</v>
      </c>
      <c r="AY68" s="74">
        <f t="shared" si="70"/>
        <v>1070</v>
      </c>
      <c r="AZ68" s="74">
        <f t="shared" si="70"/>
        <v>1070</v>
      </c>
      <c r="BA68" s="74">
        <f t="shared" si="70"/>
        <v>1070</v>
      </c>
      <c r="BB68" s="74">
        <f t="shared" si="70"/>
        <v>1070</v>
      </c>
      <c r="BC68" s="74">
        <f t="shared" si="70"/>
        <v>1070</v>
      </c>
      <c r="BD68" s="74">
        <f t="shared" si="70"/>
        <v>1070</v>
      </c>
      <c r="BE68" s="74">
        <f t="shared" si="70"/>
        <v>1070</v>
      </c>
    </row>
    <row r="69" spans="1:57" ht="13.5" customHeight="1">
      <c r="A69" s="619">
        <v>6</v>
      </c>
      <c r="B69" s="253"/>
      <c r="C69" s="258" t="s">
        <v>209</v>
      </c>
      <c r="D69" s="83" t="s">
        <v>210</v>
      </c>
      <c r="E69" s="450">
        <f t="shared" ref="E69:AK69" si="71">1000*0.93</f>
        <v>930</v>
      </c>
      <c r="F69" s="450">
        <f t="shared" si="71"/>
        <v>930</v>
      </c>
      <c r="G69" s="450">
        <f t="shared" si="71"/>
        <v>930</v>
      </c>
      <c r="H69" s="450">
        <f t="shared" si="71"/>
        <v>930</v>
      </c>
      <c r="I69" s="450">
        <f t="shared" si="71"/>
        <v>930</v>
      </c>
      <c r="J69" s="450">
        <f t="shared" si="71"/>
        <v>930</v>
      </c>
      <c r="K69" s="450">
        <f t="shared" si="71"/>
        <v>930</v>
      </c>
      <c r="L69" s="450">
        <f t="shared" si="71"/>
        <v>930</v>
      </c>
      <c r="M69" s="450">
        <f t="shared" si="71"/>
        <v>930</v>
      </c>
      <c r="N69" s="450">
        <f t="shared" si="71"/>
        <v>930</v>
      </c>
      <c r="O69" s="450">
        <f t="shared" si="71"/>
        <v>930</v>
      </c>
      <c r="P69" s="450">
        <f t="shared" si="71"/>
        <v>930</v>
      </c>
      <c r="Q69" s="450">
        <f t="shared" si="71"/>
        <v>930</v>
      </c>
      <c r="R69" s="450">
        <f t="shared" si="71"/>
        <v>930</v>
      </c>
      <c r="S69" s="450">
        <f t="shared" si="71"/>
        <v>930</v>
      </c>
      <c r="T69" s="450">
        <f t="shared" si="71"/>
        <v>930</v>
      </c>
      <c r="U69" s="450">
        <f t="shared" si="71"/>
        <v>930</v>
      </c>
      <c r="V69" s="450">
        <f t="shared" si="71"/>
        <v>930</v>
      </c>
      <c r="W69" s="450">
        <f t="shared" si="71"/>
        <v>930</v>
      </c>
      <c r="X69" s="450">
        <f t="shared" si="71"/>
        <v>930</v>
      </c>
      <c r="Y69" s="450">
        <f t="shared" si="71"/>
        <v>930</v>
      </c>
      <c r="Z69" s="450">
        <f t="shared" si="71"/>
        <v>930</v>
      </c>
      <c r="AA69" s="450">
        <f t="shared" si="71"/>
        <v>930</v>
      </c>
      <c r="AB69" s="450">
        <f t="shared" si="71"/>
        <v>930</v>
      </c>
      <c r="AC69" s="450">
        <f t="shared" si="71"/>
        <v>930</v>
      </c>
      <c r="AD69" s="450">
        <f t="shared" si="71"/>
        <v>930</v>
      </c>
      <c r="AE69" s="450">
        <f t="shared" si="71"/>
        <v>930</v>
      </c>
      <c r="AF69" s="450">
        <f t="shared" si="71"/>
        <v>930</v>
      </c>
      <c r="AG69" s="450">
        <f t="shared" si="71"/>
        <v>930</v>
      </c>
      <c r="AH69" s="450">
        <f t="shared" si="71"/>
        <v>930</v>
      </c>
      <c r="AI69" s="450">
        <f t="shared" si="71"/>
        <v>930</v>
      </c>
      <c r="AJ69" s="450">
        <f t="shared" si="71"/>
        <v>930</v>
      </c>
      <c r="AK69" s="84">
        <f t="shared" si="71"/>
        <v>930</v>
      </c>
      <c r="AL69" s="74">
        <f t="shared" ref="AL69:BE69" si="72">AK69</f>
        <v>930</v>
      </c>
      <c r="AM69" s="74">
        <f t="shared" si="72"/>
        <v>930</v>
      </c>
      <c r="AN69" s="74">
        <f t="shared" si="72"/>
        <v>930</v>
      </c>
      <c r="AO69" s="74">
        <f t="shared" si="72"/>
        <v>930</v>
      </c>
      <c r="AP69" s="74">
        <f t="shared" si="72"/>
        <v>930</v>
      </c>
      <c r="AQ69" s="74">
        <f t="shared" si="72"/>
        <v>930</v>
      </c>
      <c r="AR69" s="74">
        <f t="shared" si="72"/>
        <v>930</v>
      </c>
      <c r="AS69" s="74">
        <f t="shared" si="72"/>
        <v>930</v>
      </c>
      <c r="AT69" s="74">
        <f t="shared" si="72"/>
        <v>930</v>
      </c>
      <c r="AU69" s="74">
        <f t="shared" si="72"/>
        <v>930</v>
      </c>
      <c r="AV69" s="74">
        <f t="shared" si="72"/>
        <v>930</v>
      </c>
      <c r="AW69" s="74">
        <f t="shared" si="72"/>
        <v>930</v>
      </c>
      <c r="AX69" s="74">
        <f t="shared" si="72"/>
        <v>930</v>
      </c>
      <c r="AY69" s="74">
        <f t="shared" si="72"/>
        <v>930</v>
      </c>
      <c r="AZ69" s="74">
        <f t="shared" si="72"/>
        <v>930</v>
      </c>
      <c r="BA69" s="74">
        <f t="shared" si="72"/>
        <v>930</v>
      </c>
      <c r="BB69" s="74">
        <f t="shared" si="72"/>
        <v>930</v>
      </c>
      <c r="BC69" s="74">
        <f t="shared" si="72"/>
        <v>930</v>
      </c>
      <c r="BD69" s="74">
        <f t="shared" si="72"/>
        <v>930</v>
      </c>
      <c r="BE69" s="74">
        <f t="shared" si="72"/>
        <v>930</v>
      </c>
    </row>
    <row r="70" spans="1:57" ht="13.5" customHeight="1">
      <c r="A70" s="619"/>
      <c r="B70" s="253"/>
      <c r="C70" s="258"/>
      <c r="D70" s="75" t="s">
        <v>153</v>
      </c>
      <c r="E70" s="447"/>
      <c r="F70" s="447"/>
      <c r="G70" s="447"/>
      <c r="H70" s="447"/>
      <c r="I70" s="447"/>
      <c r="J70" s="447"/>
      <c r="K70" s="447"/>
      <c r="L70" s="447"/>
      <c r="M70" s="447"/>
      <c r="N70" s="447"/>
      <c r="O70" s="447"/>
      <c r="P70" s="447"/>
      <c r="Q70" s="447"/>
      <c r="R70" s="447"/>
      <c r="S70" s="447"/>
      <c r="T70" s="447"/>
      <c r="U70" s="447"/>
      <c r="V70" s="447"/>
      <c r="W70" s="447"/>
      <c r="X70" s="447"/>
      <c r="Y70" s="447"/>
      <c r="Z70" s="447"/>
      <c r="AA70" s="447"/>
      <c r="AB70" s="447"/>
      <c r="AC70" s="447"/>
      <c r="AD70" s="447"/>
      <c r="AE70" s="447"/>
      <c r="AF70" s="447"/>
      <c r="AG70" s="447"/>
      <c r="AH70" s="447"/>
      <c r="AI70" s="447"/>
      <c r="AJ70" s="447"/>
      <c r="AK70" s="76"/>
      <c r="AL70" s="74">
        <f t="shared" ref="AL70:BE70" si="73">AK70</f>
        <v>0</v>
      </c>
      <c r="AM70" s="74">
        <f t="shared" si="73"/>
        <v>0</v>
      </c>
      <c r="AN70" s="74">
        <f t="shared" si="73"/>
        <v>0</v>
      </c>
      <c r="AO70" s="74">
        <f t="shared" si="73"/>
        <v>0</v>
      </c>
      <c r="AP70" s="74">
        <f t="shared" si="73"/>
        <v>0</v>
      </c>
      <c r="AQ70" s="74">
        <f t="shared" si="73"/>
        <v>0</v>
      </c>
      <c r="AR70" s="74">
        <f t="shared" si="73"/>
        <v>0</v>
      </c>
      <c r="AS70" s="74">
        <f t="shared" si="73"/>
        <v>0</v>
      </c>
      <c r="AT70" s="74">
        <f t="shared" si="73"/>
        <v>0</v>
      </c>
      <c r="AU70" s="74">
        <f t="shared" si="73"/>
        <v>0</v>
      </c>
      <c r="AV70" s="74">
        <f t="shared" si="73"/>
        <v>0</v>
      </c>
      <c r="AW70" s="74">
        <f t="shared" si="73"/>
        <v>0</v>
      </c>
      <c r="AX70" s="74">
        <f t="shared" si="73"/>
        <v>0</v>
      </c>
      <c r="AY70" s="74">
        <f t="shared" si="73"/>
        <v>0</v>
      </c>
      <c r="AZ70" s="74">
        <f t="shared" si="73"/>
        <v>0</v>
      </c>
      <c r="BA70" s="74">
        <f t="shared" si="73"/>
        <v>0</v>
      </c>
      <c r="BB70" s="74">
        <f t="shared" si="73"/>
        <v>0</v>
      </c>
      <c r="BC70" s="74">
        <f t="shared" si="73"/>
        <v>0</v>
      </c>
      <c r="BD70" s="74">
        <f t="shared" si="73"/>
        <v>0</v>
      </c>
      <c r="BE70" s="74">
        <f t="shared" si="73"/>
        <v>0</v>
      </c>
    </row>
    <row r="71" spans="1:57" ht="13.5" customHeight="1">
      <c r="A71" s="619"/>
      <c r="B71" s="253"/>
      <c r="C71" s="258"/>
      <c r="D71" s="92" t="s">
        <v>203</v>
      </c>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93"/>
      <c r="AL71" s="74">
        <f t="shared" ref="AL71:BE71" si="74">AK71</f>
        <v>0</v>
      </c>
      <c r="AM71" s="74">
        <f t="shared" si="74"/>
        <v>0</v>
      </c>
      <c r="AN71" s="74">
        <f t="shared" si="74"/>
        <v>0</v>
      </c>
      <c r="AO71" s="74">
        <f t="shared" si="74"/>
        <v>0</v>
      </c>
      <c r="AP71" s="74">
        <f t="shared" si="74"/>
        <v>0</v>
      </c>
      <c r="AQ71" s="74">
        <f t="shared" si="74"/>
        <v>0</v>
      </c>
      <c r="AR71" s="74">
        <f t="shared" si="74"/>
        <v>0</v>
      </c>
      <c r="AS71" s="74">
        <f t="shared" si="74"/>
        <v>0</v>
      </c>
      <c r="AT71" s="74">
        <f t="shared" si="74"/>
        <v>0</v>
      </c>
      <c r="AU71" s="74">
        <f t="shared" si="74"/>
        <v>0</v>
      </c>
      <c r="AV71" s="74">
        <f t="shared" si="74"/>
        <v>0</v>
      </c>
      <c r="AW71" s="74">
        <f t="shared" si="74"/>
        <v>0</v>
      </c>
      <c r="AX71" s="74">
        <f t="shared" si="74"/>
        <v>0</v>
      </c>
      <c r="AY71" s="74">
        <f t="shared" si="74"/>
        <v>0</v>
      </c>
      <c r="AZ71" s="74">
        <f t="shared" si="74"/>
        <v>0</v>
      </c>
      <c r="BA71" s="74">
        <f t="shared" si="74"/>
        <v>0</v>
      </c>
      <c r="BB71" s="74">
        <f t="shared" si="74"/>
        <v>0</v>
      </c>
      <c r="BC71" s="74">
        <f t="shared" si="74"/>
        <v>0</v>
      </c>
      <c r="BD71" s="74">
        <f t="shared" si="74"/>
        <v>0</v>
      </c>
      <c r="BE71" s="74">
        <f t="shared" si="74"/>
        <v>0</v>
      </c>
    </row>
    <row r="72" spans="1:57" ht="13.5" customHeight="1">
      <c r="A72" s="85">
        <v>4</v>
      </c>
      <c r="B72" s="253"/>
      <c r="C72" s="258" t="s">
        <v>211</v>
      </c>
      <c r="D72" s="83" t="s">
        <v>201</v>
      </c>
      <c r="E72" s="450">
        <f t="shared" ref="E72:AK72" si="75">E38</f>
        <v>869</v>
      </c>
      <c r="F72" s="450">
        <f t="shared" si="75"/>
        <v>869</v>
      </c>
      <c r="G72" s="450">
        <f t="shared" si="75"/>
        <v>869</v>
      </c>
      <c r="H72" s="450">
        <f t="shared" si="75"/>
        <v>869</v>
      </c>
      <c r="I72" s="450">
        <f t="shared" si="75"/>
        <v>869</v>
      </c>
      <c r="J72" s="450">
        <f t="shared" si="75"/>
        <v>869</v>
      </c>
      <c r="K72" s="450">
        <f t="shared" si="75"/>
        <v>869</v>
      </c>
      <c r="L72" s="450">
        <f t="shared" si="75"/>
        <v>869</v>
      </c>
      <c r="M72" s="450">
        <f t="shared" si="75"/>
        <v>869</v>
      </c>
      <c r="N72" s="450">
        <f t="shared" si="75"/>
        <v>869</v>
      </c>
      <c r="O72" s="450">
        <f t="shared" si="75"/>
        <v>869</v>
      </c>
      <c r="P72" s="450">
        <f t="shared" si="75"/>
        <v>869</v>
      </c>
      <c r="Q72" s="450">
        <f t="shared" si="75"/>
        <v>869</v>
      </c>
      <c r="R72" s="450">
        <f t="shared" si="75"/>
        <v>869</v>
      </c>
      <c r="S72" s="450">
        <f t="shared" si="75"/>
        <v>869</v>
      </c>
      <c r="T72" s="450">
        <f t="shared" si="75"/>
        <v>869</v>
      </c>
      <c r="U72" s="450">
        <f t="shared" si="75"/>
        <v>869</v>
      </c>
      <c r="V72" s="450">
        <f t="shared" si="75"/>
        <v>869</v>
      </c>
      <c r="W72" s="450">
        <f t="shared" si="75"/>
        <v>869</v>
      </c>
      <c r="X72" s="450">
        <f t="shared" si="75"/>
        <v>869</v>
      </c>
      <c r="Y72" s="450">
        <f t="shared" si="75"/>
        <v>869</v>
      </c>
      <c r="Z72" s="450">
        <f t="shared" si="75"/>
        <v>869</v>
      </c>
      <c r="AA72" s="450">
        <f t="shared" si="75"/>
        <v>869</v>
      </c>
      <c r="AB72" s="450">
        <f t="shared" si="75"/>
        <v>869</v>
      </c>
      <c r="AC72" s="450">
        <f t="shared" si="75"/>
        <v>869</v>
      </c>
      <c r="AD72" s="450">
        <f t="shared" si="75"/>
        <v>869</v>
      </c>
      <c r="AE72" s="450">
        <f t="shared" si="75"/>
        <v>869</v>
      </c>
      <c r="AF72" s="450">
        <f t="shared" si="75"/>
        <v>869</v>
      </c>
      <c r="AG72" s="450">
        <f t="shared" si="75"/>
        <v>869</v>
      </c>
      <c r="AH72" s="450">
        <f t="shared" si="75"/>
        <v>869</v>
      </c>
      <c r="AI72" s="450">
        <f t="shared" si="75"/>
        <v>869</v>
      </c>
      <c r="AJ72" s="450">
        <f t="shared" si="75"/>
        <v>869</v>
      </c>
      <c r="AK72" s="84">
        <f t="shared" si="75"/>
        <v>869</v>
      </c>
      <c r="AL72" s="74">
        <f t="shared" ref="AL72:BE72" si="76">AK72</f>
        <v>869</v>
      </c>
      <c r="AM72" s="74">
        <f t="shared" si="76"/>
        <v>869</v>
      </c>
      <c r="AN72" s="74">
        <f t="shared" si="76"/>
        <v>869</v>
      </c>
      <c r="AO72" s="74">
        <f t="shared" si="76"/>
        <v>869</v>
      </c>
      <c r="AP72" s="74">
        <f t="shared" si="76"/>
        <v>869</v>
      </c>
      <c r="AQ72" s="74">
        <f t="shared" si="76"/>
        <v>869</v>
      </c>
      <c r="AR72" s="74">
        <f t="shared" si="76"/>
        <v>869</v>
      </c>
      <c r="AS72" s="74">
        <f t="shared" si="76"/>
        <v>869</v>
      </c>
      <c r="AT72" s="74">
        <f t="shared" si="76"/>
        <v>869</v>
      </c>
      <c r="AU72" s="74">
        <f t="shared" si="76"/>
        <v>869</v>
      </c>
      <c r="AV72" s="74">
        <f t="shared" si="76"/>
        <v>869</v>
      </c>
      <c r="AW72" s="74">
        <f t="shared" si="76"/>
        <v>869</v>
      </c>
      <c r="AX72" s="74">
        <f t="shared" si="76"/>
        <v>869</v>
      </c>
      <c r="AY72" s="74">
        <f t="shared" si="76"/>
        <v>869</v>
      </c>
      <c r="AZ72" s="74">
        <f t="shared" si="76"/>
        <v>869</v>
      </c>
      <c r="BA72" s="74">
        <f t="shared" si="76"/>
        <v>869</v>
      </c>
      <c r="BB72" s="74">
        <f t="shared" si="76"/>
        <v>869</v>
      </c>
      <c r="BC72" s="74">
        <f t="shared" si="76"/>
        <v>869</v>
      </c>
      <c r="BD72" s="74">
        <f t="shared" si="76"/>
        <v>869</v>
      </c>
      <c r="BE72" s="74">
        <f t="shared" si="76"/>
        <v>869</v>
      </c>
    </row>
    <row r="73" spans="1:57" ht="13.5" customHeight="1">
      <c r="A73" s="619">
        <v>4</v>
      </c>
      <c r="B73" s="253"/>
      <c r="C73" s="258" t="s">
        <v>212</v>
      </c>
      <c r="D73" s="77" t="s">
        <v>210</v>
      </c>
      <c r="E73" s="376">
        <f t="shared" ref="E73:AK73" si="77">E39</f>
        <v>1190</v>
      </c>
      <c r="F73" s="376">
        <f t="shared" si="77"/>
        <v>1000</v>
      </c>
      <c r="G73" s="376">
        <f t="shared" si="77"/>
        <v>1000</v>
      </c>
      <c r="H73" s="376">
        <f t="shared" si="77"/>
        <v>1000</v>
      </c>
      <c r="I73" s="376">
        <f t="shared" si="77"/>
        <v>1000</v>
      </c>
      <c r="J73" s="376">
        <f t="shared" si="77"/>
        <v>1000</v>
      </c>
      <c r="K73" s="376">
        <f t="shared" si="77"/>
        <v>1000</v>
      </c>
      <c r="L73" s="376">
        <f t="shared" si="77"/>
        <v>991.5</v>
      </c>
      <c r="M73" s="376">
        <f t="shared" si="77"/>
        <v>991.5</v>
      </c>
      <c r="N73" s="376">
        <f t="shared" si="77"/>
        <v>991.5</v>
      </c>
      <c r="O73" s="376">
        <f t="shared" si="77"/>
        <v>991.5</v>
      </c>
      <c r="P73" s="376">
        <f t="shared" si="77"/>
        <v>991.5</v>
      </c>
      <c r="Q73" s="376">
        <f t="shared" si="77"/>
        <v>983</v>
      </c>
      <c r="R73" s="376">
        <f t="shared" si="77"/>
        <v>983</v>
      </c>
      <c r="S73" s="376">
        <f t="shared" si="77"/>
        <v>983</v>
      </c>
      <c r="T73" s="376">
        <f t="shared" si="77"/>
        <v>983</v>
      </c>
      <c r="U73" s="376">
        <f t="shared" si="77"/>
        <v>983</v>
      </c>
      <c r="V73" s="376">
        <f t="shared" si="77"/>
        <v>965.5</v>
      </c>
      <c r="W73" s="376">
        <f t="shared" si="77"/>
        <v>965.5</v>
      </c>
      <c r="X73" s="376">
        <f t="shared" si="77"/>
        <v>965.5</v>
      </c>
      <c r="Y73" s="376">
        <f t="shared" si="77"/>
        <v>965.5</v>
      </c>
      <c r="Z73" s="376">
        <f t="shared" si="77"/>
        <v>965.5</v>
      </c>
      <c r="AA73" s="376">
        <f t="shared" si="77"/>
        <v>948</v>
      </c>
      <c r="AB73" s="376">
        <f t="shared" si="77"/>
        <v>948</v>
      </c>
      <c r="AC73" s="376">
        <f t="shared" si="77"/>
        <v>948</v>
      </c>
      <c r="AD73" s="376">
        <f t="shared" si="77"/>
        <v>948</v>
      </c>
      <c r="AE73" s="376">
        <f t="shared" si="77"/>
        <v>948</v>
      </c>
      <c r="AF73" s="376">
        <f t="shared" si="77"/>
        <v>930.5</v>
      </c>
      <c r="AG73" s="376">
        <f t="shared" si="77"/>
        <v>930.5</v>
      </c>
      <c r="AH73" s="376">
        <f t="shared" si="77"/>
        <v>930.5</v>
      </c>
      <c r="AI73" s="376">
        <f t="shared" si="77"/>
        <v>930.5</v>
      </c>
      <c r="AJ73" s="376">
        <f t="shared" si="77"/>
        <v>930.5</v>
      </c>
      <c r="AK73" s="69">
        <f t="shared" si="77"/>
        <v>913</v>
      </c>
      <c r="AL73" s="74">
        <f t="shared" ref="AL73:BE73" si="78">AK73</f>
        <v>913</v>
      </c>
      <c r="AM73" s="74">
        <f t="shared" si="78"/>
        <v>913</v>
      </c>
      <c r="AN73" s="74">
        <f t="shared" si="78"/>
        <v>913</v>
      </c>
      <c r="AO73" s="74">
        <f t="shared" si="78"/>
        <v>913</v>
      </c>
      <c r="AP73" s="74">
        <f t="shared" si="78"/>
        <v>913</v>
      </c>
      <c r="AQ73" s="74">
        <f t="shared" si="78"/>
        <v>913</v>
      </c>
      <c r="AR73" s="74">
        <f t="shared" si="78"/>
        <v>913</v>
      </c>
      <c r="AS73" s="74">
        <f t="shared" si="78"/>
        <v>913</v>
      </c>
      <c r="AT73" s="74">
        <f t="shared" si="78"/>
        <v>913</v>
      </c>
      <c r="AU73" s="74">
        <f t="shared" si="78"/>
        <v>913</v>
      </c>
      <c r="AV73" s="74">
        <f t="shared" si="78"/>
        <v>913</v>
      </c>
      <c r="AW73" s="74">
        <f t="shared" si="78"/>
        <v>913</v>
      </c>
      <c r="AX73" s="74">
        <f t="shared" si="78"/>
        <v>913</v>
      </c>
      <c r="AY73" s="74">
        <f t="shared" si="78"/>
        <v>913</v>
      </c>
      <c r="AZ73" s="74">
        <f t="shared" si="78"/>
        <v>913</v>
      </c>
      <c r="BA73" s="74">
        <f t="shared" si="78"/>
        <v>913</v>
      </c>
      <c r="BB73" s="74">
        <f t="shared" si="78"/>
        <v>913</v>
      </c>
      <c r="BC73" s="74">
        <f t="shared" si="78"/>
        <v>913</v>
      </c>
      <c r="BD73" s="74">
        <f t="shared" si="78"/>
        <v>913</v>
      </c>
      <c r="BE73" s="74">
        <f t="shared" si="78"/>
        <v>913</v>
      </c>
    </row>
    <row r="74" spans="1:57" ht="13.5" customHeight="1">
      <c r="A74" s="85">
        <v>4</v>
      </c>
      <c r="B74" s="253"/>
      <c r="C74" s="258" t="s">
        <v>213</v>
      </c>
      <c r="D74" s="83" t="s">
        <v>205</v>
      </c>
      <c r="E74" s="450">
        <v>930</v>
      </c>
      <c r="F74" s="450">
        <v>930</v>
      </c>
      <c r="G74" s="450">
        <v>930</v>
      </c>
      <c r="H74" s="450">
        <v>930</v>
      </c>
      <c r="I74" s="450">
        <v>930</v>
      </c>
      <c r="J74" s="450">
        <v>930</v>
      </c>
      <c r="K74" s="450">
        <v>930</v>
      </c>
      <c r="L74" s="450">
        <v>930</v>
      </c>
      <c r="M74" s="450">
        <v>930</v>
      </c>
      <c r="N74" s="450">
        <v>930</v>
      </c>
      <c r="O74" s="450">
        <v>930</v>
      </c>
      <c r="P74" s="450">
        <v>930</v>
      </c>
      <c r="Q74" s="450">
        <v>930</v>
      </c>
      <c r="R74" s="450">
        <v>930</v>
      </c>
      <c r="S74" s="450">
        <v>930</v>
      </c>
      <c r="T74" s="450">
        <v>930</v>
      </c>
      <c r="U74" s="450">
        <v>930</v>
      </c>
      <c r="V74" s="450">
        <v>930</v>
      </c>
      <c r="W74" s="450">
        <v>930</v>
      </c>
      <c r="X74" s="450">
        <v>930</v>
      </c>
      <c r="Y74" s="450">
        <v>930</v>
      </c>
      <c r="Z74" s="450">
        <v>930</v>
      </c>
      <c r="AA74" s="450">
        <v>930</v>
      </c>
      <c r="AB74" s="450">
        <v>930</v>
      </c>
      <c r="AC74" s="450">
        <v>930</v>
      </c>
      <c r="AD74" s="450">
        <v>930</v>
      </c>
      <c r="AE74" s="450">
        <v>930</v>
      </c>
      <c r="AF74" s="450">
        <v>930</v>
      </c>
      <c r="AG74" s="450">
        <v>930</v>
      </c>
      <c r="AH74" s="450">
        <v>930</v>
      </c>
      <c r="AI74" s="450">
        <v>930</v>
      </c>
      <c r="AJ74" s="450">
        <v>930</v>
      </c>
      <c r="AK74" s="84">
        <v>930</v>
      </c>
      <c r="AL74" s="74">
        <f t="shared" ref="AL74:BE74" si="79">AK74</f>
        <v>930</v>
      </c>
      <c r="AM74" s="74">
        <f t="shared" si="79"/>
        <v>930</v>
      </c>
      <c r="AN74" s="74">
        <f t="shared" si="79"/>
        <v>930</v>
      </c>
      <c r="AO74" s="74">
        <f t="shared" si="79"/>
        <v>930</v>
      </c>
      <c r="AP74" s="74">
        <f t="shared" si="79"/>
        <v>930</v>
      </c>
      <c r="AQ74" s="74">
        <f t="shared" si="79"/>
        <v>930</v>
      </c>
      <c r="AR74" s="74">
        <f t="shared" si="79"/>
        <v>930</v>
      </c>
      <c r="AS74" s="74">
        <f t="shared" si="79"/>
        <v>930</v>
      </c>
      <c r="AT74" s="74">
        <f t="shared" si="79"/>
        <v>930</v>
      </c>
      <c r="AU74" s="74">
        <f t="shared" si="79"/>
        <v>930</v>
      </c>
      <c r="AV74" s="74">
        <f t="shared" si="79"/>
        <v>930</v>
      </c>
      <c r="AW74" s="74">
        <f t="shared" si="79"/>
        <v>930</v>
      </c>
      <c r="AX74" s="74">
        <f t="shared" si="79"/>
        <v>930</v>
      </c>
      <c r="AY74" s="74">
        <f t="shared" si="79"/>
        <v>930</v>
      </c>
      <c r="AZ74" s="74">
        <f t="shared" si="79"/>
        <v>930</v>
      </c>
      <c r="BA74" s="74">
        <f t="shared" si="79"/>
        <v>930</v>
      </c>
      <c r="BB74" s="74">
        <f t="shared" si="79"/>
        <v>930</v>
      </c>
      <c r="BC74" s="74">
        <f t="shared" si="79"/>
        <v>930</v>
      </c>
      <c r="BD74" s="74">
        <f t="shared" si="79"/>
        <v>930</v>
      </c>
      <c r="BE74" s="74">
        <f t="shared" si="79"/>
        <v>930</v>
      </c>
    </row>
    <row r="75" spans="1:57" ht="13.5" customHeight="1">
      <c r="A75" s="619"/>
      <c r="B75" s="253"/>
      <c r="C75" s="258"/>
      <c r="D75" s="75" t="s">
        <v>158</v>
      </c>
      <c r="E75" s="447"/>
      <c r="F75" s="447"/>
      <c r="G75" s="447"/>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c r="AK75" s="76"/>
      <c r="AL75" s="74">
        <f t="shared" ref="AL75:BE75" si="80">AK75</f>
        <v>0</v>
      </c>
      <c r="AM75" s="74">
        <f t="shared" si="80"/>
        <v>0</v>
      </c>
      <c r="AN75" s="74">
        <f t="shared" si="80"/>
        <v>0</v>
      </c>
      <c r="AO75" s="74">
        <f t="shared" si="80"/>
        <v>0</v>
      </c>
      <c r="AP75" s="74">
        <f t="shared" si="80"/>
        <v>0</v>
      </c>
      <c r="AQ75" s="74">
        <f t="shared" si="80"/>
        <v>0</v>
      </c>
      <c r="AR75" s="74">
        <f t="shared" si="80"/>
        <v>0</v>
      </c>
      <c r="AS75" s="74">
        <f t="shared" si="80"/>
        <v>0</v>
      </c>
      <c r="AT75" s="74">
        <f t="shared" si="80"/>
        <v>0</v>
      </c>
      <c r="AU75" s="74">
        <f t="shared" si="80"/>
        <v>0</v>
      </c>
      <c r="AV75" s="74">
        <f t="shared" si="80"/>
        <v>0</v>
      </c>
      <c r="AW75" s="74">
        <f t="shared" si="80"/>
        <v>0</v>
      </c>
      <c r="AX75" s="74">
        <f t="shared" si="80"/>
        <v>0</v>
      </c>
      <c r="AY75" s="74">
        <f t="shared" si="80"/>
        <v>0</v>
      </c>
      <c r="AZ75" s="74">
        <f t="shared" si="80"/>
        <v>0</v>
      </c>
      <c r="BA75" s="74">
        <f t="shared" si="80"/>
        <v>0</v>
      </c>
      <c r="BB75" s="74">
        <f t="shared" si="80"/>
        <v>0</v>
      </c>
      <c r="BC75" s="74">
        <f t="shared" si="80"/>
        <v>0</v>
      </c>
      <c r="BD75" s="74">
        <f t="shared" si="80"/>
        <v>0</v>
      </c>
      <c r="BE75" s="74">
        <f t="shared" si="80"/>
        <v>0</v>
      </c>
    </row>
    <row r="76" spans="1:57" ht="13.5" customHeight="1">
      <c r="A76" s="619"/>
      <c r="B76" s="253"/>
      <c r="C76" s="258"/>
      <c r="D76" s="92" t="s">
        <v>190</v>
      </c>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93"/>
      <c r="AL76" s="74">
        <f t="shared" ref="AL76:BE76" si="81">AK76</f>
        <v>0</v>
      </c>
      <c r="AM76" s="74">
        <f t="shared" si="81"/>
        <v>0</v>
      </c>
      <c r="AN76" s="74">
        <f t="shared" si="81"/>
        <v>0</v>
      </c>
      <c r="AO76" s="74">
        <f t="shared" si="81"/>
        <v>0</v>
      </c>
      <c r="AP76" s="74">
        <f t="shared" si="81"/>
        <v>0</v>
      </c>
      <c r="AQ76" s="74">
        <f t="shared" si="81"/>
        <v>0</v>
      </c>
      <c r="AR76" s="74">
        <f t="shared" si="81"/>
        <v>0</v>
      </c>
      <c r="AS76" s="74">
        <f t="shared" si="81"/>
        <v>0</v>
      </c>
      <c r="AT76" s="74">
        <f t="shared" si="81"/>
        <v>0</v>
      </c>
      <c r="AU76" s="74">
        <f t="shared" si="81"/>
        <v>0</v>
      </c>
      <c r="AV76" s="74">
        <f t="shared" si="81"/>
        <v>0</v>
      </c>
      <c r="AW76" s="74">
        <f t="shared" si="81"/>
        <v>0</v>
      </c>
      <c r="AX76" s="74">
        <f t="shared" si="81"/>
        <v>0</v>
      </c>
      <c r="AY76" s="74">
        <f t="shared" si="81"/>
        <v>0</v>
      </c>
      <c r="AZ76" s="74">
        <f t="shared" si="81"/>
        <v>0</v>
      </c>
      <c r="BA76" s="74">
        <f t="shared" si="81"/>
        <v>0</v>
      </c>
      <c r="BB76" s="74">
        <f t="shared" si="81"/>
        <v>0</v>
      </c>
      <c r="BC76" s="74">
        <f t="shared" si="81"/>
        <v>0</v>
      </c>
      <c r="BD76" s="74">
        <f t="shared" si="81"/>
        <v>0</v>
      </c>
      <c r="BE76" s="74">
        <f t="shared" si="81"/>
        <v>0</v>
      </c>
    </row>
    <row r="77" spans="1:57" ht="13.5" customHeight="1">
      <c r="A77" s="619">
        <v>4</v>
      </c>
      <c r="B77" s="253"/>
      <c r="C77" s="258" t="s">
        <v>214</v>
      </c>
      <c r="D77" s="77" t="s">
        <v>201</v>
      </c>
      <c r="E77" s="376">
        <f>'Costos Sector Eléctrico'!E64</f>
        <v>1000</v>
      </c>
      <c r="F77" s="376">
        <f>'Costos Sector Eléctrico'!F64</f>
        <v>1000</v>
      </c>
      <c r="G77" s="376">
        <f>'Costos Sector Eléctrico'!G64</f>
        <v>1000</v>
      </c>
      <c r="H77" s="376">
        <f>'Costos Sector Eléctrico'!H64</f>
        <v>1000</v>
      </c>
      <c r="I77" s="376">
        <f>'Costos Sector Eléctrico'!I64</f>
        <v>1000</v>
      </c>
      <c r="J77" s="376">
        <f>'Costos Sector Eléctrico'!J64</f>
        <v>1000</v>
      </c>
      <c r="K77" s="376">
        <f>'Costos Sector Eléctrico'!K64</f>
        <v>1000</v>
      </c>
      <c r="L77" s="376">
        <f>'Costos Sector Eléctrico'!L64</f>
        <v>1000</v>
      </c>
      <c r="M77" s="376">
        <f>'Costos Sector Eléctrico'!M64</f>
        <v>1000</v>
      </c>
      <c r="N77" s="376">
        <f>'Costos Sector Eléctrico'!N64</f>
        <v>1000</v>
      </c>
      <c r="O77" s="376">
        <f>'Costos Sector Eléctrico'!O64</f>
        <v>1000</v>
      </c>
      <c r="P77" s="376">
        <f>'Costos Sector Eléctrico'!P64</f>
        <v>1000</v>
      </c>
      <c r="Q77" s="376">
        <f>'Costos Sector Eléctrico'!Q64</f>
        <v>1000</v>
      </c>
      <c r="R77" s="376">
        <f>'Costos Sector Eléctrico'!R64</f>
        <v>1000</v>
      </c>
      <c r="S77" s="376">
        <f>'Costos Sector Eléctrico'!S64</f>
        <v>1000</v>
      </c>
      <c r="T77" s="376">
        <f>'Costos Sector Eléctrico'!T64</f>
        <v>1000</v>
      </c>
      <c r="U77" s="376">
        <f>'Costos Sector Eléctrico'!U64</f>
        <v>1000</v>
      </c>
      <c r="V77" s="376">
        <f>'Costos Sector Eléctrico'!V64</f>
        <v>1000</v>
      </c>
      <c r="W77" s="376">
        <f>'Costos Sector Eléctrico'!W64</f>
        <v>1000</v>
      </c>
      <c r="X77" s="376">
        <f>'Costos Sector Eléctrico'!X64</f>
        <v>1000</v>
      </c>
      <c r="Y77" s="376">
        <f>'Costos Sector Eléctrico'!Y64</f>
        <v>1000</v>
      </c>
      <c r="Z77" s="376">
        <f>'Costos Sector Eléctrico'!Z64</f>
        <v>1000</v>
      </c>
      <c r="AA77" s="376">
        <f>'Costos Sector Eléctrico'!AA64</f>
        <v>1000</v>
      </c>
      <c r="AB77" s="376">
        <f>'Costos Sector Eléctrico'!AB64</f>
        <v>1000</v>
      </c>
      <c r="AC77" s="376">
        <f>'Costos Sector Eléctrico'!AC64</f>
        <v>1000</v>
      </c>
      <c r="AD77" s="376">
        <f>'Costos Sector Eléctrico'!AD64</f>
        <v>1000</v>
      </c>
      <c r="AE77" s="376">
        <f>'Costos Sector Eléctrico'!AE64</f>
        <v>1000</v>
      </c>
      <c r="AF77" s="376">
        <f>'Costos Sector Eléctrico'!AF64</f>
        <v>1000</v>
      </c>
      <c r="AG77" s="376">
        <f>'Costos Sector Eléctrico'!AG64</f>
        <v>1000</v>
      </c>
      <c r="AH77" s="376">
        <f>'Costos Sector Eléctrico'!AH64</f>
        <v>1000</v>
      </c>
      <c r="AI77" s="376">
        <f>'Costos Sector Eléctrico'!AI64</f>
        <v>1000</v>
      </c>
      <c r="AJ77" s="376">
        <f>'Costos Sector Eléctrico'!AJ64</f>
        <v>1000</v>
      </c>
      <c r="AK77" s="69">
        <f>'Costos Sector Eléctrico'!AK64</f>
        <v>1000</v>
      </c>
      <c r="AL77" s="74">
        <f t="shared" ref="AL77:BE77" si="82">AK77</f>
        <v>1000</v>
      </c>
      <c r="AM77" s="74">
        <f t="shared" si="82"/>
        <v>1000</v>
      </c>
      <c r="AN77" s="74">
        <f t="shared" si="82"/>
        <v>1000</v>
      </c>
      <c r="AO77" s="74">
        <f t="shared" si="82"/>
        <v>1000</v>
      </c>
      <c r="AP77" s="74">
        <f t="shared" si="82"/>
        <v>1000</v>
      </c>
      <c r="AQ77" s="74">
        <f t="shared" si="82"/>
        <v>1000</v>
      </c>
      <c r="AR77" s="74">
        <f t="shared" si="82"/>
        <v>1000</v>
      </c>
      <c r="AS77" s="74">
        <f t="shared" si="82"/>
        <v>1000</v>
      </c>
      <c r="AT77" s="74">
        <f t="shared" si="82"/>
        <v>1000</v>
      </c>
      <c r="AU77" s="74">
        <f t="shared" si="82"/>
        <v>1000</v>
      </c>
      <c r="AV77" s="74">
        <f t="shared" si="82"/>
        <v>1000</v>
      </c>
      <c r="AW77" s="74">
        <f t="shared" si="82"/>
        <v>1000</v>
      </c>
      <c r="AX77" s="74">
        <f t="shared" si="82"/>
        <v>1000</v>
      </c>
      <c r="AY77" s="74">
        <f t="shared" si="82"/>
        <v>1000</v>
      </c>
      <c r="AZ77" s="74">
        <f t="shared" si="82"/>
        <v>1000</v>
      </c>
      <c r="BA77" s="74">
        <f t="shared" si="82"/>
        <v>1000</v>
      </c>
      <c r="BB77" s="74">
        <f t="shared" si="82"/>
        <v>1000</v>
      </c>
      <c r="BC77" s="74">
        <f t="shared" si="82"/>
        <v>1000</v>
      </c>
      <c r="BD77" s="74">
        <f t="shared" si="82"/>
        <v>1000</v>
      </c>
      <c r="BE77" s="74">
        <f t="shared" si="82"/>
        <v>1000</v>
      </c>
    </row>
    <row r="78" spans="1:57" ht="13.5" customHeight="1">
      <c r="A78" s="619"/>
      <c r="B78" s="253"/>
      <c r="C78" s="258"/>
      <c r="D78" s="92" t="s">
        <v>195</v>
      </c>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93"/>
      <c r="AL78" s="74">
        <f t="shared" ref="AL78:BE78" si="83">AK78</f>
        <v>0</v>
      </c>
      <c r="AM78" s="74">
        <f t="shared" si="83"/>
        <v>0</v>
      </c>
      <c r="AN78" s="74">
        <f t="shared" si="83"/>
        <v>0</v>
      </c>
      <c r="AO78" s="74">
        <f t="shared" si="83"/>
        <v>0</v>
      </c>
      <c r="AP78" s="74">
        <f t="shared" si="83"/>
        <v>0</v>
      </c>
      <c r="AQ78" s="74">
        <f t="shared" si="83"/>
        <v>0</v>
      </c>
      <c r="AR78" s="74">
        <f t="shared" si="83"/>
        <v>0</v>
      </c>
      <c r="AS78" s="74">
        <f t="shared" si="83"/>
        <v>0</v>
      </c>
      <c r="AT78" s="74">
        <f t="shared" si="83"/>
        <v>0</v>
      </c>
      <c r="AU78" s="74">
        <f t="shared" si="83"/>
        <v>0</v>
      </c>
      <c r="AV78" s="74">
        <f t="shared" si="83"/>
        <v>0</v>
      </c>
      <c r="AW78" s="74">
        <f t="shared" si="83"/>
        <v>0</v>
      </c>
      <c r="AX78" s="74">
        <f t="shared" si="83"/>
        <v>0</v>
      </c>
      <c r="AY78" s="74">
        <f t="shared" si="83"/>
        <v>0</v>
      </c>
      <c r="AZ78" s="74">
        <f t="shared" si="83"/>
        <v>0</v>
      </c>
      <c r="BA78" s="74">
        <f t="shared" si="83"/>
        <v>0</v>
      </c>
      <c r="BB78" s="74">
        <f t="shared" si="83"/>
        <v>0</v>
      </c>
      <c r="BC78" s="74">
        <f t="shared" si="83"/>
        <v>0</v>
      </c>
      <c r="BD78" s="74">
        <f t="shared" si="83"/>
        <v>0</v>
      </c>
      <c r="BE78" s="74">
        <f t="shared" si="83"/>
        <v>0</v>
      </c>
    </row>
    <row r="79" spans="1:57" ht="13.5" customHeight="1">
      <c r="A79" s="619">
        <v>4</v>
      </c>
      <c r="B79" s="253"/>
      <c r="C79" s="258" t="s">
        <v>215</v>
      </c>
      <c r="D79" s="77" t="s">
        <v>201</v>
      </c>
      <c r="E79" s="376">
        <f t="shared" ref="E79:AK79" si="84">E77</f>
        <v>1000</v>
      </c>
      <c r="F79" s="376">
        <f t="shared" si="84"/>
        <v>1000</v>
      </c>
      <c r="G79" s="376">
        <f t="shared" si="84"/>
        <v>1000</v>
      </c>
      <c r="H79" s="376">
        <f t="shared" si="84"/>
        <v>1000</v>
      </c>
      <c r="I79" s="376">
        <f t="shared" si="84"/>
        <v>1000</v>
      </c>
      <c r="J79" s="376">
        <f t="shared" si="84"/>
        <v>1000</v>
      </c>
      <c r="K79" s="376">
        <f t="shared" si="84"/>
        <v>1000</v>
      </c>
      <c r="L79" s="376">
        <f t="shared" si="84"/>
        <v>1000</v>
      </c>
      <c r="M79" s="376">
        <f t="shared" si="84"/>
        <v>1000</v>
      </c>
      <c r="N79" s="376">
        <f t="shared" si="84"/>
        <v>1000</v>
      </c>
      <c r="O79" s="376">
        <f t="shared" si="84"/>
        <v>1000</v>
      </c>
      <c r="P79" s="376">
        <f t="shared" si="84"/>
        <v>1000</v>
      </c>
      <c r="Q79" s="376">
        <f t="shared" si="84"/>
        <v>1000</v>
      </c>
      <c r="R79" s="376">
        <f t="shared" si="84"/>
        <v>1000</v>
      </c>
      <c r="S79" s="376">
        <f t="shared" si="84"/>
        <v>1000</v>
      </c>
      <c r="T79" s="376">
        <f t="shared" si="84"/>
        <v>1000</v>
      </c>
      <c r="U79" s="376">
        <f t="shared" si="84"/>
        <v>1000</v>
      </c>
      <c r="V79" s="376">
        <f t="shared" si="84"/>
        <v>1000</v>
      </c>
      <c r="W79" s="376">
        <f t="shared" si="84"/>
        <v>1000</v>
      </c>
      <c r="X79" s="376">
        <f t="shared" si="84"/>
        <v>1000</v>
      </c>
      <c r="Y79" s="376">
        <f t="shared" si="84"/>
        <v>1000</v>
      </c>
      <c r="Z79" s="376">
        <f t="shared" si="84"/>
        <v>1000</v>
      </c>
      <c r="AA79" s="376">
        <f t="shared" si="84"/>
        <v>1000</v>
      </c>
      <c r="AB79" s="376">
        <f t="shared" si="84"/>
        <v>1000</v>
      </c>
      <c r="AC79" s="376">
        <f t="shared" si="84"/>
        <v>1000</v>
      </c>
      <c r="AD79" s="376">
        <f t="shared" si="84"/>
        <v>1000</v>
      </c>
      <c r="AE79" s="376">
        <f t="shared" si="84"/>
        <v>1000</v>
      </c>
      <c r="AF79" s="376">
        <f t="shared" si="84"/>
        <v>1000</v>
      </c>
      <c r="AG79" s="376">
        <f t="shared" si="84"/>
        <v>1000</v>
      </c>
      <c r="AH79" s="376">
        <f t="shared" si="84"/>
        <v>1000</v>
      </c>
      <c r="AI79" s="376">
        <f t="shared" si="84"/>
        <v>1000</v>
      </c>
      <c r="AJ79" s="376">
        <f t="shared" si="84"/>
        <v>1000</v>
      </c>
      <c r="AK79" s="69">
        <f t="shared" si="84"/>
        <v>1000</v>
      </c>
      <c r="AL79" s="74">
        <f t="shared" ref="AL79:BE79" si="85">AK79</f>
        <v>1000</v>
      </c>
      <c r="AM79" s="74">
        <f t="shared" si="85"/>
        <v>1000</v>
      </c>
      <c r="AN79" s="74">
        <f t="shared" si="85"/>
        <v>1000</v>
      </c>
      <c r="AO79" s="74">
        <f t="shared" si="85"/>
        <v>1000</v>
      </c>
      <c r="AP79" s="74">
        <f t="shared" si="85"/>
        <v>1000</v>
      </c>
      <c r="AQ79" s="74">
        <f t="shared" si="85"/>
        <v>1000</v>
      </c>
      <c r="AR79" s="74">
        <f t="shared" si="85"/>
        <v>1000</v>
      </c>
      <c r="AS79" s="74">
        <f t="shared" si="85"/>
        <v>1000</v>
      </c>
      <c r="AT79" s="74">
        <f t="shared" si="85"/>
        <v>1000</v>
      </c>
      <c r="AU79" s="74">
        <f t="shared" si="85"/>
        <v>1000</v>
      </c>
      <c r="AV79" s="74">
        <f t="shared" si="85"/>
        <v>1000</v>
      </c>
      <c r="AW79" s="74">
        <f t="shared" si="85"/>
        <v>1000</v>
      </c>
      <c r="AX79" s="74">
        <f t="shared" si="85"/>
        <v>1000</v>
      </c>
      <c r="AY79" s="74">
        <f t="shared" si="85"/>
        <v>1000</v>
      </c>
      <c r="AZ79" s="74">
        <f t="shared" si="85"/>
        <v>1000</v>
      </c>
      <c r="BA79" s="74">
        <f t="shared" si="85"/>
        <v>1000</v>
      </c>
      <c r="BB79" s="74">
        <f t="shared" si="85"/>
        <v>1000</v>
      </c>
      <c r="BC79" s="74">
        <f t="shared" si="85"/>
        <v>1000</v>
      </c>
      <c r="BD79" s="74">
        <f t="shared" si="85"/>
        <v>1000</v>
      </c>
      <c r="BE79" s="74">
        <f t="shared" si="85"/>
        <v>1000</v>
      </c>
    </row>
    <row r="80" spans="1:57" ht="13.5" customHeight="1">
      <c r="A80" s="619"/>
      <c r="B80" s="253"/>
      <c r="C80" s="258"/>
      <c r="D80" s="92" t="s">
        <v>203</v>
      </c>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93"/>
      <c r="AL80" s="74">
        <f t="shared" ref="AL80:BE80" si="86">AK80</f>
        <v>0</v>
      </c>
      <c r="AM80" s="74">
        <f t="shared" si="86"/>
        <v>0</v>
      </c>
      <c r="AN80" s="74">
        <f t="shared" si="86"/>
        <v>0</v>
      </c>
      <c r="AO80" s="74">
        <f t="shared" si="86"/>
        <v>0</v>
      </c>
      <c r="AP80" s="74">
        <f t="shared" si="86"/>
        <v>0</v>
      </c>
      <c r="AQ80" s="74">
        <f t="shared" si="86"/>
        <v>0</v>
      </c>
      <c r="AR80" s="74">
        <f t="shared" si="86"/>
        <v>0</v>
      </c>
      <c r="AS80" s="74">
        <f t="shared" si="86"/>
        <v>0</v>
      </c>
      <c r="AT80" s="74">
        <f t="shared" si="86"/>
        <v>0</v>
      </c>
      <c r="AU80" s="74">
        <f t="shared" si="86"/>
        <v>0</v>
      </c>
      <c r="AV80" s="74">
        <f t="shared" si="86"/>
        <v>0</v>
      </c>
      <c r="AW80" s="74">
        <f t="shared" si="86"/>
        <v>0</v>
      </c>
      <c r="AX80" s="74">
        <f t="shared" si="86"/>
        <v>0</v>
      </c>
      <c r="AY80" s="74">
        <f t="shared" si="86"/>
        <v>0</v>
      </c>
      <c r="AZ80" s="74">
        <f t="shared" si="86"/>
        <v>0</v>
      </c>
      <c r="BA80" s="74">
        <f t="shared" si="86"/>
        <v>0</v>
      </c>
      <c r="BB80" s="74">
        <f t="shared" si="86"/>
        <v>0</v>
      </c>
      <c r="BC80" s="74">
        <f t="shared" si="86"/>
        <v>0</v>
      </c>
      <c r="BD80" s="74">
        <f t="shared" si="86"/>
        <v>0</v>
      </c>
      <c r="BE80" s="74">
        <f t="shared" si="86"/>
        <v>0</v>
      </c>
    </row>
    <row r="81" spans="1:57" ht="13.5" customHeight="1">
      <c r="A81" s="85">
        <v>4</v>
      </c>
      <c r="B81" s="253"/>
      <c r="C81" s="258" t="s">
        <v>216</v>
      </c>
      <c r="D81" s="95" t="s">
        <v>210</v>
      </c>
      <c r="E81" s="96">
        <v>1770</v>
      </c>
      <c r="F81" s="96">
        <v>1770</v>
      </c>
      <c r="G81" s="96">
        <v>1770</v>
      </c>
      <c r="H81" s="96">
        <v>1770</v>
      </c>
      <c r="I81" s="96">
        <v>1770</v>
      </c>
      <c r="J81" s="96">
        <v>1770</v>
      </c>
      <c r="K81" s="96">
        <v>1770</v>
      </c>
      <c r="L81" s="96">
        <v>1770</v>
      </c>
      <c r="M81" s="96">
        <v>1770</v>
      </c>
      <c r="N81" s="96">
        <v>1770</v>
      </c>
      <c r="O81" s="96">
        <v>1770</v>
      </c>
      <c r="P81" s="96">
        <v>1770</v>
      </c>
      <c r="Q81" s="96">
        <v>1770</v>
      </c>
      <c r="R81" s="96">
        <v>1770</v>
      </c>
      <c r="S81" s="96">
        <v>1770</v>
      </c>
      <c r="T81" s="96">
        <v>1770</v>
      </c>
      <c r="U81" s="96">
        <v>1770</v>
      </c>
      <c r="V81" s="96">
        <v>1770</v>
      </c>
      <c r="W81" s="96">
        <v>1770</v>
      </c>
      <c r="X81" s="96">
        <v>1770</v>
      </c>
      <c r="Y81" s="96">
        <v>1770</v>
      </c>
      <c r="Z81" s="96">
        <v>1770</v>
      </c>
      <c r="AA81" s="96">
        <v>1770</v>
      </c>
      <c r="AB81" s="96">
        <v>1770</v>
      </c>
      <c r="AC81" s="96">
        <v>1770</v>
      </c>
      <c r="AD81" s="96">
        <v>1770</v>
      </c>
      <c r="AE81" s="96">
        <v>1770</v>
      </c>
      <c r="AF81" s="96">
        <v>1770</v>
      </c>
      <c r="AG81" s="96">
        <v>1770</v>
      </c>
      <c r="AH81" s="96">
        <v>1770</v>
      </c>
      <c r="AI81" s="96">
        <v>1770</v>
      </c>
      <c r="AJ81" s="96">
        <v>1770</v>
      </c>
      <c r="AK81" s="97">
        <v>1770</v>
      </c>
      <c r="AL81" s="74">
        <f t="shared" ref="AL81:BE81" si="87">AK81</f>
        <v>1770</v>
      </c>
      <c r="AM81" s="74">
        <f t="shared" si="87"/>
        <v>1770</v>
      </c>
      <c r="AN81" s="74">
        <f t="shared" si="87"/>
        <v>1770</v>
      </c>
      <c r="AO81" s="74">
        <f t="shared" si="87"/>
        <v>1770</v>
      </c>
      <c r="AP81" s="74">
        <f t="shared" si="87"/>
        <v>1770</v>
      </c>
      <c r="AQ81" s="74">
        <f t="shared" si="87"/>
        <v>1770</v>
      </c>
      <c r="AR81" s="74">
        <f t="shared" si="87"/>
        <v>1770</v>
      </c>
      <c r="AS81" s="74">
        <f t="shared" si="87"/>
        <v>1770</v>
      </c>
      <c r="AT81" s="74">
        <f t="shared" si="87"/>
        <v>1770</v>
      </c>
      <c r="AU81" s="74">
        <f t="shared" si="87"/>
        <v>1770</v>
      </c>
      <c r="AV81" s="74">
        <f t="shared" si="87"/>
        <v>1770</v>
      </c>
      <c r="AW81" s="74">
        <f t="shared" si="87"/>
        <v>1770</v>
      </c>
      <c r="AX81" s="74">
        <f t="shared" si="87"/>
        <v>1770</v>
      </c>
      <c r="AY81" s="74">
        <f t="shared" si="87"/>
        <v>1770</v>
      </c>
      <c r="AZ81" s="74">
        <f t="shared" si="87"/>
        <v>1770</v>
      </c>
      <c r="BA81" s="74">
        <f t="shared" si="87"/>
        <v>1770</v>
      </c>
      <c r="BB81" s="74">
        <f t="shared" si="87"/>
        <v>1770</v>
      </c>
      <c r="BC81" s="74">
        <f t="shared" si="87"/>
        <v>1770</v>
      </c>
      <c r="BD81" s="74">
        <f t="shared" si="87"/>
        <v>1770</v>
      </c>
      <c r="BE81" s="74">
        <f t="shared" si="87"/>
        <v>1770</v>
      </c>
    </row>
    <row r="82" spans="1:57" ht="13.5" customHeight="1">
      <c r="A82" s="619"/>
      <c r="B82" s="253"/>
      <c r="C82" s="258"/>
      <c r="D82" s="258"/>
      <c r="E82" s="258"/>
      <c r="F82" s="258"/>
      <c r="G82" s="258"/>
      <c r="H82" s="258"/>
      <c r="I82" s="258"/>
      <c r="J82" s="258"/>
      <c r="K82" s="258"/>
      <c r="L82" s="258"/>
      <c r="M82" s="258"/>
      <c r="N82" s="258"/>
      <c r="O82" s="258"/>
      <c r="P82" s="258"/>
      <c r="Q82" s="258"/>
      <c r="R82" s="258"/>
      <c r="S82" s="258"/>
      <c r="T82" s="258"/>
      <c r="U82" s="258"/>
      <c r="V82" s="258"/>
      <c r="W82" s="258"/>
      <c r="X82" s="258"/>
      <c r="Y82" s="258"/>
      <c r="Z82" s="258"/>
      <c r="AA82" s="258"/>
      <c r="AB82" s="258"/>
      <c r="AC82" s="258"/>
      <c r="AD82" s="258"/>
      <c r="AE82" s="258"/>
      <c r="AF82" s="258"/>
      <c r="AG82" s="258"/>
      <c r="AH82" s="258"/>
      <c r="AI82" s="258"/>
      <c r="AJ82" s="258"/>
      <c r="AK82" s="258"/>
      <c r="AL82" s="74">
        <f t="shared" ref="AL82:BE82" si="88">AK82</f>
        <v>0</v>
      </c>
      <c r="AM82" s="74">
        <f t="shared" si="88"/>
        <v>0</v>
      </c>
      <c r="AN82" s="74">
        <f t="shared" si="88"/>
        <v>0</v>
      </c>
      <c r="AO82" s="74">
        <f t="shared" si="88"/>
        <v>0</v>
      </c>
      <c r="AP82" s="74">
        <f t="shared" si="88"/>
        <v>0</v>
      </c>
      <c r="AQ82" s="74">
        <f t="shared" si="88"/>
        <v>0</v>
      </c>
      <c r="AR82" s="74">
        <f t="shared" si="88"/>
        <v>0</v>
      </c>
      <c r="AS82" s="74">
        <f t="shared" si="88"/>
        <v>0</v>
      </c>
      <c r="AT82" s="74">
        <f t="shared" si="88"/>
        <v>0</v>
      </c>
      <c r="AU82" s="74">
        <f t="shared" si="88"/>
        <v>0</v>
      </c>
      <c r="AV82" s="74">
        <f t="shared" si="88"/>
        <v>0</v>
      </c>
      <c r="AW82" s="74">
        <f t="shared" si="88"/>
        <v>0</v>
      </c>
      <c r="AX82" s="74">
        <f t="shared" si="88"/>
        <v>0</v>
      </c>
      <c r="AY82" s="74">
        <f t="shared" si="88"/>
        <v>0</v>
      </c>
      <c r="AZ82" s="74">
        <f t="shared" si="88"/>
        <v>0</v>
      </c>
      <c r="BA82" s="74">
        <f t="shared" si="88"/>
        <v>0</v>
      </c>
      <c r="BB82" s="74">
        <f t="shared" si="88"/>
        <v>0</v>
      </c>
      <c r="BC82" s="74">
        <f t="shared" si="88"/>
        <v>0</v>
      </c>
      <c r="BD82" s="74">
        <f t="shared" si="88"/>
        <v>0</v>
      </c>
      <c r="BE82" s="74">
        <f t="shared" si="88"/>
        <v>0</v>
      </c>
    </row>
    <row r="83" spans="1:57" ht="13.5" customHeight="1">
      <c r="A83" s="619"/>
      <c r="B83" s="253"/>
      <c r="C83" s="258"/>
      <c r="D83" s="258"/>
      <c r="E83" s="258"/>
      <c r="F83" s="258"/>
      <c r="G83" s="258"/>
      <c r="H83" s="258"/>
      <c r="I83" s="258"/>
      <c r="J83" s="258"/>
      <c r="K83" s="258"/>
      <c r="L83" s="258"/>
      <c r="M83" s="258"/>
      <c r="N83" s="258"/>
      <c r="O83" s="258"/>
      <c r="P83" s="258"/>
      <c r="Q83" s="258"/>
      <c r="R83" s="258"/>
      <c r="S83" s="258"/>
      <c r="T83" s="258"/>
      <c r="U83" s="258"/>
      <c r="V83" s="258"/>
      <c r="W83" s="258"/>
      <c r="X83" s="258"/>
      <c r="Y83" s="258"/>
      <c r="Z83" s="258"/>
      <c r="AA83" s="258"/>
      <c r="AB83" s="258"/>
      <c r="AC83" s="258"/>
      <c r="AD83" s="258"/>
      <c r="AE83" s="258"/>
      <c r="AF83" s="258"/>
      <c r="AG83" s="258"/>
      <c r="AH83" s="258"/>
      <c r="AI83" s="258"/>
      <c r="AJ83" s="258"/>
      <c r="AK83" s="258"/>
      <c r="AL83" s="74">
        <f t="shared" ref="AL83:BE83" si="89">AK83</f>
        <v>0</v>
      </c>
      <c r="AM83" s="74">
        <f t="shared" si="89"/>
        <v>0</v>
      </c>
      <c r="AN83" s="74">
        <f t="shared" si="89"/>
        <v>0</v>
      </c>
      <c r="AO83" s="74">
        <f t="shared" si="89"/>
        <v>0</v>
      </c>
      <c r="AP83" s="74">
        <f t="shared" si="89"/>
        <v>0</v>
      </c>
      <c r="AQ83" s="74">
        <f t="shared" si="89"/>
        <v>0</v>
      </c>
      <c r="AR83" s="74">
        <f t="shared" si="89"/>
        <v>0</v>
      </c>
      <c r="AS83" s="74">
        <f t="shared" si="89"/>
        <v>0</v>
      </c>
      <c r="AT83" s="74">
        <f t="shared" si="89"/>
        <v>0</v>
      </c>
      <c r="AU83" s="74">
        <f t="shared" si="89"/>
        <v>0</v>
      </c>
      <c r="AV83" s="74">
        <f t="shared" si="89"/>
        <v>0</v>
      </c>
      <c r="AW83" s="74">
        <f t="shared" si="89"/>
        <v>0</v>
      </c>
      <c r="AX83" s="74">
        <f t="shared" si="89"/>
        <v>0</v>
      </c>
      <c r="AY83" s="74">
        <f t="shared" si="89"/>
        <v>0</v>
      </c>
      <c r="AZ83" s="74">
        <f t="shared" si="89"/>
        <v>0</v>
      </c>
      <c r="BA83" s="74">
        <f t="shared" si="89"/>
        <v>0</v>
      </c>
      <c r="BB83" s="74">
        <f t="shared" si="89"/>
        <v>0</v>
      </c>
      <c r="BC83" s="74">
        <f t="shared" si="89"/>
        <v>0</v>
      </c>
      <c r="BD83" s="74">
        <f t="shared" si="89"/>
        <v>0</v>
      </c>
      <c r="BE83" s="74">
        <f t="shared" si="89"/>
        <v>0</v>
      </c>
    </row>
    <row r="84" spans="1:57" ht="13.5" customHeight="1">
      <c r="A84" s="619"/>
      <c r="B84" s="253"/>
      <c r="C84" s="258"/>
      <c r="D84" s="258"/>
      <c r="E84" s="258"/>
      <c r="F84" s="258"/>
      <c r="G84" s="258"/>
      <c r="H84" s="258"/>
      <c r="I84" s="258"/>
      <c r="J84" s="258"/>
      <c r="K84" s="258"/>
      <c r="L84" s="258"/>
      <c r="M84" s="258"/>
      <c r="N84" s="258"/>
      <c r="O84" s="258"/>
      <c r="P84" s="258"/>
      <c r="Q84" s="258"/>
      <c r="R84" s="258"/>
      <c r="S84" s="258"/>
      <c r="T84" s="258"/>
      <c r="U84" s="258"/>
      <c r="V84" s="258"/>
      <c r="W84" s="258"/>
      <c r="X84" s="258"/>
      <c r="Y84" s="258"/>
      <c r="Z84" s="258"/>
      <c r="AA84" s="258"/>
      <c r="AB84" s="258"/>
      <c r="AC84" s="258"/>
      <c r="AD84" s="258"/>
      <c r="AE84" s="258"/>
      <c r="AF84" s="258"/>
      <c r="AG84" s="258"/>
      <c r="AH84" s="258"/>
      <c r="AI84" s="258"/>
      <c r="AJ84" s="258"/>
      <c r="AK84" s="258"/>
      <c r="AL84" s="74">
        <f t="shared" ref="AL84:BE84" si="90">AK84</f>
        <v>0</v>
      </c>
      <c r="AM84" s="74">
        <f t="shared" si="90"/>
        <v>0</v>
      </c>
      <c r="AN84" s="74">
        <f t="shared" si="90"/>
        <v>0</v>
      </c>
      <c r="AO84" s="74">
        <f t="shared" si="90"/>
        <v>0</v>
      </c>
      <c r="AP84" s="74">
        <f t="shared" si="90"/>
        <v>0</v>
      </c>
      <c r="AQ84" s="74">
        <f t="shared" si="90"/>
        <v>0</v>
      </c>
      <c r="AR84" s="74">
        <f t="shared" si="90"/>
        <v>0</v>
      </c>
      <c r="AS84" s="74">
        <f t="shared" si="90"/>
        <v>0</v>
      </c>
      <c r="AT84" s="74">
        <f t="shared" si="90"/>
        <v>0</v>
      </c>
      <c r="AU84" s="74">
        <f t="shared" si="90"/>
        <v>0</v>
      </c>
      <c r="AV84" s="74">
        <f t="shared" si="90"/>
        <v>0</v>
      </c>
      <c r="AW84" s="74">
        <f t="shared" si="90"/>
        <v>0</v>
      </c>
      <c r="AX84" s="74">
        <f t="shared" si="90"/>
        <v>0</v>
      </c>
      <c r="AY84" s="74">
        <f t="shared" si="90"/>
        <v>0</v>
      </c>
      <c r="AZ84" s="74">
        <f t="shared" si="90"/>
        <v>0</v>
      </c>
      <c r="BA84" s="74">
        <f t="shared" si="90"/>
        <v>0</v>
      </c>
      <c r="BB84" s="74">
        <f t="shared" si="90"/>
        <v>0</v>
      </c>
      <c r="BC84" s="74">
        <f t="shared" si="90"/>
        <v>0</v>
      </c>
      <c r="BD84" s="74">
        <f t="shared" si="90"/>
        <v>0</v>
      </c>
      <c r="BE84" s="74">
        <f t="shared" si="90"/>
        <v>0</v>
      </c>
    </row>
    <row r="85" spans="1:57" ht="13.5" customHeight="1">
      <c r="A85" s="619"/>
      <c r="B85" s="253"/>
      <c r="C85" s="258"/>
      <c r="D85" s="258"/>
      <c r="E85" s="258"/>
      <c r="F85" s="258"/>
      <c r="G85" s="258"/>
      <c r="H85" s="258"/>
      <c r="I85" s="258"/>
      <c r="J85" s="258"/>
      <c r="K85" s="258"/>
      <c r="L85" s="258"/>
      <c r="M85" s="258"/>
      <c r="N85" s="258"/>
      <c r="O85" s="258"/>
      <c r="P85" s="258"/>
      <c r="Q85" s="258"/>
      <c r="R85" s="258"/>
      <c r="S85" s="258"/>
      <c r="T85" s="258"/>
      <c r="U85" s="258"/>
      <c r="V85" s="258"/>
      <c r="W85" s="258"/>
      <c r="X85" s="258"/>
      <c r="Y85" s="258"/>
      <c r="Z85" s="258"/>
      <c r="AA85" s="258"/>
      <c r="AB85" s="258"/>
      <c r="AC85" s="258"/>
      <c r="AD85" s="258"/>
      <c r="AE85" s="258"/>
      <c r="AF85" s="258"/>
      <c r="AG85" s="258"/>
      <c r="AH85" s="258"/>
      <c r="AI85" s="258"/>
      <c r="AJ85" s="258"/>
      <c r="AK85" s="258"/>
      <c r="AL85" s="74">
        <f t="shared" ref="AL85:BE85" si="91">AK85</f>
        <v>0</v>
      </c>
      <c r="AM85" s="74">
        <f t="shared" si="91"/>
        <v>0</v>
      </c>
      <c r="AN85" s="74">
        <f t="shared" si="91"/>
        <v>0</v>
      </c>
      <c r="AO85" s="74">
        <f t="shared" si="91"/>
        <v>0</v>
      </c>
      <c r="AP85" s="74">
        <f t="shared" si="91"/>
        <v>0</v>
      </c>
      <c r="AQ85" s="74">
        <f t="shared" si="91"/>
        <v>0</v>
      </c>
      <c r="AR85" s="74">
        <f t="shared" si="91"/>
        <v>0</v>
      </c>
      <c r="AS85" s="74">
        <f t="shared" si="91"/>
        <v>0</v>
      </c>
      <c r="AT85" s="74">
        <f t="shared" si="91"/>
        <v>0</v>
      </c>
      <c r="AU85" s="74">
        <f t="shared" si="91"/>
        <v>0</v>
      </c>
      <c r="AV85" s="74">
        <f t="shared" si="91"/>
        <v>0</v>
      </c>
      <c r="AW85" s="74">
        <f t="shared" si="91"/>
        <v>0</v>
      </c>
      <c r="AX85" s="74">
        <f t="shared" si="91"/>
        <v>0</v>
      </c>
      <c r="AY85" s="74">
        <f t="shared" si="91"/>
        <v>0</v>
      </c>
      <c r="AZ85" s="74">
        <f t="shared" si="91"/>
        <v>0</v>
      </c>
      <c r="BA85" s="74">
        <f t="shared" si="91"/>
        <v>0</v>
      </c>
      <c r="BB85" s="74">
        <f t="shared" si="91"/>
        <v>0</v>
      </c>
      <c r="BC85" s="74">
        <f t="shared" si="91"/>
        <v>0</v>
      </c>
      <c r="BD85" s="74">
        <f t="shared" si="91"/>
        <v>0</v>
      </c>
      <c r="BE85" s="74">
        <f t="shared" si="91"/>
        <v>0</v>
      </c>
    </row>
    <row r="86" spans="1:57" ht="13.5" customHeight="1">
      <c r="A86" s="619"/>
      <c r="B86" s="253"/>
      <c r="C86" s="258"/>
      <c r="D86" s="65"/>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7"/>
      <c r="AL86" s="74">
        <f t="shared" ref="AL86:BE86" si="92">AK86</f>
        <v>0</v>
      </c>
      <c r="AM86" s="74">
        <f t="shared" si="92"/>
        <v>0</v>
      </c>
      <c r="AN86" s="74">
        <f t="shared" si="92"/>
        <v>0</v>
      </c>
      <c r="AO86" s="74">
        <f t="shared" si="92"/>
        <v>0</v>
      </c>
      <c r="AP86" s="74">
        <f t="shared" si="92"/>
        <v>0</v>
      </c>
      <c r="AQ86" s="74">
        <f t="shared" si="92"/>
        <v>0</v>
      </c>
      <c r="AR86" s="74">
        <f t="shared" si="92"/>
        <v>0</v>
      </c>
      <c r="AS86" s="74">
        <f t="shared" si="92"/>
        <v>0</v>
      </c>
      <c r="AT86" s="74">
        <f t="shared" si="92"/>
        <v>0</v>
      </c>
      <c r="AU86" s="74">
        <f t="shared" si="92"/>
        <v>0</v>
      </c>
      <c r="AV86" s="74">
        <f t="shared" si="92"/>
        <v>0</v>
      </c>
      <c r="AW86" s="74">
        <f t="shared" si="92"/>
        <v>0</v>
      </c>
      <c r="AX86" s="74">
        <f t="shared" si="92"/>
        <v>0</v>
      </c>
      <c r="AY86" s="74">
        <f t="shared" si="92"/>
        <v>0</v>
      </c>
      <c r="AZ86" s="74">
        <f t="shared" si="92"/>
        <v>0</v>
      </c>
      <c r="BA86" s="74">
        <f t="shared" si="92"/>
        <v>0</v>
      </c>
      <c r="BB86" s="74">
        <f t="shared" si="92"/>
        <v>0</v>
      </c>
      <c r="BC86" s="74">
        <f t="shared" si="92"/>
        <v>0</v>
      </c>
      <c r="BD86" s="74">
        <f t="shared" si="92"/>
        <v>0</v>
      </c>
      <c r="BE86" s="74">
        <f t="shared" si="92"/>
        <v>0</v>
      </c>
    </row>
    <row r="87" spans="1:57" ht="13.5" customHeight="1">
      <c r="A87" s="619"/>
      <c r="B87" s="253"/>
      <c r="C87" s="258"/>
      <c r="D87" s="68" t="s">
        <v>559</v>
      </c>
      <c r="E87" s="376"/>
      <c r="F87" s="376"/>
      <c r="G87" s="376"/>
      <c r="H87" s="376"/>
      <c r="I87" s="376"/>
      <c r="J87" s="376"/>
      <c r="K87" s="376"/>
      <c r="L87" s="376"/>
      <c r="M87" s="376"/>
      <c r="N87" s="376"/>
      <c r="O87" s="376"/>
      <c r="P87" s="376"/>
      <c r="Q87" s="376"/>
      <c r="R87" s="376"/>
      <c r="S87" s="376"/>
      <c r="T87" s="376"/>
      <c r="U87" s="376"/>
      <c r="V87" s="376"/>
      <c r="W87" s="376"/>
      <c r="X87" s="376"/>
      <c r="Y87" s="376"/>
      <c r="Z87" s="376"/>
      <c r="AA87" s="376"/>
      <c r="AB87" s="376"/>
      <c r="AC87" s="376"/>
      <c r="AD87" s="376"/>
      <c r="AE87" s="376"/>
      <c r="AF87" s="376"/>
      <c r="AG87" s="376"/>
      <c r="AH87" s="376"/>
      <c r="AI87" s="376"/>
      <c r="AJ87" s="376"/>
      <c r="AK87" s="69"/>
      <c r="AL87" s="74">
        <f t="shared" ref="AL87:BE87" si="93">AK87</f>
        <v>0</v>
      </c>
      <c r="AM87" s="74">
        <f t="shared" si="93"/>
        <v>0</v>
      </c>
      <c r="AN87" s="74">
        <f t="shared" si="93"/>
        <v>0</v>
      </c>
      <c r="AO87" s="74">
        <f t="shared" si="93"/>
        <v>0</v>
      </c>
      <c r="AP87" s="74">
        <f t="shared" si="93"/>
        <v>0</v>
      </c>
      <c r="AQ87" s="74">
        <f t="shared" si="93"/>
        <v>0</v>
      </c>
      <c r="AR87" s="74">
        <f t="shared" si="93"/>
        <v>0</v>
      </c>
      <c r="AS87" s="74">
        <f t="shared" si="93"/>
        <v>0</v>
      </c>
      <c r="AT87" s="74">
        <f t="shared" si="93"/>
        <v>0</v>
      </c>
      <c r="AU87" s="74">
        <f t="shared" si="93"/>
        <v>0</v>
      </c>
      <c r="AV87" s="74">
        <f t="shared" si="93"/>
        <v>0</v>
      </c>
      <c r="AW87" s="74">
        <f t="shared" si="93"/>
        <v>0</v>
      </c>
      <c r="AX87" s="74">
        <f t="shared" si="93"/>
        <v>0</v>
      </c>
      <c r="AY87" s="74">
        <f t="shared" si="93"/>
        <v>0</v>
      </c>
      <c r="AZ87" s="74">
        <f t="shared" si="93"/>
        <v>0</v>
      </c>
      <c r="BA87" s="74">
        <f t="shared" si="93"/>
        <v>0</v>
      </c>
      <c r="BB87" s="74">
        <f t="shared" si="93"/>
        <v>0</v>
      </c>
      <c r="BC87" s="74">
        <f t="shared" si="93"/>
        <v>0</v>
      </c>
      <c r="BD87" s="74">
        <f t="shared" si="93"/>
        <v>0</v>
      </c>
      <c r="BE87" s="74">
        <f t="shared" si="93"/>
        <v>0</v>
      </c>
    </row>
    <row r="88" spans="1:57" ht="13.5" customHeight="1">
      <c r="A88" s="619"/>
      <c r="B88" s="253"/>
      <c r="C88" s="258"/>
      <c r="D88" s="70"/>
      <c r="E88" s="376"/>
      <c r="F88" s="376"/>
      <c r="G88" s="376"/>
      <c r="H88" s="376"/>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69"/>
      <c r="AL88" s="74">
        <f t="shared" ref="AL88:BE88" si="94">AK88</f>
        <v>0</v>
      </c>
      <c r="AM88" s="74">
        <f t="shared" si="94"/>
        <v>0</v>
      </c>
      <c r="AN88" s="74">
        <f t="shared" si="94"/>
        <v>0</v>
      </c>
      <c r="AO88" s="74">
        <f t="shared" si="94"/>
        <v>0</v>
      </c>
      <c r="AP88" s="74">
        <f t="shared" si="94"/>
        <v>0</v>
      </c>
      <c r="AQ88" s="74">
        <f t="shared" si="94"/>
        <v>0</v>
      </c>
      <c r="AR88" s="74">
        <f t="shared" si="94"/>
        <v>0</v>
      </c>
      <c r="AS88" s="74">
        <f t="shared" si="94"/>
        <v>0</v>
      </c>
      <c r="AT88" s="74">
        <f t="shared" si="94"/>
        <v>0</v>
      </c>
      <c r="AU88" s="74">
        <f t="shared" si="94"/>
        <v>0</v>
      </c>
      <c r="AV88" s="74">
        <f t="shared" si="94"/>
        <v>0</v>
      </c>
      <c r="AW88" s="74">
        <f t="shared" si="94"/>
        <v>0</v>
      </c>
      <c r="AX88" s="74">
        <f t="shared" si="94"/>
        <v>0</v>
      </c>
      <c r="AY88" s="74">
        <f t="shared" si="94"/>
        <v>0</v>
      </c>
      <c r="AZ88" s="74">
        <f t="shared" si="94"/>
        <v>0</v>
      </c>
      <c r="BA88" s="74">
        <f t="shared" si="94"/>
        <v>0</v>
      </c>
      <c r="BB88" s="74">
        <f t="shared" si="94"/>
        <v>0</v>
      </c>
      <c r="BC88" s="74">
        <f t="shared" si="94"/>
        <v>0</v>
      </c>
      <c r="BD88" s="74">
        <f t="shared" si="94"/>
        <v>0</v>
      </c>
      <c r="BE88" s="74">
        <f t="shared" si="94"/>
        <v>0</v>
      </c>
    </row>
    <row r="89" spans="1:57" ht="13.5" customHeight="1">
      <c r="A89" s="619"/>
      <c r="B89" s="253"/>
      <c r="C89" s="258"/>
      <c r="D89" s="68" t="s">
        <v>553</v>
      </c>
      <c r="E89" s="376"/>
      <c r="F89" s="376"/>
      <c r="G89" s="376"/>
      <c r="H89" s="376"/>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69"/>
      <c r="AL89" s="74">
        <f t="shared" ref="AL89:BE89" si="95">AK89</f>
        <v>0</v>
      </c>
      <c r="AM89" s="74">
        <f t="shared" si="95"/>
        <v>0</v>
      </c>
      <c r="AN89" s="74">
        <f t="shared" si="95"/>
        <v>0</v>
      </c>
      <c r="AO89" s="74">
        <f t="shared" si="95"/>
        <v>0</v>
      </c>
      <c r="AP89" s="74">
        <f t="shared" si="95"/>
        <v>0</v>
      </c>
      <c r="AQ89" s="74">
        <f t="shared" si="95"/>
        <v>0</v>
      </c>
      <c r="AR89" s="74">
        <f t="shared" si="95"/>
        <v>0</v>
      </c>
      <c r="AS89" s="74">
        <f t="shared" si="95"/>
        <v>0</v>
      </c>
      <c r="AT89" s="74">
        <f t="shared" si="95"/>
        <v>0</v>
      </c>
      <c r="AU89" s="74">
        <f t="shared" si="95"/>
        <v>0</v>
      </c>
      <c r="AV89" s="74">
        <f t="shared" si="95"/>
        <v>0</v>
      </c>
      <c r="AW89" s="74">
        <f t="shared" si="95"/>
        <v>0</v>
      </c>
      <c r="AX89" s="74">
        <f t="shared" si="95"/>
        <v>0</v>
      </c>
      <c r="AY89" s="74">
        <f t="shared" si="95"/>
        <v>0</v>
      </c>
      <c r="AZ89" s="74">
        <f t="shared" si="95"/>
        <v>0</v>
      </c>
      <c r="BA89" s="74">
        <f t="shared" si="95"/>
        <v>0</v>
      </c>
      <c r="BB89" s="74">
        <f t="shared" si="95"/>
        <v>0</v>
      </c>
      <c r="BC89" s="74">
        <f t="shared" si="95"/>
        <v>0</v>
      </c>
      <c r="BD89" s="74">
        <f t="shared" si="95"/>
        <v>0</v>
      </c>
      <c r="BE89" s="74">
        <f t="shared" si="95"/>
        <v>0</v>
      </c>
    </row>
    <row r="90" spans="1:57" ht="13.5" customHeight="1">
      <c r="A90" s="619"/>
      <c r="B90" s="253"/>
      <c r="C90" s="258"/>
      <c r="D90" s="71"/>
      <c r="E90" s="376"/>
      <c r="F90" s="376"/>
      <c r="G90" s="376"/>
      <c r="H90" s="376"/>
      <c r="I90" s="376"/>
      <c r="J90" s="376"/>
      <c r="K90" s="376"/>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69"/>
      <c r="AL90" s="74">
        <f t="shared" ref="AL90:BE90" si="96">AK90</f>
        <v>0</v>
      </c>
      <c r="AM90" s="74">
        <f t="shared" si="96"/>
        <v>0</v>
      </c>
      <c r="AN90" s="74">
        <f t="shared" si="96"/>
        <v>0</v>
      </c>
      <c r="AO90" s="74">
        <f t="shared" si="96"/>
        <v>0</v>
      </c>
      <c r="AP90" s="74">
        <f t="shared" si="96"/>
        <v>0</v>
      </c>
      <c r="AQ90" s="74">
        <f t="shared" si="96"/>
        <v>0</v>
      </c>
      <c r="AR90" s="74">
        <f t="shared" si="96"/>
        <v>0</v>
      </c>
      <c r="AS90" s="74">
        <f t="shared" si="96"/>
        <v>0</v>
      </c>
      <c r="AT90" s="74">
        <f t="shared" si="96"/>
        <v>0</v>
      </c>
      <c r="AU90" s="74">
        <f t="shared" si="96"/>
        <v>0</v>
      </c>
      <c r="AV90" s="74">
        <f t="shared" si="96"/>
        <v>0</v>
      </c>
      <c r="AW90" s="74">
        <f t="shared" si="96"/>
        <v>0</v>
      </c>
      <c r="AX90" s="74">
        <f t="shared" si="96"/>
        <v>0</v>
      </c>
      <c r="AY90" s="74">
        <f t="shared" si="96"/>
        <v>0</v>
      </c>
      <c r="AZ90" s="74">
        <f t="shared" si="96"/>
        <v>0</v>
      </c>
      <c r="BA90" s="74">
        <f t="shared" si="96"/>
        <v>0</v>
      </c>
      <c r="BB90" s="74">
        <f t="shared" si="96"/>
        <v>0</v>
      </c>
      <c r="BC90" s="74">
        <f t="shared" si="96"/>
        <v>0</v>
      </c>
      <c r="BD90" s="74">
        <f t="shared" si="96"/>
        <v>0</v>
      </c>
      <c r="BE90" s="74">
        <f t="shared" si="96"/>
        <v>0</v>
      </c>
    </row>
    <row r="91" spans="1:57" ht="13.5" customHeight="1">
      <c r="A91" s="619"/>
      <c r="B91" s="253"/>
      <c r="C91" s="258"/>
      <c r="D91" s="72" t="s">
        <v>131</v>
      </c>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4"/>
      <c r="AL91" s="74">
        <f t="shared" ref="AL91:BE91" si="97">AK91</f>
        <v>0</v>
      </c>
      <c r="AM91" s="74">
        <f t="shared" si="97"/>
        <v>0</v>
      </c>
      <c r="AN91" s="74">
        <f t="shared" si="97"/>
        <v>0</v>
      </c>
      <c r="AO91" s="74">
        <f t="shared" si="97"/>
        <v>0</v>
      </c>
      <c r="AP91" s="74">
        <f t="shared" si="97"/>
        <v>0</v>
      </c>
      <c r="AQ91" s="74">
        <f t="shared" si="97"/>
        <v>0</v>
      </c>
      <c r="AR91" s="74">
        <f t="shared" si="97"/>
        <v>0</v>
      </c>
      <c r="AS91" s="74">
        <f t="shared" si="97"/>
        <v>0</v>
      </c>
      <c r="AT91" s="74">
        <f t="shared" si="97"/>
        <v>0</v>
      </c>
      <c r="AU91" s="74">
        <f t="shared" si="97"/>
        <v>0</v>
      </c>
      <c r="AV91" s="74">
        <f t="shared" si="97"/>
        <v>0</v>
      </c>
      <c r="AW91" s="74">
        <f t="shared" si="97"/>
        <v>0</v>
      </c>
      <c r="AX91" s="74">
        <f t="shared" si="97"/>
        <v>0</v>
      </c>
      <c r="AY91" s="74">
        <f t="shared" si="97"/>
        <v>0</v>
      </c>
      <c r="AZ91" s="74">
        <f t="shared" si="97"/>
        <v>0</v>
      </c>
      <c r="BA91" s="74">
        <f t="shared" si="97"/>
        <v>0</v>
      </c>
      <c r="BB91" s="74">
        <f t="shared" si="97"/>
        <v>0</v>
      </c>
      <c r="BC91" s="74">
        <f t="shared" si="97"/>
        <v>0</v>
      </c>
      <c r="BD91" s="74">
        <f t="shared" si="97"/>
        <v>0</v>
      </c>
      <c r="BE91" s="74">
        <f t="shared" si="97"/>
        <v>0</v>
      </c>
    </row>
    <row r="92" spans="1:57" ht="13.5" customHeight="1">
      <c r="A92" s="619"/>
      <c r="B92" s="253"/>
      <c r="C92" s="258"/>
      <c r="D92" s="75" t="s">
        <v>132</v>
      </c>
      <c r="E92" s="447"/>
      <c r="F92" s="447"/>
      <c r="G92" s="447"/>
      <c r="H92" s="447"/>
      <c r="I92" s="447"/>
      <c r="J92" s="447"/>
      <c r="K92" s="447"/>
      <c r="L92" s="447"/>
      <c r="M92" s="447"/>
      <c r="N92" s="447"/>
      <c r="O92" s="447"/>
      <c r="P92" s="447"/>
      <c r="Q92" s="447"/>
      <c r="R92" s="447"/>
      <c r="S92" s="447"/>
      <c r="T92" s="447"/>
      <c r="U92" s="447"/>
      <c r="V92" s="447"/>
      <c r="W92" s="447"/>
      <c r="X92" s="447"/>
      <c r="Y92" s="447"/>
      <c r="Z92" s="447"/>
      <c r="AA92" s="447"/>
      <c r="AB92" s="447"/>
      <c r="AC92" s="447"/>
      <c r="AD92" s="447"/>
      <c r="AE92" s="447"/>
      <c r="AF92" s="447"/>
      <c r="AG92" s="447"/>
      <c r="AH92" s="447"/>
      <c r="AI92" s="447"/>
      <c r="AJ92" s="447"/>
      <c r="AK92" s="76"/>
      <c r="AL92" s="74">
        <f t="shared" ref="AL92:BE92" si="98">AK92</f>
        <v>0</v>
      </c>
      <c r="AM92" s="74">
        <f t="shared" si="98"/>
        <v>0</v>
      </c>
      <c r="AN92" s="74">
        <f t="shared" si="98"/>
        <v>0</v>
      </c>
      <c r="AO92" s="74">
        <f t="shared" si="98"/>
        <v>0</v>
      </c>
      <c r="AP92" s="74">
        <f t="shared" si="98"/>
        <v>0</v>
      </c>
      <c r="AQ92" s="74">
        <f t="shared" si="98"/>
        <v>0</v>
      </c>
      <c r="AR92" s="74">
        <f t="shared" si="98"/>
        <v>0</v>
      </c>
      <c r="AS92" s="74">
        <f t="shared" si="98"/>
        <v>0</v>
      </c>
      <c r="AT92" s="74">
        <f t="shared" si="98"/>
        <v>0</v>
      </c>
      <c r="AU92" s="74">
        <f t="shared" si="98"/>
        <v>0</v>
      </c>
      <c r="AV92" s="74">
        <f t="shared" si="98"/>
        <v>0</v>
      </c>
      <c r="AW92" s="74">
        <f t="shared" si="98"/>
        <v>0</v>
      </c>
      <c r="AX92" s="74">
        <f t="shared" si="98"/>
        <v>0</v>
      </c>
      <c r="AY92" s="74">
        <f t="shared" si="98"/>
        <v>0</v>
      </c>
      <c r="AZ92" s="74">
        <f t="shared" si="98"/>
        <v>0</v>
      </c>
      <c r="BA92" s="74">
        <f t="shared" si="98"/>
        <v>0</v>
      </c>
      <c r="BB92" s="74">
        <f t="shared" si="98"/>
        <v>0</v>
      </c>
      <c r="BC92" s="74">
        <f t="shared" si="98"/>
        <v>0</v>
      </c>
      <c r="BD92" s="74">
        <f t="shared" si="98"/>
        <v>0</v>
      </c>
      <c r="BE92" s="74">
        <f t="shared" si="98"/>
        <v>0</v>
      </c>
    </row>
    <row r="93" spans="1:57" ht="13.5" customHeight="1">
      <c r="A93" s="619">
        <v>4</v>
      </c>
      <c r="B93" s="253"/>
      <c r="C93" s="258" t="s">
        <v>133</v>
      </c>
      <c r="D93" s="77" t="s">
        <v>134</v>
      </c>
      <c r="E93" s="376">
        <f>'Costos Sector Eléctrico'!E82</f>
        <v>95</v>
      </c>
      <c r="F93" s="376">
        <f>'Costos Sector Eléctrico'!F82</f>
        <v>95</v>
      </c>
      <c r="G93" s="376">
        <f>'Costos Sector Eléctrico'!G82</f>
        <v>95</v>
      </c>
      <c r="H93" s="376">
        <f>'Costos Sector Eléctrico'!H82</f>
        <v>95</v>
      </c>
      <c r="I93" s="376">
        <f>'Costos Sector Eléctrico'!I82</f>
        <v>95</v>
      </c>
      <c r="J93" s="376">
        <f>'Costos Sector Eléctrico'!J82</f>
        <v>95</v>
      </c>
      <c r="K93" s="376">
        <f>'Costos Sector Eléctrico'!K82</f>
        <v>95</v>
      </c>
      <c r="L93" s="376">
        <f>'Costos Sector Eléctrico'!L82</f>
        <v>91</v>
      </c>
      <c r="M93" s="376">
        <f>'Costos Sector Eléctrico'!M82</f>
        <v>91</v>
      </c>
      <c r="N93" s="376">
        <f>'Costos Sector Eléctrico'!N82</f>
        <v>91</v>
      </c>
      <c r="O93" s="376">
        <f>'Costos Sector Eléctrico'!O82</f>
        <v>91</v>
      </c>
      <c r="P93" s="376">
        <f>'Costos Sector Eléctrico'!P82</f>
        <v>91</v>
      </c>
      <c r="Q93" s="376">
        <f>'Costos Sector Eléctrico'!Q82</f>
        <v>88</v>
      </c>
      <c r="R93" s="376">
        <f>'Costos Sector Eléctrico'!R82</f>
        <v>88</v>
      </c>
      <c r="S93" s="376">
        <f>'Costos Sector Eléctrico'!S82</f>
        <v>88</v>
      </c>
      <c r="T93" s="376">
        <f>'Costos Sector Eléctrico'!T82</f>
        <v>88</v>
      </c>
      <c r="U93" s="376">
        <f>'Costos Sector Eléctrico'!U82</f>
        <v>88</v>
      </c>
      <c r="V93" s="376">
        <f>'Costos Sector Eléctrico'!V82</f>
        <v>87</v>
      </c>
      <c r="W93" s="376">
        <f>'Costos Sector Eléctrico'!W82</f>
        <v>87</v>
      </c>
      <c r="X93" s="376">
        <f>'Costos Sector Eléctrico'!X82</f>
        <v>87</v>
      </c>
      <c r="Y93" s="376">
        <f>'Costos Sector Eléctrico'!Y82</f>
        <v>87</v>
      </c>
      <c r="Z93" s="376">
        <f>'Costos Sector Eléctrico'!Z82</f>
        <v>87</v>
      </c>
      <c r="AA93" s="376">
        <f>'Costos Sector Eléctrico'!AA82</f>
        <v>86</v>
      </c>
      <c r="AB93" s="376">
        <f>'Costos Sector Eléctrico'!AB82</f>
        <v>86</v>
      </c>
      <c r="AC93" s="376">
        <f>'Costos Sector Eléctrico'!AC82</f>
        <v>86</v>
      </c>
      <c r="AD93" s="376">
        <f>'Costos Sector Eléctrico'!AD82</f>
        <v>86</v>
      </c>
      <c r="AE93" s="376">
        <f>'Costos Sector Eléctrico'!AE82</f>
        <v>86</v>
      </c>
      <c r="AF93" s="376">
        <f>'Costos Sector Eléctrico'!AF82</f>
        <v>85</v>
      </c>
      <c r="AG93" s="376">
        <f>'Costos Sector Eléctrico'!AG82</f>
        <v>85</v>
      </c>
      <c r="AH93" s="376">
        <f>'Costos Sector Eléctrico'!AH82</f>
        <v>85</v>
      </c>
      <c r="AI93" s="376">
        <f>'Costos Sector Eléctrico'!AI82</f>
        <v>85</v>
      </c>
      <c r="AJ93" s="376">
        <f>'Costos Sector Eléctrico'!AJ82</f>
        <v>85</v>
      </c>
      <c r="AK93" s="69">
        <f>'Costos Sector Eléctrico'!AK82</f>
        <v>84</v>
      </c>
      <c r="AL93" s="74">
        <f t="shared" ref="AL93:BE93" si="99">AK93</f>
        <v>84</v>
      </c>
      <c r="AM93" s="74">
        <f t="shared" si="99"/>
        <v>84</v>
      </c>
      <c r="AN93" s="74">
        <f t="shared" si="99"/>
        <v>84</v>
      </c>
      <c r="AO93" s="74">
        <f t="shared" si="99"/>
        <v>84</v>
      </c>
      <c r="AP93" s="74">
        <f t="shared" si="99"/>
        <v>84</v>
      </c>
      <c r="AQ93" s="74">
        <f t="shared" si="99"/>
        <v>84</v>
      </c>
      <c r="AR93" s="74">
        <f t="shared" si="99"/>
        <v>84</v>
      </c>
      <c r="AS93" s="74">
        <f t="shared" si="99"/>
        <v>84</v>
      </c>
      <c r="AT93" s="74">
        <f t="shared" si="99"/>
        <v>84</v>
      </c>
      <c r="AU93" s="74">
        <f t="shared" si="99"/>
        <v>84</v>
      </c>
      <c r="AV93" s="74">
        <f t="shared" si="99"/>
        <v>84</v>
      </c>
      <c r="AW93" s="74">
        <f t="shared" si="99"/>
        <v>84</v>
      </c>
      <c r="AX93" s="74">
        <f t="shared" si="99"/>
        <v>84</v>
      </c>
      <c r="AY93" s="74">
        <f t="shared" si="99"/>
        <v>84</v>
      </c>
      <c r="AZ93" s="74">
        <f t="shared" si="99"/>
        <v>84</v>
      </c>
      <c r="BA93" s="74">
        <f t="shared" si="99"/>
        <v>84</v>
      </c>
      <c r="BB93" s="74">
        <f t="shared" si="99"/>
        <v>84</v>
      </c>
      <c r="BC93" s="74">
        <f t="shared" si="99"/>
        <v>84</v>
      </c>
      <c r="BD93" s="74">
        <f t="shared" si="99"/>
        <v>84</v>
      </c>
      <c r="BE93" s="74">
        <f t="shared" si="99"/>
        <v>84</v>
      </c>
    </row>
    <row r="94" spans="1:57" ht="13.5" customHeight="1">
      <c r="A94" s="619">
        <v>4</v>
      </c>
      <c r="B94" s="253"/>
      <c r="C94" s="258" t="s">
        <v>135</v>
      </c>
      <c r="D94" s="78" t="s">
        <v>136</v>
      </c>
      <c r="E94" s="453">
        <f>'Costos Sector Eléctrico'!E86</f>
        <v>37.950000000000003</v>
      </c>
      <c r="F94" s="453">
        <f>'Costos Sector Eléctrico'!F86</f>
        <v>37.950000000000003</v>
      </c>
      <c r="G94" s="453">
        <f>'Costos Sector Eléctrico'!G86</f>
        <v>34.29</v>
      </c>
      <c r="H94" s="453">
        <f>'Costos Sector Eléctrico'!H86</f>
        <v>34.29</v>
      </c>
      <c r="I94" s="453">
        <f>'Costos Sector Eléctrico'!I86</f>
        <v>34.29</v>
      </c>
      <c r="J94" s="453">
        <f>'Costos Sector Eléctrico'!J86</f>
        <v>34.29</v>
      </c>
      <c r="K94" s="453">
        <f>'Costos Sector Eléctrico'!K86</f>
        <v>34.29</v>
      </c>
      <c r="L94" s="453">
        <f>'Costos Sector Eléctrico'!L86</f>
        <v>30.65</v>
      </c>
      <c r="M94" s="453">
        <f>'Costos Sector Eléctrico'!M86</f>
        <v>30.65</v>
      </c>
      <c r="N94" s="453">
        <f>'Costos Sector Eléctrico'!N86</f>
        <v>30.65</v>
      </c>
      <c r="O94" s="453">
        <f>'Costos Sector Eléctrico'!O86</f>
        <v>30.65</v>
      </c>
      <c r="P94" s="453">
        <f>'Costos Sector Eléctrico'!P86</f>
        <v>30.65</v>
      </c>
      <c r="Q94" s="453">
        <f>'Costos Sector Eléctrico'!Q86</f>
        <v>27</v>
      </c>
      <c r="R94" s="453">
        <f>'Costos Sector Eléctrico'!R86</f>
        <v>27</v>
      </c>
      <c r="S94" s="453">
        <f>'Costos Sector Eléctrico'!S86</f>
        <v>27</v>
      </c>
      <c r="T94" s="453">
        <f>'Costos Sector Eléctrico'!T86</f>
        <v>27</v>
      </c>
      <c r="U94" s="453">
        <f>'Costos Sector Eléctrico'!U86</f>
        <v>27</v>
      </c>
      <c r="V94" s="453">
        <f>'Costos Sector Eléctrico'!V86</f>
        <v>24.59</v>
      </c>
      <c r="W94" s="453">
        <f>'Costos Sector Eléctrico'!W86</f>
        <v>24.59</v>
      </c>
      <c r="X94" s="453">
        <f>'Costos Sector Eléctrico'!X86</f>
        <v>24.59</v>
      </c>
      <c r="Y94" s="453">
        <f>'Costos Sector Eléctrico'!Y86</f>
        <v>24.59</v>
      </c>
      <c r="Z94" s="453">
        <f>'Costos Sector Eléctrico'!Z86</f>
        <v>24.59</v>
      </c>
      <c r="AA94" s="453">
        <f>'Costos Sector Eléctrico'!AA86</f>
        <v>22.19</v>
      </c>
      <c r="AB94" s="453">
        <f>'Costos Sector Eléctrico'!AB86</f>
        <v>22.19</v>
      </c>
      <c r="AC94" s="453">
        <f>'Costos Sector Eléctrico'!AC86</f>
        <v>22.19</v>
      </c>
      <c r="AD94" s="453">
        <f>'Costos Sector Eléctrico'!AD86</f>
        <v>22.19</v>
      </c>
      <c r="AE94" s="453">
        <f>'Costos Sector Eléctrico'!AE86</f>
        <v>22.19</v>
      </c>
      <c r="AF94" s="453">
        <f>'Costos Sector Eléctrico'!AF86</f>
        <v>19.78</v>
      </c>
      <c r="AG94" s="453">
        <f>'Costos Sector Eléctrico'!AG86</f>
        <v>19.78</v>
      </c>
      <c r="AH94" s="453">
        <f>'Costos Sector Eléctrico'!AH86</f>
        <v>19.78</v>
      </c>
      <c r="AI94" s="453">
        <f>'Costos Sector Eléctrico'!AI86</f>
        <v>19.78</v>
      </c>
      <c r="AJ94" s="453">
        <f>'Costos Sector Eléctrico'!AJ86</f>
        <v>19.78</v>
      </c>
      <c r="AK94" s="98">
        <f>'Costos Sector Eléctrico'!AK86</f>
        <v>17.37</v>
      </c>
      <c r="AL94" s="74">
        <f t="shared" ref="AL94:BE94" si="100">AK94</f>
        <v>17.37</v>
      </c>
      <c r="AM94" s="74">
        <f t="shared" si="100"/>
        <v>17.37</v>
      </c>
      <c r="AN94" s="74">
        <f t="shared" si="100"/>
        <v>17.37</v>
      </c>
      <c r="AO94" s="74">
        <f t="shared" si="100"/>
        <v>17.37</v>
      </c>
      <c r="AP94" s="74">
        <f t="shared" si="100"/>
        <v>17.37</v>
      </c>
      <c r="AQ94" s="74">
        <f t="shared" si="100"/>
        <v>17.37</v>
      </c>
      <c r="AR94" s="74">
        <f t="shared" si="100"/>
        <v>17.37</v>
      </c>
      <c r="AS94" s="74">
        <f t="shared" si="100"/>
        <v>17.37</v>
      </c>
      <c r="AT94" s="74">
        <f t="shared" si="100"/>
        <v>17.37</v>
      </c>
      <c r="AU94" s="74">
        <f t="shared" si="100"/>
        <v>17.37</v>
      </c>
      <c r="AV94" s="74">
        <f t="shared" si="100"/>
        <v>17.37</v>
      </c>
      <c r="AW94" s="74">
        <f t="shared" si="100"/>
        <v>17.37</v>
      </c>
      <c r="AX94" s="74">
        <f t="shared" si="100"/>
        <v>17.37</v>
      </c>
      <c r="AY94" s="74">
        <f t="shared" si="100"/>
        <v>17.37</v>
      </c>
      <c r="AZ94" s="74">
        <f t="shared" si="100"/>
        <v>17.37</v>
      </c>
      <c r="BA94" s="74">
        <f t="shared" si="100"/>
        <v>17.37</v>
      </c>
      <c r="BB94" s="74">
        <f t="shared" si="100"/>
        <v>17.37</v>
      </c>
      <c r="BC94" s="74">
        <f t="shared" si="100"/>
        <v>17.37</v>
      </c>
      <c r="BD94" s="74">
        <f t="shared" si="100"/>
        <v>17.37</v>
      </c>
      <c r="BE94" s="74">
        <f t="shared" si="100"/>
        <v>17.37</v>
      </c>
    </row>
    <row r="95" spans="1:57" ht="13.5" customHeight="1">
      <c r="A95" s="619"/>
      <c r="B95" s="253"/>
      <c r="C95" s="258"/>
      <c r="D95" s="78" t="s">
        <v>137</v>
      </c>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81"/>
      <c r="AL95" s="74">
        <f t="shared" ref="AL95:BE95" si="101">AK95</f>
        <v>0</v>
      </c>
      <c r="AM95" s="74">
        <f t="shared" si="101"/>
        <v>0</v>
      </c>
      <c r="AN95" s="74">
        <f t="shared" si="101"/>
        <v>0</v>
      </c>
      <c r="AO95" s="74">
        <f t="shared" si="101"/>
        <v>0</v>
      </c>
      <c r="AP95" s="74">
        <f t="shared" si="101"/>
        <v>0</v>
      </c>
      <c r="AQ95" s="74">
        <f t="shared" si="101"/>
        <v>0</v>
      </c>
      <c r="AR95" s="74">
        <f t="shared" si="101"/>
        <v>0</v>
      </c>
      <c r="AS95" s="74">
        <f t="shared" si="101"/>
        <v>0</v>
      </c>
      <c r="AT95" s="74">
        <f t="shared" si="101"/>
        <v>0</v>
      </c>
      <c r="AU95" s="74">
        <f t="shared" si="101"/>
        <v>0</v>
      </c>
      <c r="AV95" s="74">
        <f t="shared" si="101"/>
        <v>0</v>
      </c>
      <c r="AW95" s="74">
        <f t="shared" si="101"/>
        <v>0</v>
      </c>
      <c r="AX95" s="74">
        <f t="shared" si="101"/>
        <v>0</v>
      </c>
      <c r="AY95" s="74">
        <f t="shared" si="101"/>
        <v>0</v>
      </c>
      <c r="AZ95" s="74">
        <f t="shared" si="101"/>
        <v>0</v>
      </c>
      <c r="BA95" s="74">
        <f t="shared" si="101"/>
        <v>0</v>
      </c>
      <c r="BB95" s="74">
        <f t="shared" si="101"/>
        <v>0</v>
      </c>
      <c r="BC95" s="74">
        <f t="shared" si="101"/>
        <v>0</v>
      </c>
      <c r="BD95" s="74">
        <f t="shared" si="101"/>
        <v>0</v>
      </c>
      <c r="BE95" s="74">
        <f t="shared" si="101"/>
        <v>0</v>
      </c>
    </row>
    <row r="96" spans="1:57" ht="13.5" customHeight="1">
      <c r="A96" s="619"/>
      <c r="B96" s="253"/>
      <c r="C96" s="258"/>
      <c r="D96" s="75" t="s">
        <v>138</v>
      </c>
      <c r="E96" s="447"/>
      <c r="F96" s="447"/>
      <c r="G96" s="447"/>
      <c r="H96" s="447"/>
      <c r="I96" s="447"/>
      <c r="J96" s="447"/>
      <c r="K96" s="447"/>
      <c r="L96" s="447"/>
      <c r="M96" s="447"/>
      <c r="N96" s="447"/>
      <c r="O96" s="447"/>
      <c r="P96" s="447"/>
      <c r="Q96" s="447"/>
      <c r="R96" s="447"/>
      <c r="S96" s="447"/>
      <c r="T96" s="447"/>
      <c r="U96" s="447"/>
      <c r="V96" s="447"/>
      <c r="W96" s="447"/>
      <c r="X96" s="447"/>
      <c r="Y96" s="447"/>
      <c r="Z96" s="447"/>
      <c r="AA96" s="447"/>
      <c r="AB96" s="447"/>
      <c r="AC96" s="447"/>
      <c r="AD96" s="447"/>
      <c r="AE96" s="447"/>
      <c r="AF96" s="447"/>
      <c r="AG96" s="447"/>
      <c r="AH96" s="447"/>
      <c r="AI96" s="447"/>
      <c r="AJ96" s="447"/>
      <c r="AK96" s="76"/>
      <c r="AL96" s="74">
        <f t="shared" ref="AL96:BE96" si="102">AK96</f>
        <v>0</v>
      </c>
      <c r="AM96" s="74">
        <f t="shared" si="102"/>
        <v>0</v>
      </c>
      <c r="AN96" s="74">
        <f t="shared" si="102"/>
        <v>0</v>
      </c>
      <c r="AO96" s="74">
        <f t="shared" si="102"/>
        <v>0</v>
      </c>
      <c r="AP96" s="74">
        <f t="shared" si="102"/>
        <v>0</v>
      </c>
      <c r="AQ96" s="74">
        <f t="shared" si="102"/>
        <v>0</v>
      </c>
      <c r="AR96" s="74">
        <f t="shared" si="102"/>
        <v>0</v>
      </c>
      <c r="AS96" s="74">
        <f t="shared" si="102"/>
        <v>0</v>
      </c>
      <c r="AT96" s="74">
        <f t="shared" si="102"/>
        <v>0</v>
      </c>
      <c r="AU96" s="74">
        <f t="shared" si="102"/>
        <v>0</v>
      </c>
      <c r="AV96" s="74">
        <f t="shared" si="102"/>
        <v>0</v>
      </c>
      <c r="AW96" s="74">
        <f t="shared" si="102"/>
        <v>0</v>
      </c>
      <c r="AX96" s="74">
        <f t="shared" si="102"/>
        <v>0</v>
      </c>
      <c r="AY96" s="74">
        <f t="shared" si="102"/>
        <v>0</v>
      </c>
      <c r="AZ96" s="74">
        <f t="shared" si="102"/>
        <v>0</v>
      </c>
      <c r="BA96" s="74">
        <f t="shared" si="102"/>
        <v>0</v>
      </c>
      <c r="BB96" s="74">
        <f t="shared" si="102"/>
        <v>0</v>
      </c>
      <c r="BC96" s="74">
        <f t="shared" si="102"/>
        <v>0</v>
      </c>
      <c r="BD96" s="74">
        <f t="shared" si="102"/>
        <v>0</v>
      </c>
      <c r="BE96" s="74">
        <f t="shared" si="102"/>
        <v>0</v>
      </c>
    </row>
    <row r="97" spans="1:57" ht="13.5" customHeight="1">
      <c r="A97" s="619">
        <v>4</v>
      </c>
      <c r="B97" s="253"/>
      <c r="C97" s="258" t="s">
        <v>165</v>
      </c>
      <c r="D97" s="77" t="s">
        <v>172</v>
      </c>
      <c r="E97" s="376" t="str">
        <f>'Costos Sector Eléctrico'!E91</f>
        <v>-</v>
      </c>
      <c r="F97" s="376" t="str">
        <f>'Costos Sector Eléctrico'!F91</f>
        <v>-</v>
      </c>
      <c r="G97" s="376" t="str">
        <f>'Costos Sector Eléctrico'!G91</f>
        <v>-</v>
      </c>
      <c r="H97" s="376" t="str">
        <f>'Costos Sector Eléctrico'!H91</f>
        <v>-</v>
      </c>
      <c r="I97" s="376" t="str">
        <f>'Costos Sector Eléctrico'!I91</f>
        <v>-</v>
      </c>
      <c r="J97" s="376" t="str">
        <f>'Costos Sector Eléctrico'!J91</f>
        <v>-</v>
      </c>
      <c r="K97" s="376" t="str">
        <f>'Costos Sector Eléctrico'!K91</f>
        <v>-</v>
      </c>
      <c r="L97" s="376" t="str">
        <f>'Costos Sector Eléctrico'!L91</f>
        <v>-</v>
      </c>
      <c r="M97" s="376" t="str">
        <f>'Costos Sector Eléctrico'!M91</f>
        <v>-</v>
      </c>
      <c r="N97" s="376" t="str">
        <f>'Costos Sector Eléctrico'!N91</f>
        <v>-</v>
      </c>
      <c r="O97" s="376" t="str">
        <f>'Costos Sector Eléctrico'!O91</f>
        <v>-</v>
      </c>
      <c r="P97" s="376" t="str">
        <f>'Costos Sector Eléctrico'!P91</f>
        <v>-</v>
      </c>
      <c r="Q97" s="376" t="str">
        <f>'Costos Sector Eléctrico'!Q91</f>
        <v>-</v>
      </c>
      <c r="R97" s="376" t="str">
        <f>'Costos Sector Eléctrico'!R91</f>
        <v>-</v>
      </c>
      <c r="S97" s="376" t="str">
        <f>'Costos Sector Eléctrico'!S91</f>
        <v>-</v>
      </c>
      <c r="T97" s="376" t="str">
        <f>'Costos Sector Eléctrico'!T91</f>
        <v>-</v>
      </c>
      <c r="U97" s="376" t="str">
        <f>'Costos Sector Eléctrico'!U91</f>
        <v>-</v>
      </c>
      <c r="V97" s="376" t="str">
        <f>'Costos Sector Eléctrico'!V91</f>
        <v>-</v>
      </c>
      <c r="W97" s="376" t="str">
        <f>'Costos Sector Eléctrico'!W91</f>
        <v>-</v>
      </c>
      <c r="X97" s="376" t="str">
        <f>'Costos Sector Eléctrico'!X91</f>
        <v>-</v>
      </c>
      <c r="Y97" s="376" t="str">
        <f>'Costos Sector Eléctrico'!Y91</f>
        <v>-</v>
      </c>
      <c r="Z97" s="376" t="str">
        <f>'Costos Sector Eléctrico'!Z91</f>
        <v>-</v>
      </c>
      <c r="AA97" s="376" t="str">
        <f>'Costos Sector Eléctrico'!AA91</f>
        <v>-</v>
      </c>
      <c r="AB97" s="376" t="str">
        <f>'Costos Sector Eléctrico'!AB91</f>
        <v>-</v>
      </c>
      <c r="AC97" s="376" t="str">
        <f>'Costos Sector Eléctrico'!AC91</f>
        <v>-</v>
      </c>
      <c r="AD97" s="376" t="str">
        <f>'Costos Sector Eléctrico'!AD91</f>
        <v>-</v>
      </c>
      <c r="AE97" s="376" t="str">
        <f>'Costos Sector Eléctrico'!AE91</f>
        <v>-</v>
      </c>
      <c r="AF97" s="376" t="str">
        <f>'Costos Sector Eléctrico'!AF91</f>
        <v>-</v>
      </c>
      <c r="AG97" s="376" t="str">
        <f>'Costos Sector Eléctrico'!AG91</f>
        <v>-</v>
      </c>
      <c r="AH97" s="376" t="str">
        <f>'Costos Sector Eléctrico'!AH91</f>
        <v>-</v>
      </c>
      <c r="AI97" s="376" t="str">
        <f>'Costos Sector Eléctrico'!AI91</f>
        <v>-</v>
      </c>
      <c r="AJ97" s="376" t="str">
        <f>'Costos Sector Eléctrico'!AJ91</f>
        <v>-</v>
      </c>
      <c r="AK97" s="69" t="str">
        <f>'Costos Sector Eléctrico'!AK91</f>
        <v>-</v>
      </c>
      <c r="AL97" s="74" t="str">
        <f t="shared" ref="AL97:BE97" si="103">AK97</f>
        <v>-</v>
      </c>
      <c r="AM97" s="74" t="str">
        <f t="shared" si="103"/>
        <v>-</v>
      </c>
      <c r="AN97" s="74" t="str">
        <f t="shared" si="103"/>
        <v>-</v>
      </c>
      <c r="AO97" s="74" t="str">
        <f t="shared" si="103"/>
        <v>-</v>
      </c>
      <c r="AP97" s="74" t="str">
        <f t="shared" si="103"/>
        <v>-</v>
      </c>
      <c r="AQ97" s="74" t="str">
        <f t="shared" si="103"/>
        <v>-</v>
      </c>
      <c r="AR97" s="74" t="str">
        <f t="shared" si="103"/>
        <v>-</v>
      </c>
      <c r="AS97" s="74" t="str">
        <f t="shared" si="103"/>
        <v>-</v>
      </c>
      <c r="AT97" s="74" t="str">
        <f t="shared" si="103"/>
        <v>-</v>
      </c>
      <c r="AU97" s="74" t="str">
        <f t="shared" si="103"/>
        <v>-</v>
      </c>
      <c r="AV97" s="74" t="str">
        <f t="shared" si="103"/>
        <v>-</v>
      </c>
      <c r="AW97" s="74" t="str">
        <f t="shared" si="103"/>
        <v>-</v>
      </c>
      <c r="AX97" s="74" t="str">
        <f t="shared" si="103"/>
        <v>-</v>
      </c>
      <c r="AY97" s="74" t="str">
        <f t="shared" si="103"/>
        <v>-</v>
      </c>
      <c r="AZ97" s="74" t="str">
        <f t="shared" si="103"/>
        <v>-</v>
      </c>
      <c r="BA97" s="74" t="str">
        <f t="shared" si="103"/>
        <v>-</v>
      </c>
      <c r="BB97" s="74" t="str">
        <f t="shared" si="103"/>
        <v>-</v>
      </c>
      <c r="BC97" s="74" t="str">
        <f t="shared" si="103"/>
        <v>-</v>
      </c>
      <c r="BD97" s="74" t="str">
        <f t="shared" si="103"/>
        <v>-</v>
      </c>
      <c r="BE97" s="74" t="str">
        <f t="shared" si="103"/>
        <v>-</v>
      </c>
    </row>
    <row r="98" spans="1:57" ht="13.5" customHeight="1">
      <c r="A98" s="619">
        <v>4</v>
      </c>
      <c r="B98" s="253"/>
      <c r="C98" s="258" t="s">
        <v>167</v>
      </c>
      <c r="D98" s="77" t="s">
        <v>174</v>
      </c>
      <c r="E98" s="376">
        <f>'Costos Sector Eléctrico'!E92</f>
        <v>63.33</v>
      </c>
      <c r="F98" s="376">
        <f>'Costos Sector Eléctrico'!F92</f>
        <v>63.33</v>
      </c>
      <c r="G98" s="376">
        <f>'Costos Sector Eléctrico'!G92</f>
        <v>63.33</v>
      </c>
      <c r="H98" s="376">
        <f>'Costos Sector Eléctrico'!H92</f>
        <v>63.33</v>
      </c>
      <c r="I98" s="376">
        <f>'Costos Sector Eléctrico'!I92</f>
        <v>63.33</v>
      </c>
      <c r="J98" s="376">
        <f>'Costos Sector Eléctrico'!J92</f>
        <v>63.33</v>
      </c>
      <c r="K98" s="376">
        <f>'Costos Sector Eléctrico'!K92</f>
        <v>63.33</v>
      </c>
      <c r="L98" s="376">
        <f>'Costos Sector Eléctrico'!L92</f>
        <v>63.33</v>
      </c>
      <c r="M98" s="376">
        <f>'Costos Sector Eléctrico'!M92</f>
        <v>63.33</v>
      </c>
      <c r="N98" s="376">
        <f>'Costos Sector Eléctrico'!N92</f>
        <v>63.33</v>
      </c>
      <c r="O98" s="376">
        <f>'Costos Sector Eléctrico'!O92</f>
        <v>63.33</v>
      </c>
      <c r="P98" s="376">
        <f>'Costos Sector Eléctrico'!P92</f>
        <v>63.33</v>
      </c>
      <c r="Q98" s="376">
        <f>'Costos Sector Eléctrico'!Q92</f>
        <v>63.33</v>
      </c>
      <c r="R98" s="376">
        <f>'Costos Sector Eléctrico'!R92</f>
        <v>63.33</v>
      </c>
      <c r="S98" s="376">
        <f>'Costos Sector Eléctrico'!S92</f>
        <v>63.33</v>
      </c>
      <c r="T98" s="376">
        <f>'Costos Sector Eléctrico'!T92</f>
        <v>63.33</v>
      </c>
      <c r="U98" s="376">
        <f>'Costos Sector Eléctrico'!U92</f>
        <v>63.33</v>
      </c>
      <c r="V98" s="376">
        <f>'Costos Sector Eléctrico'!V92</f>
        <v>63.33</v>
      </c>
      <c r="W98" s="376">
        <f>'Costos Sector Eléctrico'!W92</f>
        <v>63.33</v>
      </c>
      <c r="X98" s="376">
        <f>'Costos Sector Eléctrico'!X92</f>
        <v>63.33</v>
      </c>
      <c r="Y98" s="376">
        <f>'Costos Sector Eléctrico'!Y92</f>
        <v>63.33</v>
      </c>
      <c r="Z98" s="376">
        <f>'Costos Sector Eléctrico'!Z92</f>
        <v>63.33</v>
      </c>
      <c r="AA98" s="376">
        <f>'Costos Sector Eléctrico'!AA92</f>
        <v>63.33</v>
      </c>
      <c r="AB98" s="376">
        <f>'Costos Sector Eléctrico'!AB92</f>
        <v>63.33</v>
      </c>
      <c r="AC98" s="376">
        <f>'Costos Sector Eléctrico'!AC92</f>
        <v>63.33</v>
      </c>
      <c r="AD98" s="376">
        <f>'Costos Sector Eléctrico'!AD92</f>
        <v>63.33</v>
      </c>
      <c r="AE98" s="376">
        <f>'Costos Sector Eléctrico'!AE92</f>
        <v>63.33</v>
      </c>
      <c r="AF98" s="376">
        <f>'Costos Sector Eléctrico'!AF92</f>
        <v>63.33</v>
      </c>
      <c r="AG98" s="376">
        <f>'Costos Sector Eléctrico'!AG92</f>
        <v>63.33</v>
      </c>
      <c r="AH98" s="376">
        <f>'Costos Sector Eléctrico'!AH92</f>
        <v>63.33</v>
      </c>
      <c r="AI98" s="376">
        <f>'Costos Sector Eléctrico'!AI92</f>
        <v>63.33</v>
      </c>
      <c r="AJ98" s="376">
        <f>'Costos Sector Eléctrico'!AJ92</f>
        <v>63.33</v>
      </c>
      <c r="AK98" s="69">
        <f>'Costos Sector Eléctrico'!AK92</f>
        <v>63.33</v>
      </c>
      <c r="AL98" s="74">
        <f t="shared" ref="AL98:BE98" si="104">AK98</f>
        <v>63.33</v>
      </c>
      <c r="AM98" s="74">
        <f t="shared" si="104"/>
        <v>63.33</v>
      </c>
      <c r="AN98" s="74">
        <f t="shared" si="104"/>
        <v>63.33</v>
      </c>
      <c r="AO98" s="74">
        <f t="shared" si="104"/>
        <v>63.33</v>
      </c>
      <c r="AP98" s="74">
        <f t="shared" si="104"/>
        <v>63.33</v>
      </c>
      <c r="AQ98" s="74">
        <f t="shared" si="104"/>
        <v>63.33</v>
      </c>
      <c r="AR98" s="74">
        <f t="shared" si="104"/>
        <v>63.33</v>
      </c>
      <c r="AS98" s="74">
        <f t="shared" si="104"/>
        <v>63.33</v>
      </c>
      <c r="AT98" s="74">
        <f t="shared" si="104"/>
        <v>63.33</v>
      </c>
      <c r="AU98" s="74">
        <f t="shared" si="104"/>
        <v>63.33</v>
      </c>
      <c r="AV98" s="74">
        <f t="shared" si="104"/>
        <v>63.33</v>
      </c>
      <c r="AW98" s="74">
        <f t="shared" si="104"/>
        <v>63.33</v>
      </c>
      <c r="AX98" s="74">
        <f t="shared" si="104"/>
        <v>63.33</v>
      </c>
      <c r="AY98" s="74">
        <f t="shared" si="104"/>
        <v>63.33</v>
      </c>
      <c r="AZ98" s="74">
        <f t="shared" si="104"/>
        <v>63.33</v>
      </c>
      <c r="BA98" s="74">
        <f t="shared" si="104"/>
        <v>63.33</v>
      </c>
      <c r="BB98" s="74">
        <f t="shared" si="104"/>
        <v>63.33</v>
      </c>
      <c r="BC98" s="74">
        <f t="shared" si="104"/>
        <v>63.33</v>
      </c>
      <c r="BD98" s="74">
        <f t="shared" si="104"/>
        <v>63.33</v>
      </c>
      <c r="BE98" s="74">
        <f t="shared" si="104"/>
        <v>63.33</v>
      </c>
    </row>
    <row r="99" spans="1:57" ht="13.5" customHeight="1">
      <c r="A99" s="619">
        <v>4</v>
      </c>
      <c r="B99" s="253"/>
      <c r="C99" s="258" t="s">
        <v>169</v>
      </c>
      <c r="D99" s="77" t="s">
        <v>176</v>
      </c>
      <c r="E99" s="376">
        <f>'Costos Sector Eléctrico'!E93</f>
        <v>42</v>
      </c>
      <c r="F99" s="376">
        <f>'Costos Sector Eléctrico'!F93</f>
        <v>42</v>
      </c>
      <c r="G99" s="376">
        <f>'Costos Sector Eléctrico'!G93</f>
        <v>42</v>
      </c>
      <c r="H99" s="376">
        <f>'Costos Sector Eléctrico'!H93</f>
        <v>42</v>
      </c>
      <c r="I99" s="376">
        <f>'Costos Sector Eléctrico'!I93</f>
        <v>42</v>
      </c>
      <c r="J99" s="376">
        <f>'Costos Sector Eléctrico'!J93</f>
        <v>42</v>
      </c>
      <c r="K99" s="376">
        <f>'Costos Sector Eléctrico'!K93</f>
        <v>42</v>
      </c>
      <c r="L99" s="376">
        <f>'Costos Sector Eléctrico'!L93</f>
        <v>42</v>
      </c>
      <c r="M99" s="376">
        <f>'Costos Sector Eléctrico'!M93</f>
        <v>42</v>
      </c>
      <c r="N99" s="376">
        <f>'Costos Sector Eléctrico'!N93</f>
        <v>42</v>
      </c>
      <c r="O99" s="376">
        <f>'Costos Sector Eléctrico'!O93</f>
        <v>42</v>
      </c>
      <c r="P99" s="376">
        <f>'Costos Sector Eléctrico'!P93</f>
        <v>42</v>
      </c>
      <c r="Q99" s="376">
        <f>'Costos Sector Eléctrico'!Q93</f>
        <v>42</v>
      </c>
      <c r="R99" s="376">
        <f>'Costos Sector Eléctrico'!R93</f>
        <v>42</v>
      </c>
      <c r="S99" s="376">
        <f>'Costos Sector Eléctrico'!S93</f>
        <v>42</v>
      </c>
      <c r="T99" s="376">
        <f>'Costos Sector Eléctrico'!T93</f>
        <v>42</v>
      </c>
      <c r="U99" s="376">
        <f>'Costos Sector Eléctrico'!U93</f>
        <v>42</v>
      </c>
      <c r="V99" s="376">
        <f>'Costos Sector Eléctrico'!V93</f>
        <v>42</v>
      </c>
      <c r="W99" s="376">
        <f>'Costos Sector Eléctrico'!W93</f>
        <v>42</v>
      </c>
      <c r="X99" s="376">
        <f>'Costos Sector Eléctrico'!X93</f>
        <v>42</v>
      </c>
      <c r="Y99" s="376">
        <f>'Costos Sector Eléctrico'!Y93</f>
        <v>42</v>
      </c>
      <c r="Z99" s="376">
        <f>'Costos Sector Eléctrico'!Z93</f>
        <v>42</v>
      </c>
      <c r="AA99" s="376">
        <f>'Costos Sector Eléctrico'!AA93</f>
        <v>42</v>
      </c>
      <c r="AB99" s="376">
        <f>'Costos Sector Eléctrico'!AB93</f>
        <v>42</v>
      </c>
      <c r="AC99" s="376">
        <f>'Costos Sector Eléctrico'!AC93</f>
        <v>42</v>
      </c>
      <c r="AD99" s="376">
        <f>'Costos Sector Eléctrico'!AD93</f>
        <v>42</v>
      </c>
      <c r="AE99" s="376">
        <f>'Costos Sector Eléctrico'!AE93</f>
        <v>42</v>
      </c>
      <c r="AF99" s="376">
        <f>'Costos Sector Eléctrico'!AF93</f>
        <v>42</v>
      </c>
      <c r="AG99" s="376">
        <f>'Costos Sector Eléctrico'!AG93</f>
        <v>42</v>
      </c>
      <c r="AH99" s="376">
        <f>'Costos Sector Eléctrico'!AH93</f>
        <v>42</v>
      </c>
      <c r="AI99" s="376">
        <f>'Costos Sector Eléctrico'!AI93</f>
        <v>42</v>
      </c>
      <c r="AJ99" s="376">
        <f>'Costos Sector Eléctrico'!AJ93</f>
        <v>42</v>
      </c>
      <c r="AK99" s="69">
        <f>'Costos Sector Eléctrico'!AK93</f>
        <v>42</v>
      </c>
      <c r="AL99" s="74">
        <f t="shared" ref="AL99:BE99" si="105">AK99</f>
        <v>42</v>
      </c>
      <c r="AM99" s="74">
        <f t="shared" si="105"/>
        <v>42</v>
      </c>
      <c r="AN99" s="74">
        <f t="shared" si="105"/>
        <v>42</v>
      </c>
      <c r="AO99" s="74">
        <f t="shared" si="105"/>
        <v>42</v>
      </c>
      <c r="AP99" s="74">
        <f t="shared" si="105"/>
        <v>42</v>
      </c>
      <c r="AQ99" s="74">
        <f t="shared" si="105"/>
        <v>42</v>
      </c>
      <c r="AR99" s="74">
        <f t="shared" si="105"/>
        <v>42</v>
      </c>
      <c r="AS99" s="74">
        <f t="shared" si="105"/>
        <v>42</v>
      </c>
      <c r="AT99" s="74">
        <f t="shared" si="105"/>
        <v>42</v>
      </c>
      <c r="AU99" s="74">
        <f t="shared" si="105"/>
        <v>42</v>
      </c>
      <c r="AV99" s="74">
        <f t="shared" si="105"/>
        <v>42</v>
      </c>
      <c r="AW99" s="74">
        <f t="shared" si="105"/>
        <v>42</v>
      </c>
      <c r="AX99" s="74">
        <f t="shared" si="105"/>
        <v>42</v>
      </c>
      <c r="AY99" s="74">
        <f t="shared" si="105"/>
        <v>42</v>
      </c>
      <c r="AZ99" s="74">
        <f t="shared" si="105"/>
        <v>42</v>
      </c>
      <c r="BA99" s="74">
        <f t="shared" si="105"/>
        <v>42</v>
      </c>
      <c r="BB99" s="74">
        <f t="shared" si="105"/>
        <v>42</v>
      </c>
      <c r="BC99" s="74">
        <f t="shared" si="105"/>
        <v>42</v>
      </c>
      <c r="BD99" s="74">
        <f t="shared" si="105"/>
        <v>42</v>
      </c>
      <c r="BE99" s="74">
        <f t="shared" si="105"/>
        <v>42</v>
      </c>
    </row>
    <row r="100" spans="1:57" ht="13.5" customHeight="1">
      <c r="A100" s="619">
        <v>4</v>
      </c>
      <c r="B100" s="253"/>
      <c r="C100" s="258" t="s">
        <v>171</v>
      </c>
      <c r="D100" s="77" t="s">
        <v>166</v>
      </c>
      <c r="E100" s="376" t="str">
        <f>'Costos Sector Eléctrico'!E94</f>
        <v>-</v>
      </c>
      <c r="F100" s="376" t="str">
        <f>'Costos Sector Eléctrico'!F94</f>
        <v>-</v>
      </c>
      <c r="G100" s="376" t="str">
        <f>'Costos Sector Eléctrico'!G94</f>
        <v>-</v>
      </c>
      <c r="H100" s="376" t="str">
        <f>'Costos Sector Eléctrico'!H94</f>
        <v>-</v>
      </c>
      <c r="I100" s="376" t="str">
        <f>'Costos Sector Eléctrico'!I94</f>
        <v>-</v>
      </c>
      <c r="J100" s="376" t="str">
        <f>'Costos Sector Eléctrico'!J94</f>
        <v>-</v>
      </c>
      <c r="K100" s="376" t="str">
        <f>'Costos Sector Eléctrico'!K94</f>
        <v>-</v>
      </c>
      <c r="L100" s="376" t="str">
        <f>'Costos Sector Eléctrico'!L94</f>
        <v>-</v>
      </c>
      <c r="M100" s="376" t="str">
        <f>'Costos Sector Eléctrico'!M94</f>
        <v>-</v>
      </c>
      <c r="N100" s="376" t="str">
        <f>'Costos Sector Eléctrico'!N94</f>
        <v>-</v>
      </c>
      <c r="O100" s="376" t="str">
        <f>'Costos Sector Eléctrico'!O94</f>
        <v>-</v>
      </c>
      <c r="P100" s="376" t="str">
        <f>'Costos Sector Eléctrico'!P94</f>
        <v>-</v>
      </c>
      <c r="Q100" s="376" t="str">
        <f>'Costos Sector Eléctrico'!Q94</f>
        <v>-</v>
      </c>
      <c r="R100" s="376" t="str">
        <f>'Costos Sector Eléctrico'!R94</f>
        <v>-</v>
      </c>
      <c r="S100" s="376" t="str">
        <f>'Costos Sector Eléctrico'!S94</f>
        <v>-</v>
      </c>
      <c r="T100" s="376" t="str">
        <f>'Costos Sector Eléctrico'!T94</f>
        <v>-</v>
      </c>
      <c r="U100" s="376" t="str">
        <f>'Costos Sector Eléctrico'!U94</f>
        <v>-</v>
      </c>
      <c r="V100" s="376" t="str">
        <f>'Costos Sector Eléctrico'!V94</f>
        <v>-</v>
      </c>
      <c r="W100" s="376" t="str">
        <f>'Costos Sector Eléctrico'!W94</f>
        <v>-</v>
      </c>
      <c r="X100" s="376" t="str">
        <f>'Costos Sector Eléctrico'!X94</f>
        <v>-</v>
      </c>
      <c r="Y100" s="376" t="str">
        <f>'Costos Sector Eléctrico'!Y94</f>
        <v>-</v>
      </c>
      <c r="Z100" s="376" t="str">
        <f>'Costos Sector Eléctrico'!Z94</f>
        <v>-</v>
      </c>
      <c r="AA100" s="376" t="str">
        <f>'Costos Sector Eléctrico'!AA94</f>
        <v>-</v>
      </c>
      <c r="AB100" s="376" t="str">
        <f>'Costos Sector Eléctrico'!AB94</f>
        <v>-</v>
      </c>
      <c r="AC100" s="376" t="str">
        <f>'Costos Sector Eléctrico'!AC94</f>
        <v>-</v>
      </c>
      <c r="AD100" s="376" t="str">
        <f>'Costos Sector Eléctrico'!AD94</f>
        <v>-</v>
      </c>
      <c r="AE100" s="376" t="str">
        <f>'Costos Sector Eléctrico'!AE94</f>
        <v>-</v>
      </c>
      <c r="AF100" s="376" t="str">
        <f>'Costos Sector Eléctrico'!AF94</f>
        <v>-</v>
      </c>
      <c r="AG100" s="376" t="str">
        <f>'Costos Sector Eléctrico'!AG94</f>
        <v>-</v>
      </c>
      <c r="AH100" s="376" t="str">
        <f>'Costos Sector Eléctrico'!AH94</f>
        <v>-</v>
      </c>
      <c r="AI100" s="376" t="str">
        <f>'Costos Sector Eléctrico'!AI94</f>
        <v>-</v>
      </c>
      <c r="AJ100" s="376" t="str">
        <f>'Costos Sector Eléctrico'!AJ94</f>
        <v>-</v>
      </c>
      <c r="AK100" s="69" t="str">
        <f>'Costos Sector Eléctrico'!AK94</f>
        <v>-</v>
      </c>
      <c r="AL100" s="74" t="str">
        <f t="shared" ref="AL100:BE100" si="106">AK100</f>
        <v>-</v>
      </c>
      <c r="AM100" s="74" t="str">
        <f t="shared" si="106"/>
        <v>-</v>
      </c>
      <c r="AN100" s="74" t="str">
        <f t="shared" si="106"/>
        <v>-</v>
      </c>
      <c r="AO100" s="74" t="str">
        <f t="shared" si="106"/>
        <v>-</v>
      </c>
      <c r="AP100" s="74" t="str">
        <f t="shared" si="106"/>
        <v>-</v>
      </c>
      <c r="AQ100" s="74" t="str">
        <f t="shared" si="106"/>
        <v>-</v>
      </c>
      <c r="AR100" s="74" t="str">
        <f t="shared" si="106"/>
        <v>-</v>
      </c>
      <c r="AS100" s="74" t="str">
        <f t="shared" si="106"/>
        <v>-</v>
      </c>
      <c r="AT100" s="74" t="str">
        <f t="shared" si="106"/>
        <v>-</v>
      </c>
      <c r="AU100" s="74" t="str">
        <f t="shared" si="106"/>
        <v>-</v>
      </c>
      <c r="AV100" s="74" t="str">
        <f t="shared" si="106"/>
        <v>-</v>
      </c>
      <c r="AW100" s="74" t="str">
        <f t="shared" si="106"/>
        <v>-</v>
      </c>
      <c r="AX100" s="74" t="str">
        <f t="shared" si="106"/>
        <v>-</v>
      </c>
      <c r="AY100" s="74" t="str">
        <f t="shared" si="106"/>
        <v>-</v>
      </c>
      <c r="AZ100" s="74" t="str">
        <f t="shared" si="106"/>
        <v>-</v>
      </c>
      <c r="BA100" s="74" t="str">
        <f t="shared" si="106"/>
        <v>-</v>
      </c>
      <c r="BB100" s="74" t="str">
        <f t="shared" si="106"/>
        <v>-</v>
      </c>
      <c r="BC100" s="74" t="str">
        <f t="shared" si="106"/>
        <v>-</v>
      </c>
      <c r="BD100" s="74" t="str">
        <f t="shared" si="106"/>
        <v>-</v>
      </c>
      <c r="BE100" s="74" t="str">
        <f t="shared" si="106"/>
        <v>-</v>
      </c>
    </row>
    <row r="101" spans="1:57" ht="13.5" customHeight="1">
      <c r="A101" s="619">
        <v>4</v>
      </c>
      <c r="B101" s="253"/>
      <c r="C101" s="258" t="s">
        <v>173</v>
      </c>
      <c r="D101" s="77" t="s">
        <v>168</v>
      </c>
      <c r="E101" s="376">
        <f>'Costos Sector Eléctrico'!E95</f>
        <v>63.33</v>
      </c>
      <c r="F101" s="376">
        <f>'Costos Sector Eléctrico'!F95</f>
        <v>63.33</v>
      </c>
      <c r="G101" s="376">
        <f>'Costos Sector Eléctrico'!G95</f>
        <v>63.33</v>
      </c>
      <c r="H101" s="376">
        <f>'Costos Sector Eléctrico'!H95</f>
        <v>63.33</v>
      </c>
      <c r="I101" s="376">
        <f>'Costos Sector Eléctrico'!I95</f>
        <v>63.33</v>
      </c>
      <c r="J101" s="376">
        <f>'Costos Sector Eléctrico'!J95</f>
        <v>63.33</v>
      </c>
      <c r="K101" s="376">
        <f>'Costos Sector Eléctrico'!K95</f>
        <v>63.33</v>
      </c>
      <c r="L101" s="376">
        <f>'Costos Sector Eléctrico'!L95</f>
        <v>63.33</v>
      </c>
      <c r="M101" s="376">
        <f>'Costos Sector Eléctrico'!M95</f>
        <v>63.33</v>
      </c>
      <c r="N101" s="376">
        <f>'Costos Sector Eléctrico'!N95</f>
        <v>63.33</v>
      </c>
      <c r="O101" s="376">
        <f>'Costos Sector Eléctrico'!O95</f>
        <v>63.33</v>
      </c>
      <c r="P101" s="376">
        <f>'Costos Sector Eléctrico'!P95</f>
        <v>63.33</v>
      </c>
      <c r="Q101" s="376">
        <f>'Costos Sector Eléctrico'!Q95</f>
        <v>63.33</v>
      </c>
      <c r="R101" s="376">
        <f>'Costos Sector Eléctrico'!R95</f>
        <v>63.33</v>
      </c>
      <c r="S101" s="376">
        <f>'Costos Sector Eléctrico'!S95</f>
        <v>63.33</v>
      </c>
      <c r="T101" s="376">
        <f>'Costos Sector Eléctrico'!T95</f>
        <v>63.33</v>
      </c>
      <c r="U101" s="376">
        <f>'Costos Sector Eléctrico'!U95</f>
        <v>63.33</v>
      </c>
      <c r="V101" s="376">
        <f>'Costos Sector Eléctrico'!V95</f>
        <v>63.33</v>
      </c>
      <c r="W101" s="376">
        <f>'Costos Sector Eléctrico'!W95</f>
        <v>63.33</v>
      </c>
      <c r="X101" s="376">
        <f>'Costos Sector Eléctrico'!X95</f>
        <v>63.33</v>
      </c>
      <c r="Y101" s="376">
        <f>'Costos Sector Eléctrico'!Y95</f>
        <v>63.33</v>
      </c>
      <c r="Z101" s="376">
        <f>'Costos Sector Eléctrico'!Z95</f>
        <v>63.33</v>
      </c>
      <c r="AA101" s="376">
        <f>'Costos Sector Eléctrico'!AA95</f>
        <v>63.33</v>
      </c>
      <c r="AB101" s="376">
        <f>'Costos Sector Eléctrico'!AB95</f>
        <v>63.33</v>
      </c>
      <c r="AC101" s="376">
        <f>'Costos Sector Eléctrico'!AC95</f>
        <v>63.33</v>
      </c>
      <c r="AD101" s="376">
        <f>'Costos Sector Eléctrico'!AD95</f>
        <v>63.33</v>
      </c>
      <c r="AE101" s="376">
        <f>'Costos Sector Eléctrico'!AE95</f>
        <v>63.33</v>
      </c>
      <c r="AF101" s="376">
        <f>'Costos Sector Eléctrico'!AF95</f>
        <v>63.33</v>
      </c>
      <c r="AG101" s="376">
        <f>'Costos Sector Eléctrico'!AG95</f>
        <v>63.33</v>
      </c>
      <c r="AH101" s="376">
        <f>'Costos Sector Eléctrico'!AH95</f>
        <v>63.33</v>
      </c>
      <c r="AI101" s="376">
        <f>'Costos Sector Eléctrico'!AI95</f>
        <v>63.33</v>
      </c>
      <c r="AJ101" s="376">
        <f>'Costos Sector Eléctrico'!AJ95</f>
        <v>63.33</v>
      </c>
      <c r="AK101" s="69">
        <f>'Costos Sector Eléctrico'!AK95</f>
        <v>63.33</v>
      </c>
      <c r="AL101" s="74">
        <f t="shared" ref="AL101:BE101" si="107">AK101</f>
        <v>63.33</v>
      </c>
      <c r="AM101" s="74">
        <f t="shared" si="107"/>
        <v>63.33</v>
      </c>
      <c r="AN101" s="74">
        <f t="shared" si="107"/>
        <v>63.33</v>
      </c>
      <c r="AO101" s="74">
        <f t="shared" si="107"/>
        <v>63.33</v>
      </c>
      <c r="AP101" s="74">
        <f t="shared" si="107"/>
        <v>63.33</v>
      </c>
      <c r="AQ101" s="74">
        <f t="shared" si="107"/>
        <v>63.33</v>
      </c>
      <c r="AR101" s="74">
        <f t="shared" si="107"/>
        <v>63.33</v>
      </c>
      <c r="AS101" s="74">
        <f t="shared" si="107"/>
        <v>63.33</v>
      </c>
      <c r="AT101" s="74">
        <f t="shared" si="107"/>
        <v>63.33</v>
      </c>
      <c r="AU101" s="74">
        <f t="shared" si="107"/>
        <v>63.33</v>
      </c>
      <c r="AV101" s="74">
        <f t="shared" si="107"/>
        <v>63.33</v>
      </c>
      <c r="AW101" s="74">
        <f t="shared" si="107"/>
        <v>63.33</v>
      </c>
      <c r="AX101" s="74">
        <f t="shared" si="107"/>
        <v>63.33</v>
      </c>
      <c r="AY101" s="74">
        <f t="shared" si="107"/>
        <v>63.33</v>
      </c>
      <c r="AZ101" s="74">
        <f t="shared" si="107"/>
        <v>63.33</v>
      </c>
      <c r="BA101" s="74">
        <f t="shared" si="107"/>
        <v>63.33</v>
      </c>
      <c r="BB101" s="74">
        <f t="shared" si="107"/>
        <v>63.33</v>
      </c>
      <c r="BC101" s="74">
        <f t="shared" si="107"/>
        <v>63.33</v>
      </c>
      <c r="BD101" s="74">
        <f t="shared" si="107"/>
        <v>63.33</v>
      </c>
      <c r="BE101" s="74">
        <f t="shared" si="107"/>
        <v>63.33</v>
      </c>
    </row>
    <row r="102" spans="1:57" ht="13.5" customHeight="1">
      <c r="A102" s="619">
        <v>4</v>
      </c>
      <c r="B102" s="253"/>
      <c r="C102" s="258" t="s">
        <v>175</v>
      </c>
      <c r="D102" s="77" t="s">
        <v>170</v>
      </c>
      <c r="E102" s="376">
        <f>'Costos Sector Eléctrico'!E96</f>
        <v>42</v>
      </c>
      <c r="F102" s="376">
        <f>'Costos Sector Eléctrico'!F96</f>
        <v>42</v>
      </c>
      <c r="G102" s="376">
        <f>'Costos Sector Eléctrico'!G96</f>
        <v>42</v>
      </c>
      <c r="H102" s="376">
        <f>'Costos Sector Eléctrico'!H96</f>
        <v>42</v>
      </c>
      <c r="I102" s="376">
        <f>'Costos Sector Eléctrico'!I96</f>
        <v>42</v>
      </c>
      <c r="J102" s="376">
        <f>'Costos Sector Eléctrico'!J96</f>
        <v>42</v>
      </c>
      <c r="K102" s="376">
        <f>'Costos Sector Eléctrico'!K96</f>
        <v>42</v>
      </c>
      <c r="L102" s="376">
        <f>'Costos Sector Eléctrico'!L96</f>
        <v>42</v>
      </c>
      <c r="M102" s="376">
        <f>'Costos Sector Eléctrico'!M96</f>
        <v>42</v>
      </c>
      <c r="N102" s="376">
        <f>'Costos Sector Eléctrico'!N96</f>
        <v>42</v>
      </c>
      <c r="O102" s="376">
        <f>'Costos Sector Eléctrico'!O96</f>
        <v>42</v>
      </c>
      <c r="P102" s="376">
        <f>'Costos Sector Eléctrico'!P96</f>
        <v>42</v>
      </c>
      <c r="Q102" s="376">
        <f>'Costos Sector Eléctrico'!Q96</f>
        <v>42</v>
      </c>
      <c r="R102" s="376">
        <f>'Costos Sector Eléctrico'!R96</f>
        <v>42</v>
      </c>
      <c r="S102" s="376">
        <f>'Costos Sector Eléctrico'!S96</f>
        <v>42</v>
      </c>
      <c r="T102" s="376">
        <f>'Costos Sector Eléctrico'!T96</f>
        <v>42</v>
      </c>
      <c r="U102" s="376">
        <f>'Costos Sector Eléctrico'!U96</f>
        <v>42</v>
      </c>
      <c r="V102" s="376">
        <f>'Costos Sector Eléctrico'!V96</f>
        <v>42</v>
      </c>
      <c r="W102" s="376">
        <f>'Costos Sector Eléctrico'!W96</f>
        <v>42</v>
      </c>
      <c r="X102" s="376">
        <f>'Costos Sector Eléctrico'!X96</f>
        <v>42</v>
      </c>
      <c r="Y102" s="376">
        <f>'Costos Sector Eléctrico'!Y96</f>
        <v>42</v>
      </c>
      <c r="Z102" s="376">
        <f>'Costos Sector Eléctrico'!Z96</f>
        <v>42</v>
      </c>
      <c r="AA102" s="376">
        <f>'Costos Sector Eléctrico'!AA96</f>
        <v>42</v>
      </c>
      <c r="AB102" s="376">
        <f>'Costos Sector Eléctrico'!AB96</f>
        <v>42</v>
      </c>
      <c r="AC102" s="376">
        <f>'Costos Sector Eléctrico'!AC96</f>
        <v>42</v>
      </c>
      <c r="AD102" s="376">
        <f>'Costos Sector Eléctrico'!AD96</f>
        <v>42</v>
      </c>
      <c r="AE102" s="376">
        <f>'Costos Sector Eléctrico'!AE96</f>
        <v>42</v>
      </c>
      <c r="AF102" s="376">
        <f>'Costos Sector Eléctrico'!AF96</f>
        <v>42</v>
      </c>
      <c r="AG102" s="376">
        <f>'Costos Sector Eléctrico'!AG96</f>
        <v>42</v>
      </c>
      <c r="AH102" s="376">
        <f>'Costos Sector Eléctrico'!AH96</f>
        <v>42</v>
      </c>
      <c r="AI102" s="376">
        <f>'Costos Sector Eléctrico'!AI96</f>
        <v>42</v>
      </c>
      <c r="AJ102" s="376">
        <f>'Costos Sector Eléctrico'!AJ96</f>
        <v>42</v>
      </c>
      <c r="AK102" s="69">
        <f>'Costos Sector Eléctrico'!AK96</f>
        <v>42</v>
      </c>
      <c r="AL102" s="74">
        <f t="shared" ref="AL102:BE102" si="108">AK102</f>
        <v>42</v>
      </c>
      <c r="AM102" s="74">
        <f t="shared" si="108"/>
        <v>42</v>
      </c>
      <c r="AN102" s="74">
        <f t="shared" si="108"/>
        <v>42</v>
      </c>
      <c r="AO102" s="74">
        <f t="shared" si="108"/>
        <v>42</v>
      </c>
      <c r="AP102" s="74">
        <f t="shared" si="108"/>
        <v>42</v>
      </c>
      <c r="AQ102" s="74">
        <f t="shared" si="108"/>
        <v>42</v>
      </c>
      <c r="AR102" s="74">
        <f t="shared" si="108"/>
        <v>42</v>
      </c>
      <c r="AS102" s="74">
        <f t="shared" si="108"/>
        <v>42</v>
      </c>
      <c r="AT102" s="74">
        <f t="shared" si="108"/>
        <v>42</v>
      </c>
      <c r="AU102" s="74">
        <f t="shared" si="108"/>
        <v>42</v>
      </c>
      <c r="AV102" s="74">
        <f t="shared" si="108"/>
        <v>42</v>
      </c>
      <c r="AW102" s="74">
        <f t="shared" si="108"/>
        <v>42</v>
      </c>
      <c r="AX102" s="74">
        <f t="shared" si="108"/>
        <v>42</v>
      </c>
      <c r="AY102" s="74">
        <f t="shared" si="108"/>
        <v>42</v>
      </c>
      <c r="AZ102" s="74">
        <f t="shared" si="108"/>
        <v>42</v>
      </c>
      <c r="BA102" s="74">
        <f t="shared" si="108"/>
        <v>42</v>
      </c>
      <c r="BB102" s="74">
        <f t="shared" si="108"/>
        <v>42</v>
      </c>
      <c r="BC102" s="74">
        <f t="shared" si="108"/>
        <v>42</v>
      </c>
      <c r="BD102" s="74">
        <f t="shared" si="108"/>
        <v>42</v>
      </c>
      <c r="BE102" s="74">
        <f t="shared" si="108"/>
        <v>42</v>
      </c>
    </row>
    <row r="103" spans="1:57" ht="13.5" customHeight="1">
      <c r="A103" s="619"/>
      <c r="B103" s="253"/>
      <c r="C103" s="258"/>
      <c r="D103" s="75" t="s">
        <v>189</v>
      </c>
      <c r="E103" s="447"/>
      <c r="F103" s="447"/>
      <c r="G103" s="447"/>
      <c r="H103" s="447"/>
      <c r="I103" s="447"/>
      <c r="J103" s="447"/>
      <c r="K103" s="447"/>
      <c r="L103" s="447"/>
      <c r="M103" s="447"/>
      <c r="N103" s="447"/>
      <c r="O103" s="447"/>
      <c r="P103" s="447"/>
      <c r="Q103" s="447"/>
      <c r="R103" s="447"/>
      <c r="S103" s="447"/>
      <c r="T103" s="447"/>
      <c r="U103" s="447"/>
      <c r="V103" s="447"/>
      <c r="W103" s="447"/>
      <c r="X103" s="447"/>
      <c r="Y103" s="447"/>
      <c r="Z103" s="447"/>
      <c r="AA103" s="447"/>
      <c r="AB103" s="447"/>
      <c r="AC103" s="447"/>
      <c r="AD103" s="447"/>
      <c r="AE103" s="447"/>
      <c r="AF103" s="447"/>
      <c r="AG103" s="447"/>
      <c r="AH103" s="447"/>
      <c r="AI103" s="447"/>
      <c r="AJ103" s="447"/>
      <c r="AK103" s="76"/>
      <c r="AL103" s="74">
        <f t="shared" ref="AL103:BE103" si="109">AK103</f>
        <v>0</v>
      </c>
      <c r="AM103" s="74">
        <f t="shared" si="109"/>
        <v>0</v>
      </c>
      <c r="AN103" s="74">
        <f t="shared" si="109"/>
        <v>0</v>
      </c>
      <c r="AO103" s="74">
        <f t="shared" si="109"/>
        <v>0</v>
      </c>
      <c r="AP103" s="74">
        <f t="shared" si="109"/>
        <v>0</v>
      </c>
      <c r="AQ103" s="74">
        <f t="shared" si="109"/>
        <v>0</v>
      </c>
      <c r="AR103" s="74">
        <f t="shared" si="109"/>
        <v>0</v>
      </c>
      <c r="AS103" s="74">
        <f t="shared" si="109"/>
        <v>0</v>
      </c>
      <c r="AT103" s="74">
        <f t="shared" si="109"/>
        <v>0</v>
      </c>
      <c r="AU103" s="74">
        <f t="shared" si="109"/>
        <v>0</v>
      </c>
      <c r="AV103" s="74">
        <f t="shared" si="109"/>
        <v>0</v>
      </c>
      <c r="AW103" s="74">
        <f t="shared" si="109"/>
        <v>0</v>
      </c>
      <c r="AX103" s="74">
        <f t="shared" si="109"/>
        <v>0</v>
      </c>
      <c r="AY103" s="74">
        <f t="shared" si="109"/>
        <v>0</v>
      </c>
      <c r="AZ103" s="74">
        <f t="shared" si="109"/>
        <v>0</v>
      </c>
      <c r="BA103" s="74">
        <f t="shared" si="109"/>
        <v>0</v>
      </c>
      <c r="BB103" s="74">
        <f t="shared" si="109"/>
        <v>0</v>
      </c>
      <c r="BC103" s="74">
        <f t="shared" si="109"/>
        <v>0</v>
      </c>
      <c r="BD103" s="74">
        <f t="shared" si="109"/>
        <v>0</v>
      </c>
      <c r="BE103" s="74">
        <f t="shared" si="109"/>
        <v>0</v>
      </c>
    </row>
    <row r="104" spans="1:57" ht="13.5" customHeight="1">
      <c r="A104" s="619">
        <v>4</v>
      </c>
      <c r="B104" s="253"/>
      <c r="C104" s="258" t="s">
        <v>178</v>
      </c>
      <c r="D104" s="77" t="s">
        <v>172</v>
      </c>
      <c r="E104" s="376">
        <f>'Costos Sector Eléctrico'!E99</f>
        <v>65.94</v>
      </c>
      <c r="F104" s="376">
        <f>'Costos Sector Eléctrico'!F99</f>
        <v>65.94</v>
      </c>
      <c r="G104" s="376">
        <f>'Costos Sector Eléctrico'!G99</f>
        <v>65.94</v>
      </c>
      <c r="H104" s="376">
        <f>'Costos Sector Eléctrico'!H99</f>
        <v>65.94</v>
      </c>
      <c r="I104" s="376">
        <f>'Costos Sector Eléctrico'!I99</f>
        <v>65.94</v>
      </c>
      <c r="J104" s="376">
        <f>'Costos Sector Eléctrico'!J99</f>
        <v>65.94</v>
      </c>
      <c r="K104" s="376">
        <f>'Costos Sector Eléctrico'!K99</f>
        <v>65.94</v>
      </c>
      <c r="L104" s="376">
        <f>'Costos Sector Eléctrico'!L99</f>
        <v>65.94</v>
      </c>
      <c r="M104" s="376">
        <f>'Costos Sector Eléctrico'!M99</f>
        <v>65.94</v>
      </c>
      <c r="N104" s="376">
        <f>'Costos Sector Eléctrico'!N99</f>
        <v>65.94</v>
      </c>
      <c r="O104" s="376">
        <f>'Costos Sector Eléctrico'!O99</f>
        <v>65.94</v>
      </c>
      <c r="P104" s="376">
        <f>'Costos Sector Eléctrico'!P99</f>
        <v>65.94</v>
      </c>
      <c r="Q104" s="376">
        <f>'Costos Sector Eléctrico'!Q99</f>
        <v>65.94</v>
      </c>
      <c r="R104" s="376">
        <f>'Costos Sector Eléctrico'!R99</f>
        <v>65.94</v>
      </c>
      <c r="S104" s="376">
        <f>'Costos Sector Eléctrico'!S99</f>
        <v>65.94</v>
      </c>
      <c r="T104" s="376">
        <f>'Costos Sector Eléctrico'!T99</f>
        <v>65.94</v>
      </c>
      <c r="U104" s="376">
        <f>'Costos Sector Eléctrico'!U99</f>
        <v>65.94</v>
      </c>
      <c r="V104" s="376">
        <f>'Costos Sector Eléctrico'!V99</f>
        <v>65.94</v>
      </c>
      <c r="W104" s="376">
        <f>'Costos Sector Eléctrico'!W99</f>
        <v>65.94</v>
      </c>
      <c r="X104" s="376">
        <f>'Costos Sector Eléctrico'!X99</f>
        <v>65.94</v>
      </c>
      <c r="Y104" s="376">
        <f>'Costos Sector Eléctrico'!Y99</f>
        <v>65.94</v>
      </c>
      <c r="Z104" s="376">
        <f>'Costos Sector Eléctrico'!Z99</f>
        <v>65.94</v>
      </c>
      <c r="AA104" s="376">
        <f>'Costos Sector Eléctrico'!AA99</f>
        <v>65.94</v>
      </c>
      <c r="AB104" s="376">
        <f>'Costos Sector Eléctrico'!AB99</f>
        <v>65.94</v>
      </c>
      <c r="AC104" s="376">
        <f>'Costos Sector Eléctrico'!AC99</f>
        <v>65.94</v>
      </c>
      <c r="AD104" s="376">
        <f>'Costos Sector Eléctrico'!AD99</f>
        <v>65.94</v>
      </c>
      <c r="AE104" s="376">
        <f>'Costos Sector Eléctrico'!AE99</f>
        <v>65.94</v>
      </c>
      <c r="AF104" s="376">
        <f>'Costos Sector Eléctrico'!AF99</f>
        <v>65.94</v>
      </c>
      <c r="AG104" s="376">
        <f>'Costos Sector Eléctrico'!AG99</f>
        <v>65.94</v>
      </c>
      <c r="AH104" s="376">
        <f>'Costos Sector Eléctrico'!AH99</f>
        <v>65.94</v>
      </c>
      <c r="AI104" s="376">
        <f>'Costos Sector Eléctrico'!AI99</f>
        <v>65.94</v>
      </c>
      <c r="AJ104" s="376">
        <f>'Costos Sector Eléctrico'!AJ99</f>
        <v>65.94</v>
      </c>
      <c r="AK104" s="69">
        <f>'Costos Sector Eléctrico'!AK99</f>
        <v>65.94</v>
      </c>
      <c r="AL104" s="74">
        <f t="shared" ref="AL104:BE104" si="110">AK104</f>
        <v>65.94</v>
      </c>
      <c r="AM104" s="74">
        <f t="shared" si="110"/>
        <v>65.94</v>
      </c>
      <c r="AN104" s="74">
        <f t="shared" si="110"/>
        <v>65.94</v>
      </c>
      <c r="AO104" s="74">
        <f t="shared" si="110"/>
        <v>65.94</v>
      </c>
      <c r="AP104" s="74">
        <f t="shared" si="110"/>
        <v>65.94</v>
      </c>
      <c r="AQ104" s="74">
        <f t="shared" si="110"/>
        <v>65.94</v>
      </c>
      <c r="AR104" s="74">
        <f t="shared" si="110"/>
        <v>65.94</v>
      </c>
      <c r="AS104" s="74">
        <f t="shared" si="110"/>
        <v>65.94</v>
      </c>
      <c r="AT104" s="74">
        <f t="shared" si="110"/>
        <v>65.94</v>
      </c>
      <c r="AU104" s="74">
        <f t="shared" si="110"/>
        <v>65.94</v>
      </c>
      <c r="AV104" s="74">
        <f t="shared" si="110"/>
        <v>65.94</v>
      </c>
      <c r="AW104" s="74">
        <f t="shared" si="110"/>
        <v>65.94</v>
      </c>
      <c r="AX104" s="74">
        <f t="shared" si="110"/>
        <v>65.94</v>
      </c>
      <c r="AY104" s="74">
        <f t="shared" si="110"/>
        <v>65.94</v>
      </c>
      <c r="AZ104" s="74">
        <f t="shared" si="110"/>
        <v>65.94</v>
      </c>
      <c r="BA104" s="74">
        <f t="shared" si="110"/>
        <v>65.94</v>
      </c>
      <c r="BB104" s="74">
        <f t="shared" si="110"/>
        <v>65.94</v>
      </c>
      <c r="BC104" s="74">
        <f t="shared" si="110"/>
        <v>65.94</v>
      </c>
      <c r="BD104" s="74">
        <f t="shared" si="110"/>
        <v>65.94</v>
      </c>
      <c r="BE104" s="74">
        <f t="shared" si="110"/>
        <v>65.94</v>
      </c>
    </row>
    <row r="105" spans="1:57" ht="13.5" customHeight="1">
      <c r="A105" s="619">
        <v>4</v>
      </c>
      <c r="B105" s="253"/>
      <c r="C105" s="258" t="s">
        <v>179</v>
      </c>
      <c r="D105" s="77" t="s">
        <v>174</v>
      </c>
      <c r="E105" s="376">
        <f>'Costos Sector Eléctrico'!E100</f>
        <v>50</v>
      </c>
      <c r="F105" s="376">
        <f>'Costos Sector Eléctrico'!F100</f>
        <v>50</v>
      </c>
      <c r="G105" s="376">
        <f>'Costos Sector Eléctrico'!G100</f>
        <v>50</v>
      </c>
      <c r="H105" s="376">
        <f>'Costos Sector Eléctrico'!H100</f>
        <v>50</v>
      </c>
      <c r="I105" s="376">
        <f>'Costos Sector Eléctrico'!I100</f>
        <v>50</v>
      </c>
      <c r="J105" s="376">
        <f>'Costos Sector Eléctrico'!J100</f>
        <v>50</v>
      </c>
      <c r="K105" s="376">
        <f>'Costos Sector Eléctrico'!K100</f>
        <v>50</v>
      </c>
      <c r="L105" s="376">
        <f>'Costos Sector Eléctrico'!L100</f>
        <v>50</v>
      </c>
      <c r="M105" s="376">
        <f>'Costos Sector Eléctrico'!M100</f>
        <v>50</v>
      </c>
      <c r="N105" s="376">
        <f>'Costos Sector Eléctrico'!N100</f>
        <v>50</v>
      </c>
      <c r="O105" s="376">
        <f>'Costos Sector Eléctrico'!O100</f>
        <v>50</v>
      </c>
      <c r="P105" s="376">
        <f>'Costos Sector Eléctrico'!P100</f>
        <v>50</v>
      </c>
      <c r="Q105" s="376">
        <f>'Costos Sector Eléctrico'!Q100</f>
        <v>50</v>
      </c>
      <c r="R105" s="376">
        <f>'Costos Sector Eléctrico'!R100</f>
        <v>50</v>
      </c>
      <c r="S105" s="376">
        <f>'Costos Sector Eléctrico'!S100</f>
        <v>50</v>
      </c>
      <c r="T105" s="376">
        <f>'Costos Sector Eléctrico'!T100</f>
        <v>50</v>
      </c>
      <c r="U105" s="376">
        <f>'Costos Sector Eléctrico'!U100</f>
        <v>50</v>
      </c>
      <c r="V105" s="376">
        <f>'Costos Sector Eléctrico'!V100</f>
        <v>50</v>
      </c>
      <c r="W105" s="376">
        <f>'Costos Sector Eléctrico'!W100</f>
        <v>50</v>
      </c>
      <c r="X105" s="376">
        <f>'Costos Sector Eléctrico'!X100</f>
        <v>50</v>
      </c>
      <c r="Y105" s="376">
        <f>'Costos Sector Eléctrico'!Y100</f>
        <v>50</v>
      </c>
      <c r="Z105" s="376">
        <f>'Costos Sector Eléctrico'!Z100</f>
        <v>50</v>
      </c>
      <c r="AA105" s="376">
        <f>'Costos Sector Eléctrico'!AA100</f>
        <v>50</v>
      </c>
      <c r="AB105" s="376">
        <f>'Costos Sector Eléctrico'!AB100</f>
        <v>50</v>
      </c>
      <c r="AC105" s="376">
        <f>'Costos Sector Eléctrico'!AC100</f>
        <v>50</v>
      </c>
      <c r="AD105" s="376">
        <f>'Costos Sector Eléctrico'!AD100</f>
        <v>50</v>
      </c>
      <c r="AE105" s="376">
        <f>'Costos Sector Eléctrico'!AE100</f>
        <v>50</v>
      </c>
      <c r="AF105" s="376">
        <f>'Costos Sector Eléctrico'!AF100</f>
        <v>50</v>
      </c>
      <c r="AG105" s="376">
        <f>'Costos Sector Eléctrico'!AG100</f>
        <v>50</v>
      </c>
      <c r="AH105" s="376">
        <f>'Costos Sector Eléctrico'!AH100</f>
        <v>50</v>
      </c>
      <c r="AI105" s="376">
        <f>'Costos Sector Eléctrico'!AI100</f>
        <v>50</v>
      </c>
      <c r="AJ105" s="376">
        <f>'Costos Sector Eléctrico'!AJ100</f>
        <v>50</v>
      </c>
      <c r="AK105" s="69">
        <f>'Costos Sector Eléctrico'!AK100</f>
        <v>50</v>
      </c>
      <c r="AL105" s="74">
        <f t="shared" ref="AL105:BE105" si="111">AK105</f>
        <v>50</v>
      </c>
      <c r="AM105" s="74">
        <f t="shared" si="111"/>
        <v>50</v>
      </c>
      <c r="AN105" s="74">
        <f t="shared" si="111"/>
        <v>50</v>
      </c>
      <c r="AO105" s="74">
        <f t="shared" si="111"/>
        <v>50</v>
      </c>
      <c r="AP105" s="74">
        <f t="shared" si="111"/>
        <v>50</v>
      </c>
      <c r="AQ105" s="74">
        <f t="shared" si="111"/>
        <v>50</v>
      </c>
      <c r="AR105" s="74">
        <f t="shared" si="111"/>
        <v>50</v>
      </c>
      <c r="AS105" s="74">
        <f t="shared" si="111"/>
        <v>50</v>
      </c>
      <c r="AT105" s="74">
        <f t="shared" si="111"/>
        <v>50</v>
      </c>
      <c r="AU105" s="74">
        <f t="shared" si="111"/>
        <v>50</v>
      </c>
      <c r="AV105" s="74">
        <f t="shared" si="111"/>
        <v>50</v>
      </c>
      <c r="AW105" s="74">
        <f t="shared" si="111"/>
        <v>50</v>
      </c>
      <c r="AX105" s="74">
        <f t="shared" si="111"/>
        <v>50</v>
      </c>
      <c r="AY105" s="74">
        <f t="shared" si="111"/>
        <v>50</v>
      </c>
      <c r="AZ105" s="74">
        <f t="shared" si="111"/>
        <v>50</v>
      </c>
      <c r="BA105" s="74">
        <f t="shared" si="111"/>
        <v>50</v>
      </c>
      <c r="BB105" s="74">
        <f t="shared" si="111"/>
        <v>50</v>
      </c>
      <c r="BC105" s="74">
        <f t="shared" si="111"/>
        <v>50</v>
      </c>
      <c r="BD105" s="74">
        <f t="shared" si="111"/>
        <v>50</v>
      </c>
      <c r="BE105" s="74">
        <f t="shared" si="111"/>
        <v>50</v>
      </c>
    </row>
    <row r="106" spans="1:57" ht="13.5" customHeight="1">
      <c r="A106" s="619">
        <v>4</v>
      </c>
      <c r="B106" s="253"/>
      <c r="C106" s="258" t="s">
        <v>180</v>
      </c>
      <c r="D106" s="77" t="s">
        <v>176</v>
      </c>
      <c r="E106" s="376">
        <f>'Costos Sector Eléctrico'!E101</f>
        <v>42</v>
      </c>
      <c r="F106" s="376">
        <f>'Costos Sector Eléctrico'!F101</f>
        <v>42</v>
      </c>
      <c r="G106" s="376">
        <f>'Costos Sector Eléctrico'!G101</f>
        <v>42</v>
      </c>
      <c r="H106" s="376">
        <f>'Costos Sector Eléctrico'!H101</f>
        <v>42</v>
      </c>
      <c r="I106" s="376">
        <f>'Costos Sector Eléctrico'!I101</f>
        <v>42</v>
      </c>
      <c r="J106" s="376">
        <f>'Costos Sector Eléctrico'!J101</f>
        <v>42</v>
      </c>
      <c r="K106" s="376">
        <f>'Costos Sector Eléctrico'!K101</f>
        <v>42</v>
      </c>
      <c r="L106" s="376">
        <f>'Costos Sector Eléctrico'!L101</f>
        <v>42</v>
      </c>
      <c r="M106" s="376">
        <f>'Costos Sector Eléctrico'!M101</f>
        <v>42</v>
      </c>
      <c r="N106" s="376">
        <f>'Costos Sector Eléctrico'!N101</f>
        <v>42</v>
      </c>
      <c r="O106" s="376">
        <f>'Costos Sector Eléctrico'!O101</f>
        <v>42</v>
      </c>
      <c r="P106" s="376">
        <f>'Costos Sector Eléctrico'!P101</f>
        <v>42</v>
      </c>
      <c r="Q106" s="376">
        <f>'Costos Sector Eléctrico'!Q101</f>
        <v>42</v>
      </c>
      <c r="R106" s="376">
        <f>'Costos Sector Eléctrico'!R101</f>
        <v>42</v>
      </c>
      <c r="S106" s="376">
        <f>'Costos Sector Eléctrico'!S101</f>
        <v>42</v>
      </c>
      <c r="T106" s="376">
        <f>'Costos Sector Eléctrico'!T101</f>
        <v>42</v>
      </c>
      <c r="U106" s="376">
        <f>'Costos Sector Eléctrico'!U101</f>
        <v>42</v>
      </c>
      <c r="V106" s="376">
        <f>'Costos Sector Eléctrico'!V101</f>
        <v>42</v>
      </c>
      <c r="W106" s="376">
        <f>'Costos Sector Eléctrico'!W101</f>
        <v>42</v>
      </c>
      <c r="X106" s="376">
        <f>'Costos Sector Eléctrico'!X101</f>
        <v>42</v>
      </c>
      <c r="Y106" s="376">
        <f>'Costos Sector Eléctrico'!Y101</f>
        <v>42</v>
      </c>
      <c r="Z106" s="376">
        <f>'Costos Sector Eléctrico'!Z101</f>
        <v>42</v>
      </c>
      <c r="AA106" s="376">
        <f>'Costos Sector Eléctrico'!AA101</f>
        <v>42</v>
      </c>
      <c r="AB106" s="376">
        <f>'Costos Sector Eléctrico'!AB101</f>
        <v>42</v>
      </c>
      <c r="AC106" s="376">
        <f>'Costos Sector Eléctrico'!AC101</f>
        <v>42</v>
      </c>
      <c r="AD106" s="376">
        <f>'Costos Sector Eléctrico'!AD101</f>
        <v>42</v>
      </c>
      <c r="AE106" s="376">
        <f>'Costos Sector Eléctrico'!AE101</f>
        <v>42</v>
      </c>
      <c r="AF106" s="376">
        <f>'Costos Sector Eléctrico'!AF101</f>
        <v>42</v>
      </c>
      <c r="AG106" s="376">
        <f>'Costos Sector Eléctrico'!AG101</f>
        <v>42</v>
      </c>
      <c r="AH106" s="376">
        <f>'Costos Sector Eléctrico'!AH101</f>
        <v>42</v>
      </c>
      <c r="AI106" s="376">
        <f>'Costos Sector Eléctrico'!AI101</f>
        <v>42</v>
      </c>
      <c r="AJ106" s="376">
        <f>'Costos Sector Eléctrico'!AJ101</f>
        <v>42</v>
      </c>
      <c r="AK106" s="69">
        <f>'Costos Sector Eléctrico'!AK101</f>
        <v>42</v>
      </c>
      <c r="AL106" s="74">
        <f t="shared" ref="AL106:BE106" si="112">AK106</f>
        <v>42</v>
      </c>
      <c r="AM106" s="74">
        <f t="shared" si="112"/>
        <v>42</v>
      </c>
      <c r="AN106" s="74">
        <f t="shared" si="112"/>
        <v>42</v>
      </c>
      <c r="AO106" s="74">
        <f t="shared" si="112"/>
        <v>42</v>
      </c>
      <c r="AP106" s="74">
        <f t="shared" si="112"/>
        <v>42</v>
      </c>
      <c r="AQ106" s="74">
        <f t="shared" si="112"/>
        <v>42</v>
      </c>
      <c r="AR106" s="74">
        <f t="shared" si="112"/>
        <v>42</v>
      </c>
      <c r="AS106" s="74">
        <f t="shared" si="112"/>
        <v>42</v>
      </c>
      <c r="AT106" s="74">
        <f t="shared" si="112"/>
        <v>42</v>
      </c>
      <c r="AU106" s="74">
        <f t="shared" si="112"/>
        <v>42</v>
      </c>
      <c r="AV106" s="74">
        <f t="shared" si="112"/>
        <v>42</v>
      </c>
      <c r="AW106" s="74">
        <f t="shared" si="112"/>
        <v>42</v>
      </c>
      <c r="AX106" s="74">
        <f t="shared" si="112"/>
        <v>42</v>
      </c>
      <c r="AY106" s="74">
        <f t="shared" si="112"/>
        <v>42</v>
      </c>
      <c r="AZ106" s="74">
        <f t="shared" si="112"/>
        <v>42</v>
      </c>
      <c r="BA106" s="74">
        <f t="shared" si="112"/>
        <v>42</v>
      </c>
      <c r="BB106" s="74">
        <f t="shared" si="112"/>
        <v>42</v>
      </c>
      <c r="BC106" s="74">
        <f t="shared" si="112"/>
        <v>42</v>
      </c>
      <c r="BD106" s="74">
        <f t="shared" si="112"/>
        <v>42</v>
      </c>
      <c r="BE106" s="74">
        <f t="shared" si="112"/>
        <v>42</v>
      </c>
    </row>
    <row r="107" spans="1:57" ht="13.5" customHeight="1">
      <c r="A107" s="619">
        <v>4</v>
      </c>
      <c r="B107" s="253"/>
      <c r="C107" s="258" t="s">
        <v>181</v>
      </c>
      <c r="D107" s="77" t="s">
        <v>166</v>
      </c>
      <c r="E107" s="376">
        <f>'Costos Sector Eléctrico'!E102</f>
        <v>65.94</v>
      </c>
      <c r="F107" s="376">
        <f>'Costos Sector Eléctrico'!F102</f>
        <v>65.94</v>
      </c>
      <c r="G107" s="376">
        <f>'Costos Sector Eléctrico'!G102</f>
        <v>65.94</v>
      </c>
      <c r="H107" s="376">
        <f>'Costos Sector Eléctrico'!H102</f>
        <v>65.94</v>
      </c>
      <c r="I107" s="376">
        <f>'Costos Sector Eléctrico'!I102</f>
        <v>65.94</v>
      </c>
      <c r="J107" s="376">
        <f>'Costos Sector Eléctrico'!J102</f>
        <v>65.94</v>
      </c>
      <c r="K107" s="376">
        <f>'Costos Sector Eléctrico'!K102</f>
        <v>65.94</v>
      </c>
      <c r="L107" s="376">
        <f>'Costos Sector Eléctrico'!L102</f>
        <v>65.94</v>
      </c>
      <c r="M107" s="376">
        <f>'Costos Sector Eléctrico'!M102</f>
        <v>65.94</v>
      </c>
      <c r="N107" s="376">
        <f>'Costos Sector Eléctrico'!N102</f>
        <v>65.94</v>
      </c>
      <c r="O107" s="376">
        <f>'Costos Sector Eléctrico'!O102</f>
        <v>65.94</v>
      </c>
      <c r="P107" s="376">
        <f>'Costos Sector Eléctrico'!P102</f>
        <v>65.94</v>
      </c>
      <c r="Q107" s="376">
        <f>'Costos Sector Eléctrico'!Q102</f>
        <v>65.94</v>
      </c>
      <c r="R107" s="376">
        <f>'Costos Sector Eléctrico'!R102</f>
        <v>65.94</v>
      </c>
      <c r="S107" s="376">
        <f>'Costos Sector Eléctrico'!S102</f>
        <v>65.94</v>
      </c>
      <c r="T107" s="376">
        <f>'Costos Sector Eléctrico'!T102</f>
        <v>65.94</v>
      </c>
      <c r="U107" s="376">
        <f>'Costos Sector Eléctrico'!U102</f>
        <v>65.94</v>
      </c>
      <c r="V107" s="376">
        <f>'Costos Sector Eléctrico'!V102</f>
        <v>65.94</v>
      </c>
      <c r="W107" s="376">
        <f>'Costos Sector Eléctrico'!W102</f>
        <v>65.94</v>
      </c>
      <c r="X107" s="376">
        <f>'Costos Sector Eléctrico'!X102</f>
        <v>65.94</v>
      </c>
      <c r="Y107" s="376">
        <f>'Costos Sector Eléctrico'!Y102</f>
        <v>65.94</v>
      </c>
      <c r="Z107" s="376">
        <f>'Costos Sector Eléctrico'!Z102</f>
        <v>65.94</v>
      </c>
      <c r="AA107" s="376">
        <f>'Costos Sector Eléctrico'!AA102</f>
        <v>65.94</v>
      </c>
      <c r="AB107" s="376">
        <f>'Costos Sector Eléctrico'!AB102</f>
        <v>65.94</v>
      </c>
      <c r="AC107" s="376">
        <f>'Costos Sector Eléctrico'!AC102</f>
        <v>65.94</v>
      </c>
      <c r="AD107" s="376">
        <f>'Costos Sector Eléctrico'!AD102</f>
        <v>65.94</v>
      </c>
      <c r="AE107" s="376">
        <f>'Costos Sector Eléctrico'!AE102</f>
        <v>65.94</v>
      </c>
      <c r="AF107" s="376">
        <f>'Costos Sector Eléctrico'!AF102</f>
        <v>65.94</v>
      </c>
      <c r="AG107" s="376">
        <f>'Costos Sector Eléctrico'!AG102</f>
        <v>65.94</v>
      </c>
      <c r="AH107" s="376">
        <f>'Costos Sector Eléctrico'!AH102</f>
        <v>65.94</v>
      </c>
      <c r="AI107" s="376">
        <f>'Costos Sector Eléctrico'!AI102</f>
        <v>65.94</v>
      </c>
      <c r="AJ107" s="376">
        <f>'Costos Sector Eléctrico'!AJ102</f>
        <v>65.94</v>
      </c>
      <c r="AK107" s="69">
        <f>'Costos Sector Eléctrico'!AK102</f>
        <v>65.94</v>
      </c>
      <c r="AL107" s="74">
        <f t="shared" ref="AL107:BE107" si="113">AK107</f>
        <v>65.94</v>
      </c>
      <c r="AM107" s="74">
        <f t="shared" si="113"/>
        <v>65.94</v>
      </c>
      <c r="AN107" s="74">
        <f t="shared" si="113"/>
        <v>65.94</v>
      </c>
      <c r="AO107" s="74">
        <f t="shared" si="113"/>
        <v>65.94</v>
      </c>
      <c r="AP107" s="74">
        <f t="shared" si="113"/>
        <v>65.94</v>
      </c>
      <c r="AQ107" s="74">
        <f t="shared" si="113"/>
        <v>65.94</v>
      </c>
      <c r="AR107" s="74">
        <f t="shared" si="113"/>
        <v>65.94</v>
      </c>
      <c r="AS107" s="74">
        <f t="shared" si="113"/>
        <v>65.94</v>
      </c>
      <c r="AT107" s="74">
        <f t="shared" si="113"/>
        <v>65.94</v>
      </c>
      <c r="AU107" s="74">
        <f t="shared" si="113"/>
        <v>65.94</v>
      </c>
      <c r="AV107" s="74">
        <f t="shared" si="113"/>
        <v>65.94</v>
      </c>
      <c r="AW107" s="74">
        <f t="shared" si="113"/>
        <v>65.94</v>
      </c>
      <c r="AX107" s="74">
        <f t="shared" si="113"/>
        <v>65.94</v>
      </c>
      <c r="AY107" s="74">
        <f t="shared" si="113"/>
        <v>65.94</v>
      </c>
      <c r="AZ107" s="74">
        <f t="shared" si="113"/>
        <v>65.94</v>
      </c>
      <c r="BA107" s="74">
        <f t="shared" si="113"/>
        <v>65.94</v>
      </c>
      <c r="BB107" s="74">
        <f t="shared" si="113"/>
        <v>65.94</v>
      </c>
      <c r="BC107" s="74">
        <f t="shared" si="113"/>
        <v>65.94</v>
      </c>
      <c r="BD107" s="74">
        <f t="shared" si="113"/>
        <v>65.94</v>
      </c>
      <c r="BE107" s="74">
        <f t="shared" si="113"/>
        <v>65.94</v>
      </c>
    </row>
    <row r="108" spans="1:57" ht="13.5" customHeight="1">
      <c r="A108" s="619">
        <v>4</v>
      </c>
      <c r="B108" s="253"/>
      <c r="C108" s="258" t="s">
        <v>182</v>
      </c>
      <c r="D108" s="77" t="s">
        <v>168</v>
      </c>
      <c r="E108" s="376">
        <f>'Costos Sector Eléctrico'!E103</f>
        <v>50</v>
      </c>
      <c r="F108" s="376">
        <f>'Costos Sector Eléctrico'!F103</f>
        <v>50</v>
      </c>
      <c r="G108" s="376">
        <f>'Costos Sector Eléctrico'!G103</f>
        <v>50</v>
      </c>
      <c r="H108" s="376">
        <f>'Costos Sector Eléctrico'!H103</f>
        <v>50</v>
      </c>
      <c r="I108" s="376">
        <f>'Costos Sector Eléctrico'!I103</f>
        <v>50</v>
      </c>
      <c r="J108" s="376">
        <f>'Costos Sector Eléctrico'!J103</f>
        <v>50</v>
      </c>
      <c r="K108" s="376">
        <f>'Costos Sector Eléctrico'!K103</f>
        <v>50</v>
      </c>
      <c r="L108" s="376">
        <f>'Costos Sector Eléctrico'!L103</f>
        <v>50</v>
      </c>
      <c r="M108" s="376">
        <f>'Costos Sector Eléctrico'!M103</f>
        <v>50</v>
      </c>
      <c r="N108" s="376">
        <f>'Costos Sector Eléctrico'!N103</f>
        <v>50</v>
      </c>
      <c r="O108" s="376">
        <f>'Costos Sector Eléctrico'!O103</f>
        <v>50</v>
      </c>
      <c r="P108" s="376">
        <f>'Costos Sector Eléctrico'!P103</f>
        <v>50</v>
      </c>
      <c r="Q108" s="376">
        <f>'Costos Sector Eléctrico'!Q103</f>
        <v>50</v>
      </c>
      <c r="R108" s="376">
        <f>'Costos Sector Eléctrico'!R103</f>
        <v>50</v>
      </c>
      <c r="S108" s="376">
        <f>'Costos Sector Eléctrico'!S103</f>
        <v>50</v>
      </c>
      <c r="T108" s="376">
        <f>'Costos Sector Eléctrico'!T103</f>
        <v>50</v>
      </c>
      <c r="U108" s="376">
        <f>'Costos Sector Eléctrico'!U103</f>
        <v>50</v>
      </c>
      <c r="V108" s="376">
        <f>'Costos Sector Eléctrico'!V103</f>
        <v>50</v>
      </c>
      <c r="W108" s="376">
        <f>'Costos Sector Eléctrico'!W103</f>
        <v>50</v>
      </c>
      <c r="X108" s="376">
        <f>'Costos Sector Eléctrico'!X103</f>
        <v>50</v>
      </c>
      <c r="Y108" s="376">
        <f>'Costos Sector Eléctrico'!Y103</f>
        <v>50</v>
      </c>
      <c r="Z108" s="376">
        <f>'Costos Sector Eléctrico'!Z103</f>
        <v>50</v>
      </c>
      <c r="AA108" s="376">
        <f>'Costos Sector Eléctrico'!AA103</f>
        <v>50</v>
      </c>
      <c r="AB108" s="376">
        <f>'Costos Sector Eléctrico'!AB103</f>
        <v>50</v>
      </c>
      <c r="AC108" s="376">
        <f>'Costos Sector Eléctrico'!AC103</f>
        <v>50</v>
      </c>
      <c r="AD108" s="376">
        <f>'Costos Sector Eléctrico'!AD103</f>
        <v>50</v>
      </c>
      <c r="AE108" s="376">
        <f>'Costos Sector Eléctrico'!AE103</f>
        <v>50</v>
      </c>
      <c r="AF108" s="376">
        <f>'Costos Sector Eléctrico'!AF103</f>
        <v>50</v>
      </c>
      <c r="AG108" s="376">
        <f>'Costos Sector Eléctrico'!AG103</f>
        <v>50</v>
      </c>
      <c r="AH108" s="376">
        <f>'Costos Sector Eléctrico'!AH103</f>
        <v>50</v>
      </c>
      <c r="AI108" s="376">
        <f>'Costos Sector Eléctrico'!AI103</f>
        <v>50</v>
      </c>
      <c r="AJ108" s="376">
        <f>'Costos Sector Eléctrico'!AJ103</f>
        <v>50</v>
      </c>
      <c r="AK108" s="69">
        <f>'Costos Sector Eléctrico'!AK103</f>
        <v>50</v>
      </c>
      <c r="AL108" s="74">
        <f t="shared" ref="AL108:BE108" si="114">AK108</f>
        <v>50</v>
      </c>
      <c r="AM108" s="74">
        <f t="shared" si="114"/>
        <v>50</v>
      </c>
      <c r="AN108" s="74">
        <f t="shared" si="114"/>
        <v>50</v>
      </c>
      <c r="AO108" s="74">
        <f t="shared" si="114"/>
        <v>50</v>
      </c>
      <c r="AP108" s="74">
        <f t="shared" si="114"/>
        <v>50</v>
      </c>
      <c r="AQ108" s="74">
        <f t="shared" si="114"/>
        <v>50</v>
      </c>
      <c r="AR108" s="74">
        <f t="shared" si="114"/>
        <v>50</v>
      </c>
      <c r="AS108" s="74">
        <f t="shared" si="114"/>
        <v>50</v>
      </c>
      <c r="AT108" s="74">
        <f t="shared" si="114"/>
        <v>50</v>
      </c>
      <c r="AU108" s="74">
        <f t="shared" si="114"/>
        <v>50</v>
      </c>
      <c r="AV108" s="74">
        <f t="shared" si="114"/>
        <v>50</v>
      </c>
      <c r="AW108" s="74">
        <f t="shared" si="114"/>
        <v>50</v>
      </c>
      <c r="AX108" s="74">
        <f t="shared" si="114"/>
        <v>50</v>
      </c>
      <c r="AY108" s="74">
        <f t="shared" si="114"/>
        <v>50</v>
      </c>
      <c r="AZ108" s="74">
        <f t="shared" si="114"/>
        <v>50</v>
      </c>
      <c r="BA108" s="74">
        <f t="shared" si="114"/>
        <v>50</v>
      </c>
      <c r="BB108" s="74">
        <f t="shared" si="114"/>
        <v>50</v>
      </c>
      <c r="BC108" s="74">
        <f t="shared" si="114"/>
        <v>50</v>
      </c>
      <c r="BD108" s="74">
        <f t="shared" si="114"/>
        <v>50</v>
      </c>
      <c r="BE108" s="74">
        <f t="shared" si="114"/>
        <v>50</v>
      </c>
    </row>
    <row r="109" spans="1:57" ht="13.5" customHeight="1">
      <c r="A109" s="619">
        <v>4</v>
      </c>
      <c r="B109" s="253"/>
      <c r="C109" s="258" t="s">
        <v>183</v>
      </c>
      <c r="D109" s="77" t="s">
        <v>170</v>
      </c>
      <c r="E109" s="376">
        <f>'Costos Sector Eléctrico'!E104</f>
        <v>42</v>
      </c>
      <c r="F109" s="376">
        <f>'Costos Sector Eléctrico'!F104</f>
        <v>42</v>
      </c>
      <c r="G109" s="376">
        <f>'Costos Sector Eléctrico'!G104</f>
        <v>42</v>
      </c>
      <c r="H109" s="376">
        <f>'Costos Sector Eléctrico'!H104</f>
        <v>42</v>
      </c>
      <c r="I109" s="376">
        <f>'Costos Sector Eléctrico'!I104</f>
        <v>42</v>
      </c>
      <c r="J109" s="376">
        <f>'Costos Sector Eléctrico'!J104</f>
        <v>42</v>
      </c>
      <c r="K109" s="376">
        <f>'Costos Sector Eléctrico'!K104</f>
        <v>42</v>
      </c>
      <c r="L109" s="376">
        <f>'Costos Sector Eléctrico'!L104</f>
        <v>42</v>
      </c>
      <c r="M109" s="376">
        <f>'Costos Sector Eléctrico'!M104</f>
        <v>42</v>
      </c>
      <c r="N109" s="376">
        <f>'Costos Sector Eléctrico'!N104</f>
        <v>42</v>
      </c>
      <c r="O109" s="376">
        <f>'Costos Sector Eléctrico'!O104</f>
        <v>42</v>
      </c>
      <c r="P109" s="376">
        <f>'Costos Sector Eléctrico'!P104</f>
        <v>42</v>
      </c>
      <c r="Q109" s="376">
        <f>'Costos Sector Eléctrico'!Q104</f>
        <v>42</v>
      </c>
      <c r="R109" s="376">
        <f>'Costos Sector Eléctrico'!R104</f>
        <v>42</v>
      </c>
      <c r="S109" s="376">
        <f>'Costos Sector Eléctrico'!S104</f>
        <v>42</v>
      </c>
      <c r="T109" s="376">
        <f>'Costos Sector Eléctrico'!T104</f>
        <v>42</v>
      </c>
      <c r="U109" s="376">
        <f>'Costos Sector Eléctrico'!U104</f>
        <v>42</v>
      </c>
      <c r="V109" s="376">
        <f>'Costos Sector Eléctrico'!V104</f>
        <v>42</v>
      </c>
      <c r="W109" s="376">
        <f>'Costos Sector Eléctrico'!W104</f>
        <v>42</v>
      </c>
      <c r="X109" s="376">
        <f>'Costos Sector Eléctrico'!X104</f>
        <v>42</v>
      </c>
      <c r="Y109" s="376">
        <f>'Costos Sector Eléctrico'!Y104</f>
        <v>42</v>
      </c>
      <c r="Z109" s="376">
        <f>'Costos Sector Eléctrico'!Z104</f>
        <v>42</v>
      </c>
      <c r="AA109" s="376">
        <f>'Costos Sector Eléctrico'!AA104</f>
        <v>42</v>
      </c>
      <c r="AB109" s="376">
        <f>'Costos Sector Eléctrico'!AB104</f>
        <v>42</v>
      </c>
      <c r="AC109" s="376">
        <f>'Costos Sector Eléctrico'!AC104</f>
        <v>42</v>
      </c>
      <c r="AD109" s="376">
        <f>'Costos Sector Eléctrico'!AD104</f>
        <v>42</v>
      </c>
      <c r="AE109" s="376">
        <f>'Costos Sector Eléctrico'!AE104</f>
        <v>42</v>
      </c>
      <c r="AF109" s="376">
        <f>'Costos Sector Eléctrico'!AF104</f>
        <v>42</v>
      </c>
      <c r="AG109" s="376">
        <f>'Costos Sector Eléctrico'!AG104</f>
        <v>42</v>
      </c>
      <c r="AH109" s="376">
        <f>'Costos Sector Eléctrico'!AH104</f>
        <v>42</v>
      </c>
      <c r="AI109" s="376">
        <f>'Costos Sector Eléctrico'!AI104</f>
        <v>42</v>
      </c>
      <c r="AJ109" s="376">
        <f>'Costos Sector Eléctrico'!AJ104</f>
        <v>42</v>
      </c>
      <c r="AK109" s="69">
        <f>'Costos Sector Eléctrico'!AK104</f>
        <v>42</v>
      </c>
      <c r="AL109" s="74">
        <f t="shared" ref="AL109:BE109" si="115">AK109</f>
        <v>42</v>
      </c>
      <c r="AM109" s="74">
        <f t="shared" si="115"/>
        <v>42</v>
      </c>
      <c r="AN109" s="74">
        <f t="shared" si="115"/>
        <v>42</v>
      </c>
      <c r="AO109" s="74">
        <f t="shared" si="115"/>
        <v>42</v>
      </c>
      <c r="AP109" s="74">
        <f t="shared" si="115"/>
        <v>42</v>
      </c>
      <c r="AQ109" s="74">
        <f t="shared" si="115"/>
        <v>42</v>
      </c>
      <c r="AR109" s="74">
        <f t="shared" si="115"/>
        <v>42</v>
      </c>
      <c r="AS109" s="74">
        <f t="shared" si="115"/>
        <v>42</v>
      </c>
      <c r="AT109" s="74">
        <f t="shared" si="115"/>
        <v>42</v>
      </c>
      <c r="AU109" s="74">
        <f t="shared" si="115"/>
        <v>42</v>
      </c>
      <c r="AV109" s="74">
        <f t="shared" si="115"/>
        <v>42</v>
      </c>
      <c r="AW109" s="74">
        <f t="shared" si="115"/>
        <v>42</v>
      </c>
      <c r="AX109" s="74">
        <f t="shared" si="115"/>
        <v>42</v>
      </c>
      <c r="AY109" s="74">
        <f t="shared" si="115"/>
        <v>42</v>
      </c>
      <c r="AZ109" s="74">
        <f t="shared" si="115"/>
        <v>42</v>
      </c>
      <c r="BA109" s="74">
        <f t="shared" si="115"/>
        <v>42</v>
      </c>
      <c r="BB109" s="74">
        <f t="shared" si="115"/>
        <v>42</v>
      </c>
      <c r="BC109" s="74">
        <f t="shared" si="115"/>
        <v>42</v>
      </c>
      <c r="BD109" s="74">
        <f t="shared" si="115"/>
        <v>42</v>
      </c>
      <c r="BE109" s="74">
        <f t="shared" si="115"/>
        <v>42</v>
      </c>
    </row>
    <row r="110" spans="1:57" ht="13.5" customHeight="1">
      <c r="A110" s="619">
        <v>4</v>
      </c>
      <c r="B110" s="253"/>
      <c r="C110" s="258" t="s">
        <v>142</v>
      </c>
      <c r="D110" s="78" t="s">
        <v>143</v>
      </c>
      <c r="E110" s="453">
        <f>'Costos Sector Eléctrico'!E108</f>
        <v>19.8</v>
      </c>
      <c r="F110" s="453">
        <f>'Costos Sector Eléctrico'!F108</f>
        <v>19.8</v>
      </c>
      <c r="G110" s="453">
        <f>'Costos Sector Eléctrico'!G108</f>
        <v>13.6</v>
      </c>
      <c r="H110" s="453">
        <f>'Costos Sector Eléctrico'!H108</f>
        <v>13.6</v>
      </c>
      <c r="I110" s="453">
        <f>'Costos Sector Eléctrico'!I108</f>
        <v>13.6</v>
      </c>
      <c r="J110" s="453">
        <f>'Costos Sector Eléctrico'!J108</f>
        <v>13.6</v>
      </c>
      <c r="K110" s="453">
        <f>'Costos Sector Eléctrico'!K108</f>
        <v>13.6</v>
      </c>
      <c r="L110" s="453">
        <f>'Costos Sector Eléctrico'!L108</f>
        <v>12.2</v>
      </c>
      <c r="M110" s="453">
        <f>'Costos Sector Eléctrico'!M108</f>
        <v>12.2</v>
      </c>
      <c r="N110" s="453">
        <f>'Costos Sector Eléctrico'!N108</f>
        <v>12.2</v>
      </c>
      <c r="O110" s="453">
        <f>'Costos Sector Eléctrico'!O108</f>
        <v>12.2</v>
      </c>
      <c r="P110" s="453">
        <f>'Costos Sector Eléctrico'!P108</f>
        <v>12.2</v>
      </c>
      <c r="Q110" s="453">
        <f>'Costos Sector Eléctrico'!Q108</f>
        <v>10.8</v>
      </c>
      <c r="R110" s="453">
        <f>'Costos Sector Eléctrico'!R108</f>
        <v>10.8</v>
      </c>
      <c r="S110" s="453">
        <f>'Costos Sector Eléctrico'!S108</f>
        <v>10.8</v>
      </c>
      <c r="T110" s="453">
        <f>'Costos Sector Eléctrico'!T108</f>
        <v>10.8</v>
      </c>
      <c r="U110" s="453">
        <f>'Costos Sector Eléctrico'!U108</f>
        <v>10.8</v>
      </c>
      <c r="V110" s="453">
        <f>'Costos Sector Eléctrico'!V108</f>
        <v>10.5</v>
      </c>
      <c r="W110" s="453">
        <f>'Costos Sector Eléctrico'!W108</f>
        <v>10.5</v>
      </c>
      <c r="X110" s="453">
        <f>'Costos Sector Eléctrico'!X108</f>
        <v>10.5</v>
      </c>
      <c r="Y110" s="453">
        <f>'Costos Sector Eléctrico'!Y108</f>
        <v>10.5</v>
      </c>
      <c r="Z110" s="453">
        <f>'Costos Sector Eléctrico'!Z108</f>
        <v>10.5</v>
      </c>
      <c r="AA110" s="453">
        <f>'Costos Sector Eléctrico'!AA108</f>
        <v>10.199999999999999</v>
      </c>
      <c r="AB110" s="453">
        <f>'Costos Sector Eléctrico'!AB108</f>
        <v>10.199999999999999</v>
      </c>
      <c r="AC110" s="453">
        <f>'Costos Sector Eléctrico'!AC108</f>
        <v>10.199999999999999</v>
      </c>
      <c r="AD110" s="453">
        <f>'Costos Sector Eléctrico'!AD108</f>
        <v>10.199999999999999</v>
      </c>
      <c r="AE110" s="453">
        <f>'Costos Sector Eléctrico'!AE108</f>
        <v>10.199999999999999</v>
      </c>
      <c r="AF110" s="453">
        <f>'Costos Sector Eléctrico'!AF108</f>
        <v>9.9</v>
      </c>
      <c r="AG110" s="453">
        <f>'Costos Sector Eléctrico'!AG108</f>
        <v>9.9</v>
      </c>
      <c r="AH110" s="453">
        <f>'Costos Sector Eléctrico'!AH108</f>
        <v>9.9</v>
      </c>
      <c r="AI110" s="453">
        <f>'Costos Sector Eléctrico'!AI108</f>
        <v>9.9</v>
      </c>
      <c r="AJ110" s="453">
        <f>'Costos Sector Eléctrico'!AJ108</f>
        <v>9.9</v>
      </c>
      <c r="AK110" s="98">
        <f>'Costos Sector Eléctrico'!AK108</f>
        <v>9.6</v>
      </c>
      <c r="AL110" s="74">
        <f t="shared" ref="AL110:BE110" si="116">AK110</f>
        <v>9.6</v>
      </c>
      <c r="AM110" s="74">
        <f t="shared" si="116"/>
        <v>9.6</v>
      </c>
      <c r="AN110" s="74">
        <f t="shared" si="116"/>
        <v>9.6</v>
      </c>
      <c r="AO110" s="74">
        <f t="shared" si="116"/>
        <v>9.6</v>
      </c>
      <c r="AP110" s="74">
        <f t="shared" si="116"/>
        <v>9.6</v>
      </c>
      <c r="AQ110" s="74">
        <f t="shared" si="116"/>
        <v>9.6</v>
      </c>
      <c r="AR110" s="74">
        <f t="shared" si="116"/>
        <v>9.6</v>
      </c>
      <c r="AS110" s="74">
        <f t="shared" si="116"/>
        <v>9.6</v>
      </c>
      <c r="AT110" s="74">
        <f t="shared" si="116"/>
        <v>9.6</v>
      </c>
      <c r="AU110" s="74">
        <f t="shared" si="116"/>
        <v>9.6</v>
      </c>
      <c r="AV110" s="74">
        <f t="shared" si="116"/>
        <v>9.6</v>
      </c>
      <c r="AW110" s="74">
        <f t="shared" si="116"/>
        <v>9.6</v>
      </c>
      <c r="AX110" s="74">
        <f t="shared" si="116"/>
        <v>9.6</v>
      </c>
      <c r="AY110" s="74">
        <f t="shared" si="116"/>
        <v>9.6</v>
      </c>
      <c r="AZ110" s="74">
        <f t="shared" si="116"/>
        <v>9.6</v>
      </c>
      <c r="BA110" s="74">
        <f t="shared" si="116"/>
        <v>9.6</v>
      </c>
      <c r="BB110" s="74">
        <f t="shared" si="116"/>
        <v>9.6</v>
      </c>
      <c r="BC110" s="74">
        <f t="shared" si="116"/>
        <v>9.6</v>
      </c>
      <c r="BD110" s="74">
        <f t="shared" si="116"/>
        <v>9.6</v>
      </c>
      <c r="BE110" s="74">
        <f t="shared" si="116"/>
        <v>9.6</v>
      </c>
    </row>
    <row r="111" spans="1:57" ht="13.5" customHeight="1">
      <c r="A111" s="619"/>
      <c r="B111" s="253"/>
      <c r="C111" s="258"/>
      <c r="D111" s="78" t="s">
        <v>144</v>
      </c>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c r="AA111" s="262"/>
      <c r="AB111" s="262"/>
      <c r="AC111" s="262"/>
      <c r="AD111" s="262"/>
      <c r="AE111" s="262"/>
      <c r="AF111" s="262"/>
      <c r="AG111" s="262"/>
      <c r="AH111" s="262"/>
      <c r="AI111" s="262"/>
      <c r="AJ111" s="262"/>
      <c r="AK111" s="81"/>
      <c r="AL111" s="74">
        <f t="shared" ref="AL111:BE111" si="117">AK111</f>
        <v>0</v>
      </c>
      <c r="AM111" s="74">
        <f t="shared" si="117"/>
        <v>0</v>
      </c>
      <c r="AN111" s="74">
        <f t="shared" si="117"/>
        <v>0</v>
      </c>
      <c r="AO111" s="74">
        <f t="shared" si="117"/>
        <v>0</v>
      </c>
      <c r="AP111" s="74">
        <f t="shared" si="117"/>
        <v>0</v>
      </c>
      <c r="AQ111" s="74">
        <f t="shared" si="117"/>
        <v>0</v>
      </c>
      <c r="AR111" s="74">
        <f t="shared" si="117"/>
        <v>0</v>
      </c>
      <c r="AS111" s="74">
        <f t="shared" si="117"/>
        <v>0</v>
      </c>
      <c r="AT111" s="74">
        <f t="shared" si="117"/>
        <v>0</v>
      </c>
      <c r="AU111" s="74">
        <f t="shared" si="117"/>
        <v>0</v>
      </c>
      <c r="AV111" s="74">
        <f t="shared" si="117"/>
        <v>0</v>
      </c>
      <c r="AW111" s="74">
        <f t="shared" si="117"/>
        <v>0</v>
      </c>
      <c r="AX111" s="74">
        <f t="shared" si="117"/>
        <v>0</v>
      </c>
      <c r="AY111" s="74">
        <f t="shared" si="117"/>
        <v>0</v>
      </c>
      <c r="AZ111" s="74">
        <f t="shared" si="117"/>
        <v>0</v>
      </c>
      <c r="BA111" s="74">
        <f t="shared" si="117"/>
        <v>0</v>
      </c>
      <c r="BB111" s="74">
        <f t="shared" si="117"/>
        <v>0</v>
      </c>
      <c r="BC111" s="74">
        <f t="shared" si="117"/>
        <v>0</v>
      </c>
      <c r="BD111" s="74">
        <f t="shared" si="117"/>
        <v>0</v>
      </c>
      <c r="BE111" s="74">
        <f t="shared" si="117"/>
        <v>0</v>
      </c>
    </row>
    <row r="112" spans="1:57" ht="13.5" customHeight="1">
      <c r="A112" s="619"/>
      <c r="B112" s="253"/>
      <c r="C112" s="258"/>
      <c r="D112" s="75" t="s">
        <v>145</v>
      </c>
      <c r="E112" s="447"/>
      <c r="F112" s="447"/>
      <c r="G112" s="447"/>
      <c r="H112" s="447"/>
      <c r="I112" s="447"/>
      <c r="J112" s="447"/>
      <c r="K112" s="447"/>
      <c r="L112" s="447"/>
      <c r="M112" s="447"/>
      <c r="N112" s="447"/>
      <c r="O112" s="447"/>
      <c r="P112" s="447"/>
      <c r="Q112" s="447"/>
      <c r="R112" s="447"/>
      <c r="S112" s="447"/>
      <c r="T112" s="447"/>
      <c r="U112" s="447"/>
      <c r="V112" s="447"/>
      <c r="W112" s="447"/>
      <c r="X112" s="447"/>
      <c r="Y112" s="447"/>
      <c r="Z112" s="447"/>
      <c r="AA112" s="447"/>
      <c r="AB112" s="447"/>
      <c r="AC112" s="447"/>
      <c r="AD112" s="447"/>
      <c r="AE112" s="447"/>
      <c r="AF112" s="447"/>
      <c r="AG112" s="447"/>
      <c r="AH112" s="447"/>
      <c r="AI112" s="447"/>
      <c r="AJ112" s="447"/>
      <c r="AK112" s="76"/>
      <c r="AL112" s="74">
        <f t="shared" ref="AL112:BE112" si="118">AK112</f>
        <v>0</v>
      </c>
      <c r="AM112" s="74">
        <f t="shared" si="118"/>
        <v>0</v>
      </c>
      <c r="AN112" s="74">
        <f t="shared" si="118"/>
        <v>0</v>
      </c>
      <c r="AO112" s="74">
        <f t="shared" si="118"/>
        <v>0</v>
      </c>
      <c r="AP112" s="74">
        <f t="shared" si="118"/>
        <v>0</v>
      </c>
      <c r="AQ112" s="74">
        <f t="shared" si="118"/>
        <v>0</v>
      </c>
      <c r="AR112" s="74">
        <f t="shared" si="118"/>
        <v>0</v>
      </c>
      <c r="AS112" s="74">
        <f t="shared" si="118"/>
        <v>0</v>
      </c>
      <c r="AT112" s="74">
        <f t="shared" si="118"/>
        <v>0</v>
      </c>
      <c r="AU112" s="74">
        <f t="shared" si="118"/>
        <v>0</v>
      </c>
      <c r="AV112" s="74">
        <f t="shared" si="118"/>
        <v>0</v>
      </c>
      <c r="AW112" s="74">
        <f t="shared" si="118"/>
        <v>0</v>
      </c>
      <c r="AX112" s="74">
        <f t="shared" si="118"/>
        <v>0</v>
      </c>
      <c r="AY112" s="74">
        <f t="shared" si="118"/>
        <v>0</v>
      </c>
      <c r="AZ112" s="74">
        <f t="shared" si="118"/>
        <v>0</v>
      </c>
      <c r="BA112" s="74">
        <f t="shared" si="118"/>
        <v>0</v>
      </c>
      <c r="BB112" s="74">
        <f t="shared" si="118"/>
        <v>0</v>
      </c>
      <c r="BC112" s="74">
        <f t="shared" si="118"/>
        <v>0</v>
      </c>
      <c r="BD112" s="74">
        <f t="shared" si="118"/>
        <v>0</v>
      </c>
      <c r="BE112" s="74">
        <f t="shared" si="118"/>
        <v>0</v>
      </c>
    </row>
    <row r="113" spans="1:57" ht="13.5" customHeight="1">
      <c r="A113" s="619">
        <v>4</v>
      </c>
      <c r="B113" s="253"/>
      <c r="C113" s="258" t="s">
        <v>146</v>
      </c>
      <c r="D113" s="77" t="s">
        <v>155</v>
      </c>
      <c r="E113" s="376">
        <f>'Costos Sector Eléctrico'!E117</f>
        <v>20</v>
      </c>
      <c r="F113" s="376">
        <f>'Costos Sector Eléctrico'!F117</f>
        <v>20</v>
      </c>
      <c r="G113" s="376">
        <f>'Costos Sector Eléctrico'!G117</f>
        <v>20</v>
      </c>
      <c r="H113" s="376">
        <f>'Costos Sector Eléctrico'!H117</f>
        <v>20</v>
      </c>
      <c r="I113" s="376">
        <f>'Costos Sector Eléctrico'!I117</f>
        <v>20</v>
      </c>
      <c r="J113" s="376">
        <f>'Costos Sector Eléctrico'!J117</f>
        <v>20</v>
      </c>
      <c r="K113" s="376">
        <f>'Costos Sector Eléctrico'!K117</f>
        <v>20</v>
      </c>
      <c r="L113" s="376">
        <f>'Costos Sector Eléctrico'!L117</f>
        <v>20</v>
      </c>
      <c r="M113" s="376">
        <f>'Costos Sector Eléctrico'!M117</f>
        <v>20</v>
      </c>
      <c r="N113" s="376">
        <f>'Costos Sector Eléctrico'!N117</f>
        <v>20</v>
      </c>
      <c r="O113" s="376">
        <f>'Costos Sector Eléctrico'!O117</f>
        <v>20</v>
      </c>
      <c r="P113" s="376">
        <f>'Costos Sector Eléctrico'!P117</f>
        <v>20</v>
      </c>
      <c r="Q113" s="376">
        <f>'Costos Sector Eléctrico'!Q117</f>
        <v>20</v>
      </c>
      <c r="R113" s="376">
        <f>'Costos Sector Eléctrico'!R117</f>
        <v>20</v>
      </c>
      <c r="S113" s="376">
        <f>'Costos Sector Eléctrico'!S117</f>
        <v>20</v>
      </c>
      <c r="T113" s="376">
        <f>'Costos Sector Eléctrico'!T117</f>
        <v>20</v>
      </c>
      <c r="U113" s="376">
        <f>'Costos Sector Eléctrico'!U117</f>
        <v>20</v>
      </c>
      <c r="V113" s="376">
        <f>'Costos Sector Eléctrico'!V117</f>
        <v>20</v>
      </c>
      <c r="W113" s="376">
        <f>'Costos Sector Eléctrico'!W117</f>
        <v>20</v>
      </c>
      <c r="X113" s="376">
        <f>'Costos Sector Eléctrico'!X117</f>
        <v>20</v>
      </c>
      <c r="Y113" s="376">
        <f>'Costos Sector Eléctrico'!Y117</f>
        <v>20</v>
      </c>
      <c r="Z113" s="376">
        <f>'Costos Sector Eléctrico'!Z117</f>
        <v>20</v>
      </c>
      <c r="AA113" s="376">
        <f>'Costos Sector Eléctrico'!AA117</f>
        <v>20</v>
      </c>
      <c r="AB113" s="376">
        <f>'Costos Sector Eléctrico'!AB117</f>
        <v>20</v>
      </c>
      <c r="AC113" s="376">
        <f>'Costos Sector Eléctrico'!AC117</f>
        <v>20</v>
      </c>
      <c r="AD113" s="376">
        <f>'Costos Sector Eléctrico'!AD117</f>
        <v>20</v>
      </c>
      <c r="AE113" s="376">
        <f>'Costos Sector Eléctrico'!AE117</f>
        <v>20</v>
      </c>
      <c r="AF113" s="376">
        <f>'Costos Sector Eléctrico'!AF117</f>
        <v>20</v>
      </c>
      <c r="AG113" s="376">
        <f>'Costos Sector Eléctrico'!AG117</f>
        <v>20</v>
      </c>
      <c r="AH113" s="376">
        <f>'Costos Sector Eléctrico'!AH117</f>
        <v>20</v>
      </c>
      <c r="AI113" s="376">
        <f>'Costos Sector Eléctrico'!AI117</f>
        <v>20</v>
      </c>
      <c r="AJ113" s="376">
        <f>'Costos Sector Eléctrico'!AJ117</f>
        <v>20</v>
      </c>
      <c r="AK113" s="69">
        <f>'Costos Sector Eléctrico'!AK117</f>
        <v>20</v>
      </c>
      <c r="AL113" s="74">
        <f t="shared" ref="AL113:BE113" si="119">AK113</f>
        <v>20</v>
      </c>
      <c r="AM113" s="74">
        <f t="shared" si="119"/>
        <v>20</v>
      </c>
      <c r="AN113" s="74">
        <f t="shared" si="119"/>
        <v>20</v>
      </c>
      <c r="AO113" s="74">
        <f t="shared" si="119"/>
        <v>20</v>
      </c>
      <c r="AP113" s="74">
        <f t="shared" si="119"/>
        <v>20</v>
      </c>
      <c r="AQ113" s="74">
        <f t="shared" si="119"/>
        <v>20</v>
      </c>
      <c r="AR113" s="74">
        <f t="shared" si="119"/>
        <v>20</v>
      </c>
      <c r="AS113" s="74">
        <f t="shared" si="119"/>
        <v>20</v>
      </c>
      <c r="AT113" s="74">
        <f t="shared" si="119"/>
        <v>20</v>
      </c>
      <c r="AU113" s="74">
        <f t="shared" si="119"/>
        <v>20</v>
      </c>
      <c r="AV113" s="74">
        <f t="shared" si="119"/>
        <v>20</v>
      </c>
      <c r="AW113" s="74">
        <f t="shared" si="119"/>
        <v>20</v>
      </c>
      <c r="AX113" s="74">
        <f t="shared" si="119"/>
        <v>20</v>
      </c>
      <c r="AY113" s="74">
        <f t="shared" si="119"/>
        <v>20</v>
      </c>
      <c r="AZ113" s="74">
        <f t="shared" si="119"/>
        <v>20</v>
      </c>
      <c r="BA113" s="74">
        <f t="shared" si="119"/>
        <v>20</v>
      </c>
      <c r="BB113" s="74">
        <f t="shared" si="119"/>
        <v>20</v>
      </c>
      <c r="BC113" s="74">
        <f t="shared" si="119"/>
        <v>20</v>
      </c>
      <c r="BD113" s="74">
        <f t="shared" si="119"/>
        <v>20</v>
      </c>
      <c r="BE113" s="74">
        <f t="shared" si="119"/>
        <v>20</v>
      </c>
    </row>
    <row r="114" spans="1:57" ht="13.5" customHeight="1">
      <c r="A114" s="619">
        <v>4</v>
      </c>
      <c r="B114" s="253"/>
      <c r="C114" s="258" t="s">
        <v>148</v>
      </c>
      <c r="D114" s="77" t="s">
        <v>160</v>
      </c>
      <c r="E114" s="376">
        <f>'Costos Sector Eléctrico'!E118</f>
        <v>20</v>
      </c>
      <c r="F114" s="376">
        <f>'Costos Sector Eléctrico'!F118</f>
        <v>20</v>
      </c>
      <c r="G114" s="376">
        <f>'Costos Sector Eléctrico'!G118</f>
        <v>20</v>
      </c>
      <c r="H114" s="376">
        <f>'Costos Sector Eléctrico'!H118</f>
        <v>20</v>
      </c>
      <c r="I114" s="376">
        <f>'Costos Sector Eléctrico'!I118</f>
        <v>20</v>
      </c>
      <c r="J114" s="376">
        <f>'Costos Sector Eléctrico'!J118</f>
        <v>20</v>
      </c>
      <c r="K114" s="376">
        <f>'Costos Sector Eléctrico'!K118</f>
        <v>20</v>
      </c>
      <c r="L114" s="376">
        <f>'Costos Sector Eléctrico'!L118</f>
        <v>20</v>
      </c>
      <c r="M114" s="376">
        <f>'Costos Sector Eléctrico'!M118</f>
        <v>20</v>
      </c>
      <c r="N114" s="376">
        <f>'Costos Sector Eléctrico'!N118</f>
        <v>20</v>
      </c>
      <c r="O114" s="376">
        <f>'Costos Sector Eléctrico'!O118</f>
        <v>20</v>
      </c>
      <c r="P114" s="376">
        <f>'Costos Sector Eléctrico'!P118</f>
        <v>20</v>
      </c>
      <c r="Q114" s="376">
        <f>'Costos Sector Eléctrico'!Q118</f>
        <v>20</v>
      </c>
      <c r="R114" s="376">
        <f>'Costos Sector Eléctrico'!R118</f>
        <v>20</v>
      </c>
      <c r="S114" s="376">
        <f>'Costos Sector Eléctrico'!S118</f>
        <v>20</v>
      </c>
      <c r="T114" s="376">
        <f>'Costos Sector Eléctrico'!T118</f>
        <v>20</v>
      </c>
      <c r="U114" s="376">
        <f>'Costos Sector Eléctrico'!U118</f>
        <v>20</v>
      </c>
      <c r="V114" s="376">
        <f>'Costos Sector Eléctrico'!V118</f>
        <v>20</v>
      </c>
      <c r="W114" s="376">
        <f>'Costos Sector Eléctrico'!W118</f>
        <v>20</v>
      </c>
      <c r="X114" s="376">
        <f>'Costos Sector Eléctrico'!X118</f>
        <v>20</v>
      </c>
      <c r="Y114" s="376">
        <f>'Costos Sector Eléctrico'!Y118</f>
        <v>20</v>
      </c>
      <c r="Z114" s="376">
        <f>'Costos Sector Eléctrico'!Z118</f>
        <v>20</v>
      </c>
      <c r="AA114" s="376">
        <f>'Costos Sector Eléctrico'!AA118</f>
        <v>20</v>
      </c>
      <c r="AB114" s="376">
        <f>'Costos Sector Eléctrico'!AB118</f>
        <v>20</v>
      </c>
      <c r="AC114" s="376">
        <f>'Costos Sector Eléctrico'!AC118</f>
        <v>20</v>
      </c>
      <c r="AD114" s="376">
        <f>'Costos Sector Eléctrico'!AD118</f>
        <v>20</v>
      </c>
      <c r="AE114" s="376">
        <f>'Costos Sector Eléctrico'!AE118</f>
        <v>20</v>
      </c>
      <c r="AF114" s="376">
        <f>'Costos Sector Eléctrico'!AF118</f>
        <v>20</v>
      </c>
      <c r="AG114" s="376">
        <f>'Costos Sector Eléctrico'!AG118</f>
        <v>20</v>
      </c>
      <c r="AH114" s="376">
        <f>'Costos Sector Eléctrico'!AH118</f>
        <v>20</v>
      </c>
      <c r="AI114" s="376">
        <f>'Costos Sector Eléctrico'!AI118</f>
        <v>20</v>
      </c>
      <c r="AJ114" s="376">
        <f>'Costos Sector Eléctrico'!AJ118</f>
        <v>20</v>
      </c>
      <c r="AK114" s="69">
        <f>'Costos Sector Eléctrico'!AK118</f>
        <v>20</v>
      </c>
      <c r="AL114" s="74">
        <f t="shared" ref="AL114:BE114" si="120">AK114</f>
        <v>20</v>
      </c>
      <c r="AM114" s="74">
        <f t="shared" si="120"/>
        <v>20</v>
      </c>
      <c r="AN114" s="74">
        <f t="shared" si="120"/>
        <v>20</v>
      </c>
      <c r="AO114" s="74">
        <f t="shared" si="120"/>
        <v>20</v>
      </c>
      <c r="AP114" s="74">
        <f t="shared" si="120"/>
        <v>20</v>
      </c>
      <c r="AQ114" s="74">
        <f t="shared" si="120"/>
        <v>20</v>
      </c>
      <c r="AR114" s="74">
        <f t="shared" si="120"/>
        <v>20</v>
      </c>
      <c r="AS114" s="74">
        <f t="shared" si="120"/>
        <v>20</v>
      </c>
      <c r="AT114" s="74">
        <f t="shared" si="120"/>
        <v>20</v>
      </c>
      <c r="AU114" s="74">
        <f t="shared" si="120"/>
        <v>20</v>
      </c>
      <c r="AV114" s="74">
        <f t="shared" si="120"/>
        <v>20</v>
      </c>
      <c r="AW114" s="74">
        <f t="shared" si="120"/>
        <v>20</v>
      </c>
      <c r="AX114" s="74">
        <f t="shared" si="120"/>
        <v>20</v>
      </c>
      <c r="AY114" s="74">
        <f t="shared" si="120"/>
        <v>20</v>
      </c>
      <c r="AZ114" s="74">
        <f t="shared" si="120"/>
        <v>20</v>
      </c>
      <c r="BA114" s="74">
        <f t="shared" si="120"/>
        <v>20</v>
      </c>
      <c r="BB114" s="74">
        <f t="shared" si="120"/>
        <v>20</v>
      </c>
      <c r="BC114" s="74">
        <f t="shared" si="120"/>
        <v>20</v>
      </c>
      <c r="BD114" s="74">
        <f t="shared" si="120"/>
        <v>20</v>
      </c>
      <c r="BE114" s="74">
        <f t="shared" si="120"/>
        <v>20</v>
      </c>
    </row>
    <row r="115" spans="1:57" ht="13.5" customHeight="1">
      <c r="A115" s="619">
        <v>4</v>
      </c>
      <c r="B115" s="253"/>
      <c r="C115" s="258" t="s">
        <v>151</v>
      </c>
      <c r="D115" s="83" t="s">
        <v>309</v>
      </c>
      <c r="E115" s="450">
        <f t="shared" ref="E115:AK115" si="121">E114</f>
        <v>20</v>
      </c>
      <c r="F115" s="450">
        <f t="shared" si="121"/>
        <v>20</v>
      </c>
      <c r="G115" s="450">
        <f t="shared" si="121"/>
        <v>20</v>
      </c>
      <c r="H115" s="450">
        <f t="shared" si="121"/>
        <v>20</v>
      </c>
      <c r="I115" s="450">
        <f t="shared" si="121"/>
        <v>20</v>
      </c>
      <c r="J115" s="450">
        <f t="shared" si="121"/>
        <v>20</v>
      </c>
      <c r="K115" s="450">
        <f t="shared" si="121"/>
        <v>20</v>
      </c>
      <c r="L115" s="450">
        <f t="shared" si="121"/>
        <v>20</v>
      </c>
      <c r="M115" s="450">
        <f t="shared" si="121"/>
        <v>20</v>
      </c>
      <c r="N115" s="450">
        <f t="shared" si="121"/>
        <v>20</v>
      </c>
      <c r="O115" s="450">
        <f t="shared" si="121"/>
        <v>20</v>
      </c>
      <c r="P115" s="450">
        <f t="shared" si="121"/>
        <v>20</v>
      </c>
      <c r="Q115" s="450">
        <f t="shared" si="121"/>
        <v>20</v>
      </c>
      <c r="R115" s="450">
        <f t="shared" si="121"/>
        <v>20</v>
      </c>
      <c r="S115" s="450">
        <f t="shared" si="121"/>
        <v>20</v>
      </c>
      <c r="T115" s="450">
        <f t="shared" si="121"/>
        <v>20</v>
      </c>
      <c r="U115" s="450">
        <f t="shared" si="121"/>
        <v>20</v>
      </c>
      <c r="V115" s="450">
        <f t="shared" si="121"/>
        <v>20</v>
      </c>
      <c r="W115" s="450">
        <f t="shared" si="121"/>
        <v>20</v>
      </c>
      <c r="X115" s="450">
        <f t="shared" si="121"/>
        <v>20</v>
      </c>
      <c r="Y115" s="450">
        <f t="shared" si="121"/>
        <v>20</v>
      </c>
      <c r="Z115" s="450">
        <f t="shared" si="121"/>
        <v>20</v>
      </c>
      <c r="AA115" s="450">
        <f t="shared" si="121"/>
        <v>20</v>
      </c>
      <c r="AB115" s="450">
        <f t="shared" si="121"/>
        <v>20</v>
      </c>
      <c r="AC115" s="450">
        <f t="shared" si="121"/>
        <v>20</v>
      </c>
      <c r="AD115" s="450">
        <f t="shared" si="121"/>
        <v>20</v>
      </c>
      <c r="AE115" s="450">
        <f t="shared" si="121"/>
        <v>20</v>
      </c>
      <c r="AF115" s="450">
        <f t="shared" si="121"/>
        <v>20</v>
      </c>
      <c r="AG115" s="450">
        <f t="shared" si="121"/>
        <v>20</v>
      </c>
      <c r="AH115" s="450">
        <f t="shared" si="121"/>
        <v>20</v>
      </c>
      <c r="AI115" s="450">
        <f t="shared" si="121"/>
        <v>20</v>
      </c>
      <c r="AJ115" s="450">
        <f t="shared" si="121"/>
        <v>20</v>
      </c>
      <c r="AK115" s="84">
        <f t="shared" si="121"/>
        <v>20</v>
      </c>
      <c r="AL115" s="74">
        <f t="shared" ref="AL115:BE115" si="122">AK115</f>
        <v>20</v>
      </c>
      <c r="AM115" s="74">
        <f t="shared" si="122"/>
        <v>20</v>
      </c>
      <c r="AN115" s="74">
        <f t="shared" si="122"/>
        <v>20</v>
      </c>
      <c r="AO115" s="74">
        <f t="shared" si="122"/>
        <v>20</v>
      </c>
      <c r="AP115" s="74">
        <f t="shared" si="122"/>
        <v>20</v>
      </c>
      <c r="AQ115" s="74">
        <f t="shared" si="122"/>
        <v>20</v>
      </c>
      <c r="AR115" s="74">
        <f t="shared" si="122"/>
        <v>20</v>
      </c>
      <c r="AS115" s="74">
        <f t="shared" si="122"/>
        <v>20</v>
      </c>
      <c r="AT115" s="74">
        <f t="shared" si="122"/>
        <v>20</v>
      </c>
      <c r="AU115" s="74">
        <f t="shared" si="122"/>
        <v>20</v>
      </c>
      <c r="AV115" s="74">
        <f t="shared" si="122"/>
        <v>20</v>
      </c>
      <c r="AW115" s="74">
        <f t="shared" si="122"/>
        <v>20</v>
      </c>
      <c r="AX115" s="74">
        <f t="shared" si="122"/>
        <v>20</v>
      </c>
      <c r="AY115" s="74">
        <f t="shared" si="122"/>
        <v>20</v>
      </c>
      <c r="AZ115" s="74">
        <f t="shared" si="122"/>
        <v>20</v>
      </c>
      <c r="BA115" s="74">
        <f t="shared" si="122"/>
        <v>20</v>
      </c>
      <c r="BB115" s="74">
        <f t="shared" si="122"/>
        <v>20</v>
      </c>
      <c r="BC115" s="74">
        <f t="shared" si="122"/>
        <v>20</v>
      </c>
      <c r="BD115" s="74">
        <f t="shared" si="122"/>
        <v>20</v>
      </c>
      <c r="BE115" s="74">
        <f t="shared" si="122"/>
        <v>20</v>
      </c>
    </row>
    <row r="116" spans="1:57" ht="13.5" customHeight="1">
      <c r="A116" s="619">
        <v>4</v>
      </c>
      <c r="B116" s="253"/>
      <c r="C116" s="258" t="s">
        <v>163</v>
      </c>
      <c r="D116" s="77" t="s">
        <v>161</v>
      </c>
      <c r="E116" s="376">
        <f>'Costos Sector Eléctrico'!E116</f>
        <v>94</v>
      </c>
      <c r="F116" s="376">
        <f>'Costos Sector Eléctrico'!F116</f>
        <v>94</v>
      </c>
      <c r="G116" s="376">
        <f>'Costos Sector Eléctrico'!G116</f>
        <v>94</v>
      </c>
      <c r="H116" s="376">
        <f>'Costos Sector Eléctrico'!H116</f>
        <v>94</v>
      </c>
      <c r="I116" s="376">
        <f>'Costos Sector Eléctrico'!I116</f>
        <v>94</v>
      </c>
      <c r="J116" s="376">
        <f>'Costos Sector Eléctrico'!J116</f>
        <v>94</v>
      </c>
      <c r="K116" s="376">
        <f>'Costos Sector Eléctrico'!K116</f>
        <v>94</v>
      </c>
      <c r="L116" s="376">
        <f>'Costos Sector Eléctrico'!L116</f>
        <v>93</v>
      </c>
      <c r="M116" s="376">
        <f>'Costos Sector Eléctrico'!M116</f>
        <v>93</v>
      </c>
      <c r="N116" s="376">
        <f>'Costos Sector Eléctrico'!N116</f>
        <v>93</v>
      </c>
      <c r="O116" s="376">
        <f>'Costos Sector Eléctrico'!O116</f>
        <v>93</v>
      </c>
      <c r="P116" s="376">
        <f>'Costos Sector Eléctrico'!P116</f>
        <v>93</v>
      </c>
      <c r="Q116" s="376">
        <f>'Costos Sector Eléctrico'!Q116</f>
        <v>92</v>
      </c>
      <c r="R116" s="376">
        <f>'Costos Sector Eléctrico'!R116</f>
        <v>92</v>
      </c>
      <c r="S116" s="376">
        <f>'Costos Sector Eléctrico'!S116</f>
        <v>92</v>
      </c>
      <c r="T116" s="376">
        <f>'Costos Sector Eléctrico'!T116</f>
        <v>92</v>
      </c>
      <c r="U116" s="376">
        <f>'Costos Sector Eléctrico'!U116</f>
        <v>92</v>
      </c>
      <c r="V116" s="376">
        <f>'Costos Sector Eléctrico'!V116</f>
        <v>92</v>
      </c>
      <c r="W116" s="376">
        <f>'Costos Sector Eléctrico'!W116</f>
        <v>92</v>
      </c>
      <c r="X116" s="376">
        <f>'Costos Sector Eléctrico'!X116</f>
        <v>92</v>
      </c>
      <c r="Y116" s="376">
        <f>'Costos Sector Eléctrico'!Y116</f>
        <v>92</v>
      </c>
      <c r="Z116" s="376">
        <f>'Costos Sector Eléctrico'!Z116</f>
        <v>92</v>
      </c>
      <c r="AA116" s="376">
        <f>'Costos Sector Eléctrico'!AA116</f>
        <v>91</v>
      </c>
      <c r="AB116" s="376">
        <f>'Costos Sector Eléctrico'!AB116</f>
        <v>91</v>
      </c>
      <c r="AC116" s="376">
        <f>'Costos Sector Eléctrico'!AC116</f>
        <v>91</v>
      </c>
      <c r="AD116" s="376">
        <f>'Costos Sector Eléctrico'!AD116</f>
        <v>91</v>
      </c>
      <c r="AE116" s="376">
        <f>'Costos Sector Eléctrico'!AE116</f>
        <v>91</v>
      </c>
      <c r="AF116" s="376">
        <f>'Costos Sector Eléctrico'!AF116</f>
        <v>91</v>
      </c>
      <c r="AG116" s="376">
        <f>'Costos Sector Eléctrico'!AG116</f>
        <v>91</v>
      </c>
      <c r="AH116" s="376">
        <f>'Costos Sector Eléctrico'!AH116</f>
        <v>91</v>
      </c>
      <c r="AI116" s="376">
        <f>'Costos Sector Eléctrico'!AI116</f>
        <v>91</v>
      </c>
      <c r="AJ116" s="376">
        <f>'Costos Sector Eléctrico'!AJ116</f>
        <v>91</v>
      </c>
      <c r="AK116" s="69">
        <f>'Costos Sector Eléctrico'!AK116</f>
        <v>90</v>
      </c>
      <c r="AL116" s="74">
        <f t="shared" ref="AL116:BE116" si="123">AK116</f>
        <v>90</v>
      </c>
      <c r="AM116" s="74">
        <f t="shared" si="123"/>
        <v>90</v>
      </c>
      <c r="AN116" s="74">
        <f t="shared" si="123"/>
        <v>90</v>
      </c>
      <c r="AO116" s="74">
        <f t="shared" si="123"/>
        <v>90</v>
      </c>
      <c r="AP116" s="74">
        <f t="shared" si="123"/>
        <v>90</v>
      </c>
      <c r="AQ116" s="74">
        <f t="shared" si="123"/>
        <v>90</v>
      </c>
      <c r="AR116" s="74">
        <f t="shared" si="123"/>
        <v>90</v>
      </c>
      <c r="AS116" s="74">
        <f t="shared" si="123"/>
        <v>90</v>
      </c>
      <c r="AT116" s="74">
        <f t="shared" si="123"/>
        <v>90</v>
      </c>
      <c r="AU116" s="74">
        <f t="shared" si="123"/>
        <v>90</v>
      </c>
      <c r="AV116" s="74">
        <f t="shared" si="123"/>
        <v>90</v>
      </c>
      <c r="AW116" s="74">
        <f t="shared" si="123"/>
        <v>90</v>
      </c>
      <c r="AX116" s="74">
        <f t="shared" si="123"/>
        <v>90</v>
      </c>
      <c r="AY116" s="74">
        <f t="shared" si="123"/>
        <v>90</v>
      </c>
      <c r="AZ116" s="74">
        <f t="shared" si="123"/>
        <v>90</v>
      </c>
      <c r="BA116" s="74">
        <f t="shared" si="123"/>
        <v>90</v>
      </c>
      <c r="BB116" s="74">
        <f t="shared" si="123"/>
        <v>90</v>
      </c>
      <c r="BC116" s="74">
        <f t="shared" si="123"/>
        <v>90</v>
      </c>
      <c r="BD116" s="74">
        <f t="shared" si="123"/>
        <v>90</v>
      </c>
      <c r="BE116" s="74">
        <f t="shared" si="123"/>
        <v>90</v>
      </c>
    </row>
    <row r="117" spans="1:57" ht="13.5" customHeight="1">
      <c r="A117" s="619"/>
      <c r="B117" s="253"/>
      <c r="C117" s="258"/>
      <c r="D117" s="75" t="s">
        <v>153</v>
      </c>
      <c r="E117" s="447"/>
      <c r="F117" s="447"/>
      <c r="G117" s="447"/>
      <c r="H117" s="447"/>
      <c r="I117" s="447"/>
      <c r="J117" s="447"/>
      <c r="K117" s="447"/>
      <c r="L117" s="447"/>
      <c r="M117" s="447"/>
      <c r="N117" s="447"/>
      <c r="O117" s="447"/>
      <c r="P117" s="447"/>
      <c r="Q117" s="447"/>
      <c r="R117" s="447"/>
      <c r="S117" s="447"/>
      <c r="T117" s="447"/>
      <c r="U117" s="447"/>
      <c r="V117" s="447"/>
      <c r="W117" s="447"/>
      <c r="X117" s="447"/>
      <c r="Y117" s="447"/>
      <c r="Z117" s="447"/>
      <c r="AA117" s="447"/>
      <c r="AB117" s="447"/>
      <c r="AC117" s="447"/>
      <c r="AD117" s="447"/>
      <c r="AE117" s="447"/>
      <c r="AF117" s="447"/>
      <c r="AG117" s="447"/>
      <c r="AH117" s="447"/>
      <c r="AI117" s="447"/>
      <c r="AJ117" s="447"/>
      <c r="AK117" s="76"/>
      <c r="AL117" s="74">
        <f t="shared" ref="AL117:BE117" si="124">AK117</f>
        <v>0</v>
      </c>
      <c r="AM117" s="74">
        <f t="shared" si="124"/>
        <v>0</v>
      </c>
      <c r="AN117" s="74">
        <f t="shared" si="124"/>
        <v>0</v>
      </c>
      <c r="AO117" s="74">
        <f t="shared" si="124"/>
        <v>0</v>
      </c>
      <c r="AP117" s="74">
        <f t="shared" si="124"/>
        <v>0</v>
      </c>
      <c r="AQ117" s="74">
        <f t="shared" si="124"/>
        <v>0</v>
      </c>
      <c r="AR117" s="74">
        <f t="shared" si="124"/>
        <v>0</v>
      </c>
      <c r="AS117" s="74">
        <f t="shared" si="124"/>
        <v>0</v>
      </c>
      <c r="AT117" s="74">
        <f t="shared" si="124"/>
        <v>0</v>
      </c>
      <c r="AU117" s="74">
        <f t="shared" si="124"/>
        <v>0</v>
      </c>
      <c r="AV117" s="74">
        <f t="shared" si="124"/>
        <v>0</v>
      </c>
      <c r="AW117" s="74">
        <f t="shared" si="124"/>
        <v>0</v>
      </c>
      <c r="AX117" s="74">
        <f t="shared" si="124"/>
        <v>0</v>
      </c>
      <c r="AY117" s="74">
        <f t="shared" si="124"/>
        <v>0</v>
      </c>
      <c r="AZ117" s="74">
        <f t="shared" si="124"/>
        <v>0</v>
      </c>
      <c r="BA117" s="74">
        <f t="shared" si="124"/>
        <v>0</v>
      </c>
      <c r="BB117" s="74">
        <f t="shared" si="124"/>
        <v>0</v>
      </c>
      <c r="BC117" s="74">
        <f t="shared" si="124"/>
        <v>0</v>
      </c>
      <c r="BD117" s="74">
        <f t="shared" si="124"/>
        <v>0</v>
      </c>
      <c r="BE117" s="74">
        <f t="shared" si="124"/>
        <v>0</v>
      </c>
    </row>
    <row r="118" spans="1:57" ht="13.5" customHeight="1">
      <c r="A118" s="85">
        <v>4</v>
      </c>
      <c r="B118" s="253"/>
      <c r="C118" s="258" t="s">
        <v>154</v>
      </c>
      <c r="D118" s="83" t="s">
        <v>155</v>
      </c>
      <c r="E118" s="450">
        <v>21.7</v>
      </c>
      <c r="F118" s="450">
        <v>21.7</v>
      </c>
      <c r="G118" s="450">
        <v>21.7</v>
      </c>
      <c r="H118" s="450">
        <v>21.7</v>
      </c>
      <c r="I118" s="450">
        <v>21.7</v>
      </c>
      <c r="J118" s="450">
        <v>21.7</v>
      </c>
      <c r="K118" s="450">
        <v>21.7</v>
      </c>
      <c r="L118" s="450">
        <v>21.7</v>
      </c>
      <c r="M118" s="450">
        <v>21.7</v>
      </c>
      <c r="N118" s="450">
        <v>21.7</v>
      </c>
      <c r="O118" s="450">
        <v>21.7</v>
      </c>
      <c r="P118" s="450">
        <v>21.7</v>
      </c>
      <c r="Q118" s="450">
        <v>21.7</v>
      </c>
      <c r="R118" s="450">
        <v>21.7</v>
      </c>
      <c r="S118" s="450">
        <v>21.7</v>
      </c>
      <c r="T118" s="450">
        <v>21.7</v>
      </c>
      <c r="U118" s="450">
        <v>21.7</v>
      </c>
      <c r="V118" s="450">
        <v>21.7</v>
      </c>
      <c r="W118" s="450">
        <v>21.7</v>
      </c>
      <c r="X118" s="450">
        <v>21.7</v>
      </c>
      <c r="Y118" s="450">
        <v>21.7</v>
      </c>
      <c r="Z118" s="450">
        <v>21.7</v>
      </c>
      <c r="AA118" s="450">
        <v>21.7</v>
      </c>
      <c r="AB118" s="450">
        <v>21.7</v>
      </c>
      <c r="AC118" s="450">
        <v>21.7</v>
      </c>
      <c r="AD118" s="450">
        <v>21.7</v>
      </c>
      <c r="AE118" s="450">
        <v>21.7</v>
      </c>
      <c r="AF118" s="450">
        <v>21.7</v>
      </c>
      <c r="AG118" s="450">
        <v>21.7</v>
      </c>
      <c r="AH118" s="450">
        <v>21.7</v>
      </c>
      <c r="AI118" s="450">
        <v>21.7</v>
      </c>
      <c r="AJ118" s="450">
        <v>21.7</v>
      </c>
      <c r="AK118" s="84">
        <v>21.7</v>
      </c>
      <c r="AL118" s="74">
        <f t="shared" ref="AL118:BE118" si="125">AK118</f>
        <v>21.7</v>
      </c>
      <c r="AM118" s="74">
        <f t="shared" si="125"/>
        <v>21.7</v>
      </c>
      <c r="AN118" s="74">
        <f t="shared" si="125"/>
        <v>21.7</v>
      </c>
      <c r="AO118" s="74">
        <f t="shared" si="125"/>
        <v>21.7</v>
      </c>
      <c r="AP118" s="74">
        <f t="shared" si="125"/>
        <v>21.7</v>
      </c>
      <c r="AQ118" s="74">
        <f t="shared" si="125"/>
        <v>21.7</v>
      </c>
      <c r="AR118" s="74">
        <f t="shared" si="125"/>
        <v>21.7</v>
      </c>
      <c r="AS118" s="74">
        <f t="shared" si="125"/>
        <v>21.7</v>
      </c>
      <c r="AT118" s="74">
        <f t="shared" si="125"/>
        <v>21.7</v>
      </c>
      <c r="AU118" s="74">
        <f t="shared" si="125"/>
        <v>21.7</v>
      </c>
      <c r="AV118" s="74">
        <f t="shared" si="125"/>
        <v>21.7</v>
      </c>
      <c r="AW118" s="74">
        <f t="shared" si="125"/>
        <v>21.7</v>
      </c>
      <c r="AX118" s="74">
        <f t="shared" si="125"/>
        <v>21.7</v>
      </c>
      <c r="AY118" s="74">
        <f t="shared" si="125"/>
        <v>21.7</v>
      </c>
      <c r="AZ118" s="74">
        <f t="shared" si="125"/>
        <v>21.7</v>
      </c>
      <c r="BA118" s="74">
        <f t="shared" si="125"/>
        <v>21.7</v>
      </c>
      <c r="BB118" s="74">
        <f t="shared" si="125"/>
        <v>21.7</v>
      </c>
      <c r="BC118" s="74">
        <f t="shared" si="125"/>
        <v>21.7</v>
      </c>
      <c r="BD118" s="74">
        <f t="shared" si="125"/>
        <v>21.7</v>
      </c>
      <c r="BE118" s="74">
        <f t="shared" si="125"/>
        <v>21.7</v>
      </c>
    </row>
    <row r="119" spans="1:57" ht="13.5" customHeight="1">
      <c r="A119" s="619">
        <v>4</v>
      </c>
      <c r="B119" s="253"/>
      <c r="C119" s="258" t="s">
        <v>156</v>
      </c>
      <c r="D119" s="77" t="s">
        <v>157</v>
      </c>
      <c r="E119" s="376">
        <f>'Costos Sector Eléctrico'!E124</f>
        <v>23.8</v>
      </c>
      <c r="F119" s="376">
        <f>'Costos Sector Eléctrico'!F124</f>
        <v>23.8</v>
      </c>
      <c r="G119" s="376">
        <f>'Costos Sector Eléctrico'!G124</f>
        <v>20</v>
      </c>
      <c r="H119" s="376">
        <f>'Costos Sector Eléctrico'!H124</f>
        <v>20</v>
      </c>
      <c r="I119" s="376">
        <f>'Costos Sector Eléctrico'!I124</f>
        <v>20</v>
      </c>
      <c r="J119" s="376">
        <f>'Costos Sector Eléctrico'!J124</f>
        <v>20</v>
      </c>
      <c r="K119" s="376">
        <f>'Costos Sector Eléctrico'!K124</f>
        <v>20</v>
      </c>
      <c r="L119" s="376">
        <f>'Costos Sector Eléctrico'!L124</f>
        <v>19.829999999999998</v>
      </c>
      <c r="M119" s="376">
        <f>'Costos Sector Eléctrico'!M124</f>
        <v>19.829999999999998</v>
      </c>
      <c r="N119" s="376">
        <f>'Costos Sector Eléctrico'!N124</f>
        <v>19.829999999999998</v>
      </c>
      <c r="O119" s="376">
        <f>'Costos Sector Eléctrico'!O124</f>
        <v>19.829999999999998</v>
      </c>
      <c r="P119" s="376">
        <f>'Costos Sector Eléctrico'!P124</f>
        <v>19.829999999999998</v>
      </c>
      <c r="Q119" s="376">
        <f>'Costos Sector Eléctrico'!Q124</f>
        <v>19.66</v>
      </c>
      <c r="R119" s="376">
        <f>'Costos Sector Eléctrico'!R124</f>
        <v>19.66</v>
      </c>
      <c r="S119" s="376">
        <f>'Costos Sector Eléctrico'!S124</f>
        <v>19.66</v>
      </c>
      <c r="T119" s="376">
        <f>'Costos Sector Eléctrico'!T124</f>
        <v>19.66</v>
      </c>
      <c r="U119" s="376">
        <f>'Costos Sector Eléctrico'!U124</f>
        <v>19.66</v>
      </c>
      <c r="V119" s="376">
        <f>'Costos Sector Eléctrico'!V124</f>
        <v>19.309999999999999</v>
      </c>
      <c r="W119" s="376">
        <f>'Costos Sector Eléctrico'!W124</f>
        <v>19.309999999999999</v>
      </c>
      <c r="X119" s="376">
        <f>'Costos Sector Eléctrico'!X124</f>
        <v>19.309999999999999</v>
      </c>
      <c r="Y119" s="376">
        <f>'Costos Sector Eléctrico'!Y124</f>
        <v>19.309999999999999</v>
      </c>
      <c r="Z119" s="376">
        <f>'Costos Sector Eléctrico'!Z124</f>
        <v>19.309999999999999</v>
      </c>
      <c r="AA119" s="376">
        <f>'Costos Sector Eléctrico'!AA124</f>
        <v>18.96</v>
      </c>
      <c r="AB119" s="376">
        <f>'Costos Sector Eléctrico'!AB124</f>
        <v>18.96</v>
      </c>
      <c r="AC119" s="376">
        <f>'Costos Sector Eléctrico'!AC124</f>
        <v>18.96</v>
      </c>
      <c r="AD119" s="376">
        <f>'Costos Sector Eléctrico'!AD124</f>
        <v>18.96</v>
      </c>
      <c r="AE119" s="376">
        <f>'Costos Sector Eléctrico'!AE124</f>
        <v>18.96</v>
      </c>
      <c r="AF119" s="376">
        <f>'Costos Sector Eléctrico'!AF124</f>
        <v>18.61</v>
      </c>
      <c r="AG119" s="376">
        <f>'Costos Sector Eléctrico'!AG124</f>
        <v>18.61</v>
      </c>
      <c r="AH119" s="376">
        <f>'Costos Sector Eléctrico'!AH124</f>
        <v>18.61</v>
      </c>
      <c r="AI119" s="376">
        <f>'Costos Sector Eléctrico'!AI124</f>
        <v>18.61</v>
      </c>
      <c r="AJ119" s="376">
        <f>'Costos Sector Eléctrico'!AJ124</f>
        <v>18.61</v>
      </c>
      <c r="AK119" s="69">
        <f>'Costos Sector Eléctrico'!AK124</f>
        <v>18.260000000000002</v>
      </c>
      <c r="AL119" s="74">
        <f t="shared" ref="AL119:BE119" si="126">AK119</f>
        <v>18.260000000000002</v>
      </c>
      <c r="AM119" s="74">
        <f t="shared" si="126"/>
        <v>18.260000000000002</v>
      </c>
      <c r="AN119" s="74">
        <f t="shared" si="126"/>
        <v>18.260000000000002</v>
      </c>
      <c r="AO119" s="74">
        <f t="shared" si="126"/>
        <v>18.260000000000002</v>
      </c>
      <c r="AP119" s="74">
        <f t="shared" si="126"/>
        <v>18.260000000000002</v>
      </c>
      <c r="AQ119" s="74">
        <f t="shared" si="126"/>
        <v>18.260000000000002</v>
      </c>
      <c r="AR119" s="74">
        <f t="shared" si="126"/>
        <v>18.260000000000002</v>
      </c>
      <c r="AS119" s="74">
        <f t="shared" si="126"/>
        <v>18.260000000000002</v>
      </c>
      <c r="AT119" s="74">
        <f t="shared" si="126"/>
        <v>18.260000000000002</v>
      </c>
      <c r="AU119" s="74">
        <f t="shared" si="126"/>
        <v>18.260000000000002</v>
      </c>
      <c r="AV119" s="74">
        <f t="shared" si="126"/>
        <v>18.260000000000002</v>
      </c>
      <c r="AW119" s="74">
        <f t="shared" si="126"/>
        <v>18.260000000000002</v>
      </c>
      <c r="AX119" s="74">
        <f t="shared" si="126"/>
        <v>18.260000000000002</v>
      </c>
      <c r="AY119" s="74">
        <f t="shared" si="126"/>
        <v>18.260000000000002</v>
      </c>
      <c r="AZ119" s="74">
        <f t="shared" si="126"/>
        <v>18.260000000000002</v>
      </c>
      <c r="BA119" s="74">
        <f t="shared" si="126"/>
        <v>18.260000000000002</v>
      </c>
      <c r="BB119" s="74">
        <f t="shared" si="126"/>
        <v>18.260000000000002</v>
      </c>
      <c r="BC119" s="74">
        <f t="shared" si="126"/>
        <v>18.260000000000002</v>
      </c>
      <c r="BD119" s="74">
        <f t="shared" si="126"/>
        <v>18.260000000000002</v>
      </c>
      <c r="BE119" s="74">
        <f t="shared" si="126"/>
        <v>18.260000000000002</v>
      </c>
    </row>
    <row r="120" spans="1:57" ht="13.5" customHeight="1">
      <c r="A120" s="619"/>
      <c r="B120" s="253"/>
      <c r="C120" s="258"/>
      <c r="D120" s="75" t="s">
        <v>158</v>
      </c>
      <c r="E120" s="447"/>
      <c r="F120" s="447"/>
      <c r="G120" s="447"/>
      <c r="H120" s="447"/>
      <c r="I120" s="447"/>
      <c r="J120" s="447"/>
      <c r="K120" s="447"/>
      <c r="L120" s="447"/>
      <c r="M120" s="447"/>
      <c r="N120" s="447"/>
      <c r="O120" s="447"/>
      <c r="P120" s="447"/>
      <c r="Q120" s="447"/>
      <c r="R120" s="447"/>
      <c r="S120" s="447"/>
      <c r="T120" s="447"/>
      <c r="U120" s="447"/>
      <c r="V120" s="447"/>
      <c r="W120" s="447"/>
      <c r="X120" s="447"/>
      <c r="Y120" s="447"/>
      <c r="Z120" s="447"/>
      <c r="AA120" s="447"/>
      <c r="AB120" s="447"/>
      <c r="AC120" s="447"/>
      <c r="AD120" s="447"/>
      <c r="AE120" s="447"/>
      <c r="AF120" s="447"/>
      <c r="AG120" s="447"/>
      <c r="AH120" s="447"/>
      <c r="AI120" s="447"/>
      <c r="AJ120" s="447"/>
      <c r="AK120" s="76"/>
      <c r="AL120" s="74">
        <f t="shared" ref="AL120:BE120" si="127">AK120</f>
        <v>0</v>
      </c>
      <c r="AM120" s="74">
        <f t="shared" si="127"/>
        <v>0</v>
      </c>
      <c r="AN120" s="74">
        <f t="shared" si="127"/>
        <v>0</v>
      </c>
      <c r="AO120" s="74">
        <f t="shared" si="127"/>
        <v>0</v>
      </c>
      <c r="AP120" s="74">
        <f t="shared" si="127"/>
        <v>0</v>
      </c>
      <c r="AQ120" s="74">
        <f t="shared" si="127"/>
        <v>0</v>
      </c>
      <c r="AR120" s="74">
        <f t="shared" si="127"/>
        <v>0</v>
      </c>
      <c r="AS120" s="74">
        <f t="shared" si="127"/>
        <v>0</v>
      </c>
      <c r="AT120" s="74">
        <f t="shared" si="127"/>
        <v>0</v>
      </c>
      <c r="AU120" s="74">
        <f t="shared" si="127"/>
        <v>0</v>
      </c>
      <c r="AV120" s="74">
        <f t="shared" si="127"/>
        <v>0</v>
      </c>
      <c r="AW120" s="74">
        <f t="shared" si="127"/>
        <v>0</v>
      </c>
      <c r="AX120" s="74">
        <f t="shared" si="127"/>
        <v>0</v>
      </c>
      <c r="AY120" s="74">
        <f t="shared" si="127"/>
        <v>0</v>
      </c>
      <c r="AZ120" s="74">
        <f t="shared" si="127"/>
        <v>0</v>
      </c>
      <c r="BA120" s="74">
        <f t="shared" si="127"/>
        <v>0</v>
      </c>
      <c r="BB120" s="74">
        <f t="shared" si="127"/>
        <v>0</v>
      </c>
      <c r="BC120" s="74">
        <f t="shared" si="127"/>
        <v>0</v>
      </c>
      <c r="BD120" s="74">
        <f t="shared" si="127"/>
        <v>0</v>
      </c>
      <c r="BE120" s="74">
        <f t="shared" si="127"/>
        <v>0</v>
      </c>
    </row>
    <row r="121" spans="1:57" ht="13.5" customHeight="1">
      <c r="A121" s="619">
        <v>4</v>
      </c>
      <c r="B121" s="253"/>
      <c r="C121" s="258" t="s">
        <v>159</v>
      </c>
      <c r="D121" s="77" t="s">
        <v>160</v>
      </c>
      <c r="E121" s="376">
        <f>'Costos Sector Eléctrico'!E130</f>
        <v>44.3</v>
      </c>
      <c r="F121" s="376">
        <f>'Costos Sector Eléctrico'!F130</f>
        <v>44.3</v>
      </c>
      <c r="G121" s="376">
        <f>'Costos Sector Eléctrico'!G130</f>
        <v>44.3</v>
      </c>
      <c r="H121" s="376">
        <f>'Costos Sector Eléctrico'!H130</f>
        <v>44.3</v>
      </c>
      <c r="I121" s="376">
        <f>'Costos Sector Eléctrico'!I130</f>
        <v>44.3</v>
      </c>
      <c r="J121" s="376">
        <f>'Costos Sector Eléctrico'!J130</f>
        <v>44.3</v>
      </c>
      <c r="K121" s="376">
        <f>'Costos Sector Eléctrico'!K130</f>
        <v>44.3</v>
      </c>
      <c r="L121" s="376">
        <f>'Costos Sector Eléctrico'!L130</f>
        <v>44.3</v>
      </c>
      <c r="M121" s="376">
        <f>'Costos Sector Eléctrico'!M130</f>
        <v>44.3</v>
      </c>
      <c r="N121" s="376">
        <f>'Costos Sector Eléctrico'!N130</f>
        <v>44.3</v>
      </c>
      <c r="O121" s="376">
        <f>'Costos Sector Eléctrico'!O130</f>
        <v>44.3</v>
      </c>
      <c r="P121" s="376">
        <f>'Costos Sector Eléctrico'!P130</f>
        <v>44.3</v>
      </c>
      <c r="Q121" s="376">
        <f>'Costos Sector Eléctrico'!Q130</f>
        <v>44.3</v>
      </c>
      <c r="R121" s="376">
        <f>'Costos Sector Eléctrico'!R130</f>
        <v>44.3</v>
      </c>
      <c r="S121" s="376">
        <f>'Costos Sector Eléctrico'!S130</f>
        <v>44.3</v>
      </c>
      <c r="T121" s="376">
        <f>'Costos Sector Eléctrico'!T130</f>
        <v>44.3</v>
      </c>
      <c r="U121" s="376">
        <f>'Costos Sector Eléctrico'!U130</f>
        <v>44.3</v>
      </c>
      <c r="V121" s="376">
        <f>'Costos Sector Eléctrico'!V130</f>
        <v>44.3</v>
      </c>
      <c r="W121" s="376">
        <f>'Costos Sector Eléctrico'!W130</f>
        <v>44.3</v>
      </c>
      <c r="X121" s="376">
        <f>'Costos Sector Eléctrico'!X130</f>
        <v>44.3</v>
      </c>
      <c r="Y121" s="376">
        <f>'Costos Sector Eléctrico'!Y130</f>
        <v>44.3</v>
      </c>
      <c r="Z121" s="376">
        <f>'Costos Sector Eléctrico'!Z130</f>
        <v>44.3</v>
      </c>
      <c r="AA121" s="376">
        <f>'Costos Sector Eléctrico'!AA130</f>
        <v>44.3</v>
      </c>
      <c r="AB121" s="376">
        <f>'Costos Sector Eléctrico'!AB130</f>
        <v>44.3</v>
      </c>
      <c r="AC121" s="376">
        <f>'Costos Sector Eléctrico'!AC130</f>
        <v>44.3</v>
      </c>
      <c r="AD121" s="376">
        <f>'Costos Sector Eléctrico'!AD130</f>
        <v>44.3</v>
      </c>
      <c r="AE121" s="376">
        <f>'Costos Sector Eléctrico'!AE130</f>
        <v>44.3</v>
      </c>
      <c r="AF121" s="376">
        <f>'Costos Sector Eléctrico'!AF130</f>
        <v>44.3</v>
      </c>
      <c r="AG121" s="376">
        <f>'Costos Sector Eléctrico'!AG130</f>
        <v>44.3</v>
      </c>
      <c r="AH121" s="376">
        <f>'Costos Sector Eléctrico'!AH130</f>
        <v>44.3</v>
      </c>
      <c r="AI121" s="376">
        <f>'Costos Sector Eléctrico'!AI130</f>
        <v>44.3</v>
      </c>
      <c r="AJ121" s="376">
        <f>'Costos Sector Eléctrico'!AJ130</f>
        <v>44.3</v>
      </c>
      <c r="AK121" s="69">
        <f>'Costos Sector Eléctrico'!AK130</f>
        <v>44.3</v>
      </c>
      <c r="AL121" s="74">
        <f t="shared" ref="AL121:BE121" si="128">AK121</f>
        <v>44.3</v>
      </c>
      <c r="AM121" s="74">
        <f t="shared" si="128"/>
        <v>44.3</v>
      </c>
      <c r="AN121" s="74">
        <f t="shared" si="128"/>
        <v>44.3</v>
      </c>
      <c r="AO121" s="74">
        <f t="shared" si="128"/>
        <v>44.3</v>
      </c>
      <c r="AP121" s="74">
        <f t="shared" si="128"/>
        <v>44.3</v>
      </c>
      <c r="AQ121" s="74">
        <f t="shared" si="128"/>
        <v>44.3</v>
      </c>
      <c r="AR121" s="74">
        <f t="shared" si="128"/>
        <v>44.3</v>
      </c>
      <c r="AS121" s="74">
        <f t="shared" si="128"/>
        <v>44.3</v>
      </c>
      <c r="AT121" s="74">
        <f t="shared" si="128"/>
        <v>44.3</v>
      </c>
      <c r="AU121" s="74">
        <f t="shared" si="128"/>
        <v>44.3</v>
      </c>
      <c r="AV121" s="74">
        <f t="shared" si="128"/>
        <v>44.3</v>
      </c>
      <c r="AW121" s="74">
        <f t="shared" si="128"/>
        <v>44.3</v>
      </c>
      <c r="AX121" s="74">
        <f t="shared" si="128"/>
        <v>44.3</v>
      </c>
      <c r="AY121" s="74">
        <f t="shared" si="128"/>
        <v>44.3</v>
      </c>
      <c r="AZ121" s="74">
        <f t="shared" si="128"/>
        <v>44.3</v>
      </c>
      <c r="BA121" s="74">
        <f t="shared" si="128"/>
        <v>44.3</v>
      </c>
      <c r="BB121" s="74">
        <f t="shared" si="128"/>
        <v>44.3</v>
      </c>
      <c r="BC121" s="74">
        <f t="shared" si="128"/>
        <v>44.3</v>
      </c>
      <c r="BD121" s="74">
        <f t="shared" si="128"/>
        <v>44.3</v>
      </c>
      <c r="BE121" s="74">
        <f t="shared" si="128"/>
        <v>44.3</v>
      </c>
    </row>
    <row r="122" spans="1:57" ht="13.5" customHeight="1">
      <c r="A122" s="619">
        <v>4</v>
      </c>
      <c r="B122" s="253"/>
      <c r="C122" s="258" t="s">
        <v>267</v>
      </c>
      <c r="D122" s="86" t="s">
        <v>555</v>
      </c>
      <c r="E122" s="99">
        <f>'Costos Sector Eléctrico'!E129</f>
        <v>117</v>
      </c>
      <c r="F122" s="99">
        <f>'Costos Sector Eléctrico'!F129</f>
        <v>117</v>
      </c>
      <c r="G122" s="99">
        <f>'Costos Sector Eléctrico'!G129</f>
        <v>102</v>
      </c>
      <c r="H122" s="99">
        <f>'Costos Sector Eléctrico'!H129</f>
        <v>102</v>
      </c>
      <c r="I122" s="99">
        <f>'Costos Sector Eléctrico'!I129</f>
        <v>102</v>
      </c>
      <c r="J122" s="99">
        <f>'Costos Sector Eléctrico'!J129</f>
        <v>102</v>
      </c>
      <c r="K122" s="99">
        <f>'Costos Sector Eléctrico'!K129</f>
        <v>102</v>
      </c>
      <c r="L122" s="99">
        <f>'Costos Sector Eléctrico'!L129</f>
        <v>95</v>
      </c>
      <c r="M122" s="99">
        <f>'Costos Sector Eléctrico'!M129</f>
        <v>95</v>
      </c>
      <c r="N122" s="99">
        <f>'Costos Sector Eléctrico'!N129</f>
        <v>95</v>
      </c>
      <c r="O122" s="99">
        <f>'Costos Sector Eléctrico'!O129</f>
        <v>95</v>
      </c>
      <c r="P122" s="99">
        <f>'Costos Sector Eléctrico'!P129</f>
        <v>95</v>
      </c>
      <c r="Q122" s="99">
        <f>'Costos Sector Eléctrico'!Q129</f>
        <v>88</v>
      </c>
      <c r="R122" s="99">
        <f>'Costos Sector Eléctrico'!R129</f>
        <v>88</v>
      </c>
      <c r="S122" s="99">
        <f>'Costos Sector Eléctrico'!S129</f>
        <v>88</v>
      </c>
      <c r="T122" s="99">
        <f>'Costos Sector Eléctrico'!T129</f>
        <v>88</v>
      </c>
      <c r="U122" s="99">
        <f>'Costos Sector Eléctrico'!U129</f>
        <v>88</v>
      </c>
      <c r="V122" s="99">
        <f>'Costos Sector Eléctrico'!V129</f>
        <v>88</v>
      </c>
      <c r="W122" s="99">
        <f>'Costos Sector Eléctrico'!W129</f>
        <v>88</v>
      </c>
      <c r="X122" s="99">
        <f>'Costos Sector Eléctrico'!X129</f>
        <v>88</v>
      </c>
      <c r="Y122" s="99">
        <f>'Costos Sector Eléctrico'!Y129</f>
        <v>88</v>
      </c>
      <c r="Z122" s="99">
        <f>'Costos Sector Eléctrico'!Z129</f>
        <v>88</v>
      </c>
      <c r="AA122" s="99">
        <f>'Costos Sector Eléctrico'!AA129</f>
        <v>88</v>
      </c>
      <c r="AB122" s="99">
        <f>'Costos Sector Eléctrico'!AB129</f>
        <v>88</v>
      </c>
      <c r="AC122" s="99">
        <f>'Costos Sector Eléctrico'!AC129</f>
        <v>88</v>
      </c>
      <c r="AD122" s="99">
        <f>'Costos Sector Eléctrico'!AD129</f>
        <v>88</v>
      </c>
      <c r="AE122" s="99">
        <f>'Costos Sector Eléctrico'!AE129</f>
        <v>88</v>
      </c>
      <c r="AF122" s="99">
        <f>'Costos Sector Eléctrico'!AF129</f>
        <v>88</v>
      </c>
      <c r="AG122" s="99">
        <f>'Costos Sector Eléctrico'!AG129</f>
        <v>88</v>
      </c>
      <c r="AH122" s="99">
        <f>'Costos Sector Eléctrico'!AH129</f>
        <v>88</v>
      </c>
      <c r="AI122" s="99">
        <f>'Costos Sector Eléctrico'!AI129</f>
        <v>88</v>
      </c>
      <c r="AJ122" s="99">
        <f>'Costos Sector Eléctrico'!AJ129</f>
        <v>88</v>
      </c>
      <c r="AK122" s="100">
        <f>'Costos Sector Eléctrico'!AK129</f>
        <v>88</v>
      </c>
      <c r="AL122" s="74">
        <f t="shared" ref="AL122:BE122" si="129">AK122</f>
        <v>88</v>
      </c>
      <c r="AM122" s="74">
        <f t="shared" si="129"/>
        <v>88</v>
      </c>
      <c r="AN122" s="74">
        <f t="shared" si="129"/>
        <v>88</v>
      </c>
      <c r="AO122" s="74">
        <f t="shared" si="129"/>
        <v>88</v>
      </c>
      <c r="AP122" s="74">
        <f t="shared" si="129"/>
        <v>88</v>
      </c>
      <c r="AQ122" s="74">
        <f t="shared" si="129"/>
        <v>88</v>
      </c>
      <c r="AR122" s="74">
        <f t="shared" si="129"/>
        <v>88</v>
      </c>
      <c r="AS122" s="74">
        <f t="shared" si="129"/>
        <v>88</v>
      </c>
      <c r="AT122" s="74">
        <f t="shared" si="129"/>
        <v>88</v>
      </c>
      <c r="AU122" s="74">
        <f t="shared" si="129"/>
        <v>88</v>
      </c>
      <c r="AV122" s="74">
        <f t="shared" si="129"/>
        <v>88</v>
      </c>
      <c r="AW122" s="74">
        <f t="shared" si="129"/>
        <v>88</v>
      </c>
      <c r="AX122" s="74">
        <f t="shared" si="129"/>
        <v>88</v>
      </c>
      <c r="AY122" s="74">
        <f t="shared" si="129"/>
        <v>88</v>
      </c>
      <c r="AZ122" s="74">
        <f t="shared" si="129"/>
        <v>88</v>
      </c>
      <c r="BA122" s="74">
        <f t="shared" si="129"/>
        <v>88</v>
      </c>
      <c r="BB122" s="74">
        <f t="shared" si="129"/>
        <v>88</v>
      </c>
      <c r="BC122" s="74">
        <f t="shared" si="129"/>
        <v>88</v>
      </c>
      <c r="BD122" s="74">
        <f t="shared" si="129"/>
        <v>88</v>
      </c>
      <c r="BE122" s="74">
        <f t="shared" si="129"/>
        <v>88</v>
      </c>
    </row>
    <row r="123" spans="1:57" ht="13.5" customHeight="1">
      <c r="A123" s="619"/>
      <c r="B123" s="253"/>
      <c r="C123" s="258"/>
      <c r="D123" s="77"/>
      <c r="E123" s="376"/>
      <c r="F123" s="376"/>
      <c r="G123" s="376"/>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69"/>
      <c r="AL123" s="74">
        <f t="shared" ref="AL123:BE123" si="130">AK123</f>
        <v>0</v>
      </c>
      <c r="AM123" s="74">
        <f t="shared" si="130"/>
        <v>0</v>
      </c>
      <c r="AN123" s="74">
        <f t="shared" si="130"/>
        <v>0</v>
      </c>
      <c r="AO123" s="74">
        <f t="shared" si="130"/>
        <v>0</v>
      </c>
      <c r="AP123" s="74">
        <f t="shared" si="130"/>
        <v>0</v>
      </c>
      <c r="AQ123" s="74">
        <f t="shared" si="130"/>
        <v>0</v>
      </c>
      <c r="AR123" s="74">
        <f t="shared" si="130"/>
        <v>0</v>
      </c>
      <c r="AS123" s="74">
        <f t="shared" si="130"/>
        <v>0</v>
      </c>
      <c r="AT123" s="74">
        <f t="shared" si="130"/>
        <v>0</v>
      </c>
      <c r="AU123" s="74">
        <f t="shared" si="130"/>
        <v>0</v>
      </c>
      <c r="AV123" s="74">
        <f t="shared" si="130"/>
        <v>0</v>
      </c>
      <c r="AW123" s="74">
        <f t="shared" si="130"/>
        <v>0</v>
      </c>
      <c r="AX123" s="74">
        <f t="shared" si="130"/>
        <v>0</v>
      </c>
      <c r="AY123" s="74">
        <f t="shared" si="130"/>
        <v>0</v>
      </c>
      <c r="AZ123" s="74">
        <f t="shared" si="130"/>
        <v>0</v>
      </c>
      <c r="BA123" s="74">
        <f t="shared" si="130"/>
        <v>0</v>
      </c>
      <c r="BB123" s="74">
        <f t="shared" si="130"/>
        <v>0</v>
      </c>
      <c r="BC123" s="74">
        <f t="shared" si="130"/>
        <v>0</v>
      </c>
      <c r="BD123" s="74">
        <f t="shared" si="130"/>
        <v>0</v>
      </c>
      <c r="BE123" s="74">
        <f t="shared" si="130"/>
        <v>0</v>
      </c>
    </row>
    <row r="124" spans="1:57" ht="13.5" customHeight="1">
      <c r="A124" s="619"/>
      <c r="B124" s="253"/>
      <c r="C124" s="258"/>
      <c r="D124" s="68" t="s">
        <v>556</v>
      </c>
      <c r="E124" s="376"/>
      <c r="F124" s="376"/>
      <c r="G124" s="376"/>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69"/>
      <c r="AL124" s="74">
        <f t="shared" ref="AL124:BE124" si="131">AK124</f>
        <v>0</v>
      </c>
      <c r="AM124" s="74">
        <f t="shared" si="131"/>
        <v>0</v>
      </c>
      <c r="AN124" s="74">
        <f t="shared" si="131"/>
        <v>0</v>
      </c>
      <c r="AO124" s="74">
        <f t="shared" si="131"/>
        <v>0</v>
      </c>
      <c r="AP124" s="74">
        <f t="shared" si="131"/>
        <v>0</v>
      </c>
      <c r="AQ124" s="74">
        <f t="shared" si="131"/>
        <v>0</v>
      </c>
      <c r="AR124" s="74">
        <f t="shared" si="131"/>
        <v>0</v>
      </c>
      <c r="AS124" s="74">
        <f t="shared" si="131"/>
        <v>0</v>
      </c>
      <c r="AT124" s="74">
        <f t="shared" si="131"/>
        <v>0</v>
      </c>
      <c r="AU124" s="74">
        <f t="shared" si="131"/>
        <v>0</v>
      </c>
      <c r="AV124" s="74">
        <f t="shared" si="131"/>
        <v>0</v>
      </c>
      <c r="AW124" s="74">
        <f t="shared" si="131"/>
        <v>0</v>
      </c>
      <c r="AX124" s="74">
        <f t="shared" si="131"/>
        <v>0</v>
      </c>
      <c r="AY124" s="74">
        <f t="shared" si="131"/>
        <v>0</v>
      </c>
      <c r="AZ124" s="74">
        <f t="shared" si="131"/>
        <v>0</v>
      </c>
      <c r="BA124" s="74">
        <f t="shared" si="131"/>
        <v>0</v>
      </c>
      <c r="BB124" s="74">
        <f t="shared" si="131"/>
        <v>0</v>
      </c>
      <c r="BC124" s="74">
        <f t="shared" si="131"/>
        <v>0</v>
      </c>
      <c r="BD124" s="74">
        <f t="shared" si="131"/>
        <v>0</v>
      </c>
      <c r="BE124" s="74">
        <f t="shared" si="131"/>
        <v>0</v>
      </c>
    </row>
    <row r="125" spans="1:57" ht="13.5" customHeight="1">
      <c r="A125" s="619"/>
      <c r="B125" s="253"/>
      <c r="C125" s="258"/>
      <c r="D125" s="89"/>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1"/>
      <c r="AL125" s="74">
        <f t="shared" ref="AL125:BE125" si="132">AK125</f>
        <v>0</v>
      </c>
      <c r="AM125" s="74">
        <f t="shared" si="132"/>
        <v>0</v>
      </c>
      <c r="AN125" s="74">
        <f t="shared" si="132"/>
        <v>0</v>
      </c>
      <c r="AO125" s="74">
        <f t="shared" si="132"/>
        <v>0</v>
      </c>
      <c r="AP125" s="74">
        <f t="shared" si="132"/>
        <v>0</v>
      </c>
      <c r="AQ125" s="74">
        <f t="shared" si="132"/>
        <v>0</v>
      </c>
      <c r="AR125" s="74">
        <f t="shared" si="132"/>
        <v>0</v>
      </c>
      <c r="AS125" s="74">
        <f t="shared" si="132"/>
        <v>0</v>
      </c>
      <c r="AT125" s="74">
        <f t="shared" si="132"/>
        <v>0</v>
      </c>
      <c r="AU125" s="74">
        <f t="shared" si="132"/>
        <v>0</v>
      </c>
      <c r="AV125" s="74">
        <f t="shared" si="132"/>
        <v>0</v>
      </c>
      <c r="AW125" s="74">
        <f t="shared" si="132"/>
        <v>0</v>
      </c>
      <c r="AX125" s="74">
        <f t="shared" si="132"/>
        <v>0</v>
      </c>
      <c r="AY125" s="74">
        <f t="shared" si="132"/>
        <v>0</v>
      </c>
      <c r="AZ125" s="74">
        <f t="shared" si="132"/>
        <v>0</v>
      </c>
      <c r="BA125" s="74">
        <f t="shared" si="132"/>
        <v>0</v>
      </c>
      <c r="BB125" s="74">
        <f t="shared" si="132"/>
        <v>0</v>
      </c>
      <c r="BC125" s="74">
        <f t="shared" si="132"/>
        <v>0</v>
      </c>
      <c r="BD125" s="74">
        <f t="shared" si="132"/>
        <v>0</v>
      </c>
      <c r="BE125" s="74">
        <f t="shared" si="132"/>
        <v>0</v>
      </c>
    </row>
    <row r="126" spans="1:57" ht="13.5" customHeight="1">
      <c r="A126" s="619"/>
      <c r="B126" s="253"/>
      <c r="C126" s="258"/>
      <c r="D126" s="78" t="s">
        <v>136</v>
      </c>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c r="AA126" s="262"/>
      <c r="AB126" s="262"/>
      <c r="AC126" s="262"/>
      <c r="AD126" s="262"/>
      <c r="AE126" s="262"/>
      <c r="AF126" s="262"/>
      <c r="AG126" s="262"/>
      <c r="AH126" s="262"/>
      <c r="AI126" s="262"/>
      <c r="AJ126" s="262"/>
      <c r="AK126" s="81"/>
      <c r="AL126" s="74">
        <f t="shared" ref="AL126:BE126" si="133">AK126</f>
        <v>0</v>
      </c>
      <c r="AM126" s="74">
        <f t="shared" si="133"/>
        <v>0</v>
      </c>
      <c r="AN126" s="74">
        <f t="shared" si="133"/>
        <v>0</v>
      </c>
      <c r="AO126" s="74">
        <f t="shared" si="133"/>
        <v>0</v>
      </c>
      <c r="AP126" s="74">
        <f t="shared" si="133"/>
        <v>0</v>
      </c>
      <c r="AQ126" s="74">
        <f t="shared" si="133"/>
        <v>0</v>
      </c>
      <c r="AR126" s="74">
        <f t="shared" si="133"/>
        <v>0</v>
      </c>
      <c r="AS126" s="74">
        <f t="shared" si="133"/>
        <v>0</v>
      </c>
      <c r="AT126" s="74">
        <f t="shared" si="133"/>
        <v>0</v>
      </c>
      <c r="AU126" s="74">
        <f t="shared" si="133"/>
        <v>0</v>
      </c>
      <c r="AV126" s="74">
        <f t="shared" si="133"/>
        <v>0</v>
      </c>
      <c r="AW126" s="74">
        <f t="shared" si="133"/>
        <v>0</v>
      </c>
      <c r="AX126" s="74">
        <f t="shared" si="133"/>
        <v>0</v>
      </c>
      <c r="AY126" s="74">
        <f t="shared" si="133"/>
        <v>0</v>
      </c>
      <c r="AZ126" s="74">
        <f t="shared" si="133"/>
        <v>0</v>
      </c>
      <c r="BA126" s="74">
        <f t="shared" si="133"/>
        <v>0</v>
      </c>
      <c r="BB126" s="74">
        <f t="shared" si="133"/>
        <v>0</v>
      </c>
      <c r="BC126" s="74">
        <f t="shared" si="133"/>
        <v>0</v>
      </c>
      <c r="BD126" s="74">
        <f t="shared" si="133"/>
        <v>0</v>
      </c>
      <c r="BE126" s="74">
        <f t="shared" si="133"/>
        <v>0</v>
      </c>
    </row>
    <row r="127" spans="1:57" ht="13.5" customHeight="1">
      <c r="A127" s="619">
        <v>5</v>
      </c>
      <c r="B127" s="253"/>
      <c r="C127" s="258" t="s">
        <v>187</v>
      </c>
      <c r="D127" s="92" t="s">
        <v>188</v>
      </c>
      <c r="E127" s="452">
        <f t="shared" ref="E127:Q127" si="134">38+(((27-38)/(2030-2015))*(E1-2015))</f>
        <v>35.799999999999997</v>
      </c>
      <c r="F127" s="452">
        <f t="shared" si="134"/>
        <v>35.06666666666667</v>
      </c>
      <c r="G127" s="452">
        <f t="shared" si="134"/>
        <v>34.333333333333336</v>
      </c>
      <c r="H127" s="452">
        <f t="shared" si="134"/>
        <v>33.6</v>
      </c>
      <c r="I127" s="452">
        <f t="shared" si="134"/>
        <v>32.866666666666667</v>
      </c>
      <c r="J127" s="452">
        <f t="shared" si="134"/>
        <v>32.133333333333333</v>
      </c>
      <c r="K127" s="452">
        <f t="shared" si="134"/>
        <v>31.4</v>
      </c>
      <c r="L127" s="452">
        <f t="shared" si="134"/>
        <v>30.666666666666668</v>
      </c>
      <c r="M127" s="452">
        <f t="shared" si="134"/>
        <v>29.933333333333334</v>
      </c>
      <c r="N127" s="452">
        <f t="shared" si="134"/>
        <v>29.200000000000003</v>
      </c>
      <c r="O127" s="452">
        <f t="shared" si="134"/>
        <v>28.466666666666669</v>
      </c>
      <c r="P127" s="452">
        <f t="shared" si="134"/>
        <v>27.733333333333334</v>
      </c>
      <c r="Q127" s="452">
        <f t="shared" si="134"/>
        <v>27</v>
      </c>
      <c r="R127" s="452">
        <f t="shared" ref="R127:AK127" si="135">27+(((17.37-27)/(2050-2030))*(R1-2030))</f>
        <v>26.5185</v>
      </c>
      <c r="S127" s="452">
        <f t="shared" si="135"/>
        <v>26.036999999999999</v>
      </c>
      <c r="T127" s="452">
        <f t="shared" si="135"/>
        <v>25.555500000000002</v>
      </c>
      <c r="U127" s="452">
        <f t="shared" si="135"/>
        <v>25.074000000000002</v>
      </c>
      <c r="V127" s="452">
        <f t="shared" si="135"/>
        <v>24.592500000000001</v>
      </c>
      <c r="W127" s="452">
        <f t="shared" si="135"/>
        <v>24.111000000000001</v>
      </c>
      <c r="X127" s="452">
        <f t="shared" si="135"/>
        <v>23.6295</v>
      </c>
      <c r="Y127" s="452">
        <f t="shared" si="135"/>
        <v>23.148</v>
      </c>
      <c r="Z127" s="452">
        <f t="shared" si="135"/>
        <v>22.666499999999999</v>
      </c>
      <c r="AA127" s="452">
        <f t="shared" si="135"/>
        <v>22.185000000000002</v>
      </c>
      <c r="AB127" s="452">
        <f t="shared" si="135"/>
        <v>21.703500000000002</v>
      </c>
      <c r="AC127" s="452">
        <f t="shared" si="135"/>
        <v>21.222000000000001</v>
      </c>
      <c r="AD127" s="452">
        <f t="shared" si="135"/>
        <v>20.740500000000001</v>
      </c>
      <c r="AE127" s="452">
        <f t="shared" si="135"/>
        <v>20.259</v>
      </c>
      <c r="AF127" s="452">
        <f t="shared" si="135"/>
        <v>19.7775</v>
      </c>
      <c r="AG127" s="452">
        <f t="shared" si="135"/>
        <v>19.295999999999999</v>
      </c>
      <c r="AH127" s="452">
        <f t="shared" si="135"/>
        <v>18.814500000000002</v>
      </c>
      <c r="AI127" s="452">
        <f t="shared" si="135"/>
        <v>18.333000000000002</v>
      </c>
      <c r="AJ127" s="452">
        <f t="shared" si="135"/>
        <v>17.851500000000001</v>
      </c>
      <c r="AK127" s="94">
        <f t="shared" si="135"/>
        <v>17.37</v>
      </c>
      <c r="AL127" s="80">
        <f t="shared" ref="AL127:BE127" si="136">AK127</f>
        <v>17.37</v>
      </c>
      <c r="AM127" s="80">
        <f t="shared" si="136"/>
        <v>17.37</v>
      </c>
      <c r="AN127" s="80">
        <f t="shared" si="136"/>
        <v>17.37</v>
      </c>
      <c r="AO127" s="80">
        <f t="shared" si="136"/>
        <v>17.37</v>
      </c>
      <c r="AP127" s="80">
        <f t="shared" si="136"/>
        <v>17.37</v>
      </c>
      <c r="AQ127" s="80">
        <f t="shared" si="136"/>
        <v>17.37</v>
      </c>
      <c r="AR127" s="80">
        <f t="shared" si="136"/>
        <v>17.37</v>
      </c>
      <c r="AS127" s="80">
        <f t="shared" si="136"/>
        <v>17.37</v>
      </c>
      <c r="AT127" s="80">
        <f t="shared" si="136"/>
        <v>17.37</v>
      </c>
      <c r="AU127" s="80">
        <f t="shared" si="136"/>
        <v>17.37</v>
      </c>
      <c r="AV127" s="80">
        <f t="shared" si="136"/>
        <v>17.37</v>
      </c>
      <c r="AW127" s="80">
        <f t="shared" si="136"/>
        <v>17.37</v>
      </c>
      <c r="AX127" s="80">
        <f t="shared" si="136"/>
        <v>17.37</v>
      </c>
      <c r="AY127" s="80">
        <f t="shared" si="136"/>
        <v>17.37</v>
      </c>
      <c r="AZ127" s="80">
        <f t="shared" si="136"/>
        <v>17.37</v>
      </c>
      <c r="BA127" s="80">
        <f t="shared" si="136"/>
        <v>17.37</v>
      </c>
      <c r="BB127" s="80">
        <f t="shared" si="136"/>
        <v>17.37</v>
      </c>
      <c r="BC127" s="80">
        <f t="shared" si="136"/>
        <v>17.37</v>
      </c>
      <c r="BD127" s="80">
        <f t="shared" si="136"/>
        <v>17.37</v>
      </c>
      <c r="BE127" s="80">
        <f t="shared" si="136"/>
        <v>17.37</v>
      </c>
    </row>
    <row r="128" spans="1:57" ht="13.5" customHeight="1">
      <c r="A128" s="619"/>
      <c r="B128" s="253"/>
      <c r="C128" s="258"/>
      <c r="D128" s="78" t="s">
        <v>137</v>
      </c>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262"/>
      <c r="AG128" s="262"/>
      <c r="AH128" s="262"/>
      <c r="AI128" s="262"/>
      <c r="AJ128" s="262"/>
      <c r="AK128" s="81"/>
      <c r="AL128" s="74">
        <f t="shared" ref="AL128:BE128" si="137">AK128</f>
        <v>0</v>
      </c>
      <c r="AM128" s="74">
        <f t="shared" si="137"/>
        <v>0</v>
      </c>
      <c r="AN128" s="74">
        <f t="shared" si="137"/>
        <v>0</v>
      </c>
      <c r="AO128" s="74">
        <f t="shared" si="137"/>
        <v>0</v>
      </c>
      <c r="AP128" s="74">
        <f t="shared" si="137"/>
        <v>0</v>
      </c>
      <c r="AQ128" s="74">
        <f t="shared" si="137"/>
        <v>0</v>
      </c>
      <c r="AR128" s="74">
        <f t="shared" si="137"/>
        <v>0</v>
      </c>
      <c r="AS128" s="74">
        <f t="shared" si="137"/>
        <v>0</v>
      </c>
      <c r="AT128" s="74">
        <f t="shared" si="137"/>
        <v>0</v>
      </c>
      <c r="AU128" s="74">
        <f t="shared" si="137"/>
        <v>0</v>
      </c>
      <c r="AV128" s="74">
        <f t="shared" si="137"/>
        <v>0</v>
      </c>
      <c r="AW128" s="74">
        <f t="shared" si="137"/>
        <v>0</v>
      </c>
      <c r="AX128" s="74">
        <f t="shared" si="137"/>
        <v>0</v>
      </c>
      <c r="AY128" s="74">
        <f t="shared" si="137"/>
        <v>0</v>
      </c>
      <c r="AZ128" s="74">
        <f t="shared" si="137"/>
        <v>0</v>
      </c>
      <c r="BA128" s="74">
        <f t="shared" si="137"/>
        <v>0</v>
      </c>
      <c r="BB128" s="74">
        <f t="shared" si="137"/>
        <v>0</v>
      </c>
      <c r="BC128" s="74">
        <f t="shared" si="137"/>
        <v>0</v>
      </c>
      <c r="BD128" s="74">
        <f t="shared" si="137"/>
        <v>0</v>
      </c>
      <c r="BE128" s="74">
        <f t="shared" si="137"/>
        <v>0</v>
      </c>
    </row>
    <row r="129" spans="1:57" ht="13.5" customHeight="1">
      <c r="A129" s="619"/>
      <c r="B129" s="253"/>
      <c r="C129" s="258"/>
      <c r="D129" s="75" t="s">
        <v>189</v>
      </c>
      <c r="E129" s="447"/>
      <c r="F129" s="447"/>
      <c r="G129" s="447"/>
      <c r="H129" s="447"/>
      <c r="I129" s="447"/>
      <c r="J129" s="447"/>
      <c r="K129" s="447"/>
      <c r="L129" s="447"/>
      <c r="M129" s="447"/>
      <c r="N129" s="447"/>
      <c r="O129" s="447"/>
      <c r="P129" s="447"/>
      <c r="Q129" s="447"/>
      <c r="R129" s="447"/>
      <c r="S129" s="447"/>
      <c r="T129" s="447"/>
      <c r="U129" s="447"/>
      <c r="V129" s="447"/>
      <c r="W129" s="447"/>
      <c r="X129" s="447"/>
      <c r="Y129" s="447"/>
      <c r="Z129" s="447"/>
      <c r="AA129" s="447"/>
      <c r="AB129" s="447"/>
      <c r="AC129" s="447"/>
      <c r="AD129" s="447"/>
      <c r="AE129" s="447"/>
      <c r="AF129" s="447"/>
      <c r="AG129" s="447"/>
      <c r="AH129" s="447"/>
      <c r="AI129" s="447"/>
      <c r="AJ129" s="447"/>
      <c r="AK129" s="76"/>
      <c r="AL129" s="74">
        <f t="shared" ref="AL129:BE129" si="138">AK129</f>
        <v>0</v>
      </c>
      <c r="AM129" s="74">
        <f t="shared" si="138"/>
        <v>0</v>
      </c>
      <c r="AN129" s="74">
        <f t="shared" si="138"/>
        <v>0</v>
      </c>
      <c r="AO129" s="74">
        <f t="shared" si="138"/>
        <v>0</v>
      </c>
      <c r="AP129" s="74">
        <f t="shared" si="138"/>
        <v>0</v>
      </c>
      <c r="AQ129" s="74">
        <f t="shared" si="138"/>
        <v>0</v>
      </c>
      <c r="AR129" s="74">
        <f t="shared" si="138"/>
        <v>0</v>
      </c>
      <c r="AS129" s="74">
        <f t="shared" si="138"/>
        <v>0</v>
      </c>
      <c r="AT129" s="74">
        <f t="shared" si="138"/>
        <v>0</v>
      </c>
      <c r="AU129" s="74">
        <f t="shared" si="138"/>
        <v>0</v>
      </c>
      <c r="AV129" s="74">
        <f t="shared" si="138"/>
        <v>0</v>
      </c>
      <c r="AW129" s="74">
        <f t="shared" si="138"/>
        <v>0</v>
      </c>
      <c r="AX129" s="74">
        <f t="shared" si="138"/>
        <v>0</v>
      </c>
      <c r="AY129" s="74">
        <f t="shared" si="138"/>
        <v>0</v>
      </c>
      <c r="AZ129" s="74">
        <f t="shared" si="138"/>
        <v>0</v>
      </c>
      <c r="BA129" s="74">
        <f t="shared" si="138"/>
        <v>0</v>
      </c>
      <c r="BB129" s="74">
        <f t="shared" si="138"/>
        <v>0</v>
      </c>
      <c r="BC129" s="74">
        <f t="shared" si="138"/>
        <v>0</v>
      </c>
      <c r="BD129" s="74">
        <f t="shared" si="138"/>
        <v>0</v>
      </c>
      <c r="BE129" s="74">
        <f t="shared" si="138"/>
        <v>0</v>
      </c>
    </row>
    <row r="130" spans="1:57" ht="13.5" customHeight="1">
      <c r="A130" s="619"/>
      <c r="B130" s="253"/>
      <c r="C130" s="258"/>
      <c r="D130" s="92" t="s">
        <v>190</v>
      </c>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93"/>
      <c r="AL130" s="74">
        <f t="shared" ref="AL130:BE130" si="139">AK130</f>
        <v>0</v>
      </c>
      <c r="AM130" s="74">
        <f t="shared" si="139"/>
        <v>0</v>
      </c>
      <c r="AN130" s="74">
        <f t="shared" si="139"/>
        <v>0</v>
      </c>
      <c r="AO130" s="74">
        <f t="shared" si="139"/>
        <v>0</v>
      </c>
      <c r="AP130" s="74">
        <f t="shared" si="139"/>
        <v>0</v>
      </c>
      <c r="AQ130" s="74">
        <f t="shared" si="139"/>
        <v>0</v>
      </c>
      <c r="AR130" s="74">
        <f t="shared" si="139"/>
        <v>0</v>
      </c>
      <c r="AS130" s="74">
        <f t="shared" si="139"/>
        <v>0</v>
      </c>
      <c r="AT130" s="74">
        <f t="shared" si="139"/>
        <v>0</v>
      </c>
      <c r="AU130" s="74">
        <f t="shared" si="139"/>
        <v>0</v>
      </c>
      <c r="AV130" s="74">
        <f t="shared" si="139"/>
        <v>0</v>
      </c>
      <c r="AW130" s="74">
        <f t="shared" si="139"/>
        <v>0</v>
      </c>
      <c r="AX130" s="74">
        <f t="shared" si="139"/>
        <v>0</v>
      </c>
      <c r="AY130" s="74">
        <f t="shared" si="139"/>
        <v>0</v>
      </c>
      <c r="AZ130" s="74">
        <f t="shared" si="139"/>
        <v>0</v>
      </c>
      <c r="BA130" s="74">
        <f t="shared" si="139"/>
        <v>0</v>
      </c>
      <c r="BB130" s="74">
        <f t="shared" si="139"/>
        <v>0</v>
      </c>
      <c r="BC130" s="74">
        <f t="shared" si="139"/>
        <v>0</v>
      </c>
      <c r="BD130" s="74">
        <f t="shared" si="139"/>
        <v>0</v>
      </c>
      <c r="BE130" s="74">
        <f t="shared" si="139"/>
        <v>0</v>
      </c>
    </row>
    <row r="131" spans="1:57" ht="13.5" customHeight="1">
      <c r="A131" s="619">
        <v>4</v>
      </c>
      <c r="B131" s="253"/>
      <c r="C131" s="258" t="s">
        <v>191</v>
      </c>
      <c r="D131" s="77" t="s">
        <v>557</v>
      </c>
      <c r="E131" s="376">
        <f t="shared" ref="E131:AK131" si="140">E104</f>
        <v>65.94</v>
      </c>
      <c r="F131" s="376">
        <f t="shared" si="140"/>
        <v>65.94</v>
      </c>
      <c r="G131" s="376">
        <f t="shared" si="140"/>
        <v>65.94</v>
      </c>
      <c r="H131" s="376">
        <f t="shared" si="140"/>
        <v>65.94</v>
      </c>
      <c r="I131" s="376">
        <f t="shared" si="140"/>
        <v>65.94</v>
      </c>
      <c r="J131" s="376">
        <f t="shared" si="140"/>
        <v>65.94</v>
      </c>
      <c r="K131" s="376">
        <f t="shared" si="140"/>
        <v>65.94</v>
      </c>
      <c r="L131" s="376">
        <f t="shared" si="140"/>
        <v>65.94</v>
      </c>
      <c r="M131" s="376">
        <f t="shared" si="140"/>
        <v>65.94</v>
      </c>
      <c r="N131" s="376">
        <f t="shared" si="140"/>
        <v>65.94</v>
      </c>
      <c r="O131" s="376">
        <f t="shared" si="140"/>
        <v>65.94</v>
      </c>
      <c r="P131" s="376">
        <f t="shared" si="140"/>
        <v>65.94</v>
      </c>
      <c r="Q131" s="376">
        <f t="shared" si="140"/>
        <v>65.94</v>
      </c>
      <c r="R131" s="376">
        <f t="shared" si="140"/>
        <v>65.94</v>
      </c>
      <c r="S131" s="376">
        <f t="shared" si="140"/>
        <v>65.94</v>
      </c>
      <c r="T131" s="376">
        <f t="shared" si="140"/>
        <v>65.94</v>
      </c>
      <c r="U131" s="376">
        <f t="shared" si="140"/>
        <v>65.94</v>
      </c>
      <c r="V131" s="376">
        <f t="shared" si="140"/>
        <v>65.94</v>
      </c>
      <c r="W131" s="376">
        <f t="shared" si="140"/>
        <v>65.94</v>
      </c>
      <c r="X131" s="376">
        <f t="shared" si="140"/>
        <v>65.94</v>
      </c>
      <c r="Y131" s="376">
        <f t="shared" si="140"/>
        <v>65.94</v>
      </c>
      <c r="Z131" s="376">
        <f t="shared" si="140"/>
        <v>65.94</v>
      </c>
      <c r="AA131" s="376">
        <f t="shared" si="140"/>
        <v>65.94</v>
      </c>
      <c r="AB131" s="376">
        <f t="shared" si="140"/>
        <v>65.94</v>
      </c>
      <c r="AC131" s="376">
        <f t="shared" si="140"/>
        <v>65.94</v>
      </c>
      <c r="AD131" s="376">
        <f t="shared" si="140"/>
        <v>65.94</v>
      </c>
      <c r="AE131" s="376">
        <f t="shared" si="140"/>
        <v>65.94</v>
      </c>
      <c r="AF131" s="376">
        <f t="shared" si="140"/>
        <v>65.94</v>
      </c>
      <c r="AG131" s="376">
        <f t="shared" si="140"/>
        <v>65.94</v>
      </c>
      <c r="AH131" s="376">
        <f t="shared" si="140"/>
        <v>65.94</v>
      </c>
      <c r="AI131" s="376">
        <f t="shared" si="140"/>
        <v>65.94</v>
      </c>
      <c r="AJ131" s="376">
        <f t="shared" si="140"/>
        <v>65.94</v>
      </c>
      <c r="AK131" s="69">
        <f t="shared" si="140"/>
        <v>65.94</v>
      </c>
      <c r="AL131" s="74">
        <f t="shared" ref="AL131:BE131" si="141">AK131</f>
        <v>65.94</v>
      </c>
      <c r="AM131" s="74">
        <f t="shared" si="141"/>
        <v>65.94</v>
      </c>
      <c r="AN131" s="74">
        <f t="shared" si="141"/>
        <v>65.94</v>
      </c>
      <c r="AO131" s="74">
        <f t="shared" si="141"/>
        <v>65.94</v>
      </c>
      <c r="AP131" s="74">
        <f t="shared" si="141"/>
        <v>65.94</v>
      </c>
      <c r="AQ131" s="74">
        <f t="shared" si="141"/>
        <v>65.94</v>
      </c>
      <c r="AR131" s="74">
        <f t="shared" si="141"/>
        <v>65.94</v>
      </c>
      <c r="AS131" s="74">
        <f t="shared" si="141"/>
        <v>65.94</v>
      </c>
      <c r="AT131" s="74">
        <f t="shared" si="141"/>
        <v>65.94</v>
      </c>
      <c r="AU131" s="74">
        <f t="shared" si="141"/>
        <v>65.94</v>
      </c>
      <c r="AV131" s="74">
        <f t="shared" si="141"/>
        <v>65.94</v>
      </c>
      <c r="AW131" s="74">
        <f t="shared" si="141"/>
        <v>65.94</v>
      </c>
      <c r="AX131" s="74">
        <f t="shared" si="141"/>
        <v>65.94</v>
      </c>
      <c r="AY131" s="74">
        <f t="shared" si="141"/>
        <v>65.94</v>
      </c>
      <c r="AZ131" s="74">
        <f t="shared" si="141"/>
        <v>65.94</v>
      </c>
      <c r="BA131" s="74">
        <f t="shared" si="141"/>
        <v>65.94</v>
      </c>
      <c r="BB131" s="74">
        <f t="shared" si="141"/>
        <v>65.94</v>
      </c>
      <c r="BC131" s="74">
        <f t="shared" si="141"/>
        <v>65.94</v>
      </c>
      <c r="BD131" s="74">
        <f t="shared" si="141"/>
        <v>65.94</v>
      </c>
      <c r="BE131" s="74">
        <f t="shared" si="141"/>
        <v>65.94</v>
      </c>
    </row>
    <row r="132" spans="1:57" ht="13.5" customHeight="1">
      <c r="A132" s="619">
        <v>4</v>
      </c>
      <c r="B132" s="253"/>
      <c r="C132" s="258" t="s">
        <v>193</v>
      </c>
      <c r="D132" s="77" t="s">
        <v>558</v>
      </c>
      <c r="E132" s="376">
        <f t="shared" ref="E132:AK132" si="142">E107</f>
        <v>65.94</v>
      </c>
      <c r="F132" s="376">
        <f t="shared" si="142"/>
        <v>65.94</v>
      </c>
      <c r="G132" s="376">
        <f t="shared" si="142"/>
        <v>65.94</v>
      </c>
      <c r="H132" s="376">
        <f t="shared" si="142"/>
        <v>65.94</v>
      </c>
      <c r="I132" s="376">
        <f t="shared" si="142"/>
        <v>65.94</v>
      </c>
      <c r="J132" s="376">
        <f t="shared" si="142"/>
        <v>65.94</v>
      </c>
      <c r="K132" s="376">
        <f t="shared" si="142"/>
        <v>65.94</v>
      </c>
      <c r="L132" s="376">
        <f t="shared" si="142"/>
        <v>65.94</v>
      </c>
      <c r="M132" s="376">
        <f t="shared" si="142"/>
        <v>65.94</v>
      </c>
      <c r="N132" s="376">
        <f t="shared" si="142"/>
        <v>65.94</v>
      </c>
      <c r="O132" s="376">
        <f t="shared" si="142"/>
        <v>65.94</v>
      </c>
      <c r="P132" s="376">
        <f t="shared" si="142"/>
        <v>65.94</v>
      </c>
      <c r="Q132" s="376">
        <f t="shared" si="142"/>
        <v>65.94</v>
      </c>
      <c r="R132" s="376">
        <f t="shared" si="142"/>
        <v>65.94</v>
      </c>
      <c r="S132" s="376">
        <f t="shared" si="142"/>
        <v>65.94</v>
      </c>
      <c r="T132" s="376">
        <f t="shared" si="142"/>
        <v>65.94</v>
      </c>
      <c r="U132" s="376">
        <f t="shared" si="142"/>
        <v>65.94</v>
      </c>
      <c r="V132" s="376">
        <f t="shared" si="142"/>
        <v>65.94</v>
      </c>
      <c r="W132" s="376">
        <f t="shared" si="142"/>
        <v>65.94</v>
      </c>
      <c r="X132" s="376">
        <f t="shared" si="142"/>
        <v>65.94</v>
      </c>
      <c r="Y132" s="376">
        <f t="shared" si="142"/>
        <v>65.94</v>
      </c>
      <c r="Z132" s="376">
        <f t="shared" si="142"/>
        <v>65.94</v>
      </c>
      <c r="AA132" s="376">
        <f t="shared" si="142"/>
        <v>65.94</v>
      </c>
      <c r="AB132" s="376">
        <f t="shared" si="142"/>
        <v>65.94</v>
      </c>
      <c r="AC132" s="376">
        <f t="shared" si="142"/>
        <v>65.94</v>
      </c>
      <c r="AD132" s="376">
        <f t="shared" si="142"/>
        <v>65.94</v>
      </c>
      <c r="AE132" s="376">
        <f t="shared" si="142"/>
        <v>65.94</v>
      </c>
      <c r="AF132" s="376">
        <f t="shared" si="142"/>
        <v>65.94</v>
      </c>
      <c r="AG132" s="376">
        <f t="shared" si="142"/>
        <v>65.94</v>
      </c>
      <c r="AH132" s="376">
        <f t="shared" si="142"/>
        <v>65.94</v>
      </c>
      <c r="AI132" s="376">
        <f t="shared" si="142"/>
        <v>65.94</v>
      </c>
      <c r="AJ132" s="376">
        <f t="shared" si="142"/>
        <v>65.94</v>
      </c>
      <c r="AK132" s="69">
        <f t="shared" si="142"/>
        <v>65.94</v>
      </c>
      <c r="AL132" s="74">
        <f t="shared" ref="AL132:BE132" si="143">AK132</f>
        <v>65.94</v>
      </c>
      <c r="AM132" s="74">
        <f t="shared" si="143"/>
        <v>65.94</v>
      </c>
      <c r="AN132" s="74">
        <f t="shared" si="143"/>
        <v>65.94</v>
      </c>
      <c r="AO132" s="74">
        <f t="shared" si="143"/>
        <v>65.94</v>
      </c>
      <c r="AP132" s="74">
        <f t="shared" si="143"/>
        <v>65.94</v>
      </c>
      <c r="AQ132" s="74">
        <f t="shared" si="143"/>
        <v>65.94</v>
      </c>
      <c r="AR132" s="74">
        <f t="shared" si="143"/>
        <v>65.94</v>
      </c>
      <c r="AS132" s="74">
        <f t="shared" si="143"/>
        <v>65.94</v>
      </c>
      <c r="AT132" s="74">
        <f t="shared" si="143"/>
        <v>65.94</v>
      </c>
      <c r="AU132" s="74">
        <f t="shared" si="143"/>
        <v>65.94</v>
      </c>
      <c r="AV132" s="74">
        <f t="shared" si="143"/>
        <v>65.94</v>
      </c>
      <c r="AW132" s="74">
        <f t="shared" si="143"/>
        <v>65.94</v>
      </c>
      <c r="AX132" s="74">
        <f t="shared" si="143"/>
        <v>65.94</v>
      </c>
      <c r="AY132" s="74">
        <f t="shared" si="143"/>
        <v>65.94</v>
      </c>
      <c r="AZ132" s="74">
        <f t="shared" si="143"/>
        <v>65.94</v>
      </c>
      <c r="BA132" s="74">
        <f t="shared" si="143"/>
        <v>65.94</v>
      </c>
      <c r="BB132" s="74">
        <f t="shared" si="143"/>
        <v>65.94</v>
      </c>
      <c r="BC132" s="74">
        <f t="shared" si="143"/>
        <v>65.94</v>
      </c>
      <c r="BD132" s="74">
        <f t="shared" si="143"/>
        <v>65.94</v>
      </c>
      <c r="BE132" s="74">
        <f t="shared" si="143"/>
        <v>65.94</v>
      </c>
    </row>
    <row r="133" spans="1:57" ht="13.5" customHeight="1">
      <c r="A133" s="619"/>
      <c r="B133" s="253"/>
      <c r="C133" s="258"/>
      <c r="D133" s="92" t="s">
        <v>195</v>
      </c>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93"/>
      <c r="AL133" s="74">
        <f t="shared" ref="AL133:BE133" si="144">AK133</f>
        <v>0</v>
      </c>
      <c r="AM133" s="74">
        <f t="shared" si="144"/>
        <v>0</v>
      </c>
      <c r="AN133" s="74">
        <f t="shared" si="144"/>
        <v>0</v>
      </c>
      <c r="AO133" s="74">
        <f t="shared" si="144"/>
        <v>0</v>
      </c>
      <c r="AP133" s="74">
        <f t="shared" si="144"/>
        <v>0</v>
      </c>
      <c r="AQ133" s="74">
        <f t="shared" si="144"/>
        <v>0</v>
      </c>
      <c r="AR133" s="74">
        <f t="shared" si="144"/>
        <v>0</v>
      </c>
      <c r="AS133" s="74">
        <f t="shared" si="144"/>
        <v>0</v>
      </c>
      <c r="AT133" s="74">
        <f t="shared" si="144"/>
        <v>0</v>
      </c>
      <c r="AU133" s="74">
        <f t="shared" si="144"/>
        <v>0</v>
      </c>
      <c r="AV133" s="74">
        <f t="shared" si="144"/>
        <v>0</v>
      </c>
      <c r="AW133" s="74">
        <f t="shared" si="144"/>
        <v>0</v>
      </c>
      <c r="AX133" s="74">
        <f t="shared" si="144"/>
        <v>0</v>
      </c>
      <c r="AY133" s="74">
        <f t="shared" si="144"/>
        <v>0</v>
      </c>
      <c r="AZ133" s="74">
        <f t="shared" si="144"/>
        <v>0</v>
      </c>
      <c r="BA133" s="74">
        <f t="shared" si="144"/>
        <v>0</v>
      </c>
      <c r="BB133" s="74">
        <f t="shared" si="144"/>
        <v>0</v>
      </c>
      <c r="BC133" s="74">
        <f t="shared" si="144"/>
        <v>0</v>
      </c>
      <c r="BD133" s="74">
        <f t="shared" si="144"/>
        <v>0</v>
      </c>
      <c r="BE133" s="74">
        <f t="shared" si="144"/>
        <v>0</v>
      </c>
    </row>
    <row r="134" spans="1:57" ht="13.5" customHeight="1">
      <c r="A134" s="619">
        <v>4</v>
      </c>
      <c r="B134" s="253"/>
      <c r="C134" s="258" t="s">
        <v>196</v>
      </c>
      <c r="D134" s="77" t="s">
        <v>557</v>
      </c>
      <c r="E134" s="376">
        <f t="shared" ref="E134:AK134" si="145">E104</f>
        <v>65.94</v>
      </c>
      <c r="F134" s="376">
        <f t="shared" si="145"/>
        <v>65.94</v>
      </c>
      <c r="G134" s="376">
        <f t="shared" si="145"/>
        <v>65.94</v>
      </c>
      <c r="H134" s="376">
        <f t="shared" si="145"/>
        <v>65.94</v>
      </c>
      <c r="I134" s="376">
        <f t="shared" si="145"/>
        <v>65.94</v>
      </c>
      <c r="J134" s="376">
        <f t="shared" si="145"/>
        <v>65.94</v>
      </c>
      <c r="K134" s="376">
        <f t="shared" si="145"/>
        <v>65.94</v>
      </c>
      <c r="L134" s="376">
        <f t="shared" si="145"/>
        <v>65.94</v>
      </c>
      <c r="M134" s="376">
        <f t="shared" si="145"/>
        <v>65.94</v>
      </c>
      <c r="N134" s="376">
        <f t="shared" si="145"/>
        <v>65.94</v>
      </c>
      <c r="O134" s="376">
        <f t="shared" si="145"/>
        <v>65.94</v>
      </c>
      <c r="P134" s="376">
        <f t="shared" si="145"/>
        <v>65.94</v>
      </c>
      <c r="Q134" s="376">
        <f t="shared" si="145"/>
        <v>65.94</v>
      </c>
      <c r="R134" s="376">
        <f t="shared" si="145"/>
        <v>65.94</v>
      </c>
      <c r="S134" s="376">
        <f t="shared" si="145"/>
        <v>65.94</v>
      </c>
      <c r="T134" s="376">
        <f t="shared" si="145"/>
        <v>65.94</v>
      </c>
      <c r="U134" s="376">
        <f t="shared" si="145"/>
        <v>65.94</v>
      </c>
      <c r="V134" s="376">
        <f t="shared" si="145"/>
        <v>65.94</v>
      </c>
      <c r="W134" s="376">
        <f t="shared" si="145"/>
        <v>65.94</v>
      </c>
      <c r="X134" s="376">
        <f t="shared" si="145"/>
        <v>65.94</v>
      </c>
      <c r="Y134" s="376">
        <f t="shared" si="145"/>
        <v>65.94</v>
      </c>
      <c r="Z134" s="376">
        <f t="shared" si="145"/>
        <v>65.94</v>
      </c>
      <c r="AA134" s="376">
        <f t="shared" si="145"/>
        <v>65.94</v>
      </c>
      <c r="AB134" s="376">
        <f t="shared" si="145"/>
        <v>65.94</v>
      </c>
      <c r="AC134" s="376">
        <f t="shared" si="145"/>
        <v>65.94</v>
      </c>
      <c r="AD134" s="376">
        <f t="shared" si="145"/>
        <v>65.94</v>
      </c>
      <c r="AE134" s="376">
        <f t="shared" si="145"/>
        <v>65.94</v>
      </c>
      <c r="AF134" s="376">
        <f t="shared" si="145"/>
        <v>65.94</v>
      </c>
      <c r="AG134" s="376">
        <f t="shared" si="145"/>
        <v>65.94</v>
      </c>
      <c r="AH134" s="376">
        <f t="shared" si="145"/>
        <v>65.94</v>
      </c>
      <c r="AI134" s="376">
        <f t="shared" si="145"/>
        <v>65.94</v>
      </c>
      <c r="AJ134" s="376">
        <f t="shared" si="145"/>
        <v>65.94</v>
      </c>
      <c r="AK134" s="69">
        <f t="shared" si="145"/>
        <v>65.94</v>
      </c>
      <c r="AL134" s="74">
        <f t="shared" ref="AL134:BE134" si="146">AK134</f>
        <v>65.94</v>
      </c>
      <c r="AM134" s="74">
        <f t="shared" si="146"/>
        <v>65.94</v>
      </c>
      <c r="AN134" s="74">
        <f t="shared" si="146"/>
        <v>65.94</v>
      </c>
      <c r="AO134" s="74">
        <f t="shared" si="146"/>
        <v>65.94</v>
      </c>
      <c r="AP134" s="74">
        <f t="shared" si="146"/>
        <v>65.94</v>
      </c>
      <c r="AQ134" s="74">
        <f t="shared" si="146"/>
        <v>65.94</v>
      </c>
      <c r="AR134" s="74">
        <f t="shared" si="146"/>
        <v>65.94</v>
      </c>
      <c r="AS134" s="74">
        <f t="shared" si="146"/>
        <v>65.94</v>
      </c>
      <c r="AT134" s="74">
        <f t="shared" si="146"/>
        <v>65.94</v>
      </c>
      <c r="AU134" s="74">
        <f t="shared" si="146"/>
        <v>65.94</v>
      </c>
      <c r="AV134" s="74">
        <f t="shared" si="146"/>
        <v>65.94</v>
      </c>
      <c r="AW134" s="74">
        <f t="shared" si="146"/>
        <v>65.94</v>
      </c>
      <c r="AX134" s="74">
        <f t="shared" si="146"/>
        <v>65.94</v>
      </c>
      <c r="AY134" s="74">
        <f t="shared" si="146"/>
        <v>65.94</v>
      </c>
      <c r="AZ134" s="74">
        <f t="shared" si="146"/>
        <v>65.94</v>
      </c>
      <c r="BA134" s="74">
        <f t="shared" si="146"/>
        <v>65.94</v>
      </c>
      <c r="BB134" s="74">
        <f t="shared" si="146"/>
        <v>65.94</v>
      </c>
      <c r="BC134" s="74">
        <f t="shared" si="146"/>
        <v>65.94</v>
      </c>
      <c r="BD134" s="74">
        <f t="shared" si="146"/>
        <v>65.94</v>
      </c>
      <c r="BE134" s="74">
        <f t="shared" si="146"/>
        <v>65.94</v>
      </c>
    </row>
    <row r="135" spans="1:57" ht="13.5" customHeight="1">
      <c r="A135" s="619">
        <v>4</v>
      </c>
      <c r="B135" s="253"/>
      <c r="C135" s="258" t="s">
        <v>197</v>
      </c>
      <c r="D135" s="77" t="s">
        <v>558</v>
      </c>
      <c r="E135" s="376">
        <f t="shared" ref="E135:AK135" si="147">E107</f>
        <v>65.94</v>
      </c>
      <c r="F135" s="376">
        <f t="shared" si="147"/>
        <v>65.94</v>
      </c>
      <c r="G135" s="376">
        <f t="shared" si="147"/>
        <v>65.94</v>
      </c>
      <c r="H135" s="376">
        <f t="shared" si="147"/>
        <v>65.94</v>
      </c>
      <c r="I135" s="376">
        <f t="shared" si="147"/>
        <v>65.94</v>
      </c>
      <c r="J135" s="376">
        <f t="shared" si="147"/>
        <v>65.94</v>
      </c>
      <c r="K135" s="376">
        <f t="shared" si="147"/>
        <v>65.94</v>
      </c>
      <c r="L135" s="376">
        <f t="shared" si="147"/>
        <v>65.94</v>
      </c>
      <c r="M135" s="376">
        <f t="shared" si="147"/>
        <v>65.94</v>
      </c>
      <c r="N135" s="376">
        <f t="shared" si="147"/>
        <v>65.94</v>
      </c>
      <c r="O135" s="376">
        <f t="shared" si="147"/>
        <v>65.94</v>
      </c>
      <c r="P135" s="376">
        <f t="shared" si="147"/>
        <v>65.94</v>
      </c>
      <c r="Q135" s="376">
        <f t="shared" si="147"/>
        <v>65.94</v>
      </c>
      <c r="R135" s="376">
        <f t="shared" si="147"/>
        <v>65.94</v>
      </c>
      <c r="S135" s="376">
        <f t="shared" si="147"/>
        <v>65.94</v>
      </c>
      <c r="T135" s="376">
        <f t="shared" si="147"/>
        <v>65.94</v>
      </c>
      <c r="U135" s="376">
        <f t="shared" si="147"/>
        <v>65.94</v>
      </c>
      <c r="V135" s="376">
        <f t="shared" si="147"/>
        <v>65.94</v>
      </c>
      <c r="W135" s="376">
        <f t="shared" si="147"/>
        <v>65.94</v>
      </c>
      <c r="X135" s="376">
        <f t="shared" si="147"/>
        <v>65.94</v>
      </c>
      <c r="Y135" s="376">
        <f t="shared" si="147"/>
        <v>65.94</v>
      </c>
      <c r="Z135" s="376">
        <f t="shared" si="147"/>
        <v>65.94</v>
      </c>
      <c r="AA135" s="376">
        <f t="shared" si="147"/>
        <v>65.94</v>
      </c>
      <c r="AB135" s="376">
        <f t="shared" si="147"/>
        <v>65.94</v>
      </c>
      <c r="AC135" s="376">
        <f t="shared" si="147"/>
        <v>65.94</v>
      </c>
      <c r="AD135" s="376">
        <f t="shared" si="147"/>
        <v>65.94</v>
      </c>
      <c r="AE135" s="376">
        <f t="shared" si="147"/>
        <v>65.94</v>
      </c>
      <c r="AF135" s="376">
        <f t="shared" si="147"/>
        <v>65.94</v>
      </c>
      <c r="AG135" s="376">
        <f t="shared" si="147"/>
        <v>65.94</v>
      </c>
      <c r="AH135" s="376">
        <f t="shared" si="147"/>
        <v>65.94</v>
      </c>
      <c r="AI135" s="376">
        <f t="shared" si="147"/>
        <v>65.94</v>
      </c>
      <c r="AJ135" s="376">
        <f t="shared" si="147"/>
        <v>65.94</v>
      </c>
      <c r="AK135" s="69">
        <f t="shared" si="147"/>
        <v>65.94</v>
      </c>
      <c r="AL135" s="74">
        <f t="shared" ref="AL135:BE135" si="148">AK135</f>
        <v>65.94</v>
      </c>
      <c r="AM135" s="74">
        <f t="shared" si="148"/>
        <v>65.94</v>
      </c>
      <c r="AN135" s="74">
        <f t="shared" si="148"/>
        <v>65.94</v>
      </c>
      <c r="AO135" s="74">
        <f t="shared" si="148"/>
        <v>65.94</v>
      </c>
      <c r="AP135" s="74">
        <f t="shared" si="148"/>
        <v>65.94</v>
      </c>
      <c r="AQ135" s="74">
        <f t="shared" si="148"/>
        <v>65.94</v>
      </c>
      <c r="AR135" s="74">
        <f t="shared" si="148"/>
        <v>65.94</v>
      </c>
      <c r="AS135" s="74">
        <f t="shared" si="148"/>
        <v>65.94</v>
      </c>
      <c r="AT135" s="74">
        <f t="shared" si="148"/>
        <v>65.94</v>
      </c>
      <c r="AU135" s="74">
        <f t="shared" si="148"/>
        <v>65.94</v>
      </c>
      <c r="AV135" s="74">
        <f t="shared" si="148"/>
        <v>65.94</v>
      </c>
      <c r="AW135" s="74">
        <f t="shared" si="148"/>
        <v>65.94</v>
      </c>
      <c r="AX135" s="74">
        <f t="shared" si="148"/>
        <v>65.94</v>
      </c>
      <c r="AY135" s="74">
        <f t="shared" si="148"/>
        <v>65.94</v>
      </c>
      <c r="AZ135" s="74">
        <f t="shared" si="148"/>
        <v>65.94</v>
      </c>
      <c r="BA135" s="74">
        <f t="shared" si="148"/>
        <v>65.94</v>
      </c>
      <c r="BB135" s="74">
        <f t="shared" si="148"/>
        <v>65.94</v>
      </c>
      <c r="BC135" s="74">
        <f t="shared" si="148"/>
        <v>65.94</v>
      </c>
      <c r="BD135" s="74">
        <f t="shared" si="148"/>
        <v>65.94</v>
      </c>
      <c r="BE135" s="74">
        <f t="shared" si="148"/>
        <v>65.94</v>
      </c>
    </row>
    <row r="136" spans="1:57" ht="13.5" customHeight="1">
      <c r="A136" s="619"/>
      <c r="B136" s="253"/>
      <c r="C136" s="258"/>
      <c r="D136" s="78" t="s">
        <v>143</v>
      </c>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c r="AA136" s="262"/>
      <c r="AB136" s="262"/>
      <c r="AC136" s="262"/>
      <c r="AD136" s="262"/>
      <c r="AE136" s="262"/>
      <c r="AF136" s="262"/>
      <c r="AG136" s="262"/>
      <c r="AH136" s="262"/>
      <c r="AI136" s="262"/>
      <c r="AJ136" s="262"/>
      <c r="AK136" s="81"/>
      <c r="AL136" s="74">
        <f t="shared" ref="AL136:BE136" si="149">AK136</f>
        <v>0</v>
      </c>
      <c r="AM136" s="74">
        <f t="shared" si="149"/>
        <v>0</v>
      </c>
      <c r="AN136" s="74">
        <f t="shared" si="149"/>
        <v>0</v>
      </c>
      <c r="AO136" s="74">
        <f t="shared" si="149"/>
        <v>0</v>
      </c>
      <c r="AP136" s="74">
        <f t="shared" si="149"/>
        <v>0</v>
      </c>
      <c r="AQ136" s="74">
        <f t="shared" si="149"/>
        <v>0</v>
      </c>
      <c r="AR136" s="74">
        <f t="shared" si="149"/>
        <v>0</v>
      </c>
      <c r="AS136" s="74">
        <f t="shared" si="149"/>
        <v>0</v>
      </c>
      <c r="AT136" s="74">
        <f t="shared" si="149"/>
        <v>0</v>
      </c>
      <c r="AU136" s="74">
        <f t="shared" si="149"/>
        <v>0</v>
      </c>
      <c r="AV136" s="74">
        <f t="shared" si="149"/>
        <v>0</v>
      </c>
      <c r="AW136" s="74">
        <f t="shared" si="149"/>
        <v>0</v>
      </c>
      <c r="AX136" s="74">
        <f t="shared" si="149"/>
        <v>0</v>
      </c>
      <c r="AY136" s="74">
        <f t="shared" si="149"/>
        <v>0</v>
      </c>
      <c r="AZ136" s="74">
        <f t="shared" si="149"/>
        <v>0</v>
      </c>
      <c r="BA136" s="74">
        <f t="shared" si="149"/>
        <v>0</v>
      </c>
      <c r="BB136" s="74">
        <f t="shared" si="149"/>
        <v>0</v>
      </c>
      <c r="BC136" s="74">
        <f t="shared" si="149"/>
        <v>0</v>
      </c>
      <c r="BD136" s="74">
        <f t="shared" si="149"/>
        <v>0</v>
      </c>
      <c r="BE136" s="74">
        <f t="shared" si="149"/>
        <v>0</v>
      </c>
    </row>
    <row r="137" spans="1:57" ht="13.5" customHeight="1">
      <c r="A137" s="619">
        <v>5</v>
      </c>
      <c r="B137" s="253"/>
      <c r="C137" s="258" t="s">
        <v>198</v>
      </c>
      <c r="D137" s="92" t="s">
        <v>188</v>
      </c>
      <c r="E137" s="451">
        <f t="shared" ref="E137:Q137" si="150">19.8+(((10.8-19.8)/(2030-2015))*(E1-2015))</f>
        <v>18</v>
      </c>
      <c r="F137" s="451">
        <f t="shared" si="150"/>
        <v>17.400000000000002</v>
      </c>
      <c r="G137" s="451">
        <f t="shared" si="150"/>
        <v>16.8</v>
      </c>
      <c r="H137" s="451">
        <f t="shared" si="150"/>
        <v>16.200000000000003</v>
      </c>
      <c r="I137" s="451">
        <f t="shared" si="150"/>
        <v>15.600000000000001</v>
      </c>
      <c r="J137" s="451">
        <f t="shared" si="150"/>
        <v>15</v>
      </c>
      <c r="K137" s="451">
        <f t="shared" si="150"/>
        <v>14.400000000000002</v>
      </c>
      <c r="L137" s="451">
        <f t="shared" si="150"/>
        <v>13.8</v>
      </c>
      <c r="M137" s="451">
        <f t="shared" si="150"/>
        <v>13.200000000000001</v>
      </c>
      <c r="N137" s="451">
        <f t="shared" si="150"/>
        <v>12.600000000000001</v>
      </c>
      <c r="O137" s="451">
        <f t="shared" si="150"/>
        <v>12</v>
      </c>
      <c r="P137" s="451">
        <f t="shared" si="150"/>
        <v>11.4</v>
      </c>
      <c r="Q137" s="451">
        <f t="shared" si="150"/>
        <v>10.8</v>
      </c>
      <c r="R137" s="451">
        <f t="shared" ref="R137:AK137" si="151">10.8+(((9.6-10.8)/(2050-2030))*(R1-2030))</f>
        <v>10.74</v>
      </c>
      <c r="S137" s="451">
        <f t="shared" si="151"/>
        <v>10.68</v>
      </c>
      <c r="T137" s="451">
        <f t="shared" si="151"/>
        <v>10.620000000000001</v>
      </c>
      <c r="U137" s="451">
        <f t="shared" si="151"/>
        <v>10.56</v>
      </c>
      <c r="V137" s="451">
        <f t="shared" si="151"/>
        <v>10.5</v>
      </c>
      <c r="W137" s="451">
        <f t="shared" si="151"/>
        <v>10.440000000000001</v>
      </c>
      <c r="X137" s="451">
        <f t="shared" si="151"/>
        <v>10.38</v>
      </c>
      <c r="Y137" s="451">
        <f t="shared" si="151"/>
        <v>10.32</v>
      </c>
      <c r="Z137" s="451">
        <f t="shared" si="151"/>
        <v>10.26</v>
      </c>
      <c r="AA137" s="451">
        <f t="shared" si="151"/>
        <v>10.199999999999999</v>
      </c>
      <c r="AB137" s="451">
        <f t="shared" si="151"/>
        <v>10.14</v>
      </c>
      <c r="AC137" s="451">
        <f t="shared" si="151"/>
        <v>10.08</v>
      </c>
      <c r="AD137" s="451">
        <f t="shared" si="151"/>
        <v>10.02</v>
      </c>
      <c r="AE137" s="451">
        <f t="shared" si="151"/>
        <v>9.9600000000000009</v>
      </c>
      <c r="AF137" s="451">
        <f t="shared" si="151"/>
        <v>9.9</v>
      </c>
      <c r="AG137" s="451">
        <f t="shared" si="151"/>
        <v>9.84</v>
      </c>
      <c r="AH137" s="451">
        <f t="shared" si="151"/>
        <v>9.7799999999999994</v>
      </c>
      <c r="AI137" s="451">
        <f t="shared" si="151"/>
        <v>9.7199999999999989</v>
      </c>
      <c r="AJ137" s="451">
        <f t="shared" si="151"/>
        <v>9.66</v>
      </c>
      <c r="AK137" s="93">
        <f t="shared" si="151"/>
        <v>9.6</v>
      </c>
      <c r="AL137" s="74">
        <f t="shared" ref="AL137:BE137" si="152">AK137</f>
        <v>9.6</v>
      </c>
      <c r="AM137" s="74">
        <f t="shared" si="152"/>
        <v>9.6</v>
      </c>
      <c r="AN137" s="74">
        <f t="shared" si="152"/>
        <v>9.6</v>
      </c>
      <c r="AO137" s="74">
        <f t="shared" si="152"/>
        <v>9.6</v>
      </c>
      <c r="AP137" s="74">
        <f t="shared" si="152"/>
        <v>9.6</v>
      </c>
      <c r="AQ137" s="74">
        <f t="shared" si="152"/>
        <v>9.6</v>
      </c>
      <c r="AR137" s="74">
        <f t="shared" si="152"/>
        <v>9.6</v>
      </c>
      <c r="AS137" s="74">
        <f t="shared" si="152"/>
        <v>9.6</v>
      </c>
      <c r="AT137" s="74">
        <f t="shared" si="152"/>
        <v>9.6</v>
      </c>
      <c r="AU137" s="74">
        <f t="shared" si="152"/>
        <v>9.6</v>
      </c>
      <c r="AV137" s="74">
        <f t="shared" si="152"/>
        <v>9.6</v>
      </c>
      <c r="AW137" s="74">
        <f t="shared" si="152"/>
        <v>9.6</v>
      </c>
      <c r="AX137" s="74">
        <f t="shared" si="152"/>
        <v>9.6</v>
      </c>
      <c r="AY137" s="74">
        <f t="shared" si="152"/>
        <v>9.6</v>
      </c>
      <c r="AZ137" s="74">
        <f t="shared" si="152"/>
        <v>9.6</v>
      </c>
      <c r="BA137" s="74">
        <f t="shared" si="152"/>
        <v>9.6</v>
      </c>
      <c r="BB137" s="74">
        <f t="shared" si="152"/>
        <v>9.6</v>
      </c>
      <c r="BC137" s="74">
        <f t="shared" si="152"/>
        <v>9.6</v>
      </c>
      <c r="BD137" s="74">
        <f t="shared" si="152"/>
        <v>9.6</v>
      </c>
      <c r="BE137" s="74">
        <f t="shared" si="152"/>
        <v>9.6</v>
      </c>
    </row>
    <row r="138" spans="1:57" ht="13.5" customHeight="1">
      <c r="A138" s="619">
        <v>4</v>
      </c>
      <c r="B138" s="253"/>
      <c r="C138" s="258" t="s">
        <v>199</v>
      </c>
      <c r="D138" s="92" t="s">
        <v>190</v>
      </c>
      <c r="E138" s="451">
        <f t="shared" ref="E138:AK138" si="153">E110</f>
        <v>19.8</v>
      </c>
      <c r="F138" s="451">
        <f t="shared" si="153"/>
        <v>19.8</v>
      </c>
      <c r="G138" s="451">
        <f t="shared" si="153"/>
        <v>13.6</v>
      </c>
      <c r="H138" s="451">
        <f t="shared" si="153"/>
        <v>13.6</v>
      </c>
      <c r="I138" s="451">
        <f t="shared" si="153"/>
        <v>13.6</v>
      </c>
      <c r="J138" s="451">
        <f t="shared" si="153"/>
        <v>13.6</v>
      </c>
      <c r="K138" s="451">
        <f t="shared" si="153"/>
        <v>13.6</v>
      </c>
      <c r="L138" s="451">
        <f t="shared" si="153"/>
        <v>12.2</v>
      </c>
      <c r="M138" s="451">
        <f t="shared" si="153"/>
        <v>12.2</v>
      </c>
      <c r="N138" s="451">
        <f t="shared" si="153"/>
        <v>12.2</v>
      </c>
      <c r="O138" s="451">
        <f t="shared" si="153"/>
        <v>12.2</v>
      </c>
      <c r="P138" s="451">
        <f t="shared" si="153"/>
        <v>12.2</v>
      </c>
      <c r="Q138" s="451">
        <f t="shared" si="153"/>
        <v>10.8</v>
      </c>
      <c r="R138" s="451">
        <f t="shared" si="153"/>
        <v>10.8</v>
      </c>
      <c r="S138" s="451">
        <f t="shared" si="153"/>
        <v>10.8</v>
      </c>
      <c r="T138" s="451">
        <f t="shared" si="153"/>
        <v>10.8</v>
      </c>
      <c r="U138" s="451">
        <f t="shared" si="153"/>
        <v>10.8</v>
      </c>
      <c r="V138" s="451">
        <f t="shared" si="153"/>
        <v>10.5</v>
      </c>
      <c r="W138" s="451">
        <f t="shared" si="153"/>
        <v>10.5</v>
      </c>
      <c r="X138" s="451">
        <f t="shared" si="153"/>
        <v>10.5</v>
      </c>
      <c r="Y138" s="451">
        <f t="shared" si="153"/>
        <v>10.5</v>
      </c>
      <c r="Z138" s="451">
        <f t="shared" si="153"/>
        <v>10.5</v>
      </c>
      <c r="AA138" s="451">
        <f t="shared" si="153"/>
        <v>10.199999999999999</v>
      </c>
      <c r="AB138" s="451">
        <f t="shared" si="153"/>
        <v>10.199999999999999</v>
      </c>
      <c r="AC138" s="451">
        <f t="shared" si="153"/>
        <v>10.199999999999999</v>
      </c>
      <c r="AD138" s="451">
        <f t="shared" si="153"/>
        <v>10.199999999999999</v>
      </c>
      <c r="AE138" s="451">
        <f t="shared" si="153"/>
        <v>10.199999999999999</v>
      </c>
      <c r="AF138" s="451">
        <f t="shared" si="153"/>
        <v>9.9</v>
      </c>
      <c r="AG138" s="451">
        <f t="shared" si="153"/>
        <v>9.9</v>
      </c>
      <c r="AH138" s="451">
        <f t="shared" si="153"/>
        <v>9.9</v>
      </c>
      <c r="AI138" s="451">
        <f t="shared" si="153"/>
        <v>9.9</v>
      </c>
      <c r="AJ138" s="451">
        <f t="shared" si="153"/>
        <v>9.9</v>
      </c>
      <c r="AK138" s="93">
        <f t="shared" si="153"/>
        <v>9.6</v>
      </c>
      <c r="AL138" s="74">
        <f t="shared" ref="AL138:BE138" si="154">AK138</f>
        <v>9.6</v>
      </c>
      <c r="AM138" s="74">
        <f t="shared" si="154"/>
        <v>9.6</v>
      </c>
      <c r="AN138" s="74">
        <f t="shared" si="154"/>
        <v>9.6</v>
      </c>
      <c r="AO138" s="74">
        <f t="shared" si="154"/>
        <v>9.6</v>
      </c>
      <c r="AP138" s="74">
        <f t="shared" si="154"/>
        <v>9.6</v>
      </c>
      <c r="AQ138" s="74">
        <f t="shared" si="154"/>
        <v>9.6</v>
      </c>
      <c r="AR138" s="74">
        <f t="shared" si="154"/>
        <v>9.6</v>
      </c>
      <c r="AS138" s="74">
        <f t="shared" si="154"/>
        <v>9.6</v>
      </c>
      <c r="AT138" s="74">
        <f t="shared" si="154"/>
        <v>9.6</v>
      </c>
      <c r="AU138" s="74">
        <f t="shared" si="154"/>
        <v>9.6</v>
      </c>
      <c r="AV138" s="74">
        <f t="shared" si="154"/>
        <v>9.6</v>
      </c>
      <c r="AW138" s="74">
        <f t="shared" si="154"/>
        <v>9.6</v>
      </c>
      <c r="AX138" s="74">
        <f t="shared" si="154"/>
        <v>9.6</v>
      </c>
      <c r="AY138" s="74">
        <f t="shared" si="154"/>
        <v>9.6</v>
      </c>
      <c r="AZ138" s="74">
        <f t="shared" si="154"/>
        <v>9.6</v>
      </c>
      <c r="BA138" s="74">
        <f t="shared" si="154"/>
        <v>9.6</v>
      </c>
      <c r="BB138" s="74">
        <f t="shared" si="154"/>
        <v>9.6</v>
      </c>
      <c r="BC138" s="74">
        <f t="shared" si="154"/>
        <v>9.6</v>
      </c>
      <c r="BD138" s="74">
        <f t="shared" si="154"/>
        <v>9.6</v>
      </c>
      <c r="BE138" s="74">
        <f t="shared" si="154"/>
        <v>9.6</v>
      </c>
    </row>
    <row r="139" spans="1:57" ht="13.5" customHeight="1">
      <c r="A139" s="619"/>
      <c r="B139" s="253"/>
      <c r="C139" s="258"/>
      <c r="D139" s="78" t="s">
        <v>144</v>
      </c>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c r="AA139" s="262"/>
      <c r="AB139" s="262"/>
      <c r="AC139" s="262"/>
      <c r="AD139" s="262"/>
      <c r="AE139" s="262"/>
      <c r="AF139" s="262"/>
      <c r="AG139" s="262"/>
      <c r="AH139" s="262"/>
      <c r="AI139" s="262"/>
      <c r="AJ139" s="262"/>
      <c r="AK139" s="81"/>
      <c r="AL139" s="74">
        <f t="shared" ref="AL139:BE139" si="155">AK139</f>
        <v>0</v>
      </c>
      <c r="AM139" s="74">
        <f t="shared" si="155"/>
        <v>0</v>
      </c>
      <c r="AN139" s="74">
        <f t="shared" si="155"/>
        <v>0</v>
      </c>
      <c r="AO139" s="74">
        <f t="shared" si="155"/>
        <v>0</v>
      </c>
      <c r="AP139" s="74">
        <f t="shared" si="155"/>
        <v>0</v>
      </c>
      <c r="AQ139" s="74">
        <f t="shared" si="155"/>
        <v>0</v>
      </c>
      <c r="AR139" s="74">
        <f t="shared" si="155"/>
        <v>0</v>
      </c>
      <c r="AS139" s="74">
        <f t="shared" si="155"/>
        <v>0</v>
      </c>
      <c r="AT139" s="74">
        <f t="shared" si="155"/>
        <v>0</v>
      </c>
      <c r="AU139" s="74">
        <f t="shared" si="155"/>
        <v>0</v>
      </c>
      <c r="AV139" s="74">
        <f t="shared" si="155"/>
        <v>0</v>
      </c>
      <c r="AW139" s="74">
        <f t="shared" si="155"/>
        <v>0</v>
      </c>
      <c r="AX139" s="74">
        <f t="shared" si="155"/>
        <v>0</v>
      </c>
      <c r="AY139" s="74">
        <f t="shared" si="155"/>
        <v>0</v>
      </c>
      <c r="AZ139" s="74">
        <f t="shared" si="155"/>
        <v>0</v>
      </c>
      <c r="BA139" s="74">
        <f t="shared" si="155"/>
        <v>0</v>
      </c>
      <c r="BB139" s="74">
        <f t="shared" si="155"/>
        <v>0</v>
      </c>
      <c r="BC139" s="74">
        <f t="shared" si="155"/>
        <v>0</v>
      </c>
      <c r="BD139" s="74">
        <f t="shared" si="155"/>
        <v>0</v>
      </c>
      <c r="BE139" s="74">
        <f t="shared" si="155"/>
        <v>0</v>
      </c>
    </row>
    <row r="140" spans="1:57" ht="13.5" customHeight="1">
      <c r="A140" s="619"/>
      <c r="B140" s="253"/>
      <c r="C140" s="258"/>
      <c r="D140" s="75" t="s">
        <v>145</v>
      </c>
      <c r="E140" s="447"/>
      <c r="F140" s="447"/>
      <c r="G140" s="447"/>
      <c r="H140" s="447"/>
      <c r="I140" s="447"/>
      <c r="J140" s="447"/>
      <c r="K140" s="447"/>
      <c r="L140" s="447"/>
      <c r="M140" s="447"/>
      <c r="N140" s="447"/>
      <c r="O140" s="447"/>
      <c r="P140" s="447"/>
      <c r="Q140" s="447"/>
      <c r="R140" s="447"/>
      <c r="S140" s="447"/>
      <c r="T140" s="447"/>
      <c r="U140" s="447"/>
      <c r="V140" s="447"/>
      <c r="W140" s="447"/>
      <c r="X140" s="447"/>
      <c r="Y140" s="447"/>
      <c r="Z140" s="447"/>
      <c r="AA140" s="447"/>
      <c r="AB140" s="447"/>
      <c r="AC140" s="447"/>
      <c r="AD140" s="447"/>
      <c r="AE140" s="447"/>
      <c r="AF140" s="447"/>
      <c r="AG140" s="447"/>
      <c r="AH140" s="447"/>
      <c r="AI140" s="447"/>
      <c r="AJ140" s="447"/>
      <c r="AK140" s="76"/>
      <c r="AL140" s="74">
        <f t="shared" ref="AL140:BE140" si="156">AK140</f>
        <v>0</v>
      </c>
      <c r="AM140" s="74">
        <f t="shared" si="156"/>
        <v>0</v>
      </c>
      <c r="AN140" s="74">
        <f t="shared" si="156"/>
        <v>0</v>
      </c>
      <c r="AO140" s="74">
        <f t="shared" si="156"/>
        <v>0</v>
      </c>
      <c r="AP140" s="74">
        <f t="shared" si="156"/>
        <v>0</v>
      </c>
      <c r="AQ140" s="74">
        <f t="shared" si="156"/>
        <v>0</v>
      </c>
      <c r="AR140" s="74">
        <f t="shared" si="156"/>
        <v>0</v>
      </c>
      <c r="AS140" s="74">
        <f t="shared" si="156"/>
        <v>0</v>
      </c>
      <c r="AT140" s="74">
        <f t="shared" si="156"/>
        <v>0</v>
      </c>
      <c r="AU140" s="74">
        <f t="shared" si="156"/>
        <v>0</v>
      </c>
      <c r="AV140" s="74">
        <f t="shared" si="156"/>
        <v>0</v>
      </c>
      <c r="AW140" s="74">
        <f t="shared" si="156"/>
        <v>0</v>
      </c>
      <c r="AX140" s="74">
        <f t="shared" si="156"/>
        <v>0</v>
      </c>
      <c r="AY140" s="74">
        <f t="shared" si="156"/>
        <v>0</v>
      </c>
      <c r="AZ140" s="74">
        <f t="shared" si="156"/>
        <v>0</v>
      </c>
      <c r="BA140" s="74">
        <f t="shared" si="156"/>
        <v>0</v>
      </c>
      <c r="BB140" s="74">
        <f t="shared" si="156"/>
        <v>0</v>
      </c>
      <c r="BC140" s="74">
        <f t="shared" si="156"/>
        <v>0</v>
      </c>
      <c r="BD140" s="74">
        <f t="shared" si="156"/>
        <v>0</v>
      </c>
      <c r="BE140" s="74">
        <f t="shared" si="156"/>
        <v>0</v>
      </c>
    </row>
    <row r="141" spans="1:57" ht="13.5" customHeight="1">
      <c r="A141" s="619"/>
      <c r="B141" s="253"/>
      <c r="C141" s="258"/>
      <c r="D141" s="92" t="s">
        <v>190</v>
      </c>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93"/>
      <c r="AL141" s="74">
        <f t="shared" ref="AL141:BE141" si="157">AK141</f>
        <v>0</v>
      </c>
      <c r="AM141" s="74">
        <f t="shared" si="157"/>
        <v>0</v>
      </c>
      <c r="AN141" s="74">
        <f t="shared" si="157"/>
        <v>0</v>
      </c>
      <c r="AO141" s="74">
        <f t="shared" si="157"/>
        <v>0</v>
      </c>
      <c r="AP141" s="74">
        <f t="shared" si="157"/>
        <v>0</v>
      </c>
      <c r="AQ141" s="74">
        <f t="shared" si="157"/>
        <v>0</v>
      </c>
      <c r="AR141" s="74">
        <f t="shared" si="157"/>
        <v>0</v>
      </c>
      <c r="AS141" s="74">
        <f t="shared" si="157"/>
        <v>0</v>
      </c>
      <c r="AT141" s="74">
        <f t="shared" si="157"/>
        <v>0</v>
      </c>
      <c r="AU141" s="74">
        <f t="shared" si="157"/>
        <v>0</v>
      </c>
      <c r="AV141" s="74">
        <f t="shared" si="157"/>
        <v>0</v>
      </c>
      <c r="AW141" s="74">
        <f t="shared" si="157"/>
        <v>0</v>
      </c>
      <c r="AX141" s="74">
        <f t="shared" si="157"/>
        <v>0</v>
      </c>
      <c r="AY141" s="74">
        <f t="shared" si="157"/>
        <v>0</v>
      </c>
      <c r="AZ141" s="74">
        <f t="shared" si="157"/>
        <v>0</v>
      </c>
      <c r="BA141" s="74">
        <f t="shared" si="157"/>
        <v>0</v>
      </c>
      <c r="BB141" s="74">
        <f t="shared" si="157"/>
        <v>0</v>
      </c>
      <c r="BC141" s="74">
        <f t="shared" si="157"/>
        <v>0</v>
      </c>
      <c r="BD141" s="74">
        <f t="shared" si="157"/>
        <v>0</v>
      </c>
      <c r="BE141" s="74">
        <f t="shared" si="157"/>
        <v>0</v>
      </c>
    </row>
    <row r="142" spans="1:57" ht="13.5" customHeight="1">
      <c r="A142" s="619">
        <v>4</v>
      </c>
      <c r="B142" s="253"/>
      <c r="C142" s="258" t="s">
        <v>200</v>
      </c>
      <c r="D142" s="77" t="s">
        <v>201</v>
      </c>
      <c r="E142" s="376">
        <f t="shared" ref="E142:AK142" si="158">E113</f>
        <v>20</v>
      </c>
      <c r="F142" s="376">
        <f t="shared" si="158"/>
        <v>20</v>
      </c>
      <c r="G142" s="376">
        <f t="shared" si="158"/>
        <v>20</v>
      </c>
      <c r="H142" s="376">
        <f t="shared" si="158"/>
        <v>20</v>
      </c>
      <c r="I142" s="376">
        <f t="shared" si="158"/>
        <v>20</v>
      </c>
      <c r="J142" s="376">
        <f t="shared" si="158"/>
        <v>20</v>
      </c>
      <c r="K142" s="376">
        <f t="shared" si="158"/>
        <v>20</v>
      </c>
      <c r="L142" s="376">
        <f t="shared" si="158"/>
        <v>20</v>
      </c>
      <c r="M142" s="376">
        <f t="shared" si="158"/>
        <v>20</v>
      </c>
      <c r="N142" s="376">
        <f t="shared" si="158"/>
        <v>20</v>
      </c>
      <c r="O142" s="376">
        <f t="shared" si="158"/>
        <v>20</v>
      </c>
      <c r="P142" s="376">
        <f t="shared" si="158"/>
        <v>20</v>
      </c>
      <c r="Q142" s="376">
        <f t="shared" si="158"/>
        <v>20</v>
      </c>
      <c r="R142" s="376">
        <f t="shared" si="158"/>
        <v>20</v>
      </c>
      <c r="S142" s="376">
        <f t="shared" si="158"/>
        <v>20</v>
      </c>
      <c r="T142" s="376">
        <f t="shared" si="158"/>
        <v>20</v>
      </c>
      <c r="U142" s="376">
        <f t="shared" si="158"/>
        <v>20</v>
      </c>
      <c r="V142" s="376">
        <f t="shared" si="158"/>
        <v>20</v>
      </c>
      <c r="W142" s="376">
        <f t="shared" si="158"/>
        <v>20</v>
      </c>
      <c r="X142" s="376">
        <f t="shared" si="158"/>
        <v>20</v>
      </c>
      <c r="Y142" s="376">
        <f t="shared" si="158"/>
        <v>20</v>
      </c>
      <c r="Z142" s="376">
        <f t="shared" si="158"/>
        <v>20</v>
      </c>
      <c r="AA142" s="376">
        <f t="shared" si="158"/>
        <v>20</v>
      </c>
      <c r="AB142" s="376">
        <f t="shared" si="158"/>
        <v>20</v>
      </c>
      <c r="AC142" s="376">
        <f t="shared" si="158"/>
        <v>20</v>
      </c>
      <c r="AD142" s="376">
        <f t="shared" si="158"/>
        <v>20</v>
      </c>
      <c r="AE142" s="376">
        <f t="shared" si="158"/>
        <v>20</v>
      </c>
      <c r="AF142" s="376">
        <f t="shared" si="158"/>
        <v>20</v>
      </c>
      <c r="AG142" s="376">
        <f t="shared" si="158"/>
        <v>20</v>
      </c>
      <c r="AH142" s="376">
        <f t="shared" si="158"/>
        <v>20</v>
      </c>
      <c r="AI142" s="376">
        <f t="shared" si="158"/>
        <v>20</v>
      </c>
      <c r="AJ142" s="376">
        <f t="shared" si="158"/>
        <v>20</v>
      </c>
      <c r="AK142" s="69">
        <f t="shared" si="158"/>
        <v>20</v>
      </c>
      <c r="AL142" s="74">
        <f t="shared" ref="AL142:BE142" si="159">AK142</f>
        <v>20</v>
      </c>
      <c r="AM142" s="74">
        <f t="shared" si="159"/>
        <v>20</v>
      </c>
      <c r="AN142" s="74">
        <f t="shared" si="159"/>
        <v>20</v>
      </c>
      <c r="AO142" s="74">
        <f t="shared" si="159"/>
        <v>20</v>
      </c>
      <c r="AP142" s="74">
        <f t="shared" si="159"/>
        <v>20</v>
      </c>
      <c r="AQ142" s="74">
        <f t="shared" si="159"/>
        <v>20</v>
      </c>
      <c r="AR142" s="74">
        <f t="shared" si="159"/>
        <v>20</v>
      </c>
      <c r="AS142" s="74">
        <f t="shared" si="159"/>
        <v>20</v>
      </c>
      <c r="AT142" s="74">
        <f t="shared" si="159"/>
        <v>20</v>
      </c>
      <c r="AU142" s="74">
        <f t="shared" si="159"/>
        <v>20</v>
      </c>
      <c r="AV142" s="74">
        <f t="shared" si="159"/>
        <v>20</v>
      </c>
      <c r="AW142" s="74">
        <f t="shared" si="159"/>
        <v>20</v>
      </c>
      <c r="AX142" s="74">
        <f t="shared" si="159"/>
        <v>20</v>
      </c>
      <c r="AY142" s="74">
        <f t="shared" si="159"/>
        <v>20</v>
      </c>
      <c r="AZ142" s="74">
        <f t="shared" si="159"/>
        <v>20</v>
      </c>
      <c r="BA142" s="74">
        <f t="shared" si="159"/>
        <v>20</v>
      </c>
      <c r="BB142" s="74">
        <f t="shared" si="159"/>
        <v>20</v>
      </c>
      <c r="BC142" s="74">
        <f t="shared" si="159"/>
        <v>20</v>
      </c>
      <c r="BD142" s="74">
        <f t="shared" si="159"/>
        <v>20</v>
      </c>
      <c r="BE142" s="74">
        <f t="shared" si="159"/>
        <v>20</v>
      </c>
    </row>
    <row r="143" spans="1:57" ht="13.5" customHeight="1">
      <c r="A143" s="619"/>
      <c r="B143" s="253"/>
      <c r="C143" s="258"/>
      <c r="D143" s="92" t="s">
        <v>188</v>
      </c>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93"/>
      <c r="AL143" s="74">
        <f t="shared" ref="AL143:BE143" si="160">AK143</f>
        <v>0</v>
      </c>
      <c r="AM143" s="74">
        <f t="shared" si="160"/>
        <v>0</v>
      </c>
      <c r="AN143" s="74">
        <f t="shared" si="160"/>
        <v>0</v>
      </c>
      <c r="AO143" s="74">
        <f t="shared" si="160"/>
        <v>0</v>
      </c>
      <c r="AP143" s="74">
        <f t="shared" si="160"/>
        <v>0</v>
      </c>
      <c r="AQ143" s="74">
        <f t="shared" si="160"/>
        <v>0</v>
      </c>
      <c r="AR143" s="74">
        <f t="shared" si="160"/>
        <v>0</v>
      </c>
      <c r="AS143" s="74">
        <f t="shared" si="160"/>
        <v>0</v>
      </c>
      <c r="AT143" s="74">
        <f t="shared" si="160"/>
        <v>0</v>
      </c>
      <c r="AU143" s="74">
        <f t="shared" si="160"/>
        <v>0</v>
      </c>
      <c r="AV143" s="74">
        <f t="shared" si="160"/>
        <v>0</v>
      </c>
      <c r="AW143" s="74">
        <f t="shared" si="160"/>
        <v>0</v>
      </c>
      <c r="AX143" s="74">
        <f t="shared" si="160"/>
        <v>0</v>
      </c>
      <c r="AY143" s="74">
        <f t="shared" si="160"/>
        <v>0</v>
      </c>
      <c r="AZ143" s="74">
        <f t="shared" si="160"/>
        <v>0</v>
      </c>
      <c r="BA143" s="74">
        <f t="shared" si="160"/>
        <v>0</v>
      </c>
      <c r="BB143" s="74">
        <f t="shared" si="160"/>
        <v>0</v>
      </c>
      <c r="BC143" s="74">
        <f t="shared" si="160"/>
        <v>0</v>
      </c>
      <c r="BD143" s="74">
        <f t="shared" si="160"/>
        <v>0</v>
      </c>
      <c r="BE143" s="74">
        <f t="shared" si="160"/>
        <v>0</v>
      </c>
    </row>
    <row r="144" spans="1:57" ht="13.5" customHeight="1">
      <c r="A144" s="619">
        <v>5</v>
      </c>
      <c r="B144" s="253"/>
      <c r="C144" s="258" t="s">
        <v>202</v>
      </c>
      <c r="D144" s="77" t="s">
        <v>201</v>
      </c>
      <c r="E144" s="376">
        <v>20</v>
      </c>
      <c r="F144" s="376">
        <v>20</v>
      </c>
      <c r="G144" s="376">
        <v>20</v>
      </c>
      <c r="H144" s="376">
        <v>20</v>
      </c>
      <c r="I144" s="376">
        <v>20</v>
      </c>
      <c r="J144" s="376">
        <v>20</v>
      </c>
      <c r="K144" s="376">
        <v>20</v>
      </c>
      <c r="L144" s="376">
        <v>20</v>
      </c>
      <c r="M144" s="376">
        <v>20</v>
      </c>
      <c r="N144" s="376">
        <v>20</v>
      </c>
      <c r="O144" s="376">
        <v>20</v>
      </c>
      <c r="P144" s="376">
        <v>20</v>
      </c>
      <c r="Q144" s="376">
        <v>20</v>
      </c>
      <c r="R144" s="376">
        <v>20</v>
      </c>
      <c r="S144" s="376">
        <v>20</v>
      </c>
      <c r="T144" s="376">
        <v>20</v>
      </c>
      <c r="U144" s="376">
        <v>20</v>
      </c>
      <c r="V144" s="376">
        <v>20</v>
      </c>
      <c r="W144" s="376">
        <v>20</v>
      </c>
      <c r="X144" s="376">
        <v>20</v>
      </c>
      <c r="Y144" s="376">
        <v>20</v>
      </c>
      <c r="Z144" s="376">
        <v>20</v>
      </c>
      <c r="AA144" s="376">
        <v>20</v>
      </c>
      <c r="AB144" s="376">
        <v>20</v>
      </c>
      <c r="AC144" s="376">
        <v>20</v>
      </c>
      <c r="AD144" s="376">
        <v>20</v>
      </c>
      <c r="AE144" s="376">
        <v>20</v>
      </c>
      <c r="AF144" s="376">
        <v>20</v>
      </c>
      <c r="AG144" s="376">
        <v>20</v>
      </c>
      <c r="AH144" s="376">
        <v>20</v>
      </c>
      <c r="AI144" s="376">
        <v>20</v>
      </c>
      <c r="AJ144" s="376">
        <v>20</v>
      </c>
      <c r="AK144" s="69">
        <v>20</v>
      </c>
      <c r="AL144" s="74">
        <f t="shared" ref="AL144:BE144" si="161">AK144</f>
        <v>20</v>
      </c>
      <c r="AM144" s="74">
        <f t="shared" si="161"/>
        <v>20</v>
      </c>
      <c r="AN144" s="74">
        <f t="shared" si="161"/>
        <v>20</v>
      </c>
      <c r="AO144" s="74">
        <f t="shared" si="161"/>
        <v>20</v>
      </c>
      <c r="AP144" s="74">
        <f t="shared" si="161"/>
        <v>20</v>
      </c>
      <c r="AQ144" s="74">
        <f t="shared" si="161"/>
        <v>20</v>
      </c>
      <c r="AR144" s="74">
        <f t="shared" si="161"/>
        <v>20</v>
      </c>
      <c r="AS144" s="74">
        <f t="shared" si="161"/>
        <v>20</v>
      </c>
      <c r="AT144" s="74">
        <f t="shared" si="161"/>
        <v>20</v>
      </c>
      <c r="AU144" s="74">
        <f t="shared" si="161"/>
        <v>20</v>
      </c>
      <c r="AV144" s="74">
        <f t="shared" si="161"/>
        <v>20</v>
      </c>
      <c r="AW144" s="74">
        <f t="shared" si="161"/>
        <v>20</v>
      </c>
      <c r="AX144" s="74">
        <f t="shared" si="161"/>
        <v>20</v>
      </c>
      <c r="AY144" s="74">
        <f t="shared" si="161"/>
        <v>20</v>
      </c>
      <c r="AZ144" s="74">
        <f t="shared" si="161"/>
        <v>20</v>
      </c>
      <c r="BA144" s="74">
        <f t="shared" si="161"/>
        <v>20</v>
      </c>
      <c r="BB144" s="74">
        <f t="shared" si="161"/>
        <v>20</v>
      </c>
      <c r="BC144" s="74">
        <f t="shared" si="161"/>
        <v>20</v>
      </c>
      <c r="BD144" s="74">
        <f t="shared" si="161"/>
        <v>20</v>
      </c>
      <c r="BE144" s="74">
        <f t="shared" si="161"/>
        <v>20</v>
      </c>
    </row>
    <row r="145" spans="1:57" ht="13.5" customHeight="1">
      <c r="A145" s="619"/>
      <c r="B145" s="253"/>
      <c r="C145" s="258"/>
      <c r="D145" s="92" t="s">
        <v>203</v>
      </c>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93"/>
      <c r="AL145" s="74">
        <f t="shared" ref="AL145:BE145" si="162">AK145</f>
        <v>0</v>
      </c>
      <c r="AM145" s="74">
        <f t="shared" si="162"/>
        <v>0</v>
      </c>
      <c r="AN145" s="74">
        <f t="shared" si="162"/>
        <v>0</v>
      </c>
      <c r="AO145" s="74">
        <f t="shared" si="162"/>
        <v>0</v>
      </c>
      <c r="AP145" s="74">
        <f t="shared" si="162"/>
        <v>0</v>
      </c>
      <c r="AQ145" s="74">
        <f t="shared" si="162"/>
        <v>0</v>
      </c>
      <c r="AR145" s="74">
        <f t="shared" si="162"/>
        <v>0</v>
      </c>
      <c r="AS145" s="74">
        <f t="shared" si="162"/>
        <v>0</v>
      </c>
      <c r="AT145" s="74">
        <f t="shared" si="162"/>
        <v>0</v>
      </c>
      <c r="AU145" s="74">
        <f t="shared" si="162"/>
        <v>0</v>
      </c>
      <c r="AV145" s="74">
        <f t="shared" si="162"/>
        <v>0</v>
      </c>
      <c r="AW145" s="74">
        <f t="shared" si="162"/>
        <v>0</v>
      </c>
      <c r="AX145" s="74">
        <f t="shared" si="162"/>
        <v>0</v>
      </c>
      <c r="AY145" s="74">
        <f t="shared" si="162"/>
        <v>0</v>
      </c>
      <c r="AZ145" s="74">
        <f t="shared" si="162"/>
        <v>0</v>
      </c>
      <c r="BA145" s="74">
        <f t="shared" si="162"/>
        <v>0</v>
      </c>
      <c r="BB145" s="74">
        <f t="shared" si="162"/>
        <v>0</v>
      </c>
      <c r="BC145" s="74">
        <f t="shared" si="162"/>
        <v>0</v>
      </c>
      <c r="BD145" s="74">
        <f t="shared" si="162"/>
        <v>0</v>
      </c>
      <c r="BE145" s="74">
        <f t="shared" si="162"/>
        <v>0</v>
      </c>
    </row>
    <row r="146" spans="1:57" ht="13.5" customHeight="1">
      <c r="A146" s="85">
        <v>4</v>
      </c>
      <c r="B146" s="253"/>
      <c r="C146" s="258" t="s">
        <v>204</v>
      </c>
      <c r="D146" s="83" t="s">
        <v>205</v>
      </c>
      <c r="E146" s="450">
        <v>20</v>
      </c>
      <c r="F146" s="450">
        <v>20</v>
      </c>
      <c r="G146" s="450">
        <v>20</v>
      </c>
      <c r="H146" s="450">
        <v>20</v>
      </c>
      <c r="I146" s="450">
        <v>20</v>
      </c>
      <c r="J146" s="450">
        <v>20</v>
      </c>
      <c r="K146" s="450">
        <v>20</v>
      </c>
      <c r="L146" s="450">
        <v>20</v>
      </c>
      <c r="M146" s="450">
        <v>20</v>
      </c>
      <c r="N146" s="450">
        <v>20</v>
      </c>
      <c r="O146" s="450">
        <v>20</v>
      </c>
      <c r="P146" s="450">
        <v>20</v>
      </c>
      <c r="Q146" s="450">
        <v>20</v>
      </c>
      <c r="R146" s="450">
        <v>20</v>
      </c>
      <c r="S146" s="450">
        <v>20</v>
      </c>
      <c r="T146" s="450">
        <v>20</v>
      </c>
      <c r="U146" s="450">
        <v>20</v>
      </c>
      <c r="V146" s="450">
        <v>20</v>
      </c>
      <c r="W146" s="450">
        <v>20</v>
      </c>
      <c r="X146" s="450">
        <v>20</v>
      </c>
      <c r="Y146" s="450">
        <v>20</v>
      </c>
      <c r="Z146" s="450">
        <v>20</v>
      </c>
      <c r="AA146" s="450">
        <v>20</v>
      </c>
      <c r="AB146" s="450">
        <v>20</v>
      </c>
      <c r="AC146" s="450">
        <v>20</v>
      </c>
      <c r="AD146" s="450">
        <v>20</v>
      </c>
      <c r="AE146" s="450">
        <v>20</v>
      </c>
      <c r="AF146" s="450">
        <v>20</v>
      </c>
      <c r="AG146" s="450">
        <v>20</v>
      </c>
      <c r="AH146" s="450">
        <v>20</v>
      </c>
      <c r="AI146" s="450">
        <v>20</v>
      </c>
      <c r="AJ146" s="450">
        <v>20</v>
      </c>
      <c r="AK146" s="84">
        <v>20</v>
      </c>
      <c r="AL146" s="74">
        <f t="shared" ref="AL146:BE146" si="163">AK146</f>
        <v>20</v>
      </c>
      <c r="AM146" s="74">
        <f t="shared" si="163"/>
        <v>20</v>
      </c>
      <c r="AN146" s="74">
        <f t="shared" si="163"/>
        <v>20</v>
      </c>
      <c r="AO146" s="74">
        <f t="shared" si="163"/>
        <v>20</v>
      </c>
      <c r="AP146" s="74">
        <f t="shared" si="163"/>
        <v>20</v>
      </c>
      <c r="AQ146" s="74">
        <f t="shared" si="163"/>
        <v>20</v>
      </c>
      <c r="AR146" s="74">
        <f t="shared" si="163"/>
        <v>20</v>
      </c>
      <c r="AS146" s="74">
        <f t="shared" si="163"/>
        <v>20</v>
      </c>
      <c r="AT146" s="74">
        <f t="shared" si="163"/>
        <v>20</v>
      </c>
      <c r="AU146" s="74">
        <f t="shared" si="163"/>
        <v>20</v>
      </c>
      <c r="AV146" s="74">
        <f t="shared" si="163"/>
        <v>20</v>
      </c>
      <c r="AW146" s="74">
        <f t="shared" si="163"/>
        <v>20</v>
      </c>
      <c r="AX146" s="74">
        <f t="shared" si="163"/>
        <v>20</v>
      </c>
      <c r="AY146" s="74">
        <f t="shared" si="163"/>
        <v>20</v>
      </c>
      <c r="AZ146" s="74">
        <f t="shared" si="163"/>
        <v>20</v>
      </c>
      <c r="BA146" s="74">
        <f t="shared" si="163"/>
        <v>20</v>
      </c>
      <c r="BB146" s="74">
        <f t="shared" si="163"/>
        <v>20</v>
      </c>
      <c r="BC146" s="74">
        <f t="shared" si="163"/>
        <v>20</v>
      </c>
      <c r="BD146" s="74">
        <f t="shared" si="163"/>
        <v>20</v>
      </c>
      <c r="BE146" s="74">
        <f t="shared" si="163"/>
        <v>20</v>
      </c>
    </row>
    <row r="147" spans="1:57" ht="13.5" customHeight="1">
      <c r="A147" s="619">
        <v>4</v>
      </c>
      <c r="B147" s="253"/>
      <c r="C147" s="258" t="s">
        <v>206</v>
      </c>
      <c r="D147" s="77" t="s">
        <v>201</v>
      </c>
      <c r="E147" s="376">
        <f t="shared" ref="E147:AK147" si="164">E113</f>
        <v>20</v>
      </c>
      <c r="F147" s="376">
        <f t="shared" si="164"/>
        <v>20</v>
      </c>
      <c r="G147" s="376">
        <f t="shared" si="164"/>
        <v>20</v>
      </c>
      <c r="H147" s="376">
        <f t="shared" si="164"/>
        <v>20</v>
      </c>
      <c r="I147" s="376">
        <f t="shared" si="164"/>
        <v>20</v>
      </c>
      <c r="J147" s="376">
        <f t="shared" si="164"/>
        <v>20</v>
      </c>
      <c r="K147" s="376">
        <f t="shared" si="164"/>
        <v>20</v>
      </c>
      <c r="L147" s="376">
        <f t="shared" si="164"/>
        <v>20</v>
      </c>
      <c r="M147" s="376">
        <f t="shared" si="164"/>
        <v>20</v>
      </c>
      <c r="N147" s="376">
        <f t="shared" si="164"/>
        <v>20</v>
      </c>
      <c r="O147" s="376">
        <f t="shared" si="164"/>
        <v>20</v>
      </c>
      <c r="P147" s="376">
        <f t="shared" si="164"/>
        <v>20</v>
      </c>
      <c r="Q147" s="376">
        <f t="shared" si="164"/>
        <v>20</v>
      </c>
      <c r="R147" s="376">
        <f t="shared" si="164"/>
        <v>20</v>
      </c>
      <c r="S147" s="376">
        <f t="shared" si="164"/>
        <v>20</v>
      </c>
      <c r="T147" s="376">
        <f t="shared" si="164"/>
        <v>20</v>
      </c>
      <c r="U147" s="376">
        <f t="shared" si="164"/>
        <v>20</v>
      </c>
      <c r="V147" s="376">
        <f t="shared" si="164"/>
        <v>20</v>
      </c>
      <c r="W147" s="376">
        <f t="shared" si="164"/>
        <v>20</v>
      </c>
      <c r="X147" s="376">
        <f t="shared" si="164"/>
        <v>20</v>
      </c>
      <c r="Y147" s="376">
        <f t="shared" si="164"/>
        <v>20</v>
      </c>
      <c r="Z147" s="376">
        <f t="shared" si="164"/>
        <v>20</v>
      </c>
      <c r="AA147" s="376">
        <f t="shared" si="164"/>
        <v>20</v>
      </c>
      <c r="AB147" s="376">
        <f t="shared" si="164"/>
        <v>20</v>
      </c>
      <c r="AC147" s="376">
        <f t="shared" si="164"/>
        <v>20</v>
      </c>
      <c r="AD147" s="376">
        <f t="shared" si="164"/>
        <v>20</v>
      </c>
      <c r="AE147" s="376">
        <f t="shared" si="164"/>
        <v>20</v>
      </c>
      <c r="AF147" s="376">
        <f t="shared" si="164"/>
        <v>20</v>
      </c>
      <c r="AG147" s="376">
        <f t="shared" si="164"/>
        <v>20</v>
      </c>
      <c r="AH147" s="376">
        <f t="shared" si="164"/>
        <v>20</v>
      </c>
      <c r="AI147" s="376">
        <f t="shared" si="164"/>
        <v>20</v>
      </c>
      <c r="AJ147" s="376">
        <f t="shared" si="164"/>
        <v>20</v>
      </c>
      <c r="AK147" s="69">
        <f t="shared" si="164"/>
        <v>20</v>
      </c>
      <c r="AL147" s="74">
        <f t="shared" ref="AL147:BE147" si="165">AK147</f>
        <v>20</v>
      </c>
      <c r="AM147" s="74">
        <f t="shared" si="165"/>
        <v>20</v>
      </c>
      <c r="AN147" s="74">
        <f t="shared" si="165"/>
        <v>20</v>
      </c>
      <c r="AO147" s="74">
        <f t="shared" si="165"/>
        <v>20</v>
      </c>
      <c r="AP147" s="74">
        <f t="shared" si="165"/>
        <v>20</v>
      </c>
      <c r="AQ147" s="74">
        <f t="shared" si="165"/>
        <v>20</v>
      </c>
      <c r="AR147" s="74">
        <f t="shared" si="165"/>
        <v>20</v>
      </c>
      <c r="AS147" s="74">
        <f t="shared" si="165"/>
        <v>20</v>
      </c>
      <c r="AT147" s="74">
        <f t="shared" si="165"/>
        <v>20</v>
      </c>
      <c r="AU147" s="74">
        <f t="shared" si="165"/>
        <v>20</v>
      </c>
      <c r="AV147" s="74">
        <f t="shared" si="165"/>
        <v>20</v>
      </c>
      <c r="AW147" s="74">
        <f t="shared" si="165"/>
        <v>20</v>
      </c>
      <c r="AX147" s="74">
        <f t="shared" si="165"/>
        <v>20</v>
      </c>
      <c r="AY147" s="74">
        <f t="shared" si="165"/>
        <v>20</v>
      </c>
      <c r="AZ147" s="74">
        <f t="shared" si="165"/>
        <v>20</v>
      </c>
      <c r="BA147" s="74">
        <f t="shared" si="165"/>
        <v>20</v>
      </c>
      <c r="BB147" s="74">
        <f t="shared" si="165"/>
        <v>20</v>
      </c>
      <c r="BC147" s="74">
        <f t="shared" si="165"/>
        <v>20</v>
      </c>
      <c r="BD147" s="74">
        <f t="shared" si="165"/>
        <v>20</v>
      </c>
      <c r="BE147" s="74">
        <f t="shared" si="165"/>
        <v>20</v>
      </c>
    </row>
    <row r="148" spans="1:57" ht="13.5" customHeight="1">
      <c r="A148" s="619">
        <v>4</v>
      </c>
      <c r="B148" s="253"/>
      <c r="C148" s="258" t="s">
        <v>207</v>
      </c>
      <c r="D148" s="77" t="s">
        <v>208</v>
      </c>
      <c r="E148" s="376">
        <f t="shared" ref="E148:AK148" si="166">E114</f>
        <v>20</v>
      </c>
      <c r="F148" s="376">
        <f t="shared" si="166"/>
        <v>20</v>
      </c>
      <c r="G148" s="376">
        <f t="shared" si="166"/>
        <v>20</v>
      </c>
      <c r="H148" s="376">
        <f t="shared" si="166"/>
        <v>20</v>
      </c>
      <c r="I148" s="376">
        <f t="shared" si="166"/>
        <v>20</v>
      </c>
      <c r="J148" s="376">
        <f t="shared" si="166"/>
        <v>20</v>
      </c>
      <c r="K148" s="376">
        <f t="shared" si="166"/>
        <v>20</v>
      </c>
      <c r="L148" s="376">
        <f t="shared" si="166"/>
        <v>20</v>
      </c>
      <c r="M148" s="376">
        <f t="shared" si="166"/>
        <v>20</v>
      </c>
      <c r="N148" s="376">
        <f t="shared" si="166"/>
        <v>20</v>
      </c>
      <c r="O148" s="376">
        <f t="shared" si="166"/>
        <v>20</v>
      </c>
      <c r="P148" s="376">
        <f t="shared" si="166"/>
        <v>20</v>
      </c>
      <c r="Q148" s="376">
        <f t="shared" si="166"/>
        <v>20</v>
      </c>
      <c r="R148" s="376">
        <f t="shared" si="166"/>
        <v>20</v>
      </c>
      <c r="S148" s="376">
        <f t="shared" si="166"/>
        <v>20</v>
      </c>
      <c r="T148" s="376">
        <f t="shared" si="166"/>
        <v>20</v>
      </c>
      <c r="U148" s="376">
        <f t="shared" si="166"/>
        <v>20</v>
      </c>
      <c r="V148" s="376">
        <f t="shared" si="166"/>
        <v>20</v>
      </c>
      <c r="W148" s="376">
        <f t="shared" si="166"/>
        <v>20</v>
      </c>
      <c r="X148" s="376">
        <f t="shared" si="166"/>
        <v>20</v>
      </c>
      <c r="Y148" s="376">
        <f t="shared" si="166"/>
        <v>20</v>
      </c>
      <c r="Z148" s="376">
        <f t="shared" si="166"/>
        <v>20</v>
      </c>
      <c r="AA148" s="376">
        <f t="shared" si="166"/>
        <v>20</v>
      </c>
      <c r="AB148" s="376">
        <f t="shared" si="166"/>
        <v>20</v>
      </c>
      <c r="AC148" s="376">
        <f t="shared" si="166"/>
        <v>20</v>
      </c>
      <c r="AD148" s="376">
        <f t="shared" si="166"/>
        <v>20</v>
      </c>
      <c r="AE148" s="376">
        <f t="shared" si="166"/>
        <v>20</v>
      </c>
      <c r="AF148" s="376">
        <f t="shared" si="166"/>
        <v>20</v>
      </c>
      <c r="AG148" s="376">
        <f t="shared" si="166"/>
        <v>20</v>
      </c>
      <c r="AH148" s="376">
        <f t="shared" si="166"/>
        <v>20</v>
      </c>
      <c r="AI148" s="376">
        <f t="shared" si="166"/>
        <v>20</v>
      </c>
      <c r="AJ148" s="376">
        <f t="shared" si="166"/>
        <v>20</v>
      </c>
      <c r="AK148" s="69">
        <f t="shared" si="166"/>
        <v>20</v>
      </c>
      <c r="AL148" s="74">
        <f t="shared" ref="AL148:BE148" si="167">AK148</f>
        <v>20</v>
      </c>
      <c r="AM148" s="74">
        <f t="shared" si="167"/>
        <v>20</v>
      </c>
      <c r="AN148" s="74">
        <f t="shared" si="167"/>
        <v>20</v>
      </c>
      <c r="AO148" s="74">
        <f t="shared" si="167"/>
        <v>20</v>
      </c>
      <c r="AP148" s="74">
        <f t="shared" si="167"/>
        <v>20</v>
      </c>
      <c r="AQ148" s="74">
        <f t="shared" si="167"/>
        <v>20</v>
      </c>
      <c r="AR148" s="74">
        <f t="shared" si="167"/>
        <v>20</v>
      </c>
      <c r="AS148" s="74">
        <f t="shared" si="167"/>
        <v>20</v>
      </c>
      <c r="AT148" s="74">
        <f t="shared" si="167"/>
        <v>20</v>
      </c>
      <c r="AU148" s="74">
        <f t="shared" si="167"/>
        <v>20</v>
      </c>
      <c r="AV148" s="74">
        <f t="shared" si="167"/>
        <v>20</v>
      </c>
      <c r="AW148" s="74">
        <f t="shared" si="167"/>
        <v>20</v>
      </c>
      <c r="AX148" s="74">
        <f t="shared" si="167"/>
        <v>20</v>
      </c>
      <c r="AY148" s="74">
        <f t="shared" si="167"/>
        <v>20</v>
      </c>
      <c r="AZ148" s="74">
        <f t="shared" si="167"/>
        <v>20</v>
      </c>
      <c r="BA148" s="74">
        <f t="shared" si="167"/>
        <v>20</v>
      </c>
      <c r="BB148" s="74">
        <f t="shared" si="167"/>
        <v>20</v>
      </c>
      <c r="BC148" s="74">
        <f t="shared" si="167"/>
        <v>20</v>
      </c>
      <c r="BD148" s="74">
        <f t="shared" si="167"/>
        <v>20</v>
      </c>
      <c r="BE148" s="74">
        <f t="shared" si="167"/>
        <v>20</v>
      </c>
    </row>
    <row r="149" spans="1:57" ht="13.5" customHeight="1">
      <c r="A149" s="85">
        <v>4</v>
      </c>
      <c r="B149" s="253"/>
      <c r="C149" s="258" t="s">
        <v>209</v>
      </c>
      <c r="D149" s="83" t="s">
        <v>210</v>
      </c>
      <c r="E149" s="450">
        <v>20</v>
      </c>
      <c r="F149" s="450">
        <v>20</v>
      </c>
      <c r="G149" s="450">
        <v>20</v>
      </c>
      <c r="H149" s="450">
        <v>20</v>
      </c>
      <c r="I149" s="450">
        <v>20</v>
      </c>
      <c r="J149" s="450">
        <v>20</v>
      </c>
      <c r="K149" s="450">
        <v>20</v>
      </c>
      <c r="L149" s="450">
        <v>20</v>
      </c>
      <c r="M149" s="450">
        <v>20</v>
      </c>
      <c r="N149" s="450">
        <v>20</v>
      </c>
      <c r="O149" s="450">
        <v>20</v>
      </c>
      <c r="P149" s="450">
        <v>20</v>
      </c>
      <c r="Q149" s="450">
        <v>20</v>
      </c>
      <c r="R149" s="450">
        <v>20</v>
      </c>
      <c r="S149" s="450">
        <v>20</v>
      </c>
      <c r="T149" s="450">
        <v>20</v>
      </c>
      <c r="U149" s="450">
        <v>20</v>
      </c>
      <c r="V149" s="450">
        <v>20</v>
      </c>
      <c r="W149" s="450">
        <v>20</v>
      </c>
      <c r="X149" s="450">
        <v>20</v>
      </c>
      <c r="Y149" s="450">
        <v>20</v>
      </c>
      <c r="Z149" s="450">
        <v>20</v>
      </c>
      <c r="AA149" s="450">
        <v>20</v>
      </c>
      <c r="AB149" s="450">
        <v>20</v>
      </c>
      <c r="AC149" s="450">
        <v>20</v>
      </c>
      <c r="AD149" s="450">
        <v>20</v>
      </c>
      <c r="AE149" s="450">
        <v>20</v>
      </c>
      <c r="AF149" s="450">
        <v>20</v>
      </c>
      <c r="AG149" s="450">
        <v>20</v>
      </c>
      <c r="AH149" s="450">
        <v>20</v>
      </c>
      <c r="AI149" s="450">
        <v>20</v>
      </c>
      <c r="AJ149" s="450">
        <v>20</v>
      </c>
      <c r="AK149" s="84">
        <v>20</v>
      </c>
      <c r="AL149" s="74">
        <f t="shared" ref="AL149:BE149" si="168">AK149</f>
        <v>20</v>
      </c>
      <c r="AM149" s="74">
        <f t="shared" si="168"/>
        <v>20</v>
      </c>
      <c r="AN149" s="74">
        <f t="shared" si="168"/>
        <v>20</v>
      </c>
      <c r="AO149" s="74">
        <f t="shared" si="168"/>
        <v>20</v>
      </c>
      <c r="AP149" s="74">
        <f t="shared" si="168"/>
        <v>20</v>
      </c>
      <c r="AQ149" s="74">
        <f t="shared" si="168"/>
        <v>20</v>
      </c>
      <c r="AR149" s="74">
        <f t="shared" si="168"/>
        <v>20</v>
      </c>
      <c r="AS149" s="74">
        <f t="shared" si="168"/>
        <v>20</v>
      </c>
      <c r="AT149" s="74">
        <f t="shared" si="168"/>
        <v>20</v>
      </c>
      <c r="AU149" s="74">
        <f t="shared" si="168"/>
        <v>20</v>
      </c>
      <c r="AV149" s="74">
        <f t="shared" si="168"/>
        <v>20</v>
      </c>
      <c r="AW149" s="74">
        <f t="shared" si="168"/>
        <v>20</v>
      </c>
      <c r="AX149" s="74">
        <f t="shared" si="168"/>
        <v>20</v>
      </c>
      <c r="AY149" s="74">
        <f t="shared" si="168"/>
        <v>20</v>
      </c>
      <c r="AZ149" s="74">
        <f t="shared" si="168"/>
        <v>20</v>
      </c>
      <c r="BA149" s="74">
        <f t="shared" si="168"/>
        <v>20</v>
      </c>
      <c r="BB149" s="74">
        <f t="shared" si="168"/>
        <v>20</v>
      </c>
      <c r="BC149" s="74">
        <f t="shared" si="168"/>
        <v>20</v>
      </c>
      <c r="BD149" s="74">
        <f t="shared" si="168"/>
        <v>20</v>
      </c>
      <c r="BE149" s="74">
        <f t="shared" si="168"/>
        <v>20</v>
      </c>
    </row>
    <row r="150" spans="1:57" ht="13.5" customHeight="1">
      <c r="A150" s="619"/>
      <c r="B150" s="253"/>
      <c r="C150" s="258"/>
      <c r="D150" s="75" t="s">
        <v>153</v>
      </c>
      <c r="E150" s="447"/>
      <c r="F150" s="447"/>
      <c r="G150" s="447"/>
      <c r="H150" s="447"/>
      <c r="I150" s="447"/>
      <c r="J150" s="447"/>
      <c r="K150" s="447"/>
      <c r="L150" s="447"/>
      <c r="M150" s="447"/>
      <c r="N150" s="447"/>
      <c r="O150" s="447"/>
      <c r="P150" s="447"/>
      <c r="Q150" s="447"/>
      <c r="R150" s="447"/>
      <c r="S150" s="447"/>
      <c r="T150" s="447"/>
      <c r="U150" s="447"/>
      <c r="V150" s="447"/>
      <c r="W150" s="447"/>
      <c r="X150" s="447"/>
      <c r="Y150" s="447"/>
      <c r="Z150" s="447"/>
      <c r="AA150" s="447"/>
      <c r="AB150" s="447"/>
      <c r="AC150" s="447"/>
      <c r="AD150" s="447"/>
      <c r="AE150" s="447"/>
      <c r="AF150" s="447"/>
      <c r="AG150" s="447"/>
      <c r="AH150" s="447"/>
      <c r="AI150" s="447"/>
      <c r="AJ150" s="447"/>
      <c r="AK150" s="76"/>
      <c r="AL150" s="74">
        <f t="shared" ref="AL150:BE150" si="169">AK150</f>
        <v>0</v>
      </c>
      <c r="AM150" s="74">
        <f t="shared" si="169"/>
        <v>0</v>
      </c>
      <c r="AN150" s="74">
        <f t="shared" si="169"/>
        <v>0</v>
      </c>
      <c r="AO150" s="74">
        <f t="shared" si="169"/>
        <v>0</v>
      </c>
      <c r="AP150" s="74">
        <f t="shared" si="169"/>
        <v>0</v>
      </c>
      <c r="AQ150" s="74">
        <f t="shared" si="169"/>
        <v>0</v>
      </c>
      <c r="AR150" s="74">
        <f t="shared" si="169"/>
        <v>0</v>
      </c>
      <c r="AS150" s="74">
        <f t="shared" si="169"/>
        <v>0</v>
      </c>
      <c r="AT150" s="74">
        <f t="shared" si="169"/>
        <v>0</v>
      </c>
      <c r="AU150" s="74">
        <f t="shared" si="169"/>
        <v>0</v>
      </c>
      <c r="AV150" s="74">
        <f t="shared" si="169"/>
        <v>0</v>
      </c>
      <c r="AW150" s="74">
        <f t="shared" si="169"/>
        <v>0</v>
      </c>
      <c r="AX150" s="74">
        <f t="shared" si="169"/>
        <v>0</v>
      </c>
      <c r="AY150" s="74">
        <f t="shared" si="169"/>
        <v>0</v>
      </c>
      <c r="AZ150" s="74">
        <f t="shared" si="169"/>
        <v>0</v>
      </c>
      <c r="BA150" s="74">
        <f t="shared" si="169"/>
        <v>0</v>
      </c>
      <c r="BB150" s="74">
        <f t="shared" si="169"/>
        <v>0</v>
      </c>
      <c r="BC150" s="74">
        <f t="shared" si="169"/>
        <v>0</v>
      </c>
      <c r="BD150" s="74">
        <f t="shared" si="169"/>
        <v>0</v>
      </c>
      <c r="BE150" s="74">
        <f t="shared" si="169"/>
        <v>0</v>
      </c>
    </row>
    <row r="151" spans="1:57" ht="13.5" customHeight="1">
      <c r="A151" s="619"/>
      <c r="B151" s="253"/>
      <c r="C151" s="258"/>
      <c r="D151" s="92" t="s">
        <v>203</v>
      </c>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93"/>
      <c r="AL151" s="74">
        <f t="shared" ref="AL151:BE151" si="170">AK151</f>
        <v>0</v>
      </c>
      <c r="AM151" s="74">
        <f t="shared" si="170"/>
        <v>0</v>
      </c>
      <c r="AN151" s="74">
        <f t="shared" si="170"/>
        <v>0</v>
      </c>
      <c r="AO151" s="74">
        <f t="shared" si="170"/>
        <v>0</v>
      </c>
      <c r="AP151" s="74">
        <f t="shared" si="170"/>
        <v>0</v>
      </c>
      <c r="AQ151" s="74">
        <f t="shared" si="170"/>
        <v>0</v>
      </c>
      <c r="AR151" s="74">
        <f t="shared" si="170"/>
        <v>0</v>
      </c>
      <c r="AS151" s="74">
        <f t="shared" si="170"/>
        <v>0</v>
      </c>
      <c r="AT151" s="74">
        <f t="shared" si="170"/>
        <v>0</v>
      </c>
      <c r="AU151" s="74">
        <f t="shared" si="170"/>
        <v>0</v>
      </c>
      <c r="AV151" s="74">
        <f t="shared" si="170"/>
        <v>0</v>
      </c>
      <c r="AW151" s="74">
        <f t="shared" si="170"/>
        <v>0</v>
      </c>
      <c r="AX151" s="74">
        <f t="shared" si="170"/>
        <v>0</v>
      </c>
      <c r="AY151" s="74">
        <f t="shared" si="170"/>
        <v>0</v>
      </c>
      <c r="AZ151" s="74">
        <f t="shared" si="170"/>
        <v>0</v>
      </c>
      <c r="BA151" s="74">
        <f t="shared" si="170"/>
        <v>0</v>
      </c>
      <c r="BB151" s="74">
        <f t="shared" si="170"/>
        <v>0</v>
      </c>
      <c r="BC151" s="74">
        <f t="shared" si="170"/>
        <v>0</v>
      </c>
      <c r="BD151" s="74">
        <f t="shared" si="170"/>
        <v>0</v>
      </c>
      <c r="BE151" s="74">
        <f t="shared" si="170"/>
        <v>0</v>
      </c>
    </row>
    <row r="152" spans="1:57" ht="13.5" customHeight="1">
      <c r="A152" s="85">
        <v>4</v>
      </c>
      <c r="B152" s="253"/>
      <c r="C152" s="258" t="s">
        <v>211</v>
      </c>
      <c r="D152" s="83" t="s">
        <v>201</v>
      </c>
      <c r="E152" s="450">
        <f t="shared" ref="E152:AK152" si="171">E118</f>
        <v>21.7</v>
      </c>
      <c r="F152" s="450">
        <f t="shared" si="171"/>
        <v>21.7</v>
      </c>
      <c r="G152" s="450">
        <f t="shared" si="171"/>
        <v>21.7</v>
      </c>
      <c r="H152" s="450">
        <f t="shared" si="171"/>
        <v>21.7</v>
      </c>
      <c r="I152" s="450">
        <f t="shared" si="171"/>
        <v>21.7</v>
      </c>
      <c r="J152" s="450">
        <f t="shared" si="171"/>
        <v>21.7</v>
      </c>
      <c r="K152" s="450">
        <f t="shared" si="171"/>
        <v>21.7</v>
      </c>
      <c r="L152" s="450">
        <f t="shared" si="171"/>
        <v>21.7</v>
      </c>
      <c r="M152" s="450">
        <f t="shared" si="171"/>
        <v>21.7</v>
      </c>
      <c r="N152" s="450">
        <f t="shared" si="171"/>
        <v>21.7</v>
      </c>
      <c r="O152" s="450">
        <f t="shared" si="171"/>
        <v>21.7</v>
      </c>
      <c r="P152" s="450">
        <f t="shared" si="171"/>
        <v>21.7</v>
      </c>
      <c r="Q152" s="450">
        <f t="shared" si="171"/>
        <v>21.7</v>
      </c>
      <c r="R152" s="450">
        <f t="shared" si="171"/>
        <v>21.7</v>
      </c>
      <c r="S152" s="450">
        <f t="shared" si="171"/>
        <v>21.7</v>
      </c>
      <c r="T152" s="450">
        <f t="shared" si="171"/>
        <v>21.7</v>
      </c>
      <c r="U152" s="450">
        <f t="shared" si="171"/>
        <v>21.7</v>
      </c>
      <c r="V152" s="450">
        <f t="shared" si="171"/>
        <v>21.7</v>
      </c>
      <c r="W152" s="450">
        <f t="shared" si="171"/>
        <v>21.7</v>
      </c>
      <c r="X152" s="450">
        <f t="shared" si="171"/>
        <v>21.7</v>
      </c>
      <c r="Y152" s="450">
        <f t="shared" si="171"/>
        <v>21.7</v>
      </c>
      <c r="Z152" s="450">
        <f t="shared" si="171"/>
        <v>21.7</v>
      </c>
      <c r="AA152" s="450">
        <f t="shared" si="171"/>
        <v>21.7</v>
      </c>
      <c r="AB152" s="450">
        <f t="shared" si="171"/>
        <v>21.7</v>
      </c>
      <c r="AC152" s="450">
        <f t="shared" si="171"/>
        <v>21.7</v>
      </c>
      <c r="AD152" s="450">
        <f t="shared" si="171"/>
        <v>21.7</v>
      </c>
      <c r="AE152" s="450">
        <f t="shared" si="171"/>
        <v>21.7</v>
      </c>
      <c r="AF152" s="450">
        <f t="shared" si="171"/>
        <v>21.7</v>
      </c>
      <c r="AG152" s="450">
        <f t="shared" si="171"/>
        <v>21.7</v>
      </c>
      <c r="AH152" s="450">
        <f t="shared" si="171"/>
        <v>21.7</v>
      </c>
      <c r="AI152" s="450">
        <f t="shared" si="171"/>
        <v>21.7</v>
      </c>
      <c r="AJ152" s="450">
        <f t="shared" si="171"/>
        <v>21.7</v>
      </c>
      <c r="AK152" s="84">
        <f t="shared" si="171"/>
        <v>21.7</v>
      </c>
      <c r="AL152" s="74">
        <f t="shared" ref="AL152:BE152" si="172">AK152</f>
        <v>21.7</v>
      </c>
      <c r="AM152" s="74">
        <f t="shared" si="172"/>
        <v>21.7</v>
      </c>
      <c r="AN152" s="74">
        <f t="shared" si="172"/>
        <v>21.7</v>
      </c>
      <c r="AO152" s="74">
        <f t="shared" si="172"/>
        <v>21.7</v>
      </c>
      <c r="AP152" s="74">
        <f t="shared" si="172"/>
        <v>21.7</v>
      </c>
      <c r="AQ152" s="74">
        <f t="shared" si="172"/>
        <v>21.7</v>
      </c>
      <c r="AR152" s="74">
        <f t="shared" si="172"/>
        <v>21.7</v>
      </c>
      <c r="AS152" s="74">
        <f t="shared" si="172"/>
        <v>21.7</v>
      </c>
      <c r="AT152" s="74">
        <f t="shared" si="172"/>
        <v>21.7</v>
      </c>
      <c r="AU152" s="74">
        <f t="shared" si="172"/>
        <v>21.7</v>
      </c>
      <c r="AV152" s="74">
        <f t="shared" si="172"/>
        <v>21.7</v>
      </c>
      <c r="AW152" s="74">
        <f t="shared" si="172"/>
        <v>21.7</v>
      </c>
      <c r="AX152" s="74">
        <f t="shared" si="172"/>
        <v>21.7</v>
      </c>
      <c r="AY152" s="74">
        <f t="shared" si="172"/>
        <v>21.7</v>
      </c>
      <c r="AZ152" s="74">
        <f t="shared" si="172"/>
        <v>21.7</v>
      </c>
      <c r="BA152" s="74">
        <f t="shared" si="172"/>
        <v>21.7</v>
      </c>
      <c r="BB152" s="74">
        <f t="shared" si="172"/>
        <v>21.7</v>
      </c>
      <c r="BC152" s="74">
        <f t="shared" si="172"/>
        <v>21.7</v>
      </c>
      <c r="BD152" s="74">
        <f t="shared" si="172"/>
        <v>21.7</v>
      </c>
      <c r="BE152" s="74">
        <f t="shared" si="172"/>
        <v>21.7</v>
      </c>
    </row>
    <row r="153" spans="1:57" ht="13.5" customHeight="1">
      <c r="A153" s="619">
        <v>4</v>
      </c>
      <c r="B153" s="253"/>
      <c r="C153" s="258" t="s">
        <v>212</v>
      </c>
      <c r="D153" s="77" t="s">
        <v>210</v>
      </c>
      <c r="E153" s="376">
        <f t="shared" ref="E153:AK153" si="173">E119</f>
        <v>23.8</v>
      </c>
      <c r="F153" s="376">
        <f t="shared" si="173"/>
        <v>23.8</v>
      </c>
      <c r="G153" s="376">
        <f t="shared" si="173"/>
        <v>20</v>
      </c>
      <c r="H153" s="376">
        <f t="shared" si="173"/>
        <v>20</v>
      </c>
      <c r="I153" s="376">
        <f t="shared" si="173"/>
        <v>20</v>
      </c>
      <c r="J153" s="376">
        <f t="shared" si="173"/>
        <v>20</v>
      </c>
      <c r="K153" s="376">
        <f t="shared" si="173"/>
        <v>20</v>
      </c>
      <c r="L153" s="376">
        <f t="shared" si="173"/>
        <v>19.829999999999998</v>
      </c>
      <c r="M153" s="376">
        <f t="shared" si="173"/>
        <v>19.829999999999998</v>
      </c>
      <c r="N153" s="376">
        <f t="shared" si="173"/>
        <v>19.829999999999998</v>
      </c>
      <c r="O153" s="376">
        <f t="shared" si="173"/>
        <v>19.829999999999998</v>
      </c>
      <c r="P153" s="376">
        <f t="shared" si="173"/>
        <v>19.829999999999998</v>
      </c>
      <c r="Q153" s="376">
        <f t="shared" si="173"/>
        <v>19.66</v>
      </c>
      <c r="R153" s="376">
        <f t="shared" si="173"/>
        <v>19.66</v>
      </c>
      <c r="S153" s="376">
        <f t="shared" si="173"/>
        <v>19.66</v>
      </c>
      <c r="T153" s="376">
        <f t="shared" si="173"/>
        <v>19.66</v>
      </c>
      <c r="U153" s="376">
        <f t="shared" si="173"/>
        <v>19.66</v>
      </c>
      <c r="V153" s="376">
        <f t="shared" si="173"/>
        <v>19.309999999999999</v>
      </c>
      <c r="W153" s="376">
        <f t="shared" si="173"/>
        <v>19.309999999999999</v>
      </c>
      <c r="X153" s="376">
        <f t="shared" si="173"/>
        <v>19.309999999999999</v>
      </c>
      <c r="Y153" s="376">
        <f t="shared" si="173"/>
        <v>19.309999999999999</v>
      </c>
      <c r="Z153" s="376">
        <f t="shared" si="173"/>
        <v>19.309999999999999</v>
      </c>
      <c r="AA153" s="376">
        <f t="shared" si="173"/>
        <v>18.96</v>
      </c>
      <c r="AB153" s="376">
        <f t="shared" si="173"/>
        <v>18.96</v>
      </c>
      <c r="AC153" s="376">
        <f t="shared" si="173"/>
        <v>18.96</v>
      </c>
      <c r="AD153" s="376">
        <f t="shared" si="173"/>
        <v>18.96</v>
      </c>
      <c r="AE153" s="376">
        <f t="shared" si="173"/>
        <v>18.96</v>
      </c>
      <c r="AF153" s="376">
        <f t="shared" si="173"/>
        <v>18.61</v>
      </c>
      <c r="AG153" s="376">
        <f t="shared" si="173"/>
        <v>18.61</v>
      </c>
      <c r="AH153" s="376">
        <f t="shared" si="173"/>
        <v>18.61</v>
      </c>
      <c r="AI153" s="376">
        <f t="shared" si="173"/>
        <v>18.61</v>
      </c>
      <c r="AJ153" s="376">
        <f t="shared" si="173"/>
        <v>18.61</v>
      </c>
      <c r="AK153" s="69">
        <f t="shared" si="173"/>
        <v>18.260000000000002</v>
      </c>
      <c r="AL153" s="74">
        <f t="shared" ref="AL153:BE153" si="174">AK153</f>
        <v>18.260000000000002</v>
      </c>
      <c r="AM153" s="74">
        <f t="shared" si="174"/>
        <v>18.260000000000002</v>
      </c>
      <c r="AN153" s="74">
        <f t="shared" si="174"/>
        <v>18.260000000000002</v>
      </c>
      <c r="AO153" s="74">
        <f t="shared" si="174"/>
        <v>18.260000000000002</v>
      </c>
      <c r="AP153" s="74">
        <f t="shared" si="174"/>
        <v>18.260000000000002</v>
      </c>
      <c r="AQ153" s="74">
        <f t="shared" si="174"/>
        <v>18.260000000000002</v>
      </c>
      <c r="AR153" s="74">
        <f t="shared" si="174"/>
        <v>18.260000000000002</v>
      </c>
      <c r="AS153" s="74">
        <f t="shared" si="174"/>
        <v>18.260000000000002</v>
      </c>
      <c r="AT153" s="74">
        <f t="shared" si="174"/>
        <v>18.260000000000002</v>
      </c>
      <c r="AU153" s="74">
        <f t="shared" si="174"/>
        <v>18.260000000000002</v>
      </c>
      <c r="AV153" s="74">
        <f t="shared" si="174"/>
        <v>18.260000000000002</v>
      </c>
      <c r="AW153" s="74">
        <f t="shared" si="174"/>
        <v>18.260000000000002</v>
      </c>
      <c r="AX153" s="74">
        <f t="shared" si="174"/>
        <v>18.260000000000002</v>
      </c>
      <c r="AY153" s="74">
        <f t="shared" si="174"/>
        <v>18.260000000000002</v>
      </c>
      <c r="AZ153" s="74">
        <f t="shared" si="174"/>
        <v>18.260000000000002</v>
      </c>
      <c r="BA153" s="74">
        <f t="shared" si="174"/>
        <v>18.260000000000002</v>
      </c>
      <c r="BB153" s="74">
        <f t="shared" si="174"/>
        <v>18.260000000000002</v>
      </c>
      <c r="BC153" s="74">
        <f t="shared" si="174"/>
        <v>18.260000000000002</v>
      </c>
      <c r="BD153" s="74">
        <f t="shared" si="174"/>
        <v>18.260000000000002</v>
      </c>
      <c r="BE153" s="74">
        <f t="shared" si="174"/>
        <v>18.260000000000002</v>
      </c>
    </row>
    <row r="154" spans="1:57" ht="13.5" customHeight="1">
      <c r="A154" s="85">
        <v>4</v>
      </c>
      <c r="B154" s="253"/>
      <c r="C154" s="258" t="s">
        <v>213</v>
      </c>
      <c r="D154" s="83" t="s">
        <v>205</v>
      </c>
      <c r="E154" s="450">
        <v>21.7</v>
      </c>
      <c r="F154" s="450">
        <v>21.7</v>
      </c>
      <c r="G154" s="450">
        <v>21.7</v>
      </c>
      <c r="H154" s="450">
        <v>21.7</v>
      </c>
      <c r="I154" s="450">
        <v>21.7</v>
      </c>
      <c r="J154" s="450">
        <v>21.7</v>
      </c>
      <c r="K154" s="450">
        <v>21.7</v>
      </c>
      <c r="L154" s="450">
        <v>21.7</v>
      </c>
      <c r="M154" s="450">
        <v>21.7</v>
      </c>
      <c r="N154" s="450">
        <v>21.7</v>
      </c>
      <c r="O154" s="450">
        <v>21.7</v>
      </c>
      <c r="P154" s="450">
        <v>21.7</v>
      </c>
      <c r="Q154" s="450">
        <v>21.7</v>
      </c>
      <c r="R154" s="450">
        <v>21.7</v>
      </c>
      <c r="S154" s="450">
        <v>21.7</v>
      </c>
      <c r="T154" s="450">
        <v>21.7</v>
      </c>
      <c r="U154" s="450">
        <v>21.7</v>
      </c>
      <c r="V154" s="450">
        <v>21.7</v>
      </c>
      <c r="W154" s="450">
        <v>21.7</v>
      </c>
      <c r="X154" s="450">
        <v>21.7</v>
      </c>
      <c r="Y154" s="450">
        <v>21.7</v>
      </c>
      <c r="Z154" s="450">
        <v>21.7</v>
      </c>
      <c r="AA154" s="450">
        <v>21.7</v>
      </c>
      <c r="AB154" s="450">
        <v>21.7</v>
      </c>
      <c r="AC154" s="450">
        <v>21.7</v>
      </c>
      <c r="AD154" s="450">
        <v>21.7</v>
      </c>
      <c r="AE154" s="450">
        <v>21.7</v>
      </c>
      <c r="AF154" s="450">
        <v>21.7</v>
      </c>
      <c r="AG154" s="450">
        <v>21.7</v>
      </c>
      <c r="AH154" s="450">
        <v>21.7</v>
      </c>
      <c r="AI154" s="450">
        <v>21.7</v>
      </c>
      <c r="AJ154" s="450">
        <v>21.7</v>
      </c>
      <c r="AK154" s="84">
        <v>21.7</v>
      </c>
      <c r="AL154" s="74">
        <f t="shared" ref="AL154:BE154" si="175">AK154</f>
        <v>21.7</v>
      </c>
      <c r="AM154" s="74">
        <f t="shared" si="175"/>
        <v>21.7</v>
      </c>
      <c r="AN154" s="74">
        <f t="shared" si="175"/>
        <v>21.7</v>
      </c>
      <c r="AO154" s="74">
        <f t="shared" si="175"/>
        <v>21.7</v>
      </c>
      <c r="AP154" s="74">
        <f t="shared" si="175"/>
        <v>21.7</v>
      </c>
      <c r="AQ154" s="74">
        <f t="shared" si="175"/>
        <v>21.7</v>
      </c>
      <c r="AR154" s="74">
        <f t="shared" si="175"/>
        <v>21.7</v>
      </c>
      <c r="AS154" s="74">
        <f t="shared" si="175"/>
        <v>21.7</v>
      </c>
      <c r="AT154" s="74">
        <f t="shared" si="175"/>
        <v>21.7</v>
      </c>
      <c r="AU154" s="74">
        <f t="shared" si="175"/>
        <v>21.7</v>
      </c>
      <c r="AV154" s="74">
        <f t="shared" si="175"/>
        <v>21.7</v>
      </c>
      <c r="AW154" s="74">
        <f t="shared" si="175"/>
        <v>21.7</v>
      </c>
      <c r="AX154" s="74">
        <f t="shared" si="175"/>
        <v>21.7</v>
      </c>
      <c r="AY154" s="74">
        <f t="shared" si="175"/>
        <v>21.7</v>
      </c>
      <c r="AZ154" s="74">
        <f t="shared" si="175"/>
        <v>21.7</v>
      </c>
      <c r="BA154" s="74">
        <f t="shared" si="175"/>
        <v>21.7</v>
      </c>
      <c r="BB154" s="74">
        <f t="shared" si="175"/>
        <v>21.7</v>
      </c>
      <c r="BC154" s="74">
        <f t="shared" si="175"/>
        <v>21.7</v>
      </c>
      <c r="BD154" s="74">
        <f t="shared" si="175"/>
        <v>21.7</v>
      </c>
      <c r="BE154" s="74">
        <f t="shared" si="175"/>
        <v>21.7</v>
      </c>
    </row>
    <row r="155" spans="1:57" ht="13.5" customHeight="1">
      <c r="A155" s="619"/>
      <c r="B155" s="253"/>
      <c r="C155" s="258"/>
      <c r="D155" s="75" t="s">
        <v>158</v>
      </c>
      <c r="E155" s="447"/>
      <c r="F155" s="447"/>
      <c r="G155" s="447"/>
      <c r="H155" s="447"/>
      <c r="I155" s="447"/>
      <c r="J155" s="447"/>
      <c r="K155" s="447"/>
      <c r="L155" s="447"/>
      <c r="M155" s="447"/>
      <c r="N155" s="447"/>
      <c r="O155" s="447"/>
      <c r="P155" s="447"/>
      <c r="Q155" s="447"/>
      <c r="R155" s="447"/>
      <c r="S155" s="447"/>
      <c r="T155" s="447"/>
      <c r="U155" s="447"/>
      <c r="V155" s="447"/>
      <c r="W155" s="447"/>
      <c r="X155" s="447"/>
      <c r="Y155" s="447"/>
      <c r="Z155" s="447"/>
      <c r="AA155" s="447"/>
      <c r="AB155" s="447"/>
      <c r="AC155" s="447"/>
      <c r="AD155" s="447"/>
      <c r="AE155" s="447"/>
      <c r="AF155" s="447"/>
      <c r="AG155" s="447"/>
      <c r="AH155" s="447"/>
      <c r="AI155" s="447"/>
      <c r="AJ155" s="447"/>
      <c r="AK155" s="76"/>
      <c r="AL155" s="74">
        <f t="shared" ref="AL155:BE155" si="176">AK155</f>
        <v>0</v>
      </c>
      <c r="AM155" s="74">
        <f t="shared" si="176"/>
        <v>0</v>
      </c>
      <c r="AN155" s="74">
        <f t="shared" si="176"/>
        <v>0</v>
      </c>
      <c r="AO155" s="74">
        <f t="shared" si="176"/>
        <v>0</v>
      </c>
      <c r="AP155" s="74">
        <f t="shared" si="176"/>
        <v>0</v>
      </c>
      <c r="AQ155" s="74">
        <f t="shared" si="176"/>
        <v>0</v>
      </c>
      <c r="AR155" s="74">
        <f t="shared" si="176"/>
        <v>0</v>
      </c>
      <c r="AS155" s="74">
        <f t="shared" si="176"/>
        <v>0</v>
      </c>
      <c r="AT155" s="74">
        <f t="shared" si="176"/>
        <v>0</v>
      </c>
      <c r="AU155" s="74">
        <f t="shared" si="176"/>
        <v>0</v>
      </c>
      <c r="AV155" s="74">
        <f t="shared" si="176"/>
        <v>0</v>
      </c>
      <c r="AW155" s="74">
        <f t="shared" si="176"/>
        <v>0</v>
      </c>
      <c r="AX155" s="74">
        <f t="shared" si="176"/>
        <v>0</v>
      </c>
      <c r="AY155" s="74">
        <f t="shared" si="176"/>
        <v>0</v>
      </c>
      <c r="AZ155" s="74">
        <f t="shared" si="176"/>
        <v>0</v>
      </c>
      <c r="BA155" s="74">
        <f t="shared" si="176"/>
        <v>0</v>
      </c>
      <c r="BB155" s="74">
        <f t="shared" si="176"/>
        <v>0</v>
      </c>
      <c r="BC155" s="74">
        <f t="shared" si="176"/>
        <v>0</v>
      </c>
      <c r="BD155" s="74">
        <f t="shared" si="176"/>
        <v>0</v>
      </c>
      <c r="BE155" s="74">
        <f t="shared" si="176"/>
        <v>0</v>
      </c>
    </row>
    <row r="156" spans="1:57" ht="13.5" customHeight="1">
      <c r="A156" s="619"/>
      <c r="B156" s="253"/>
      <c r="C156" s="258"/>
      <c r="D156" s="92" t="s">
        <v>190</v>
      </c>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93"/>
      <c r="AL156" s="74">
        <f t="shared" ref="AL156:BE156" si="177">AK156</f>
        <v>0</v>
      </c>
      <c r="AM156" s="74">
        <f t="shared" si="177"/>
        <v>0</v>
      </c>
      <c r="AN156" s="74">
        <f t="shared" si="177"/>
        <v>0</v>
      </c>
      <c r="AO156" s="74">
        <f t="shared" si="177"/>
        <v>0</v>
      </c>
      <c r="AP156" s="74">
        <f t="shared" si="177"/>
        <v>0</v>
      </c>
      <c r="AQ156" s="74">
        <f t="shared" si="177"/>
        <v>0</v>
      </c>
      <c r="AR156" s="74">
        <f t="shared" si="177"/>
        <v>0</v>
      </c>
      <c r="AS156" s="74">
        <f t="shared" si="177"/>
        <v>0</v>
      </c>
      <c r="AT156" s="74">
        <f t="shared" si="177"/>
        <v>0</v>
      </c>
      <c r="AU156" s="74">
        <f t="shared" si="177"/>
        <v>0</v>
      </c>
      <c r="AV156" s="74">
        <f t="shared" si="177"/>
        <v>0</v>
      </c>
      <c r="AW156" s="74">
        <f t="shared" si="177"/>
        <v>0</v>
      </c>
      <c r="AX156" s="74">
        <f t="shared" si="177"/>
        <v>0</v>
      </c>
      <c r="AY156" s="74">
        <f t="shared" si="177"/>
        <v>0</v>
      </c>
      <c r="AZ156" s="74">
        <f t="shared" si="177"/>
        <v>0</v>
      </c>
      <c r="BA156" s="74">
        <f t="shared" si="177"/>
        <v>0</v>
      </c>
      <c r="BB156" s="74">
        <f t="shared" si="177"/>
        <v>0</v>
      </c>
      <c r="BC156" s="74">
        <f t="shared" si="177"/>
        <v>0</v>
      </c>
      <c r="BD156" s="74">
        <f t="shared" si="177"/>
        <v>0</v>
      </c>
      <c r="BE156" s="74">
        <f t="shared" si="177"/>
        <v>0</v>
      </c>
    </row>
    <row r="157" spans="1:57" ht="13.5" customHeight="1">
      <c r="A157" s="619">
        <v>4</v>
      </c>
      <c r="B157" s="253"/>
      <c r="C157" s="258" t="s">
        <v>214</v>
      </c>
      <c r="D157" s="77" t="s">
        <v>201</v>
      </c>
      <c r="E157" s="376">
        <f>'Costos Sector Eléctrico'!E132</f>
        <v>20</v>
      </c>
      <c r="F157" s="376">
        <f>'Costos Sector Eléctrico'!F132</f>
        <v>20</v>
      </c>
      <c r="G157" s="376">
        <f>'Costos Sector Eléctrico'!G132</f>
        <v>20</v>
      </c>
      <c r="H157" s="376">
        <f>'Costos Sector Eléctrico'!H132</f>
        <v>20</v>
      </c>
      <c r="I157" s="376">
        <f>'Costos Sector Eléctrico'!I132</f>
        <v>20</v>
      </c>
      <c r="J157" s="376">
        <f>'Costos Sector Eléctrico'!J132</f>
        <v>20</v>
      </c>
      <c r="K157" s="376">
        <f>'Costos Sector Eléctrico'!K132</f>
        <v>20</v>
      </c>
      <c r="L157" s="376">
        <f>'Costos Sector Eléctrico'!L132</f>
        <v>20</v>
      </c>
      <c r="M157" s="376">
        <f>'Costos Sector Eléctrico'!M132</f>
        <v>20</v>
      </c>
      <c r="N157" s="376">
        <f>'Costos Sector Eléctrico'!N132</f>
        <v>20</v>
      </c>
      <c r="O157" s="376">
        <f>'Costos Sector Eléctrico'!O132</f>
        <v>20</v>
      </c>
      <c r="P157" s="376">
        <f>'Costos Sector Eléctrico'!P132</f>
        <v>20</v>
      </c>
      <c r="Q157" s="376">
        <f>'Costos Sector Eléctrico'!Q132</f>
        <v>20</v>
      </c>
      <c r="R157" s="376">
        <f>'Costos Sector Eléctrico'!R132</f>
        <v>20</v>
      </c>
      <c r="S157" s="376">
        <f>'Costos Sector Eléctrico'!S132</f>
        <v>20</v>
      </c>
      <c r="T157" s="376">
        <f>'Costos Sector Eléctrico'!T132</f>
        <v>20</v>
      </c>
      <c r="U157" s="376">
        <f>'Costos Sector Eléctrico'!U132</f>
        <v>20</v>
      </c>
      <c r="V157" s="376">
        <f>'Costos Sector Eléctrico'!V132</f>
        <v>20</v>
      </c>
      <c r="W157" s="376">
        <f>'Costos Sector Eléctrico'!W132</f>
        <v>20</v>
      </c>
      <c r="X157" s="376">
        <f>'Costos Sector Eléctrico'!X132</f>
        <v>20</v>
      </c>
      <c r="Y157" s="376">
        <f>'Costos Sector Eléctrico'!Y132</f>
        <v>20</v>
      </c>
      <c r="Z157" s="376">
        <f>'Costos Sector Eléctrico'!Z132</f>
        <v>20</v>
      </c>
      <c r="AA157" s="376">
        <f>'Costos Sector Eléctrico'!AA132</f>
        <v>20</v>
      </c>
      <c r="AB157" s="376">
        <f>'Costos Sector Eléctrico'!AB132</f>
        <v>20</v>
      </c>
      <c r="AC157" s="376">
        <f>'Costos Sector Eléctrico'!AC132</f>
        <v>20</v>
      </c>
      <c r="AD157" s="376">
        <f>'Costos Sector Eléctrico'!AD132</f>
        <v>20</v>
      </c>
      <c r="AE157" s="376">
        <f>'Costos Sector Eléctrico'!AE132</f>
        <v>20</v>
      </c>
      <c r="AF157" s="376">
        <f>'Costos Sector Eléctrico'!AF132</f>
        <v>20</v>
      </c>
      <c r="AG157" s="376">
        <f>'Costos Sector Eléctrico'!AG132</f>
        <v>20</v>
      </c>
      <c r="AH157" s="376">
        <f>'Costos Sector Eléctrico'!AH132</f>
        <v>20</v>
      </c>
      <c r="AI157" s="376">
        <f>'Costos Sector Eléctrico'!AI132</f>
        <v>20</v>
      </c>
      <c r="AJ157" s="376">
        <f>'Costos Sector Eléctrico'!AJ132</f>
        <v>20</v>
      </c>
      <c r="AK157" s="69">
        <f>'Costos Sector Eléctrico'!AK132</f>
        <v>20</v>
      </c>
      <c r="AL157" s="74">
        <f t="shared" ref="AL157:BE157" si="178">AK157</f>
        <v>20</v>
      </c>
      <c r="AM157" s="74">
        <f t="shared" si="178"/>
        <v>20</v>
      </c>
      <c r="AN157" s="74">
        <f t="shared" si="178"/>
        <v>20</v>
      </c>
      <c r="AO157" s="74">
        <f t="shared" si="178"/>
        <v>20</v>
      </c>
      <c r="AP157" s="74">
        <f t="shared" si="178"/>
        <v>20</v>
      </c>
      <c r="AQ157" s="74">
        <f t="shared" si="178"/>
        <v>20</v>
      </c>
      <c r="AR157" s="74">
        <f t="shared" si="178"/>
        <v>20</v>
      </c>
      <c r="AS157" s="74">
        <f t="shared" si="178"/>
        <v>20</v>
      </c>
      <c r="AT157" s="74">
        <f t="shared" si="178"/>
        <v>20</v>
      </c>
      <c r="AU157" s="74">
        <f t="shared" si="178"/>
        <v>20</v>
      </c>
      <c r="AV157" s="74">
        <f t="shared" si="178"/>
        <v>20</v>
      </c>
      <c r="AW157" s="74">
        <f t="shared" si="178"/>
        <v>20</v>
      </c>
      <c r="AX157" s="74">
        <f t="shared" si="178"/>
        <v>20</v>
      </c>
      <c r="AY157" s="74">
        <f t="shared" si="178"/>
        <v>20</v>
      </c>
      <c r="AZ157" s="74">
        <f t="shared" si="178"/>
        <v>20</v>
      </c>
      <c r="BA157" s="74">
        <f t="shared" si="178"/>
        <v>20</v>
      </c>
      <c r="BB157" s="74">
        <f t="shared" si="178"/>
        <v>20</v>
      </c>
      <c r="BC157" s="74">
        <f t="shared" si="178"/>
        <v>20</v>
      </c>
      <c r="BD157" s="74">
        <f t="shared" si="178"/>
        <v>20</v>
      </c>
      <c r="BE157" s="74">
        <f t="shared" si="178"/>
        <v>20</v>
      </c>
    </row>
    <row r="158" spans="1:57" ht="13.5" customHeight="1">
      <c r="A158" s="619"/>
      <c r="B158" s="253"/>
      <c r="C158" s="258"/>
      <c r="D158" s="92" t="s">
        <v>195</v>
      </c>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93"/>
      <c r="AL158" s="74">
        <f t="shared" ref="AL158:BE158" si="179">AK158</f>
        <v>0</v>
      </c>
      <c r="AM158" s="74">
        <f t="shared" si="179"/>
        <v>0</v>
      </c>
      <c r="AN158" s="74">
        <f t="shared" si="179"/>
        <v>0</v>
      </c>
      <c r="AO158" s="74">
        <f t="shared" si="179"/>
        <v>0</v>
      </c>
      <c r="AP158" s="74">
        <f t="shared" si="179"/>
        <v>0</v>
      </c>
      <c r="AQ158" s="74">
        <f t="shared" si="179"/>
        <v>0</v>
      </c>
      <c r="AR158" s="74">
        <f t="shared" si="179"/>
        <v>0</v>
      </c>
      <c r="AS158" s="74">
        <f t="shared" si="179"/>
        <v>0</v>
      </c>
      <c r="AT158" s="74">
        <f t="shared" si="179"/>
        <v>0</v>
      </c>
      <c r="AU158" s="74">
        <f t="shared" si="179"/>
        <v>0</v>
      </c>
      <c r="AV158" s="74">
        <f t="shared" si="179"/>
        <v>0</v>
      </c>
      <c r="AW158" s="74">
        <f t="shared" si="179"/>
        <v>0</v>
      </c>
      <c r="AX158" s="74">
        <f t="shared" si="179"/>
        <v>0</v>
      </c>
      <c r="AY158" s="74">
        <f t="shared" si="179"/>
        <v>0</v>
      </c>
      <c r="AZ158" s="74">
        <f t="shared" si="179"/>
        <v>0</v>
      </c>
      <c r="BA158" s="74">
        <f t="shared" si="179"/>
        <v>0</v>
      </c>
      <c r="BB158" s="74">
        <f t="shared" si="179"/>
        <v>0</v>
      </c>
      <c r="BC158" s="74">
        <f t="shared" si="179"/>
        <v>0</v>
      </c>
      <c r="BD158" s="74">
        <f t="shared" si="179"/>
        <v>0</v>
      </c>
      <c r="BE158" s="74">
        <f t="shared" si="179"/>
        <v>0</v>
      </c>
    </row>
    <row r="159" spans="1:57" ht="13.5" customHeight="1">
      <c r="A159" s="619">
        <v>4</v>
      </c>
      <c r="B159" s="253"/>
      <c r="C159" s="258" t="s">
        <v>215</v>
      </c>
      <c r="D159" s="77" t="s">
        <v>201</v>
      </c>
      <c r="E159" s="376">
        <f>'Costos Sector Eléctrico'!E132</f>
        <v>20</v>
      </c>
      <c r="F159" s="376">
        <f>'Costos Sector Eléctrico'!F132</f>
        <v>20</v>
      </c>
      <c r="G159" s="376">
        <f>'Costos Sector Eléctrico'!G132</f>
        <v>20</v>
      </c>
      <c r="H159" s="376">
        <f>'Costos Sector Eléctrico'!H132</f>
        <v>20</v>
      </c>
      <c r="I159" s="376">
        <f>'Costos Sector Eléctrico'!I132</f>
        <v>20</v>
      </c>
      <c r="J159" s="376">
        <f>'Costos Sector Eléctrico'!J132</f>
        <v>20</v>
      </c>
      <c r="K159" s="376">
        <f>'Costos Sector Eléctrico'!K132</f>
        <v>20</v>
      </c>
      <c r="L159" s="376">
        <f>'Costos Sector Eléctrico'!L132</f>
        <v>20</v>
      </c>
      <c r="M159" s="376">
        <f>'Costos Sector Eléctrico'!M132</f>
        <v>20</v>
      </c>
      <c r="N159" s="376">
        <f>'Costos Sector Eléctrico'!N132</f>
        <v>20</v>
      </c>
      <c r="O159" s="376">
        <f>'Costos Sector Eléctrico'!O132</f>
        <v>20</v>
      </c>
      <c r="P159" s="376">
        <f>'Costos Sector Eléctrico'!P132</f>
        <v>20</v>
      </c>
      <c r="Q159" s="376">
        <f>'Costos Sector Eléctrico'!Q132</f>
        <v>20</v>
      </c>
      <c r="R159" s="376">
        <f>'Costos Sector Eléctrico'!R132</f>
        <v>20</v>
      </c>
      <c r="S159" s="376">
        <f>'Costos Sector Eléctrico'!S132</f>
        <v>20</v>
      </c>
      <c r="T159" s="376">
        <f>'Costos Sector Eléctrico'!T132</f>
        <v>20</v>
      </c>
      <c r="U159" s="376">
        <f>'Costos Sector Eléctrico'!U132</f>
        <v>20</v>
      </c>
      <c r="V159" s="376">
        <f>'Costos Sector Eléctrico'!V132</f>
        <v>20</v>
      </c>
      <c r="W159" s="376">
        <f>'Costos Sector Eléctrico'!W132</f>
        <v>20</v>
      </c>
      <c r="X159" s="376">
        <f>'Costos Sector Eléctrico'!X132</f>
        <v>20</v>
      </c>
      <c r="Y159" s="376">
        <f>'Costos Sector Eléctrico'!Y132</f>
        <v>20</v>
      </c>
      <c r="Z159" s="376">
        <f>'Costos Sector Eléctrico'!Z132</f>
        <v>20</v>
      </c>
      <c r="AA159" s="376">
        <f>'Costos Sector Eléctrico'!AA132</f>
        <v>20</v>
      </c>
      <c r="AB159" s="376">
        <f>'Costos Sector Eléctrico'!AB132</f>
        <v>20</v>
      </c>
      <c r="AC159" s="376">
        <f>'Costos Sector Eléctrico'!AC132</f>
        <v>20</v>
      </c>
      <c r="AD159" s="376">
        <f>'Costos Sector Eléctrico'!AD132</f>
        <v>20</v>
      </c>
      <c r="AE159" s="376">
        <f>'Costos Sector Eléctrico'!AE132</f>
        <v>20</v>
      </c>
      <c r="AF159" s="376">
        <f>'Costos Sector Eléctrico'!AF132</f>
        <v>20</v>
      </c>
      <c r="AG159" s="376">
        <f>'Costos Sector Eléctrico'!AG132</f>
        <v>20</v>
      </c>
      <c r="AH159" s="376">
        <f>'Costos Sector Eléctrico'!AH132</f>
        <v>20</v>
      </c>
      <c r="AI159" s="376">
        <f>'Costos Sector Eléctrico'!AI132</f>
        <v>20</v>
      </c>
      <c r="AJ159" s="376">
        <f>'Costos Sector Eléctrico'!AJ132</f>
        <v>20</v>
      </c>
      <c r="AK159" s="69">
        <f>'Costos Sector Eléctrico'!AK132</f>
        <v>20</v>
      </c>
      <c r="AL159" s="74">
        <f t="shared" ref="AL159:BE159" si="180">AK159</f>
        <v>20</v>
      </c>
      <c r="AM159" s="74">
        <f t="shared" si="180"/>
        <v>20</v>
      </c>
      <c r="AN159" s="74">
        <f t="shared" si="180"/>
        <v>20</v>
      </c>
      <c r="AO159" s="74">
        <f t="shared" si="180"/>
        <v>20</v>
      </c>
      <c r="AP159" s="74">
        <f t="shared" si="180"/>
        <v>20</v>
      </c>
      <c r="AQ159" s="74">
        <f t="shared" si="180"/>
        <v>20</v>
      </c>
      <c r="AR159" s="74">
        <f t="shared" si="180"/>
        <v>20</v>
      </c>
      <c r="AS159" s="74">
        <f t="shared" si="180"/>
        <v>20</v>
      </c>
      <c r="AT159" s="74">
        <f t="shared" si="180"/>
        <v>20</v>
      </c>
      <c r="AU159" s="74">
        <f t="shared" si="180"/>
        <v>20</v>
      </c>
      <c r="AV159" s="74">
        <f t="shared" si="180"/>
        <v>20</v>
      </c>
      <c r="AW159" s="74">
        <f t="shared" si="180"/>
        <v>20</v>
      </c>
      <c r="AX159" s="74">
        <f t="shared" si="180"/>
        <v>20</v>
      </c>
      <c r="AY159" s="74">
        <f t="shared" si="180"/>
        <v>20</v>
      </c>
      <c r="AZ159" s="74">
        <f t="shared" si="180"/>
        <v>20</v>
      </c>
      <c r="BA159" s="74">
        <f t="shared" si="180"/>
        <v>20</v>
      </c>
      <c r="BB159" s="74">
        <f t="shared" si="180"/>
        <v>20</v>
      </c>
      <c r="BC159" s="74">
        <f t="shared" si="180"/>
        <v>20</v>
      </c>
      <c r="BD159" s="74">
        <f t="shared" si="180"/>
        <v>20</v>
      </c>
      <c r="BE159" s="74">
        <f t="shared" si="180"/>
        <v>20</v>
      </c>
    </row>
    <row r="160" spans="1:57" ht="13.5" customHeight="1">
      <c r="A160" s="619"/>
      <c r="B160" s="253"/>
      <c r="C160" s="258"/>
      <c r="D160" s="92" t="s">
        <v>203</v>
      </c>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93"/>
      <c r="AL160" s="74">
        <f t="shared" ref="AL160:BE160" si="181">AK160</f>
        <v>0</v>
      </c>
      <c r="AM160" s="74">
        <f t="shared" si="181"/>
        <v>0</v>
      </c>
      <c r="AN160" s="74">
        <f t="shared" si="181"/>
        <v>0</v>
      </c>
      <c r="AO160" s="74">
        <f t="shared" si="181"/>
        <v>0</v>
      </c>
      <c r="AP160" s="74">
        <f t="shared" si="181"/>
        <v>0</v>
      </c>
      <c r="AQ160" s="74">
        <f t="shared" si="181"/>
        <v>0</v>
      </c>
      <c r="AR160" s="74">
        <f t="shared" si="181"/>
        <v>0</v>
      </c>
      <c r="AS160" s="74">
        <f t="shared" si="181"/>
        <v>0</v>
      </c>
      <c r="AT160" s="74">
        <f t="shared" si="181"/>
        <v>0</v>
      </c>
      <c r="AU160" s="74">
        <f t="shared" si="181"/>
        <v>0</v>
      </c>
      <c r="AV160" s="74">
        <f t="shared" si="181"/>
        <v>0</v>
      </c>
      <c r="AW160" s="74">
        <f t="shared" si="181"/>
        <v>0</v>
      </c>
      <c r="AX160" s="74">
        <f t="shared" si="181"/>
        <v>0</v>
      </c>
      <c r="AY160" s="74">
        <f t="shared" si="181"/>
        <v>0</v>
      </c>
      <c r="AZ160" s="74">
        <f t="shared" si="181"/>
        <v>0</v>
      </c>
      <c r="BA160" s="74">
        <f t="shared" si="181"/>
        <v>0</v>
      </c>
      <c r="BB160" s="74">
        <f t="shared" si="181"/>
        <v>0</v>
      </c>
      <c r="BC160" s="74">
        <f t="shared" si="181"/>
        <v>0</v>
      </c>
      <c r="BD160" s="74">
        <f t="shared" si="181"/>
        <v>0</v>
      </c>
      <c r="BE160" s="74">
        <f t="shared" si="181"/>
        <v>0</v>
      </c>
    </row>
    <row r="161" spans="1:57" ht="13.5" customHeight="1">
      <c r="A161" s="85">
        <v>4</v>
      </c>
      <c r="B161" s="253"/>
      <c r="C161" s="258" t="s">
        <v>216</v>
      </c>
      <c r="D161" s="95" t="s">
        <v>210</v>
      </c>
      <c r="E161" s="96">
        <v>44.3</v>
      </c>
      <c r="F161" s="96">
        <v>44.3</v>
      </c>
      <c r="G161" s="96">
        <v>44.3</v>
      </c>
      <c r="H161" s="96">
        <v>44.3</v>
      </c>
      <c r="I161" s="96">
        <v>44.3</v>
      </c>
      <c r="J161" s="96">
        <v>44.3</v>
      </c>
      <c r="K161" s="96">
        <v>44.3</v>
      </c>
      <c r="L161" s="96">
        <v>44.3</v>
      </c>
      <c r="M161" s="96">
        <v>44.3</v>
      </c>
      <c r="N161" s="96">
        <v>44.3</v>
      </c>
      <c r="O161" s="96">
        <v>44.3</v>
      </c>
      <c r="P161" s="96">
        <v>44.3</v>
      </c>
      <c r="Q161" s="96">
        <v>44.3</v>
      </c>
      <c r="R161" s="96">
        <v>44.3</v>
      </c>
      <c r="S161" s="96">
        <v>44.3</v>
      </c>
      <c r="T161" s="96">
        <v>44.3</v>
      </c>
      <c r="U161" s="96">
        <v>44.3</v>
      </c>
      <c r="V161" s="96">
        <v>44.3</v>
      </c>
      <c r="W161" s="96">
        <v>44.3</v>
      </c>
      <c r="X161" s="96">
        <v>44.3</v>
      </c>
      <c r="Y161" s="96">
        <v>44.3</v>
      </c>
      <c r="Z161" s="96">
        <v>44.3</v>
      </c>
      <c r="AA161" s="96">
        <v>44.3</v>
      </c>
      <c r="AB161" s="96">
        <v>44.3</v>
      </c>
      <c r="AC161" s="96">
        <v>44.3</v>
      </c>
      <c r="AD161" s="96">
        <v>44.3</v>
      </c>
      <c r="AE161" s="96">
        <v>44.3</v>
      </c>
      <c r="AF161" s="96">
        <v>44.3</v>
      </c>
      <c r="AG161" s="96">
        <v>44.3</v>
      </c>
      <c r="AH161" s="96">
        <v>44.3</v>
      </c>
      <c r="AI161" s="96">
        <v>44.3</v>
      </c>
      <c r="AJ161" s="96">
        <v>44.3</v>
      </c>
      <c r="AK161" s="97">
        <v>44.3</v>
      </c>
      <c r="AL161" s="74">
        <f t="shared" ref="AL161:BE161" si="182">AK161</f>
        <v>44.3</v>
      </c>
      <c r="AM161" s="74">
        <f t="shared" si="182"/>
        <v>44.3</v>
      </c>
      <c r="AN161" s="74">
        <f t="shared" si="182"/>
        <v>44.3</v>
      </c>
      <c r="AO161" s="74">
        <f t="shared" si="182"/>
        <v>44.3</v>
      </c>
      <c r="AP161" s="74">
        <f t="shared" si="182"/>
        <v>44.3</v>
      </c>
      <c r="AQ161" s="74">
        <f t="shared" si="182"/>
        <v>44.3</v>
      </c>
      <c r="AR161" s="74">
        <f t="shared" si="182"/>
        <v>44.3</v>
      </c>
      <c r="AS161" s="74">
        <f t="shared" si="182"/>
        <v>44.3</v>
      </c>
      <c r="AT161" s="74">
        <f t="shared" si="182"/>
        <v>44.3</v>
      </c>
      <c r="AU161" s="74">
        <f t="shared" si="182"/>
        <v>44.3</v>
      </c>
      <c r="AV161" s="74">
        <f t="shared" si="182"/>
        <v>44.3</v>
      </c>
      <c r="AW161" s="74">
        <f t="shared" si="182"/>
        <v>44.3</v>
      </c>
      <c r="AX161" s="74">
        <f t="shared" si="182"/>
        <v>44.3</v>
      </c>
      <c r="AY161" s="74">
        <f t="shared" si="182"/>
        <v>44.3</v>
      </c>
      <c r="AZ161" s="74">
        <f t="shared" si="182"/>
        <v>44.3</v>
      </c>
      <c r="BA161" s="74">
        <f t="shared" si="182"/>
        <v>44.3</v>
      </c>
      <c r="BB161" s="74">
        <f t="shared" si="182"/>
        <v>44.3</v>
      </c>
      <c r="BC161" s="74">
        <f t="shared" si="182"/>
        <v>44.3</v>
      </c>
      <c r="BD161" s="74">
        <f t="shared" si="182"/>
        <v>44.3</v>
      </c>
      <c r="BE161" s="74">
        <f t="shared" si="182"/>
        <v>44.3</v>
      </c>
    </row>
    <row r="162" spans="1:57" ht="13.5" customHeight="1">
      <c r="A162" s="619"/>
      <c r="B162" s="253"/>
      <c r="C162" s="258"/>
      <c r="D162" s="258"/>
      <c r="E162" s="258"/>
      <c r="F162" s="258"/>
      <c r="G162" s="258"/>
      <c r="H162" s="258"/>
      <c r="I162" s="258"/>
      <c r="J162" s="258"/>
      <c r="K162" s="258"/>
      <c r="L162" s="258"/>
      <c r="M162" s="258"/>
      <c r="N162" s="258"/>
      <c r="O162" s="258"/>
      <c r="P162" s="258"/>
      <c r="Q162" s="258"/>
      <c r="R162" s="258"/>
      <c r="S162" s="258"/>
      <c r="T162" s="258"/>
      <c r="U162" s="258"/>
      <c r="V162" s="258"/>
      <c r="W162" s="258"/>
      <c r="X162" s="258"/>
      <c r="Y162" s="258"/>
      <c r="Z162" s="258"/>
      <c r="AA162" s="258"/>
      <c r="AB162" s="258"/>
      <c r="AC162" s="258"/>
      <c r="AD162" s="258"/>
      <c r="AE162" s="258"/>
      <c r="AF162" s="258"/>
      <c r="AG162" s="258"/>
      <c r="AH162" s="258"/>
      <c r="AI162" s="258"/>
      <c r="AJ162" s="258"/>
      <c r="AK162" s="258"/>
      <c r="AL162" s="74">
        <f t="shared" ref="AL162:BE162" si="183">AK162</f>
        <v>0</v>
      </c>
      <c r="AM162" s="74">
        <f t="shared" si="183"/>
        <v>0</v>
      </c>
      <c r="AN162" s="74">
        <f t="shared" si="183"/>
        <v>0</v>
      </c>
      <c r="AO162" s="74">
        <f t="shared" si="183"/>
        <v>0</v>
      </c>
      <c r="AP162" s="74">
        <f t="shared" si="183"/>
        <v>0</v>
      </c>
      <c r="AQ162" s="74">
        <f t="shared" si="183"/>
        <v>0</v>
      </c>
      <c r="AR162" s="74">
        <f t="shared" si="183"/>
        <v>0</v>
      </c>
      <c r="AS162" s="74">
        <f t="shared" si="183"/>
        <v>0</v>
      </c>
      <c r="AT162" s="74">
        <f t="shared" si="183"/>
        <v>0</v>
      </c>
      <c r="AU162" s="74">
        <f t="shared" si="183"/>
        <v>0</v>
      </c>
      <c r="AV162" s="74">
        <f t="shared" si="183"/>
        <v>0</v>
      </c>
      <c r="AW162" s="74">
        <f t="shared" si="183"/>
        <v>0</v>
      </c>
      <c r="AX162" s="74">
        <f t="shared" si="183"/>
        <v>0</v>
      </c>
      <c r="AY162" s="74">
        <f t="shared" si="183"/>
        <v>0</v>
      </c>
      <c r="AZ162" s="74">
        <f t="shared" si="183"/>
        <v>0</v>
      </c>
      <c r="BA162" s="74">
        <f t="shared" si="183"/>
        <v>0</v>
      </c>
      <c r="BB162" s="74">
        <f t="shared" si="183"/>
        <v>0</v>
      </c>
      <c r="BC162" s="74">
        <f t="shared" si="183"/>
        <v>0</v>
      </c>
      <c r="BD162" s="74">
        <f t="shared" si="183"/>
        <v>0</v>
      </c>
      <c r="BE162" s="74">
        <f t="shared" si="183"/>
        <v>0</v>
      </c>
    </row>
    <row r="163" spans="1:57" ht="13.5" customHeight="1">
      <c r="A163" s="619"/>
      <c r="B163" s="253"/>
      <c r="C163" s="258"/>
      <c r="D163" s="258"/>
      <c r="E163" s="258"/>
      <c r="F163" s="258"/>
      <c r="G163" s="258"/>
      <c r="H163" s="258"/>
      <c r="I163" s="258"/>
      <c r="J163" s="258"/>
      <c r="K163" s="258"/>
      <c r="L163" s="258"/>
      <c r="M163" s="258"/>
      <c r="N163" s="258"/>
      <c r="O163" s="258"/>
      <c r="P163" s="258"/>
      <c r="Q163" s="258"/>
      <c r="R163" s="258"/>
      <c r="S163" s="258"/>
      <c r="T163" s="258"/>
      <c r="U163" s="258"/>
      <c r="V163" s="258"/>
      <c r="W163" s="258"/>
      <c r="X163" s="258"/>
      <c r="Y163" s="258"/>
      <c r="Z163" s="258"/>
      <c r="AA163" s="258"/>
      <c r="AB163" s="258"/>
      <c r="AC163" s="258"/>
      <c r="AD163" s="258"/>
      <c r="AE163" s="258"/>
      <c r="AF163" s="258"/>
      <c r="AG163" s="258"/>
      <c r="AH163" s="258"/>
      <c r="AI163" s="258"/>
      <c r="AJ163" s="258"/>
      <c r="AK163" s="258"/>
      <c r="AL163" s="74">
        <f t="shared" ref="AL163:BE163" si="184">AK163</f>
        <v>0</v>
      </c>
      <c r="AM163" s="74">
        <f t="shared" si="184"/>
        <v>0</v>
      </c>
      <c r="AN163" s="74">
        <f t="shared" si="184"/>
        <v>0</v>
      </c>
      <c r="AO163" s="74">
        <f t="shared" si="184"/>
        <v>0</v>
      </c>
      <c r="AP163" s="74">
        <f t="shared" si="184"/>
        <v>0</v>
      </c>
      <c r="AQ163" s="74">
        <f t="shared" si="184"/>
        <v>0</v>
      </c>
      <c r="AR163" s="74">
        <f t="shared" si="184"/>
        <v>0</v>
      </c>
      <c r="AS163" s="74">
        <f t="shared" si="184"/>
        <v>0</v>
      </c>
      <c r="AT163" s="74">
        <f t="shared" si="184"/>
        <v>0</v>
      </c>
      <c r="AU163" s="74">
        <f t="shared" si="184"/>
        <v>0</v>
      </c>
      <c r="AV163" s="74">
        <f t="shared" si="184"/>
        <v>0</v>
      </c>
      <c r="AW163" s="74">
        <f t="shared" si="184"/>
        <v>0</v>
      </c>
      <c r="AX163" s="74">
        <f t="shared" si="184"/>
        <v>0</v>
      </c>
      <c r="AY163" s="74">
        <f t="shared" si="184"/>
        <v>0</v>
      </c>
      <c r="AZ163" s="74">
        <f t="shared" si="184"/>
        <v>0</v>
      </c>
      <c r="BA163" s="74">
        <f t="shared" si="184"/>
        <v>0</v>
      </c>
      <c r="BB163" s="74">
        <f t="shared" si="184"/>
        <v>0</v>
      </c>
      <c r="BC163" s="74">
        <f t="shared" si="184"/>
        <v>0</v>
      </c>
      <c r="BD163" s="74">
        <f t="shared" si="184"/>
        <v>0</v>
      </c>
      <c r="BE163" s="74">
        <f t="shared" si="184"/>
        <v>0</v>
      </c>
    </row>
    <row r="164" spans="1:57" ht="13.5" customHeight="1">
      <c r="A164" s="619"/>
      <c r="B164" s="253"/>
      <c r="C164" s="258"/>
      <c r="D164" s="258"/>
      <c r="E164" s="258"/>
      <c r="F164" s="258"/>
      <c r="G164" s="258"/>
      <c r="H164" s="258"/>
      <c r="I164" s="258"/>
      <c r="J164" s="258"/>
      <c r="K164" s="258"/>
      <c r="L164" s="258"/>
      <c r="M164" s="258"/>
      <c r="N164" s="258"/>
      <c r="O164" s="258"/>
      <c r="P164" s="258"/>
      <c r="Q164" s="258"/>
      <c r="R164" s="258"/>
      <c r="S164" s="258"/>
      <c r="T164" s="258"/>
      <c r="U164" s="258"/>
      <c r="V164" s="258"/>
      <c r="W164" s="258"/>
      <c r="X164" s="258"/>
      <c r="Y164" s="258"/>
      <c r="Z164" s="258"/>
      <c r="AA164" s="258"/>
      <c r="AB164" s="258"/>
      <c r="AC164" s="258"/>
      <c r="AD164" s="258"/>
      <c r="AE164" s="258"/>
      <c r="AF164" s="258"/>
      <c r="AG164" s="258"/>
      <c r="AH164" s="258"/>
      <c r="AI164" s="258"/>
      <c r="AJ164" s="258"/>
      <c r="AK164" s="258"/>
      <c r="AL164" s="74">
        <f t="shared" ref="AL164:BE164" si="185">AK164</f>
        <v>0</v>
      </c>
      <c r="AM164" s="74">
        <f t="shared" si="185"/>
        <v>0</v>
      </c>
      <c r="AN164" s="74">
        <f t="shared" si="185"/>
        <v>0</v>
      </c>
      <c r="AO164" s="74">
        <f t="shared" si="185"/>
        <v>0</v>
      </c>
      <c r="AP164" s="74">
        <f t="shared" si="185"/>
        <v>0</v>
      </c>
      <c r="AQ164" s="74">
        <f t="shared" si="185"/>
        <v>0</v>
      </c>
      <c r="AR164" s="74">
        <f t="shared" si="185"/>
        <v>0</v>
      </c>
      <c r="AS164" s="74">
        <f t="shared" si="185"/>
        <v>0</v>
      </c>
      <c r="AT164" s="74">
        <f t="shared" si="185"/>
        <v>0</v>
      </c>
      <c r="AU164" s="74">
        <f t="shared" si="185"/>
        <v>0</v>
      </c>
      <c r="AV164" s="74">
        <f t="shared" si="185"/>
        <v>0</v>
      </c>
      <c r="AW164" s="74">
        <f t="shared" si="185"/>
        <v>0</v>
      </c>
      <c r="AX164" s="74">
        <f t="shared" si="185"/>
        <v>0</v>
      </c>
      <c r="AY164" s="74">
        <f t="shared" si="185"/>
        <v>0</v>
      </c>
      <c r="AZ164" s="74">
        <f t="shared" si="185"/>
        <v>0</v>
      </c>
      <c r="BA164" s="74">
        <f t="shared" si="185"/>
        <v>0</v>
      </c>
      <c r="BB164" s="74">
        <f t="shared" si="185"/>
        <v>0</v>
      </c>
      <c r="BC164" s="74">
        <f t="shared" si="185"/>
        <v>0</v>
      </c>
      <c r="BD164" s="74">
        <f t="shared" si="185"/>
        <v>0</v>
      </c>
      <c r="BE164" s="74">
        <f t="shared" si="185"/>
        <v>0</v>
      </c>
    </row>
    <row r="165" spans="1:57" ht="13.5" customHeight="1">
      <c r="A165" s="619"/>
      <c r="B165" s="253"/>
      <c r="C165" s="258"/>
      <c r="D165" s="258"/>
      <c r="E165" s="258"/>
      <c r="F165" s="258"/>
      <c r="G165" s="258"/>
      <c r="H165" s="258"/>
      <c r="I165" s="258"/>
      <c r="J165" s="258"/>
      <c r="K165" s="258"/>
      <c r="L165" s="258"/>
      <c r="M165" s="258"/>
      <c r="N165" s="258"/>
      <c r="O165" s="258"/>
      <c r="P165" s="258"/>
      <c r="Q165" s="258"/>
      <c r="R165" s="258"/>
      <c r="S165" s="258"/>
      <c r="T165" s="258"/>
      <c r="U165" s="258"/>
      <c r="V165" s="258"/>
      <c r="W165" s="258"/>
      <c r="X165" s="258"/>
      <c r="Y165" s="258"/>
      <c r="Z165" s="258"/>
      <c r="AA165" s="258"/>
      <c r="AB165" s="258"/>
      <c r="AC165" s="258"/>
      <c r="AD165" s="258"/>
      <c r="AE165" s="258"/>
      <c r="AF165" s="258"/>
      <c r="AG165" s="258"/>
      <c r="AH165" s="258"/>
      <c r="AI165" s="258"/>
      <c r="AJ165" s="258"/>
      <c r="AK165" s="258"/>
      <c r="AL165" s="74">
        <f t="shared" ref="AL165:BE165" si="186">AK165</f>
        <v>0</v>
      </c>
      <c r="AM165" s="74">
        <f t="shared" si="186"/>
        <v>0</v>
      </c>
      <c r="AN165" s="74">
        <f t="shared" si="186"/>
        <v>0</v>
      </c>
      <c r="AO165" s="74">
        <f t="shared" si="186"/>
        <v>0</v>
      </c>
      <c r="AP165" s="74">
        <f t="shared" si="186"/>
        <v>0</v>
      </c>
      <c r="AQ165" s="74">
        <f t="shared" si="186"/>
        <v>0</v>
      </c>
      <c r="AR165" s="74">
        <f t="shared" si="186"/>
        <v>0</v>
      </c>
      <c r="AS165" s="74">
        <f t="shared" si="186"/>
        <v>0</v>
      </c>
      <c r="AT165" s="74">
        <f t="shared" si="186"/>
        <v>0</v>
      </c>
      <c r="AU165" s="74">
        <f t="shared" si="186"/>
        <v>0</v>
      </c>
      <c r="AV165" s="74">
        <f t="shared" si="186"/>
        <v>0</v>
      </c>
      <c r="AW165" s="74">
        <f t="shared" si="186"/>
        <v>0</v>
      </c>
      <c r="AX165" s="74">
        <f t="shared" si="186"/>
        <v>0</v>
      </c>
      <c r="AY165" s="74">
        <f t="shared" si="186"/>
        <v>0</v>
      </c>
      <c r="AZ165" s="74">
        <f t="shared" si="186"/>
        <v>0</v>
      </c>
      <c r="BA165" s="74">
        <f t="shared" si="186"/>
        <v>0</v>
      </c>
      <c r="BB165" s="74">
        <f t="shared" si="186"/>
        <v>0</v>
      </c>
      <c r="BC165" s="74">
        <f t="shared" si="186"/>
        <v>0</v>
      </c>
      <c r="BD165" s="74">
        <f t="shared" si="186"/>
        <v>0</v>
      </c>
      <c r="BE165" s="74">
        <f t="shared" si="186"/>
        <v>0</v>
      </c>
    </row>
    <row r="166" spans="1:57" ht="13.5" customHeight="1">
      <c r="A166" s="619"/>
      <c r="B166" s="253"/>
      <c r="C166" s="258"/>
      <c r="D166" s="65"/>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7"/>
      <c r="AL166" s="74">
        <f t="shared" ref="AL166:BE166" si="187">AK166</f>
        <v>0</v>
      </c>
      <c r="AM166" s="74">
        <f t="shared" si="187"/>
        <v>0</v>
      </c>
      <c r="AN166" s="74">
        <f t="shared" si="187"/>
        <v>0</v>
      </c>
      <c r="AO166" s="74">
        <f t="shared" si="187"/>
        <v>0</v>
      </c>
      <c r="AP166" s="74">
        <f t="shared" si="187"/>
        <v>0</v>
      </c>
      <c r="AQ166" s="74">
        <f t="shared" si="187"/>
        <v>0</v>
      </c>
      <c r="AR166" s="74">
        <f t="shared" si="187"/>
        <v>0</v>
      </c>
      <c r="AS166" s="74">
        <f t="shared" si="187"/>
        <v>0</v>
      </c>
      <c r="AT166" s="74">
        <f t="shared" si="187"/>
        <v>0</v>
      </c>
      <c r="AU166" s="74">
        <f t="shared" si="187"/>
        <v>0</v>
      </c>
      <c r="AV166" s="74">
        <f t="shared" si="187"/>
        <v>0</v>
      </c>
      <c r="AW166" s="74">
        <f t="shared" si="187"/>
        <v>0</v>
      </c>
      <c r="AX166" s="74">
        <f t="shared" si="187"/>
        <v>0</v>
      </c>
      <c r="AY166" s="74">
        <f t="shared" si="187"/>
        <v>0</v>
      </c>
      <c r="AZ166" s="74">
        <f t="shared" si="187"/>
        <v>0</v>
      </c>
      <c r="BA166" s="74">
        <f t="shared" si="187"/>
        <v>0</v>
      </c>
      <c r="BB166" s="74">
        <f t="shared" si="187"/>
        <v>0</v>
      </c>
      <c r="BC166" s="74">
        <f t="shared" si="187"/>
        <v>0</v>
      </c>
      <c r="BD166" s="74">
        <f t="shared" si="187"/>
        <v>0</v>
      </c>
      <c r="BE166" s="74">
        <f t="shared" si="187"/>
        <v>0</v>
      </c>
    </row>
    <row r="167" spans="1:57" ht="13.5" customHeight="1">
      <c r="A167" s="619"/>
      <c r="B167" s="253"/>
      <c r="C167" s="258"/>
      <c r="D167" s="68" t="s">
        <v>560</v>
      </c>
      <c r="E167" s="376"/>
      <c r="F167" s="376"/>
      <c r="G167" s="376"/>
      <c r="H167" s="376"/>
      <c r="I167" s="376"/>
      <c r="J167" s="376"/>
      <c r="K167" s="376"/>
      <c r="L167" s="376"/>
      <c r="M167" s="376"/>
      <c r="N167" s="376"/>
      <c r="O167" s="376"/>
      <c r="P167" s="376"/>
      <c r="Q167" s="376"/>
      <c r="R167" s="376"/>
      <c r="S167" s="376"/>
      <c r="T167" s="376"/>
      <c r="U167" s="376"/>
      <c r="V167" s="376"/>
      <c r="W167" s="376"/>
      <c r="X167" s="376"/>
      <c r="Y167" s="376"/>
      <c r="Z167" s="376"/>
      <c r="AA167" s="376"/>
      <c r="AB167" s="376"/>
      <c r="AC167" s="376"/>
      <c r="AD167" s="376"/>
      <c r="AE167" s="376"/>
      <c r="AF167" s="376"/>
      <c r="AG167" s="376"/>
      <c r="AH167" s="376"/>
      <c r="AI167" s="376"/>
      <c r="AJ167" s="376"/>
      <c r="AK167" s="69"/>
      <c r="AL167" s="74">
        <f t="shared" ref="AL167:BE167" si="188">AK167</f>
        <v>0</v>
      </c>
      <c r="AM167" s="74">
        <f t="shared" si="188"/>
        <v>0</v>
      </c>
      <c r="AN167" s="74">
        <f t="shared" si="188"/>
        <v>0</v>
      </c>
      <c r="AO167" s="74">
        <f t="shared" si="188"/>
        <v>0</v>
      </c>
      <c r="AP167" s="74">
        <f t="shared" si="188"/>
        <v>0</v>
      </c>
      <c r="AQ167" s="74">
        <f t="shared" si="188"/>
        <v>0</v>
      </c>
      <c r="AR167" s="74">
        <f t="shared" si="188"/>
        <v>0</v>
      </c>
      <c r="AS167" s="74">
        <f t="shared" si="188"/>
        <v>0</v>
      </c>
      <c r="AT167" s="74">
        <f t="shared" si="188"/>
        <v>0</v>
      </c>
      <c r="AU167" s="74">
        <f t="shared" si="188"/>
        <v>0</v>
      </c>
      <c r="AV167" s="74">
        <f t="shared" si="188"/>
        <v>0</v>
      </c>
      <c r="AW167" s="74">
        <f t="shared" si="188"/>
        <v>0</v>
      </c>
      <c r="AX167" s="74">
        <f t="shared" si="188"/>
        <v>0</v>
      </c>
      <c r="AY167" s="74">
        <f t="shared" si="188"/>
        <v>0</v>
      </c>
      <c r="AZ167" s="74">
        <f t="shared" si="188"/>
        <v>0</v>
      </c>
      <c r="BA167" s="74">
        <f t="shared" si="188"/>
        <v>0</v>
      </c>
      <c r="BB167" s="74">
        <f t="shared" si="188"/>
        <v>0</v>
      </c>
      <c r="BC167" s="74">
        <f t="shared" si="188"/>
        <v>0</v>
      </c>
      <c r="BD167" s="74">
        <f t="shared" si="188"/>
        <v>0</v>
      </c>
      <c r="BE167" s="74">
        <f t="shared" si="188"/>
        <v>0</v>
      </c>
    </row>
    <row r="168" spans="1:57" ht="13.5" customHeight="1">
      <c r="A168" s="619"/>
      <c r="B168" s="253"/>
      <c r="C168" s="258"/>
      <c r="D168" s="70"/>
      <c r="E168" s="376"/>
      <c r="F168" s="376"/>
      <c r="G168" s="376"/>
      <c r="H168" s="376"/>
      <c r="I168" s="376"/>
      <c r="J168" s="376"/>
      <c r="K168" s="376"/>
      <c r="L168" s="376"/>
      <c r="M168" s="376"/>
      <c r="N168" s="376"/>
      <c r="O168" s="376"/>
      <c r="P168" s="376"/>
      <c r="Q168" s="376"/>
      <c r="R168" s="376"/>
      <c r="S168" s="376"/>
      <c r="T168" s="376"/>
      <c r="U168" s="376"/>
      <c r="V168" s="376"/>
      <c r="W168" s="376"/>
      <c r="X168" s="376"/>
      <c r="Y168" s="376"/>
      <c r="Z168" s="376"/>
      <c r="AA168" s="376"/>
      <c r="AB168" s="376"/>
      <c r="AC168" s="376"/>
      <c r="AD168" s="376"/>
      <c r="AE168" s="376"/>
      <c r="AF168" s="376"/>
      <c r="AG168" s="376"/>
      <c r="AH168" s="376"/>
      <c r="AI168" s="376"/>
      <c r="AJ168" s="376"/>
      <c r="AK168" s="69"/>
      <c r="AL168" s="74">
        <f t="shared" ref="AL168:BE168" si="189">AK168</f>
        <v>0</v>
      </c>
      <c r="AM168" s="74">
        <f t="shared" si="189"/>
        <v>0</v>
      </c>
      <c r="AN168" s="74">
        <f t="shared" si="189"/>
        <v>0</v>
      </c>
      <c r="AO168" s="74">
        <f t="shared" si="189"/>
        <v>0</v>
      </c>
      <c r="AP168" s="74">
        <f t="shared" si="189"/>
        <v>0</v>
      </c>
      <c r="AQ168" s="74">
        <f t="shared" si="189"/>
        <v>0</v>
      </c>
      <c r="AR168" s="74">
        <f t="shared" si="189"/>
        <v>0</v>
      </c>
      <c r="AS168" s="74">
        <f t="shared" si="189"/>
        <v>0</v>
      </c>
      <c r="AT168" s="74">
        <f t="shared" si="189"/>
        <v>0</v>
      </c>
      <c r="AU168" s="74">
        <f t="shared" si="189"/>
        <v>0</v>
      </c>
      <c r="AV168" s="74">
        <f t="shared" si="189"/>
        <v>0</v>
      </c>
      <c r="AW168" s="74">
        <f t="shared" si="189"/>
        <v>0</v>
      </c>
      <c r="AX168" s="74">
        <f t="shared" si="189"/>
        <v>0</v>
      </c>
      <c r="AY168" s="74">
        <f t="shared" si="189"/>
        <v>0</v>
      </c>
      <c r="AZ168" s="74">
        <f t="shared" si="189"/>
        <v>0</v>
      </c>
      <c r="BA168" s="74">
        <f t="shared" si="189"/>
        <v>0</v>
      </c>
      <c r="BB168" s="74">
        <f t="shared" si="189"/>
        <v>0</v>
      </c>
      <c r="BC168" s="74">
        <f t="shared" si="189"/>
        <v>0</v>
      </c>
      <c r="BD168" s="74">
        <f t="shared" si="189"/>
        <v>0</v>
      </c>
      <c r="BE168" s="74">
        <f t="shared" si="189"/>
        <v>0</v>
      </c>
    </row>
    <row r="169" spans="1:57" ht="13.5" customHeight="1">
      <c r="A169" s="619"/>
      <c r="B169" s="253"/>
      <c r="C169" s="258"/>
      <c r="D169" s="68" t="s">
        <v>553</v>
      </c>
      <c r="E169" s="376"/>
      <c r="F169" s="376"/>
      <c r="G169" s="376"/>
      <c r="H169" s="376"/>
      <c r="I169" s="376"/>
      <c r="J169" s="376"/>
      <c r="K169" s="376"/>
      <c r="L169" s="376"/>
      <c r="M169" s="376"/>
      <c r="N169" s="376"/>
      <c r="O169" s="376"/>
      <c r="P169" s="376"/>
      <c r="Q169" s="376"/>
      <c r="R169" s="376"/>
      <c r="S169" s="376"/>
      <c r="T169" s="376"/>
      <c r="U169" s="376"/>
      <c r="V169" s="376"/>
      <c r="W169" s="376"/>
      <c r="X169" s="376"/>
      <c r="Y169" s="376"/>
      <c r="Z169" s="376"/>
      <c r="AA169" s="376"/>
      <c r="AB169" s="376"/>
      <c r="AC169" s="376"/>
      <c r="AD169" s="376"/>
      <c r="AE169" s="376"/>
      <c r="AF169" s="376"/>
      <c r="AG169" s="376"/>
      <c r="AH169" s="376"/>
      <c r="AI169" s="376"/>
      <c r="AJ169" s="376"/>
      <c r="AK169" s="69"/>
      <c r="AL169" s="74">
        <f t="shared" ref="AL169:BE169" si="190">AK169</f>
        <v>0</v>
      </c>
      <c r="AM169" s="74">
        <f t="shared" si="190"/>
        <v>0</v>
      </c>
      <c r="AN169" s="74">
        <f t="shared" si="190"/>
        <v>0</v>
      </c>
      <c r="AO169" s="74">
        <f t="shared" si="190"/>
        <v>0</v>
      </c>
      <c r="AP169" s="74">
        <f t="shared" si="190"/>
        <v>0</v>
      </c>
      <c r="AQ169" s="74">
        <f t="shared" si="190"/>
        <v>0</v>
      </c>
      <c r="AR169" s="74">
        <f t="shared" si="190"/>
        <v>0</v>
      </c>
      <c r="AS169" s="74">
        <f t="shared" si="190"/>
        <v>0</v>
      </c>
      <c r="AT169" s="74">
        <f t="shared" si="190"/>
        <v>0</v>
      </c>
      <c r="AU169" s="74">
        <f t="shared" si="190"/>
        <v>0</v>
      </c>
      <c r="AV169" s="74">
        <f t="shared" si="190"/>
        <v>0</v>
      </c>
      <c r="AW169" s="74">
        <f t="shared" si="190"/>
        <v>0</v>
      </c>
      <c r="AX169" s="74">
        <f t="shared" si="190"/>
        <v>0</v>
      </c>
      <c r="AY169" s="74">
        <f t="shared" si="190"/>
        <v>0</v>
      </c>
      <c r="AZ169" s="74">
        <f t="shared" si="190"/>
        <v>0</v>
      </c>
      <c r="BA169" s="74">
        <f t="shared" si="190"/>
        <v>0</v>
      </c>
      <c r="BB169" s="74">
        <f t="shared" si="190"/>
        <v>0</v>
      </c>
      <c r="BC169" s="74">
        <f t="shared" si="190"/>
        <v>0</v>
      </c>
      <c r="BD169" s="74">
        <f t="shared" si="190"/>
        <v>0</v>
      </c>
      <c r="BE169" s="74">
        <f t="shared" si="190"/>
        <v>0</v>
      </c>
    </row>
    <row r="170" spans="1:57" ht="13.5" customHeight="1">
      <c r="A170" s="619"/>
      <c r="B170" s="253"/>
      <c r="C170" s="258"/>
      <c r="D170" s="71"/>
      <c r="E170" s="376"/>
      <c r="F170" s="376"/>
      <c r="G170" s="376"/>
      <c r="H170" s="376"/>
      <c r="I170" s="376"/>
      <c r="J170" s="376"/>
      <c r="K170" s="376"/>
      <c r="L170" s="376"/>
      <c r="M170" s="376"/>
      <c r="N170" s="376"/>
      <c r="O170" s="376"/>
      <c r="P170" s="376"/>
      <c r="Q170" s="376"/>
      <c r="R170" s="376"/>
      <c r="S170" s="376"/>
      <c r="T170" s="376"/>
      <c r="U170" s="376"/>
      <c r="V170" s="376"/>
      <c r="W170" s="376"/>
      <c r="X170" s="376"/>
      <c r="Y170" s="376"/>
      <c r="Z170" s="376"/>
      <c r="AA170" s="376"/>
      <c r="AB170" s="376"/>
      <c r="AC170" s="376"/>
      <c r="AD170" s="376"/>
      <c r="AE170" s="376"/>
      <c r="AF170" s="376"/>
      <c r="AG170" s="376"/>
      <c r="AH170" s="376"/>
      <c r="AI170" s="376"/>
      <c r="AJ170" s="376"/>
      <c r="AK170" s="69"/>
      <c r="AL170" s="74">
        <f t="shared" ref="AL170:BE170" si="191">AK170</f>
        <v>0</v>
      </c>
      <c r="AM170" s="74">
        <f t="shared" si="191"/>
        <v>0</v>
      </c>
      <c r="AN170" s="74">
        <f t="shared" si="191"/>
        <v>0</v>
      </c>
      <c r="AO170" s="74">
        <f t="shared" si="191"/>
        <v>0</v>
      </c>
      <c r="AP170" s="74">
        <f t="shared" si="191"/>
        <v>0</v>
      </c>
      <c r="AQ170" s="74">
        <f t="shared" si="191"/>
        <v>0</v>
      </c>
      <c r="AR170" s="74">
        <f t="shared" si="191"/>
        <v>0</v>
      </c>
      <c r="AS170" s="74">
        <f t="shared" si="191"/>
        <v>0</v>
      </c>
      <c r="AT170" s="74">
        <f t="shared" si="191"/>
        <v>0</v>
      </c>
      <c r="AU170" s="74">
        <f t="shared" si="191"/>
        <v>0</v>
      </c>
      <c r="AV170" s="74">
        <f t="shared" si="191"/>
        <v>0</v>
      </c>
      <c r="AW170" s="74">
        <f t="shared" si="191"/>
        <v>0</v>
      </c>
      <c r="AX170" s="74">
        <f t="shared" si="191"/>
        <v>0</v>
      </c>
      <c r="AY170" s="74">
        <f t="shared" si="191"/>
        <v>0</v>
      </c>
      <c r="AZ170" s="74">
        <f t="shared" si="191"/>
        <v>0</v>
      </c>
      <c r="BA170" s="74">
        <f t="shared" si="191"/>
        <v>0</v>
      </c>
      <c r="BB170" s="74">
        <f t="shared" si="191"/>
        <v>0</v>
      </c>
      <c r="BC170" s="74">
        <f t="shared" si="191"/>
        <v>0</v>
      </c>
      <c r="BD170" s="74">
        <f t="shared" si="191"/>
        <v>0</v>
      </c>
      <c r="BE170" s="74">
        <f t="shared" si="191"/>
        <v>0</v>
      </c>
    </row>
    <row r="171" spans="1:57" ht="13.5" customHeight="1">
      <c r="A171" s="619"/>
      <c r="B171" s="253"/>
      <c r="C171" s="258"/>
      <c r="D171" s="72" t="s">
        <v>131</v>
      </c>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4"/>
      <c r="AL171" s="74">
        <f t="shared" ref="AL171:BE171" si="192">AK171</f>
        <v>0</v>
      </c>
      <c r="AM171" s="74">
        <f t="shared" si="192"/>
        <v>0</v>
      </c>
      <c r="AN171" s="74">
        <f t="shared" si="192"/>
        <v>0</v>
      </c>
      <c r="AO171" s="74">
        <f t="shared" si="192"/>
        <v>0</v>
      </c>
      <c r="AP171" s="74">
        <f t="shared" si="192"/>
        <v>0</v>
      </c>
      <c r="AQ171" s="74">
        <f t="shared" si="192"/>
        <v>0</v>
      </c>
      <c r="AR171" s="74">
        <f t="shared" si="192"/>
        <v>0</v>
      </c>
      <c r="AS171" s="74">
        <f t="shared" si="192"/>
        <v>0</v>
      </c>
      <c r="AT171" s="74">
        <f t="shared" si="192"/>
        <v>0</v>
      </c>
      <c r="AU171" s="74">
        <f t="shared" si="192"/>
        <v>0</v>
      </c>
      <c r="AV171" s="74">
        <f t="shared" si="192"/>
        <v>0</v>
      </c>
      <c r="AW171" s="74">
        <f t="shared" si="192"/>
        <v>0</v>
      </c>
      <c r="AX171" s="74">
        <f t="shared" si="192"/>
        <v>0</v>
      </c>
      <c r="AY171" s="74">
        <f t="shared" si="192"/>
        <v>0</v>
      </c>
      <c r="AZ171" s="74">
        <f t="shared" si="192"/>
        <v>0</v>
      </c>
      <c r="BA171" s="74">
        <f t="shared" si="192"/>
        <v>0</v>
      </c>
      <c r="BB171" s="74">
        <f t="shared" si="192"/>
        <v>0</v>
      </c>
      <c r="BC171" s="74">
        <f t="shared" si="192"/>
        <v>0</v>
      </c>
      <c r="BD171" s="74">
        <f t="shared" si="192"/>
        <v>0</v>
      </c>
      <c r="BE171" s="74">
        <f t="shared" si="192"/>
        <v>0</v>
      </c>
    </row>
    <row r="172" spans="1:57" ht="13.5" customHeight="1">
      <c r="A172" s="619"/>
      <c r="B172" s="253"/>
      <c r="C172" s="258"/>
      <c r="D172" s="75" t="s">
        <v>132</v>
      </c>
      <c r="E172" s="447"/>
      <c r="F172" s="447"/>
      <c r="G172" s="447"/>
      <c r="H172" s="447"/>
      <c r="I172" s="447"/>
      <c r="J172" s="447"/>
      <c r="K172" s="447"/>
      <c r="L172" s="447"/>
      <c r="M172" s="447"/>
      <c r="N172" s="447"/>
      <c r="O172" s="447"/>
      <c r="P172" s="447"/>
      <c r="Q172" s="447"/>
      <c r="R172" s="447"/>
      <c r="S172" s="447"/>
      <c r="T172" s="447"/>
      <c r="U172" s="447"/>
      <c r="V172" s="447"/>
      <c r="W172" s="447"/>
      <c r="X172" s="447"/>
      <c r="Y172" s="447"/>
      <c r="Z172" s="447"/>
      <c r="AA172" s="447"/>
      <c r="AB172" s="447"/>
      <c r="AC172" s="447"/>
      <c r="AD172" s="447"/>
      <c r="AE172" s="447"/>
      <c r="AF172" s="447"/>
      <c r="AG172" s="447"/>
      <c r="AH172" s="447"/>
      <c r="AI172" s="447"/>
      <c r="AJ172" s="447"/>
      <c r="AK172" s="76"/>
      <c r="AL172" s="74">
        <f t="shared" ref="AL172:BE172" si="193">AK172</f>
        <v>0</v>
      </c>
      <c r="AM172" s="74">
        <f t="shared" si="193"/>
        <v>0</v>
      </c>
      <c r="AN172" s="74">
        <f t="shared" si="193"/>
        <v>0</v>
      </c>
      <c r="AO172" s="74">
        <f t="shared" si="193"/>
        <v>0</v>
      </c>
      <c r="AP172" s="74">
        <f t="shared" si="193"/>
        <v>0</v>
      </c>
      <c r="AQ172" s="74">
        <f t="shared" si="193"/>
        <v>0</v>
      </c>
      <c r="AR172" s="74">
        <f t="shared" si="193"/>
        <v>0</v>
      </c>
      <c r="AS172" s="74">
        <f t="shared" si="193"/>
        <v>0</v>
      </c>
      <c r="AT172" s="74">
        <f t="shared" si="193"/>
        <v>0</v>
      </c>
      <c r="AU172" s="74">
        <f t="shared" si="193"/>
        <v>0</v>
      </c>
      <c r="AV172" s="74">
        <f t="shared" si="193"/>
        <v>0</v>
      </c>
      <c r="AW172" s="74">
        <f t="shared" si="193"/>
        <v>0</v>
      </c>
      <c r="AX172" s="74">
        <f t="shared" si="193"/>
        <v>0</v>
      </c>
      <c r="AY172" s="74">
        <f t="shared" si="193"/>
        <v>0</v>
      </c>
      <c r="AZ172" s="74">
        <f t="shared" si="193"/>
        <v>0</v>
      </c>
      <c r="BA172" s="74">
        <f t="shared" si="193"/>
        <v>0</v>
      </c>
      <c r="BB172" s="74">
        <f t="shared" si="193"/>
        <v>0</v>
      </c>
      <c r="BC172" s="74">
        <f t="shared" si="193"/>
        <v>0</v>
      </c>
      <c r="BD172" s="74">
        <f t="shared" si="193"/>
        <v>0</v>
      </c>
      <c r="BE172" s="74">
        <f t="shared" si="193"/>
        <v>0</v>
      </c>
    </row>
    <row r="173" spans="1:57" ht="13.5" customHeight="1">
      <c r="A173" s="619">
        <v>4</v>
      </c>
      <c r="B173" s="253"/>
      <c r="C173" s="258" t="s">
        <v>133</v>
      </c>
      <c r="D173" s="77" t="s">
        <v>134</v>
      </c>
      <c r="E173" s="376">
        <f>'Costos Sector Eléctrico'!E146</f>
        <v>0</v>
      </c>
      <c r="F173" s="376">
        <f>'Costos Sector Eléctrico'!F146</f>
        <v>0</v>
      </c>
      <c r="G173" s="376">
        <f>'Costos Sector Eléctrico'!G146</f>
        <v>0</v>
      </c>
      <c r="H173" s="376">
        <f>'Costos Sector Eléctrico'!H146</f>
        <v>0</v>
      </c>
      <c r="I173" s="376">
        <f>'Costos Sector Eléctrico'!I146</f>
        <v>0</v>
      </c>
      <c r="J173" s="376">
        <f>'Costos Sector Eléctrico'!J146</f>
        <v>0</v>
      </c>
      <c r="K173" s="376">
        <f>'Costos Sector Eléctrico'!K146</f>
        <v>0</v>
      </c>
      <c r="L173" s="376">
        <f>'Costos Sector Eléctrico'!L146</f>
        <v>0</v>
      </c>
      <c r="M173" s="376">
        <f>'Costos Sector Eléctrico'!M146</f>
        <v>0</v>
      </c>
      <c r="N173" s="376">
        <f>'Costos Sector Eléctrico'!N146</f>
        <v>0</v>
      </c>
      <c r="O173" s="376">
        <f>'Costos Sector Eléctrico'!O146</f>
        <v>0</v>
      </c>
      <c r="P173" s="376">
        <f>'Costos Sector Eléctrico'!P146</f>
        <v>0</v>
      </c>
      <c r="Q173" s="376">
        <f>'Costos Sector Eléctrico'!Q146</f>
        <v>0</v>
      </c>
      <c r="R173" s="376">
        <f>'Costos Sector Eléctrico'!R146</f>
        <v>0</v>
      </c>
      <c r="S173" s="376">
        <f>'Costos Sector Eléctrico'!S146</f>
        <v>0</v>
      </c>
      <c r="T173" s="376">
        <f>'Costos Sector Eléctrico'!T146</f>
        <v>0</v>
      </c>
      <c r="U173" s="376">
        <f>'Costos Sector Eléctrico'!U146</f>
        <v>0</v>
      </c>
      <c r="V173" s="376">
        <f>'Costos Sector Eléctrico'!V146</f>
        <v>0</v>
      </c>
      <c r="W173" s="376">
        <f>'Costos Sector Eléctrico'!W146</f>
        <v>0</v>
      </c>
      <c r="X173" s="376">
        <f>'Costos Sector Eléctrico'!X146</f>
        <v>0</v>
      </c>
      <c r="Y173" s="376">
        <f>'Costos Sector Eléctrico'!Y146</f>
        <v>0</v>
      </c>
      <c r="Z173" s="376">
        <f>'Costos Sector Eléctrico'!Z146</f>
        <v>0</v>
      </c>
      <c r="AA173" s="376">
        <f>'Costos Sector Eléctrico'!AA146</f>
        <v>0</v>
      </c>
      <c r="AB173" s="376">
        <f>'Costos Sector Eléctrico'!AB146</f>
        <v>0</v>
      </c>
      <c r="AC173" s="376">
        <f>'Costos Sector Eléctrico'!AC146</f>
        <v>0</v>
      </c>
      <c r="AD173" s="376">
        <f>'Costos Sector Eléctrico'!AD146</f>
        <v>0</v>
      </c>
      <c r="AE173" s="376">
        <f>'Costos Sector Eléctrico'!AE146</f>
        <v>0</v>
      </c>
      <c r="AF173" s="376">
        <f>'Costos Sector Eléctrico'!AF146</f>
        <v>0</v>
      </c>
      <c r="AG173" s="376">
        <f>'Costos Sector Eléctrico'!AG146</f>
        <v>0</v>
      </c>
      <c r="AH173" s="376">
        <f>'Costos Sector Eléctrico'!AH146</f>
        <v>0</v>
      </c>
      <c r="AI173" s="376">
        <f>'Costos Sector Eléctrico'!AI146</f>
        <v>0</v>
      </c>
      <c r="AJ173" s="376">
        <f>'Costos Sector Eléctrico'!AJ146</f>
        <v>0</v>
      </c>
      <c r="AK173" s="69">
        <f>'Costos Sector Eléctrico'!AK146</f>
        <v>0</v>
      </c>
      <c r="AL173" s="74">
        <f t="shared" ref="AL173:BE173" si="194">AK173</f>
        <v>0</v>
      </c>
      <c r="AM173" s="74">
        <f t="shared" si="194"/>
        <v>0</v>
      </c>
      <c r="AN173" s="74">
        <f t="shared" si="194"/>
        <v>0</v>
      </c>
      <c r="AO173" s="74">
        <f t="shared" si="194"/>
        <v>0</v>
      </c>
      <c r="AP173" s="74">
        <f t="shared" si="194"/>
        <v>0</v>
      </c>
      <c r="AQ173" s="74">
        <f t="shared" si="194"/>
        <v>0</v>
      </c>
      <c r="AR173" s="74">
        <f t="shared" si="194"/>
        <v>0</v>
      </c>
      <c r="AS173" s="74">
        <f t="shared" si="194"/>
        <v>0</v>
      </c>
      <c r="AT173" s="74">
        <f t="shared" si="194"/>
        <v>0</v>
      </c>
      <c r="AU173" s="74">
        <f t="shared" si="194"/>
        <v>0</v>
      </c>
      <c r="AV173" s="74">
        <f t="shared" si="194"/>
        <v>0</v>
      </c>
      <c r="AW173" s="74">
        <f t="shared" si="194"/>
        <v>0</v>
      </c>
      <c r="AX173" s="74">
        <f t="shared" si="194"/>
        <v>0</v>
      </c>
      <c r="AY173" s="74">
        <f t="shared" si="194"/>
        <v>0</v>
      </c>
      <c r="AZ173" s="74">
        <f t="shared" si="194"/>
        <v>0</v>
      </c>
      <c r="BA173" s="74">
        <f t="shared" si="194"/>
        <v>0</v>
      </c>
      <c r="BB173" s="74">
        <f t="shared" si="194"/>
        <v>0</v>
      </c>
      <c r="BC173" s="74">
        <f t="shared" si="194"/>
        <v>0</v>
      </c>
      <c r="BD173" s="74">
        <f t="shared" si="194"/>
        <v>0</v>
      </c>
      <c r="BE173" s="74">
        <f t="shared" si="194"/>
        <v>0</v>
      </c>
    </row>
    <row r="174" spans="1:57" ht="13.5" customHeight="1">
      <c r="A174" s="619"/>
      <c r="B174" s="253"/>
      <c r="C174" s="258" t="s">
        <v>135</v>
      </c>
      <c r="D174" s="78" t="s">
        <v>136</v>
      </c>
      <c r="E174" s="453">
        <v>0</v>
      </c>
      <c r="F174" s="453">
        <v>0</v>
      </c>
      <c r="G174" s="453">
        <v>0</v>
      </c>
      <c r="H174" s="453">
        <v>0</v>
      </c>
      <c r="I174" s="453">
        <v>0</v>
      </c>
      <c r="J174" s="453">
        <v>0</v>
      </c>
      <c r="K174" s="453">
        <v>0</v>
      </c>
      <c r="L174" s="453">
        <v>0</v>
      </c>
      <c r="M174" s="453">
        <v>0</v>
      </c>
      <c r="N174" s="453">
        <v>0</v>
      </c>
      <c r="O174" s="453">
        <v>0</v>
      </c>
      <c r="P174" s="453">
        <v>0</v>
      </c>
      <c r="Q174" s="453">
        <v>0</v>
      </c>
      <c r="R174" s="453">
        <v>0</v>
      </c>
      <c r="S174" s="453">
        <v>0</v>
      </c>
      <c r="T174" s="453">
        <v>0</v>
      </c>
      <c r="U174" s="453">
        <v>0</v>
      </c>
      <c r="V174" s="453">
        <v>0</v>
      </c>
      <c r="W174" s="453">
        <v>0</v>
      </c>
      <c r="X174" s="453">
        <v>0</v>
      </c>
      <c r="Y174" s="453">
        <v>0</v>
      </c>
      <c r="Z174" s="453">
        <v>0</v>
      </c>
      <c r="AA174" s="453">
        <v>0</v>
      </c>
      <c r="AB174" s="453">
        <v>0</v>
      </c>
      <c r="AC174" s="453">
        <v>0</v>
      </c>
      <c r="AD174" s="453">
        <v>0</v>
      </c>
      <c r="AE174" s="453">
        <v>0</v>
      </c>
      <c r="AF174" s="453">
        <v>0</v>
      </c>
      <c r="AG174" s="453">
        <v>0</v>
      </c>
      <c r="AH174" s="453">
        <v>0</v>
      </c>
      <c r="AI174" s="453">
        <v>0</v>
      </c>
      <c r="AJ174" s="453">
        <v>0</v>
      </c>
      <c r="AK174" s="98">
        <v>0</v>
      </c>
      <c r="AL174" s="74">
        <f t="shared" ref="AL174:BE174" si="195">AK174</f>
        <v>0</v>
      </c>
      <c r="AM174" s="74">
        <f t="shared" si="195"/>
        <v>0</v>
      </c>
      <c r="AN174" s="74">
        <f t="shared" si="195"/>
        <v>0</v>
      </c>
      <c r="AO174" s="74">
        <f t="shared" si="195"/>
        <v>0</v>
      </c>
      <c r="AP174" s="74">
        <f t="shared" si="195"/>
        <v>0</v>
      </c>
      <c r="AQ174" s="74">
        <f t="shared" si="195"/>
        <v>0</v>
      </c>
      <c r="AR174" s="74">
        <f t="shared" si="195"/>
        <v>0</v>
      </c>
      <c r="AS174" s="74">
        <f t="shared" si="195"/>
        <v>0</v>
      </c>
      <c r="AT174" s="74">
        <f t="shared" si="195"/>
        <v>0</v>
      </c>
      <c r="AU174" s="74">
        <f t="shared" si="195"/>
        <v>0</v>
      </c>
      <c r="AV174" s="74">
        <f t="shared" si="195"/>
        <v>0</v>
      </c>
      <c r="AW174" s="74">
        <f t="shared" si="195"/>
        <v>0</v>
      </c>
      <c r="AX174" s="74">
        <f t="shared" si="195"/>
        <v>0</v>
      </c>
      <c r="AY174" s="74">
        <f t="shared" si="195"/>
        <v>0</v>
      </c>
      <c r="AZ174" s="74">
        <f t="shared" si="195"/>
        <v>0</v>
      </c>
      <c r="BA174" s="74">
        <f t="shared" si="195"/>
        <v>0</v>
      </c>
      <c r="BB174" s="74">
        <f t="shared" si="195"/>
        <v>0</v>
      </c>
      <c r="BC174" s="74">
        <f t="shared" si="195"/>
        <v>0</v>
      </c>
      <c r="BD174" s="74">
        <f t="shared" si="195"/>
        <v>0</v>
      </c>
      <c r="BE174" s="74">
        <f t="shared" si="195"/>
        <v>0</v>
      </c>
    </row>
    <row r="175" spans="1:57" ht="13.5" customHeight="1">
      <c r="A175" s="619"/>
      <c r="B175" s="253"/>
      <c r="C175" s="258"/>
      <c r="D175" s="78" t="s">
        <v>137</v>
      </c>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c r="AA175" s="262"/>
      <c r="AB175" s="262"/>
      <c r="AC175" s="262"/>
      <c r="AD175" s="262"/>
      <c r="AE175" s="262"/>
      <c r="AF175" s="262"/>
      <c r="AG175" s="262"/>
      <c r="AH175" s="262"/>
      <c r="AI175" s="262"/>
      <c r="AJ175" s="262"/>
      <c r="AK175" s="81"/>
      <c r="AL175" s="74">
        <f t="shared" ref="AL175:BE175" si="196">AK175</f>
        <v>0</v>
      </c>
      <c r="AM175" s="74">
        <f t="shared" si="196"/>
        <v>0</v>
      </c>
      <c r="AN175" s="74">
        <f t="shared" si="196"/>
        <v>0</v>
      </c>
      <c r="AO175" s="74">
        <f t="shared" si="196"/>
        <v>0</v>
      </c>
      <c r="AP175" s="74">
        <f t="shared" si="196"/>
        <v>0</v>
      </c>
      <c r="AQ175" s="74">
        <f t="shared" si="196"/>
        <v>0</v>
      </c>
      <c r="AR175" s="74">
        <f t="shared" si="196"/>
        <v>0</v>
      </c>
      <c r="AS175" s="74">
        <f t="shared" si="196"/>
        <v>0</v>
      </c>
      <c r="AT175" s="74">
        <f t="shared" si="196"/>
        <v>0</v>
      </c>
      <c r="AU175" s="74">
        <f t="shared" si="196"/>
        <v>0</v>
      </c>
      <c r="AV175" s="74">
        <f t="shared" si="196"/>
        <v>0</v>
      </c>
      <c r="AW175" s="74">
        <f t="shared" si="196"/>
        <v>0</v>
      </c>
      <c r="AX175" s="74">
        <f t="shared" si="196"/>
        <v>0</v>
      </c>
      <c r="AY175" s="74">
        <f t="shared" si="196"/>
        <v>0</v>
      </c>
      <c r="AZ175" s="74">
        <f t="shared" si="196"/>
        <v>0</v>
      </c>
      <c r="BA175" s="74">
        <f t="shared" si="196"/>
        <v>0</v>
      </c>
      <c r="BB175" s="74">
        <f t="shared" si="196"/>
        <v>0</v>
      </c>
      <c r="BC175" s="74">
        <f t="shared" si="196"/>
        <v>0</v>
      </c>
      <c r="BD175" s="74">
        <f t="shared" si="196"/>
        <v>0</v>
      </c>
      <c r="BE175" s="74">
        <f t="shared" si="196"/>
        <v>0</v>
      </c>
    </row>
    <row r="176" spans="1:57" ht="13.5" customHeight="1">
      <c r="A176" s="619"/>
      <c r="B176" s="253"/>
      <c r="C176" s="258"/>
      <c r="D176" s="75" t="s">
        <v>138</v>
      </c>
      <c r="E176" s="447"/>
      <c r="F176" s="447"/>
      <c r="G176" s="447"/>
      <c r="H176" s="447"/>
      <c r="I176" s="447"/>
      <c r="J176" s="447"/>
      <c r="K176" s="447"/>
      <c r="L176" s="447"/>
      <c r="M176" s="447"/>
      <c r="N176" s="447"/>
      <c r="O176" s="447"/>
      <c r="P176" s="447"/>
      <c r="Q176" s="447"/>
      <c r="R176" s="447"/>
      <c r="S176" s="447"/>
      <c r="T176" s="447"/>
      <c r="U176" s="447"/>
      <c r="V176" s="447"/>
      <c r="W176" s="447"/>
      <c r="X176" s="447"/>
      <c r="Y176" s="447"/>
      <c r="Z176" s="447"/>
      <c r="AA176" s="447"/>
      <c r="AB176" s="447"/>
      <c r="AC176" s="447"/>
      <c r="AD176" s="447"/>
      <c r="AE176" s="447"/>
      <c r="AF176" s="447"/>
      <c r="AG176" s="447"/>
      <c r="AH176" s="447"/>
      <c r="AI176" s="447"/>
      <c r="AJ176" s="447"/>
      <c r="AK176" s="76"/>
      <c r="AL176" s="74">
        <f t="shared" ref="AL176:BE176" si="197">AK176</f>
        <v>0</v>
      </c>
      <c r="AM176" s="74">
        <f t="shared" si="197"/>
        <v>0</v>
      </c>
      <c r="AN176" s="74">
        <f t="shared" si="197"/>
        <v>0</v>
      </c>
      <c r="AO176" s="74">
        <f t="shared" si="197"/>
        <v>0</v>
      </c>
      <c r="AP176" s="74">
        <f t="shared" si="197"/>
        <v>0</v>
      </c>
      <c r="AQ176" s="74">
        <f t="shared" si="197"/>
        <v>0</v>
      </c>
      <c r="AR176" s="74">
        <f t="shared" si="197"/>
        <v>0</v>
      </c>
      <c r="AS176" s="74">
        <f t="shared" si="197"/>
        <v>0</v>
      </c>
      <c r="AT176" s="74">
        <f t="shared" si="197"/>
        <v>0</v>
      </c>
      <c r="AU176" s="74">
        <f t="shared" si="197"/>
        <v>0</v>
      </c>
      <c r="AV176" s="74">
        <f t="shared" si="197"/>
        <v>0</v>
      </c>
      <c r="AW176" s="74">
        <f t="shared" si="197"/>
        <v>0</v>
      </c>
      <c r="AX176" s="74">
        <f t="shared" si="197"/>
        <v>0</v>
      </c>
      <c r="AY176" s="74">
        <f t="shared" si="197"/>
        <v>0</v>
      </c>
      <c r="AZ176" s="74">
        <f t="shared" si="197"/>
        <v>0</v>
      </c>
      <c r="BA176" s="74">
        <f t="shared" si="197"/>
        <v>0</v>
      </c>
      <c r="BB176" s="74">
        <f t="shared" si="197"/>
        <v>0</v>
      </c>
      <c r="BC176" s="74">
        <f t="shared" si="197"/>
        <v>0</v>
      </c>
      <c r="BD176" s="74">
        <f t="shared" si="197"/>
        <v>0</v>
      </c>
      <c r="BE176" s="74">
        <f t="shared" si="197"/>
        <v>0</v>
      </c>
    </row>
    <row r="177" spans="1:57" ht="13.5" customHeight="1">
      <c r="A177" s="619">
        <v>2</v>
      </c>
      <c r="B177" s="253"/>
      <c r="C177" s="258" t="s">
        <v>165</v>
      </c>
      <c r="D177" s="77" t="s">
        <v>172</v>
      </c>
      <c r="E177" s="323">
        <f>'Costos Sector Eléctrico'!E155</f>
        <v>0.5559042748852957</v>
      </c>
      <c r="F177" s="323">
        <f>'Costos Sector Eléctrico'!F155</f>
        <v>0.5559042748852957</v>
      </c>
      <c r="G177" s="323">
        <f>'Costos Sector Eléctrico'!G155</f>
        <v>0.5559042748852957</v>
      </c>
      <c r="H177" s="323">
        <f>'Costos Sector Eléctrico'!H155</f>
        <v>0.5559042748852957</v>
      </c>
      <c r="I177" s="323">
        <f>'Costos Sector Eléctrico'!I155</f>
        <v>0.5559042748852957</v>
      </c>
      <c r="J177" s="323">
        <f>'Costos Sector Eléctrico'!J155</f>
        <v>0.5559042748852957</v>
      </c>
      <c r="K177" s="323">
        <f>'Costos Sector Eléctrico'!K155</f>
        <v>0.5559042748852957</v>
      </c>
      <c r="L177" s="323">
        <f>'Costos Sector Eléctrico'!L155</f>
        <v>0.5559042748852957</v>
      </c>
      <c r="M177" s="323">
        <f>'Costos Sector Eléctrico'!M155</f>
        <v>0.5559042748852957</v>
      </c>
      <c r="N177" s="323">
        <f>'Costos Sector Eléctrico'!N155</f>
        <v>0.5559042748852957</v>
      </c>
      <c r="O177" s="323">
        <f>'Costos Sector Eléctrico'!O155</f>
        <v>0.5559042748852957</v>
      </c>
      <c r="P177" s="323">
        <f>'Costos Sector Eléctrico'!P155</f>
        <v>0.5559042748852957</v>
      </c>
      <c r="Q177" s="323">
        <f>'Costos Sector Eléctrico'!Q155</f>
        <v>0.5559042748852957</v>
      </c>
      <c r="R177" s="323">
        <f>'Costos Sector Eléctrico'!R155</f>
        <v>0.5559042748852957</v>
      </c>
      <c r="S177" s="323">
        <f>'Costos Sector Eléctrico'!S155</f>
        <v>0.5559042748852957</v>
      </c>
      <c r="T177" s="323">
        <f>'Costos Sector Eléctrico'!T155</f>
        <v>0.5559042748852957</v>
      </c>
      <c r="U177" s="323">
        <f>'Costos Sector Eléctrico'!U155</f>
        <v>0.5559042748852957</v>
      </c>
      <c r="V177" s="323">
        <f>'Costos Sector Eléctrico'!V155</f>
        <v>0.5559042748852957</v>
      </c>
      <c r="W177" s="323">
        <f>'Costos Sector Eléctrico'!W155</f>
        <v>0.5559042748852957</v>
      </c>
      <c r="X177" s="323">
        <f>'Costos Sector Eléctrico'!X155</f>
        <v>0.5559042748852957</v>
      </c>
      <c r="Y177" s="323">
        <f>'Costos Sector Eléctrico'!Y155</f>
        <v>0.5559042748852957</v>
      </c>
      <c r="Z177" s="323">
        <f>'Costos Sector Eléctrico'!Z155</f>
        <v>0.5559042748852957</v>
      </c>
      <c r="AA177" s="323">
        <f>'Costos Sector Eléctrico'!AA155</f>
        <v>0.5559042748852957</v>
      </c>
      <c r="AB177" s="323">
        <f>'Costos Sector Eléctrico'!AB155</f>
        <v>0.5559042748852957</v>
      </c>
      <c r="AC177" s="323">
        <f>'Costos Sector Eléctrico'!AC155</f>
        <v>0.5559042748852957</v>
      </c>
      <c r="AD177" s="323">
        <f>'Costos Sector Eléctrico'!AD155</f>
        <v>0.5559042748852957</v>
      </c>
      <c r="AE177" s="323">
        <f>'Costos Sector Eléctrico'!AE155</f>
        <v>0.5559042748852957</v>
      </c>
      <c r="AF177" s="323">
        <f>'Costos Sector Eléctrico'!AF155</f>
        <v>0.5559042748852957</v>
      </c>
      <c r="AG177" s="323">
        <f>'Costos Sector Eléctrico'!AG155</f>
        <v>0.5559042748852957</v>
      </c>
      <c r="AH177" s="323">
        <f>'Costos Sector Eléctrico'!AH155</f>
        <v>0.5559042748852957</v>
      </c>
      <c r="AI177" s="323">
        <f>'Costos Sector Eléctrico'!AI155</f>
        <v>0.5559042748852957</v>
      </c>
      <c r="AJ177" s="323">
        <f>'Costos Sector Eléctrico'!AJ155</f>
        <v>0.5559042748852957</v>
      </c>
      <c r="AK177" s="82">
        <f>'Costos Sector Eléctrico'!AK155</f>
        <v>0.5559042748852957</v>
      </c>
      <c r="AL177" s="80">
        <f t="shared" ref="AL177:BE177" si="198">AK177</f>
        <v>0.5559042748852957</v>
      </c>
      <c r="AM177" s="80">
        <f t="shared" si="198"/>
        <v>0.5559042748852957</v>
      </c>
      <c r="AN177" s="80">
        <f t="shared" si="198"/>
        <v>0.5559042748852957</v>
      </c>
      <c r="AO177" s="80">
        <f t="shared" si="198"/>
        <v>0.5559042748852957</v>
      </c>
      <c r="AP177" s="80">
        <f t="shared" si="198"/>
        <v>0.5559042748852957</v>
      </c>
      <c r="AQ177" s="80">
        <f t="shared" si="198"/>
        <v>0.5559042748852957</v>
      </c>
      <c r="AR177" s="80">
        <f t="shared" si="198"/>
        <v>0.5559042748852957</v>
      </c>
      <c r="AS177" s="80">
        <f t="shared" si="198"/>
        <v>0.5559042748852957</v>
      </c>
      <c r="AT177" s="80">
        <f t="shared" si="198"/>
        <v>0.5559042748852957</v>
      </c>
      <c r="AU177" s="80">
        <f t="shared" si="198"/>
        <v>0.5559042748852957</v>
      </c>
      <c r="AV177" s="80">
        <f t="shared" si="198"/>
        <v>0.5559042748852957</v>
      </c>
      <c r="AW177" s="80">
        <f t="shared" si="198"/>
        <v>0.5559042748852957</v>
      </c>
      <c r="AX177" s="80">
        <f t="shared" si="198"/>
        <v>0.5559042748852957</v>
      </c>
      <c r="AY177" s="80">
        <f t="shared" si="198"/>
        <v>0.5559042748852957</v>
      </c>
      <c r="AZ177" s="80">
        <f t="shared" si="198"/>
        <v>0.5559042748852957</v>
      </c>
      <c r="BA177" s="80">
        <f t="shared" si="198"/>
        <v>0.5559042748852957</v>
      </c>
      <c r="BB177" s="80">
        <f t="shared" si="198"/>
        <v>0.5559042748852957</v>
      </c>
      <c r="BC177" s="80">
        <f t="shared" si="198"/>
        <v>0.5559042748852957</v>
      </c>
      <c r="BD177" s="80">
        <f t="shared" si="198"/>
        <v>0.5559042748852957</v>
      </c>
      <c r="BE177" s="80">
        <f t="shared" si="198"/>
        <v>0.5559042748852957</v>
      </c>
    </row>
    <row r="178" spans="1:57" ht="13.5" customHeight="1">
      <c r="A178" s="619">
        <v>2</v>
      </c>
      <c r="B178" s="253"/>
      <c r="C178" s="258" t="s">
        <v>167</v>
      </c>
      <c r="D178" s="77" t="s">
        <v>174</v>
      </c>
      <c r="E178" s="323">
        <f>'Costos Sector Eléctrico'!E156</f>
        <v>0.5559042748852957</v>
      </c>
      <c r="F178" s="323">
        <f>'Costos Sector Eléctrico'!F156</f>
        <v>0.5559042748852957</v>
      </c>
      <c r="G178" s="323">
        <f>'Costos Sector Eléctrico'!G156</f>
        <v>0.5559042748852957</v>
      </c>
      <c r="H178" s="323">
        <f>'Costos Sector Eléctrico'!H156</f>
        <v>0.5559042748852957</v>
      </c>
      <c r="I178" s="323">
        <f>'Costos Sector Eléctrico'!I156</f>
        <v>0.5559042748852957</v>
      </c>
      <c r="J178" s="323">
        <f>'Costos Sector Eléctrico'!J156</f>
        <v>0.5559042748852957</v>
      </c>
      <c r="K178" s="323">
        <f>'Costos Sector Eléctrico'!K156</f>
        <v>0.5559042748852957</v>
      </c>
      <c r="L178" s="323">
        <f>'Costos Sector Eléctrico'!L156</f>
        <v>0.5559042748852957</v>
      </c>
      <c r="M178" s="323">
        <f>'Costos Sector Eléctrico'!M156</f>
        <v>0.5559042748852957</v>
      </c>
      <c r="N178" s="323">
        <f>'Costos Sector Eléctrico'!N156</f>
        <v>0.5559042748852957</v>
      </c>
      <c r="O178" s="323">
        <f>'Costos Sector Eléctrico'!O156</f>
        <v>0.5559042748852957</v>
      </c>
      <c r="P178" s="323">
        <f>'Costos Sector Eléctrico'!P156</f>
        <v>0.5559042748852957</v>
      </c>
      <c r="Q178" s="323">
        <f>'Costos Sector Eléctrico'!Q156</f>
        <v>0.5559042748852957</v>
      </c>
      <c r="R178" s="323">
        <f>'Costos Sector Eléctrico'!R156</f>
        <v>0.5559042748852957</v>
      </c>
      <c r="S178" s="323">
        <f>'Costos Sector Eléctrico'!S156</f>
        <v>0.5559042748852957</v>
      </c>
      <c r="T178" s="323">
        <f>'Costos Sector Eléctrico'!T156</f>
        <v>0.5559042748852957</v>
      </c>
      <c r="U178" s="323">
        <f>'Costos Sector Eléctrico'!U156</f>
        <v>0.5559042748852957</v>
      </c>
      <c r="V178" s="323">
        <f>'Costos Sector Eléctrico'!V156</f>
        <v>0.5559042748852957</v>
      </c>
      <c r="W178" s="323">
        <f>'Costos Sector Eléctrico'!W156</f>
        <v>0.5559042748852957</v>
      </c>
      <c r="X178" s="323">
        <f>'Costos Sector Eléctrico'!X156</f>
        <v>0.5559042748852957</v>
      </c>
      <c r="Y178" s="323">
        <f>'Costos Sector Eléctrico'!Y156</f>
        <v>0.5559042748852957</v>
      </c>
      <c r="Z178" s="323">
        <f>'Costos Sector Eléctrico'!Z156</f>
        <v>0.5559042748852957</v>
      </c>
      <c r="AA178" s="323">
        <f>'Costos Sector Eléctrico'!AA156</f>
        <v>0.5559042748852957</v>
      </c>
      <c r="AB178" s="323">
        <f>'Costos Sector Eléctrico'!AB156</f>
        <v>0.5559042748852957</v>
      </c>
      <c r="AC178" s="323">
        <f>'Costos Sector Eléctrico'!AC156</f>
        <v>0.5559042748852957</v>
      </c>
      <c r="AD178" s="323">
        <f>'Costos Sector Eléctrico'!AD156</f>
        <v>0.5559042748852957</v>
      </c>
      <c r="AE178" s="323">
        <f>'Costos Sector Eléctrico'!AE156</f>
        <v>0.5559042748852957</v>
      </c>
      <c r="AF178" s="323">
        <f>'Costos Sector Eléctrico'!AF156</f>
        <v>0.5559042748852957</v>
      </c>
      <c r="AG178" s="323">
        <f>'Costos Sector Eléctrico'!AG156</f>
        <v>0.5559042748852957</v>
      </c>
      <c r="AH178" s="323">
        <f>'Costos Sector Eléctrico'!AH156</f>
        <v>0.5559042748852957</v>
      </c>
      <c r="AI178" s="323">
        <f>'Costos Sector Eléctrico'!AI156</f>
        <v>0.5559042748852957</v>
      </c>
      <c r="AJ178" s="323">
        <f>'Costos Sector Eléctrico'!AJ156</f>
        <v>0.5559042748852957</v>
      </c>
      <c r="AK178" s="82">
        <f>'Costos Sector Eléctrico'!AK156</f>
        <v>0.5559042748852957</v>
      </c>
      <c r="AL178" s="80">
        <f t="shared" ref="AL178:BE178" si="199">AK178</f>
        <v>0.5559042748852957</v>
      </c>
      <c r="AM178" s="80">
        <f t="shared" si="199"/>
        <v>0.5559042748852957</v>
      </c>
      <c r="AN178" s="80">
        <f t="shared" si="199"/>
        <v>0.5559042748852957</v>
      </c>
      <c r="AO178" s="80">
        <f t="shared" si="199"/>
        <v>0.5559042748852957</v>
      </c>
      <c r="AP178" s="80">
        <f t="shared" si="199"/>
        <v>0.5559042748852957</v>
      </c>
      <c r="AQ178" s="80">
        <f t="shared" si="199"/>
        <v>0.5559042748852957</v>
      </c>
      <c r="AR178" s="80">
        <f t="shared" si="199"/>
        <v>0.5559042748852957</v>
      </c>
      <c r="AS178" s="80">
        <f t="shared" si="199"/>
        <v>0.5559042748852957</v>
      </c>
      <c r="AT178" s="80">
        <f t="shared" si="199"/>
        <v>0.5559042748852957</v>
      </c>
      <c r="AU178" s="80">
        <f t="shared" si="199"/>
        <v>0.5559042748852957</v>
      </c>
      <c r="AV178" s="80">
        <f t="shared" si="199"/>
        <v>0.5559042748852957</v>
      </c>
      <c r="AW178" s="80">
        <f t="shared" si="199"/>
        <v>0.5559042748852957</v>
      </c>
      <c r="AX178" s="80">
        <f t="shared" si="199"/>
        <v>0.5559042748852957</v>
      </c>
      <c r="AY178" s="80">
        <f t="shared" si="199"/>
        <v>0.5559042748852957</v>
      </c>
      <c r="AZ178" s="80">
        <f t="shared" si="199"/>
        <v>0.5559042748852957</v>
      </c>
      <c r="BA178" s="80">
        <f t="shared" si="199"/>
        <v>0.5559042748852957</v>
      </c>
      <c r="BB178" s="80">
        <f t="shared" si="199"/>
        <v>0.5559042748852957</v>
      </c>
      <c r="BC178" s="80">
        <f t="shared" si="199"/>
        <v>0.5559042748852957</v>
      </c>
      <c r="BD178" s="80">
        <f t="shared" si="199"/>
        <v>0.5559042748852957</v>
      </c>
      <c r="BE178" s="80">
        <f t="shared" si="199"/>
        <v>0.5559042748852957</v>
      </c>
    </row>
    <row r="179" spans="1:57" ht="13.5" customHeight="1">
      <c r="A179" s="619">
        <v>2</v>
      </c>
      <c r="B179" s="253"/>
      <c r="C179" s="258" t="s">
        <v>169</v>
      </c>
      <c r="D179" s="77" t="s">
        <v>176</v>
      </c>
      <c r="E179" s="323">
        <f>'Costos Sector Eléctrico'!E157</f>
        <v>0.5559042748852957</v>
      </c>
      <c r="F179" s="323">
        <f>'Costos Sector Eléctrico'!F157</f>
        <v>0.5559042748852957</v>
      </c>
      <c r="G179" s="323">
        <f>'Costos Sector Eléctrico'!G157</f>
        <v>0.5559042748852957</v>
      </c>
      <c r="H179" s="323">
        <f>'Costos Sector Eléctrico'!H157</f>
        <v>0.5559042748852957</v>
      </c>
      <c r="I179" s="323">
        <f>'Costos Sector Eléctrico'!I157</f>
        <v>0.5559042748852957</v>
      </c>
      <c r="J179" s="323">
        <f>'Costos Sector Eléctrico'!J157</f>
        <v>0.5559042748852957</v>
      </c>
      <c r="K179" s="323">
        <f>'Costos Sector Eléctrico'!K157</f>
        <v>0.5559042748852957</v>
      </c>
      <c r="L179" s="323">
        <f>'Costos Sector Eléctrico'!L157</f>
        <v>0.5559042748852957</v>
      </c>
      <c r="M179" s="323">
        <f>'Costos Sector Eléctrico'!M157</f>
        <v>0.5559042748852957</v>
      </c>
      <c r="N179" s="323">
        <f>'Costos Sector Eléctrico'!N157</f>
        <v>0.5559042748852957</v>
      </c>
      <c r="O179" s="323">
        <f>'Costos Sector Eléctrico'!O157</f>
        <v>0.5559042748852957</v>
      </c>
      <c r="P179" s="323">
        <f>'Costos Sector Eléctrico'!P157</f>
        <v>0.5559042748852957</v>
      </c>
      <c r="Q179" s="323">
        <f>'Costos Sector Eléctrico'!Q157</f>
        <v>0.5559042748852957</v>
      </c>
      <c r="R179" s="323">
        <f>'Costos Sector Eléctrico'!R157</f>
        <v>0.5559042748852957</v>
      </c>
      <c r="S179" s="323">
        <f>'Costos Sector Eléctrico'!S157</f>
        <v>0.5559042748852957</v>
      </c>
      <c r="T179" s="323">
        <f>'Costos Sector Eléctrico'!T157</f>
        <v>0.5559042748852957</v>
      </c>
      <c r="U179" s="323">
        <f>'Costos Sector Eléctrico'!U157</f>
        <v>0.5559042748852957</v>
      </c>
      <c r="V179" s="323">
        <f>'Costos Sector Eléctrico'!V157</f>
        <v>0.5559042748852957</v>
      </c>
      <c r="W179" s="323">
        <f>'Costos Sector Eléctrico'!W157</f>
        <v>0.5559042748852957</v>
      </c>
      <c r="X179" s="323">
        <f>'Costos Sector Eléctrico'!X157</f>
        <v>0.5559042748852957</v>
      </c>
      <c r="Y179" s="323">
        <f>'Costos Sector Eléctrico'!Y157</f>
        <v>0.5559042748852957</v>
      </c>
      <c r="Z179" s="323">
        <f>'Costos Sector Eléctrico'!Z157</f>
        <v>0.5559042748852957</v>
      </c>
      <c r="AA179" s="323">
        <f>'Costos Sector Eléctrico'!AA157</f>
        <v>0.5559042748852957</v>
      </c>
      <c r="AB179" s="323">
        <f>'Costos Sector Eléctrico'!AB157</f>
        <v>0.5559042748852957</v>
      </c>
      <c r="AC179" s="323">
        <f>'Costos Sector Eléctrico'!AC157</f>
        <v>0.5559042748852957</v>
      </c>
      <c r="AD179" s="323">
        <f>'Costos Sector Eléctrico'!AD157</f>
        <v>0.5559042748852957</v>
      </c>
      <c r="AE179" s="323">
        <f>'Costos Sector Eléctrico'!AE157</f>
        <v>0.5559042748852957</v>
      </c>
      <c r="AF179" s="323">
        <f>'Costos Sector Eléctrico'!AF157</f>
        <v>0.5559042748852957</v>
      </c>
      <c r="AG179" s="323">
        <f>'Costos Sector Eléctrico'!AG157</f>
        <v>0.5559042748852957</v>
      </c>
      <c r="AH179" s="323">
        <f>'Costos Sector Eléctrico'!AH157</f>
        <v>0.5559042748852957</v>
      </c>
      <c r="AI179" s="323">
        <f>'Costos Sector Eléctrico'!AI157</f>
        <v>0.5559042748852957</v>
      </c>
      <c r="AJ179" s="323">
        <f>'Costos Sector Eléctrico'!AJ157</f>
        <v>0.5559042748852957</v>
      </c>
      <c r="AK179" s="82">
        <f>'Costos Sector Eléctrico'!AK157</f>
        <v>0.5559042748852957</v>
      </c>
      <c r="AL179" s="80">
        <f t="shared" ref="AL179:BE179" si="200">AK179</f>
        <v>0.5559042748852957</v>
      </c>
      <c r="AM179" s="80">
        <f t="shared" si="200"/>
        <v>0.5559042748852957</v>
      </c>
      <c r="AN179" s="80">
        <f t="shared" si="200"/>
        <v>0.5559042748852957</v>
      </c>
      <c r="AO179" s="80">
        <f t="shared" si="200"/>
        <v>0.5559042748852957</v>
      </c>
      <c r="AP179" s="80">
        <f t="shared" si="200"/>
        <v>0.5559042748852957</v>
      </c>
      <c r="AQ179" s="80">
        <f t="shared" si="200"/>
        <v>0.5559042748852957</v>
      </c>
      <c r="AR179" s="80">
        <f t="shared" si="200"/>
        <v>0.5559042748852957</v>
      </c>
      <c r="AS179" s="80">
        <f t="shared" si="200"/>
        <v>0.5559042748852957</v>
      </c>
      <c r="AT179" s="80">
        <f t="shared" si="200"/>
        <v>0.5559042748852957</v>
      </c>
      <c r="AU179" s="80">
        <f t="shared" si="200"/>
        <v>0.5559042748852957</v>
      </c>
      <c r="AV179" s="80">
        <f t="shared" si="200"/>
        <v>0.5559042748852957</v>
      </c>
      <c r="AW179" s="80">
        <f t="shared" si="200"/>
        <v>0.5559042748852957</v>
      </c>
      <c r="AX179" s="80">
        <f t="shared" si="200"/>
        <v>0.5559042748852957</v>
      </c>
      <c r="AY179" s="80">
        <f t="shared" si="200"/>
        <v>0.5559042748852957</v>
      </c>
      <c r="AZ179" s="80">
        <f t="shared" si="200"/>
        <v>0.5559042748852957</v>
      </c>
      <c r="BA179" s="80">
        <f t="shared" si="200"/>
        <v>0.5559042748852957</v>
      </c>
      <c r="BB179" s="80">
        <f t="shared" si="200"/>
        <v>0.5559042748852957</v>
      </c>
      <c r="BC179" s="80">
        <f t="shared" si="200"/>
        <v>0.5559042748852957</v>
      </c>
      <c r="BD179" s="80">
        <f t="shared" si="200"/>
        <v>0.5559042748852957</v>
      </c>
      <c r="BE179" s="80">
        <f t="shared" si="200"/>
        <v>0.5559042748852957</v>
      </c>
    </row>
    <row r="180" spans="1:57" ht="13.5" customHeight="1">
      <c r="A180" s="619">
        <v>2</v>
      </c>
      <c r="B180" s="253"/>
      <c r="C180" s="258" t="s">
        <v>171</v>
      </c>
      <c r="D180" s="77" t="s">
        <v>166</v>
      </c>
      <c r="E180" s="323">
        <f>'Costos Sector Eléctrico'!E158</f>
        <v>0.5559042748852957</v>
      </c>
      <c r="F180" s="323">
        <f>'Costos Sector Eléctrico'!F158</f>
        <v>0.5559042748852957</v>
      </c>
      <c r="G180" s="323">
        <f>'Costos Sector Eléctrico'!G158</f>
        <v>0.5559042748852957</v>
      </c>
      <c r="H180" s="323">
        <f>'Costos Sector Eléctrico'!H158</f>
        <v>0.5559042748852957</v>
      </c>
      <c r="I180" s="323">
        <f>'Costos Sector Eléctrico'!I158</f>
        <v>0.5559042748852957</v>
      </c>
      <c r="J180" s="323">
        <f>'Costos Sector Eléctrico'!J158</f>
        <v>0.5559042748852957</v>
      </c>
      <c r="K180" s="323">
        <f>'Costos Sector Eléctrico'!K158</f>
        <v>0.5559042748852957</v>
      </c>
      <c r="L180" s="323">
        <f>'Costos Sector Eléctrico'!L158</f>
        <v>0.5559042748852957</v>
      </c>
      <c r="M180" s="323">
        <f>'Costos Sector Eléctrico'!M158</f>
        <v>0.5559042748852957</v>
      </c>
      <c r="N180" s="323">
        <f>'Costos Sector Eléctrico'!N158</f>
        <v>0.5559042748852957</v>
      </c>
      <c r="O180" s="323">
        <f>'Costos Sector Eléctrico'!O158</f>
        <v>0.5559042748852957</v>
      </c>
      <c r="P180" s="323">
        <f>'Costos Sector Eléctrico'!P158</f>
        <v>0.5559042748852957</v>
      </c>
      <c r="Q180" s="323">
        <f>'Costos Sector Eléctrico'!Q158</f>
        <v>0.5559042748852957</v>
      </c>
      <c r="R180" s="323">
        <f>'Costos Sector Eléctrico'!R158</f>
        <v>0.5559042748852957</v>
      </c>
      <c r="S180" s="323">
        <f>'Costos Sector Eléctrico'!S158</f>
        <v>0.5559042748852957</v>
      </c>
      <c r="T180" s="323">
        <f>'Costos Sector Eléctrico'!T158</f>
        <v>0.5559042748852957</v>
      </c>
      <c r="U180" s="323">
        <f>'Costos Sector Eléctrico'!U158</f>
        <v>0.5559042748852957</v>
      </c>
      <c r="V180" s="323">
        <f>'Costos Sector Eléctrico'!V158</f>
        <v>0.5559042748852957</v>
      </c>
      <c r="W180" s="323">
        <f>'Costos Sector Eléctrico'!W158</f>
        <v>0.5559042748852957</v>
      </c>
      <c r="X180" s="323">
        <f>'Costos Sector Eléctrico'!X158</f>
        <v>0.5559042748852957</v>
      </c>
      <c r="Y180" s="323">
        <f>'Costos Sector Eléctrico'!Y158</f>
        <v>0.5559042748852957</v>
      </c>
      <c r="Z180" s="323">
        <f>'Costos Sector Eléctrico'!Z158</f>
        <v>0.5559042748852957</v>
      </c>
      <c r="AA180" s="323">
        <f>'Costos Sector Eléctrico'!AA158</f>
        <v>0.5559042748852957</v>
      </c>
      <c r="AB180" s="323">
        <f>'Costos Sector Eléctrico'!AB158</f>
        <v>0.5559042748852957</v>
      </c>
      <c r="AC180" s="323">
        <f>'Costos Sector Eléctrico'!AC158</f>
        <v>0.5559042748852957</v>
      </c>
      <c r="AD180" s="323">
        <f>'Costos Sector Eléctrico'!AD158</f>
        <v>0.5559042748852957</v>
      </c>
      <c r="AE180" s="323">
        <f>'Costos Sector Eléctrico'!AE158</f>
        <v>0.5559042748852957</v>
      </c>
      <c r="AF180" s="323">
        <f>'Costos Sector Eléctrico'!AF158</f>
        <v>0.5559042748852957</v>
      </c>
      <c r="AG180" s="323">
        <f>'Costos Sector Eléctrico'!AG158</f>
        <v>0.5559042748852957</v>
      </c>
      <c r="AH180" s="323">
        <f>'Costos Sector Eléctrico'!AH158</f>
        <v>0.5559042748852957</v>
      </c>
      <c r="AI180" s="323">
        <f>'Costos Sector Eléctrico'!AI158</f>
        <v>0.5559042748852957</v>
      </c>
      <c r="AJ180" s="323">
        <f>'Costos Sector Eléctrico'!AJ158</f>
        <v>0.5559042748852957</v>
      </c>
      <c r="AK180" s="82">
        <f>'Costos Sector Eléctrico'!AK158</f>
        <v>0.5559042748852957</v>
      </c>
      <c r="AL180" s="80">
        <f t="shared" ref="AL180:BE180" si="201">AK180</f>
        <v>0.5559042748852957</v>
      </c>
      <c r="AM180" s="80">
        <f t="shared" si="201"/>
        <v>0.5559042748852957</v>
      </c>
      <c r="AN180" s="80">
        <f t="shared" si="201"/>
        <v>0.5559042748852957</v>
      </c>
      <c r="AO180" s="80">
        <f t="shared" si="201"/>
        <v>0.5559042748852957</v>
      </c>
      <c r="AP180" s="80">
        <f t="shared" si="201"/>
        <v>0.5559042748852957</v>
      </c>
      <c r="AQ180" s="80">
        <f t="shared" si="201"/>
        <v>0.5559042748852957</v>
      </c>
      <c r="AR180" s="80">
        <f t="shared" si="201"/>
        <v>0.5559042748852957</v>
      </c>
      <c r="AS180" s="80">
        <f t="shared" si="201"/>
        <v>0.5559042748852957</v>
      </c>
      <c r="AT180" s="80">
        <f t="shared" si="201"/>
        <v>0.5559042748852957</v>
      </c>
      <c r="AU180" s="80">
        <f t="shared" si="201"/>
        <v>0.5559042748852957</v>
      </c>
      <c r="AV180" s="80">
        <f t="shared" si="201"/>
        <v>0.5559042748852957</v>
      </c>
      <c r="AW180" s="80">
        <f t="shared" si="201"/>
        <v>0.5559042748852957</v>
      </c>
      <c r="AX180" s="80">
        <f t="shared" si="201"/>
        <v>0.5559042748852957</v>
      </c>
      <c r="AY180" s="80">
        <f t="shared" si="201"/>
        <v>0.5559042748852957</v>
      </c>
      <c r="AZ180" s="80">
        <f t="shared" si="201"/>
        <v>0.5559042748852957</v>
      </c>
      <c r="BA180" s="80">
        <f t="shared" si="201"/>
        <v>0.5559042748852957</v>
      </c>
      <c r="BB180" s="80">
        <f t="shared" si="201"/>
        <v>0.5559042748852957</v>
      </c>
      <c r="BC180" s="80">
        <f t="shared" si="201"/>
        <v>0.5559042748852957</v>
      </c>
      <c r="BD180" s="80">
        <f t="shared" si="201"/>
        <v>0.5559042748852957</v>
      </c>
      <c r="BE180" s="80">
        <f t="shared" si="201"/>
        <v>0.5559042748852957</v>
      </c>
    </row>
    <row r="181" spans="1:57" ht="13.5" customHeight="1">
      <c r="A181" s="619">
        <v>2</v>
      </c>
      <c r="B181" s="253"/>
      <c r="C181" s="258" t="s">
        <v>173</v>
      </c>
      <c r="D181" s="77" t="s">
        <v>168</v>
      </c>
      <c r="E181" s="323">
        <f>'Costos Sector Eléctrico'!E159</f>
        <v>0.5559042748852957</v>
      </c>
      <c r="F181" s="323">
        <f>'Costos Sector Eléctrico'!F159</f>
        <v>0.5559042748852957</v>
      </c>
      <c r="G181" s="323">
        <f>'Costos Sector Eléctrico'!G159</f>
        <v>0.5559042748852957</v>
      </c>
      <c r="H181" s="323">
        <f>'Costos Sector Eléctrico'!H159</f>
        <v>0.5559042748852957</v>
      </c>
      <c r="I181" s="323">
        <f>'Costos Sector Eléctrico'!I159</f>
        <v>0.5559042748852957</v>
      </c>
      <c r="J181" s="323">
        <f>'Costos Sector Eléctrico'!J159</f>
        <v>0.5559042748852957</v>
      </c>
      <c r="K181" s="323">
        <f>'Costos Sector Eléctrico'!K159</f>
        <v>0.5559042748852957</v>
      </c>
      <c r="L181" s="323">
        <f>'Costos Sector Eléctrico'!L159</f>
        <v>0.5559042748852957</v>
      </c>
      <c r="M181" s="323">
        <f>'Costos Sector Eléctrico'!M159</f>
        <v>0.5559042748852957</v>
      </c>
      <c r="N181" s="323">
        <f>'Costos Sector Eléctrico'!N159</f>
        <v>0.5559042748852957</v>
      </c>
      <c r="O181" s="323">
        <f>'Costos Sector Eléctrico'!O159</f>
        <v>0.5559042748852957</v>
      </c>
      <c r="P181" s="323">
        <f>'Costos Sector Eléctrico'!P159</f>
        <v>0.5559042748852957</v>
      </c>
      <c r="Q181" s="323">
        <f>'Costos Sector Eléctrico'!Q159</f>
        <v>0.5559042748852957</v>
      </c>
      <c r="R181" s="323">
        <f>'Costos Sector Eléctrico'!R159</f>
        <v>0.5559042748852957</v>
      </c>
      <c r="S181" s="323">
        <f>'Costos Sector Eléctrico'!S159</f>
        <v>0.5559042748852957</v>
      </c>
      <c r="T181" s="323">
        <f>'Costos Sector Eléctrico'!T159</f>
        <v>0.5559042748852957</v>
      </c>
      <c r="U181" s="323">
        <f>'Costos Sector Eléctrico'!U159</f>
        <v>0.5559042748852957</v>
      </c>
      <c r="V181" s="323">
        <f>'Costos Sector Eléctrico'!V159</f>
        <v>0.5559042748852957</v>
      </c>
      <c r="W181" s="323">
        <f>'Costos Sector Eléctrico'!W159</f>
        <v>0.5559042748852957</v>
      </c>
      <c r="X181" s="323">
        <f>'Costos Sector Eléctrico'!X159</f>
        <v>0.5559042748852957</v>
      </c>
      <c r="Y181" s="323">
        <f>'Costos Sector Eléctrico'!Y159</f>
        <v>0.5559042748852957</v>
      </c>
      <c r="Z181" s="323">
        <f>'Costos Sector Eléctrico'!Z159</f>
        <v>0.5559042748852957</v>
      </c>
      <c r="AA181" s="323">
        <f>'Costos Sector Eléctrico'!AA159</f>
        <v>0.5559042748852957</v>
      </c>
      <c r="AB181" s="323">
        <f>'Costos Sector Eléctrico'!AB159</f>
        <v>0.5559042748852957</v>
      </c>
      <c r="AC181" s="323">
        <f>'Costos Sector Eléctrico'!AC159</f>
        <v>0.5559042748852957</v>
      </c>
      <c r="AD181" s="323">
        <f>'Costos Sector Eléctrico'!AD159</f>
        <v>0.5559042748852957</v>
      </c>
      <c r="AE181" s="323">
        <f>'Costos Sector Eléctrico'!AE159</f>
        <v>0.5559042748852957</v>
      </c>
      <c r="AF181" s="323">
        <f>'Costos Sector Eléctrico'!AF159</f>
        <v>0.5559042748852957</v>
      </c>
      <c r="AG181" s="323">
        <f>'Costos Sector Eléctrico'!AG159</f>
        <v>0.5559042748852957</v>
      </c>
      <c r="AH181" s="323">
        <f>'Costos Sector Eléctrico'!AH159</f>
        <v>0.5559042748852957</v>
      </c>
      <c r="AI181" s="323">
        <f>'Costos Sector Eléctrico'!AI159</f>
        <v>0.5559042748852957</v>
      </c>
      <c r="AJ181" s="323">
        <f>'Costos Sector Eléctrico'!AJ159</f>
        <v>0.5559042748852957</v>
      </c>
      <c r="AK181" s="82">
        <f>'Costos Sector Eléctrico'!AK159</f>
        <v>0.5559042748852957</v>
      </c>
      <c r="AL181" s="80">
        <f t="shared" ref="AL181:BE181" si="202">AK181</f>
        <v>0.5559042748852957</v>
      </c>
      <c r="AM181" s="80">
        <f t="shared" si="202"/>
        <v>0.5559042748852957</v>
      </c>
      <c r="AN181" s="80">
        <f t="shared" si="202"/>
        <v>0.5559042748852957</v>
      </c>
      <c r="AO181" s="80">
        <f t="shared" si="202"/>
        <v>0.5559042748852957</v>
      </c>
      <c r="AP181" s="80">
        <f t="shared" si="202"/>
        <v>0.5559042748852957</v>
      </c>
      <c r="AQ181" s="80">
        <f t="shared" si="202"/>
        <v>0.5559042748852957</v>
      </c>
      <c r="AR181" s="80">
        <f t="shared" si="202"/>
        <v>0.5559042748852957</v>
      </c>
      <c r="AS181" s="80">
        <f t="shared" si="202"/>
        <v>0.5559042748852957</v>
      </c>
      <c r="AT181" s="80">
        <f t="shared" si="202"/>
        <v>0.5559042748852957</v>
      </c>
      <c r="AU181" s="80">
        <f t="shared" si="202"/>
        <v>0.5559042748852957</v>
      </c>
      <c r="AV181" s="80">
        <f t="shared" si="202"/>
        <v>0.5559042748852957</v>
      </c>
      <c r="AW181" s="80">
        <f t="shared" si="202"/>
        <v>0.5559042748852957</v>
      </c>
      <c r="AX181" s="80">
        <f t="shared" si="202"/>
        <v>0.5559042748852957</v>
      </c>
      <c r="AY181" s="80">
        <f t="shared" si="202"/>
        <v>0.5559042748852957</v>
      </c>
      <c r="AZ181" s="80">
        <f t="shared" si="202"/>
        <v>0.5559042748852957</v>
      </c>
      <c r="BA181" s="80">
        <f t="shared" si="202"/>
        <v>0.5559042748852957</v>
      </c>
      <c r="BB181" s="80">
        <f t="shared" si="202"/>
        <v>0.5559042748852957</v>
      </c>
      <c r="BC181" s="80">
        <f t="shared" si="202"/>
        <v>0.5559042748852957</v>
      </c>
      <c r="BD181" s="80">
        <f t="shared" si="202"/>
        <v>0.5559042748852957</v>
      </c>
      <c r="BE181" s="80">
        <f t="shared" si="202"/>
        <v>0.5559042748852957</v>
      </c>
    </row>
    <row r="182" spans="1:57" ht="13.5" customHeight="1">
      <c r="A182" s="619">
        <v>2</v>
      </c>
      <c r="B182" s="253"/>
      <c r="C182" s="258" t="s">
        <v>175</v>
      </c>
      <c r="D182" s="77" t="s">
        <v>170</v>
      </c>
      <c r="E182" s="323">
        <f>'Costos Sector Eléctrico'!E160</f>
        <v>0.5559042748852957</v>
      </c>
      <c r="F182" s="323">
        <f>'Costos Sector Eléctrico'!F160</f>
        <v>0.5559042748852957</v>
      </c>
      <c r="G182" s="323">
        <f>'Costos Sector Eléctrico'!G160</f>
        <v>0.5559042748852957</v>
      </c>
      <c r="H182" s="323">
        <f>'Costos Sector Eléctrico'!H160</f>
        <v>0.5559042748852957</v>
      </c>
      <c r="I182" s="323">
        <f>'Costos Sector Eléctrico'!I160</f>
        <v>0.5559042748852957</v>
      </c>
      <c r="J182" s="323">
        <f>'Costos Sector Eléctrico'!J160</f>
        <v>0.5559042748852957</v>
      </c>
      <c r="K182" s="323">
        <f>'Costos Sector Eléctrico'!K160</f>
        <v>0.5559042748852957</v>
      </c>
      <c r="L182" s="323">
        <f>'Costos Sector Eléctrico'!L160</f>
        <v>0.5559042748852957</v>
      </c>
      <c r="M182" s="323">
        <f>'Costos Sector Eléctrico'!M160</f>
        <v>0.5559042748852957</v>
      </c>
      <c r="N182" s="323">
        <f>'Costos Sector Eléctrico'!N160</f>
        <v>0.5559042748852957</v>
      </c>
      <c r="O182" s="323">
        <f>'Costos Sector Eléctrico'!O160</f>
        <v>0.5559042748852957</v>
      </c>
      <c r="P182" s="323">
        <f>'Costos Sector Eléctrico'!P160</f>
        <v>0.5559042748852957</v>
      </c>
      <c r="Q182" s="323">
        <f>'Costos Sector Eléctrico'!Q160</f>
        <v>0.5559042748852957</v>
      </c>
      <c r="R182" s="323">
        <f>'Costos Sector Eléctrico'!R160</f>
        <v>0.5559042748852957</v>
      </c>
      <c r="S182" s="323">
        <f>'Costos Sector Eléctrico'!S160</f>
        <v>0.5559042748852957</v>
      </c>
      <c r="T182" s="323">
        <f>'Costos Sector Eléctrico'!T160</f>
        <v>0.5559042748852957</v>
      </c>
      <c r="U182" s="323">
        <f>'Costos Sector Eléctrico'!U160</f>
        <v>0.5559042748852957</v>
      </c>
      <c r="V182" s="323">
        <f>'Costos Sector Eléctrico'!V160</f>
        <v>0.5559042748852957</v>
      </c>
      <c r="W182" s="323">
        <f>'Costos Sector Eléctrico'!W160</f>
        <v>0.5559042748852957</v>
      </c>
      <c r="X182" s="323">
        <f>'Costos Sector Eléctrico'!X160</f>
        <v>0.5559042748852957</v>
      </c>
      <c r="Y182" s="323">
        <f>'Costos Sector Eléctrico'!Y160</f>
        <v>0.5559042748852957</v>
      </c>
      <c r="Z182" s="323">
        <f>'Costos Sector Eléctrico'!Z160</f>
        <v>0.5559042748852957</v>
      </c>
      <c r="AA182" s="323">
        <f>'Costos Sector Eléctrico'!AA160</f>
        <v>0.5559042748852957</v>
      </c>
      <c r="AB182" s="323">
        <f>'Costos Sector Eléctrico'!AB160</f>
        <v>0.5559042748852957</v>
      </c>
      <c r="AC182" s="323">
        <f>'Costos Sector Eléctrico'!AC160</f>
        <v>0.5559042748852957</v>
      </c>
      <c r="AD182" s="323">
        <f>'Costos Sector Eléctrico'!AD160</f>
        <v>0.5559042748852957</v>
      </c>
      <c r="AE182" s="323">
        <f>'Costos Sector Eléctrico'!AE160</f>
        <v>0.5559042748852957</v>
      </c>
      <c r="AF182" s="323">
        <f>'Costos Sector Eléctrico'!AF160</f>
        <v>0.5559042748852957</v>
      </c>
      <c r="AG182" s="323">
        <f>'Costos Sector Eléctrico'!AG160</f>
        <v>0.5559042748852957</v>
      </c>
      <c r="AH182" s="323">
        <f>'Costos Sector Eléctrico'!AH160</f>
        <v>0.5559042748852957</v>
      </c>
      <c r="AI182" s="323">
        <f>'Costos Sector Eléctrico'!AI160</f>
        <v>0.5559042748852957</v>
      </c>
      <c r="AJ182" s="323">
        <f>'Costos Sector Eléctrico'!AJ160</f>
        <v>0.5559042748852957</v>
      </c>
      <c r="AK182" s="82">
        <f>'Costos Sector Eléctrico'!AK160</f>
        <v>0.5559042748852957</v>
      </c>
      <c r="AL182" s="80">
        <f t="shared" ref="AL182:BE182" si="203">AK182</f>
        <v>0.5559042748852957</v>
      </c>
      <c r="AM182" s="80">
        <f t="shared" si="203"/>
        <v>0.5559042748852957</v>
      </c>
      <c r="AN182" s="80">
        <f t="shared" si="203"/>
        <v>0.5559042748852957</v>
      </c>
      <c r="AO182" s="80">
        <f t="shared" si="203"/>
        <v>0.5559042748852957</v>
      </c>
      <c r="AP182" s="80">
        <f t="shared" si="203"/>
        <v>0.5559042748852957</v>
      </c>
      <c r="AQ182" s="80">
        <f t="shared" si="203"/>
        <v>0.5559042748852957</v>
      </c>
      <c r="AR182" s="80">
        <f t="shared" si="203"/>
        <v>0.5559042748852957</v>
      </c>
      <c r="AS182" s="80">
        <f t="shared" si="203"/>
        <v>0.5559042748852957</v>
      </c>
      <c r="AT182" s="80">
        <f t="shared" si="203"/>
        <v>0.5559042748852957</v>
      </c>
      <c r="AU182" s="80">
        <f t="shared" si="203"/>
        <v>0.5559042748852957</v>
      </c>
      <c r="AV182" s="80">
        <f t="shared" si="203"/>
        <v>0.5559042748852957</v>
      </c>
      <c r="AW182" s="80">
        <f t="shared" si="203"/>
        <v>0.5559042748852957</v>
      </c>
      <c r="AX182" s="80">
        <f t="shared" si="203"/>
        <v>0.5559042748852957</v>
      </c>
      <c r="AY182" s="80">
        <f t="shared" si="203"/>
        <v>0.5559042748852957</v>
      </c>
      <c r="AZ182" s="80">
        <f t="shared" si="203"/>
        <v>0.5559042748852957</v>
      </c>
      <c r="BA182" s="80">
        <f t="shared" si="203"/>
        <v>0.5559042748852957</v>
      </c>
      <c r="BB182" s="80">
        <f t="shared" si="203"/>
        <v>0.5559042748852957</v>
      </c>
      <c r="BC182" s="80">
        <f t="shared" si="203"/>
        <v>0.5559042748852957</v>
      </c>
      <c r="BD182" s="80">
        <f t="shared" si="203"/>
        <v>0.5559042748852957</v>
      </c>
      <c r="BE182" s="80">
        <f t="shared" si="203"/>
        <v>0.5559042748852957</v>
      </c>
    </row>
    <row r="183" spans="1:57" ht="13.5" customHeight="1">
      <c r="A183" s="619"/>
      <c r="B183" s="253"/>
      <c r="C183" s="258"/>
      <c r="D183" s="75" t="s">
        <v>189</v>
      </c>
      <c r="E183" s="447"/>
      <c r="F183" s="447"/>
      <c r="G183" s="447"/>
      <c r="H183" s="447"/>
      <c r="I183" s="447"/>
      <c r="J183" s="447"/>
      <c r="K183" s="447"/>
      <c r="L183" s="447"/>
      <c r="M183" s="447"/>
      <c r="N183" s="447"/>
      <c r="O183" s="447"/>
      <c r="P183" s="447"/>
      <c r="Q183" s="447"/>
      <c r="R183" s="447"/>
      <c r="S183" s="447"/>
      <c r="T183" s="447"/>
      <c r="U183" s="447"/>
      <c r="V183" s="447"/>
      <c r="W183" s="447"/>
      <c r="X183" s="447"/>
      <c r="Y183" s="447"/>
      <c r="Z183" s="447"/>
      <c r="AA183" s="447"/>
      <c r="AB183" s="447"/>
      <c r="AC183" s="447"/>
      <c r="AD183" s="447"/>
      <c r="AE183" s="447"/>
      <c r="AF183" s="447"/>
      <c r="AG183" s="447"/>
      <c r="AH183" s="447"/>
      <c r="AI183" s="447"/>
      <c r="AJ183" s="447"/>
      <c r="AK183" s="76"/>
      <c r="AL183" s="74">
        <f t="shared" ref="AL183:BE183" si="204">AK183</f>
        <v>0</v>
      </c>
      <c r="AM183" s="74">
        <f t="shared" si="204"/>
        <v>0</v>
      </c>
      <c r="AN183" s="74">
        <f t="shared" si="204"/>
        <v>0</v>
      </c>
      <c r="AO183" s="74">
        <f t="shared" si="204"/>
        <v>0</v>
      </c>
      <c r="AP183" s="74">
        <f t="shared" si="204"/>
        <v>0</v>
      </c>
      <c r="AQ183" s="74">
        <f t="shared" si="204"/>
        <v>0</v>
      </c>
      <c r="AR183" s="74">
        <f t="shared" si="204"/>
        <v>0</v>
      </c>
      <c r="AS183" s="74">
        <f t="shared" si="204"/>
        <v>0</v>
      </c>
      <c r="AT183" s="74">
        <f t="shared" si="204"/>
        <v>0</v>
      </c>
      <c r="AU183" s="74">
        <f t="shared" si="204"/>
        <v>0</v>
      </c>
      <c r="AV183" s="74">
        <f t="shared" si="204"/>
        <v>0</v>
      </c>
      <c r="AW183" s="74">
        <f t="shared" si="204"/>
        <v>0</v>
      </c>
      <c r="AX183" s="74">
        <f t="shared" si="204"/>
        <v>0</v>
      </c>
      <c r="AY183" s="74">
        <f t="shared" si="204"/>
        <v>0</v>
      </c>
      <c r="AZ183" s="74">
        <f t="shared" si="204"/>
        <v>0</v>
      </c>
      <c r="BA183" s="74">
        <f t="shared" si="204"/>
        <v>0</v>
      </c>
      <c r="BB183" s="74">
        <f t="shared" si="204"/>
        <v>0</v>
      </c>
      <c r="BC183" s="74">
        <f t="shared" si="204"/>
        <v>0</v>
      </c>
      <c r="BD183" s="74">
        <f t="shared" si="204"/>
        <v>0</v>
      </c>
      <c r="BE183" s="74">
        <f t="shared" si="204"/>
        <v>0</v>
      </c>
    </row>
    <row r="184" spans="1:57" ht="13.5" customHeight="1">
      <c r="A184" s="619">
        <v>2</v>
      </c>
      <c r="B184" s="253"/>
      <c r="C184" s="258" t="s">
        <v>178</v>
      </c>
      <c r="D184" s="77" t="s">
        <v>172</v>
      </c>
      <c r="E184" s="323">
        <f>'Costos Sector Eléctrico'!E163</f>
        <v>0.5559042748852957</v>
      </c>
      <c r="F184" s="323">
        <f>'Costos Sector Eléctrico'!F163</f>
        <v>0.5559042748852957</v>
      </c>
      <c r="G184" s="323">
        <f>'Costos Sector Eléctrico'!G163</f>
        <v>0.5559042748852957</v>
      </c>
      <c r="H184" s="323">
        <f>'Costos Sector Eléctrico'!H163</f>
        <v>0.5559042748852957</v>
      </c>
      <c r="I184" s="323">
        <f>'Costos Sector Eléctrico'!I163</f>
        <v>0.5559042748852957</v>
      </c>
      <c r="J184" s="323">
        <f>'Costos Sector Eléctrico'!J163</f>
        <v>0.5559042748852957</v>
      </c>
      <c r="K184" s="323">
        <f>'Costos Sector Eléctrico'!K163</f>
        <v>0.5559042748852957</v>
      </c>
      <c r="L184" s="323">
        <f>'Costos Sector Eléctrico'!L163</f>
        <v>0.5559042748852957</v>
      </c>
      <c r="M184" s="323">
        <f>'Costos Sector Eléctrico'!M163</f>
        <v>0.5559042748852957</v>
      </c>
      <c r="N184" s="323">
        <f>'Costos Sector Eléctrico'!N163</f>
        <v>0.5559042748852957</v>
      </c>
      <c r="O184" s="323">
        <f>'Costos Sector Eléctrico'!O163</f>
        <v>0.5559042748852957</v>
      </c>
      <c r="P184" s="323">
        <f>'Costos Sector Eléctrico'!P163</f>
        <v>0.5559042748852957</v>
      </c>
      <c r="Q184" s="323">
        <f>'Costos Sector Eléctrico'!Q163</f>
        <v>0.5559042748852957</v>
      </c>
      <c r="R184" s="323">
        <f>'Costos Sector Eléctrico'!R163</f>
        <v>0.5559042748852957</v>
      </c>
      <c r="S184" s="323">
        <f>'Costos Sector Eléctrico'!S163</f>
        <v>0.5559042748852957</v>
      </c>
      <c r="T184" s="323">
        <f>'Costos Sector Eléctrico'!T163</f>
        <v>0.5559042748852957</v>
      </c>
      <c r="U184" s="323">
        <f>'Costos Sector Eléctrico'!U163</f>
        <v>0.5559042748852957</v>
      </c>
      <c r="V184" s="323">
        <f>'Costos Sector Eléctrico'!V163</f>
        <v>0.5559042748852957</v>
      </c>
      <c r="W184" s="323">
        <f>'Costos Sector Eléctrico'!W163</f>
        <v>0.5559042748852957</v>
      </c>
      <c r="X184" s="323">
        <f>'Costos Sector Eléctrico'!X163</f>
        <v>0.5559042748852957</v>
      </c>
      <c r="Y184" s="323">
        <f>'Costos Sector Eléctrico'!Y163</f>
        <v>0.5559042748852957</v>
      </c>
      <c r="Z184" s="323">
        <f>'Costos Sector Eléctrico'!Z163</f>
        <v>0.5559042748852957</v>
      </c>
      <c r="AA184" s="323">
        <f>'Costos Sector Eléctrico'!AA163</f>
        <v>0.5559042748852957</v>
      </c>
      <c r="AB184" s="323">
        <f>'Costos Sector Eléctrico'!AB163</f>
        <v>0.5559042748852957</v>
      </c>
      <c r="AC184" s="323">
        <f>'Costos Sector Eléctrico'!AC163</f>
        <v>0.5559042748852957</v>
      </c>
      <c r="AD184" s="323">
        <f>'Costos Sector Eléctrico'!AD163</f>
        <v>0.5559042748852957</v>
      </c>
      <c r="AE184" s="323">
        <f>'Costos Sector Eléctrico'!AE163</f>
        <v>0.5559042748852957</v>
      </c>
      <c r="AF184" s="323">
        <f>'Costos Sector Eléctrico'!AF163</f>
        <v>0.5559042748852957</v>
      </c>
      <c r="AG184" s="323">
        <f>'Costos Sector Eléctrico'!AG163</f>
        <v>0.5559042748852957</v>
      </c>
      <c r="AH184" s="323">
        <f>'Costos Sector Eléctrico'!AH163</f>
        <v>0.5559042748852957</v>
      </c>
      <c r="AI184" s="323">
        <f>'Costos Sector Eléctrico'!AI163</f>
        <v>0.5559042748852957</v>
      </c>
      <c r="AJ184" s="323">
        <f>'Costos Sector Eléctrico'!AJ163</f>
        <v>0.5559042748852957</v>
      </c>
      <c r="AK184" s="82">
        <f>'Costos Sector Eléctrico'!AK163</f>
        <v>0.5559042748852957</v>
      </c>
      <c r="AL184" s="80">
        <f t="shared" ref="AL184:BE184" si="205">AK184</f>
        <v>0.5559042748852957</v>
      </c>
      <c r="AM184" s="80">
        <f t="shared" si="205"/>
        <v>0.5559042748852957</v>
      </c>
      <c r="AN184" s="80">
        <f t="shared" si="205"/>
        <v>0.5559042748852957</v>
      </c>
      <c r="AO184" s="80">
        <f t="shared" si="205"/>
        <v>0.5559042748852957</v>
      </c>
      <c r="AP184" s="80">
        <f t="shared" si="205"/>
        <v>0.5559042748852957</v>
      </c>
      <c r="AQ184" s="80">
        <f t="shared" si="205"/>
        <v>0.5559042748852957</v>
      </c>
      <c r="AR184" s="80">
        <f t="shared" si="205"/>
        <v>0.5559042748852957</v>
      </c>
      <c r="AS184" s="80">
        <f t="shared" si="205"/>
        <v>0.5559042748852957</v>
      </c>
      <c r="AT184" s="80">
        <f t="shared" si="205"/>
        <v>0.5559042748852957</v>
      </c>
      <c r="AU184" s="80">
        <f t="shared" si="205"/>
        <v>0.5559042748852957</v>
      </c>
      <c r="AV184" s="80">
        <f t="shared" si="205"/>
        <v>0.5559042748852957</v>
      </c>
      <c r="AW184" s="80">
        <f t="shared" si="205"/>
        <v>0.5559042748852957</v>
      </c>
      <c r="AX184" s="80">
        <f t="shared" si="205"/>
        <v>0.5559042748852957</v>
      </c>
      <c r="AY184" s="80">
        <f t="shared" si="205"/>
        <v>0.5559042748852957</v>
      </c>
      <c r="AZ184" s="80">
        <f t="shared" si="205"/>
        <v>0.5559042748852957</v>
      </c>
      <c r="BA184" s="80">
        <f t="shared" si="205"/>
        <v>0.5559042748852957</v>
      </c>
      <c r="BB184" s="80">
        <f t="shared" si="205"/>
        <v>0.5559042748852957</v>
      </c>
      <c r="BC184" s="80">
        <f t="shared" si="205"/>
        <v>0.5559042748852957</v>
      </c>
      <c r="BD184" s="80">
        <f t="shared" si="205"/>
        <v>0.5559042748852957</v>
      </c>
      <c r="BE184" s="80">
        <f t="shared" si="205"/>
        <v>0.5559042748852957</v>
      </c>
    </row>
    <row r="185" spans="1:57" ht="13.5" customHeight="1">
      <c r="A185" s="619">
        <v>2</v>
      </c>
      <c r="B185" s="253"/>
      <c r="C185" s="258" t="s">
        <v>179</v>
      </c>
      <c r="D185" s="77" t="s">
        <v>174</v>
      </c>
      <c r="E185" s="323">
        <f>'Costos Sector Eléctrico'!E164</f>
        <v>0.5559042748852957</v>
      </c>
      <c r="F185" s="323">
        <f>'Costos Sector Eléctrico'!F164</f>
        <v>0.5559042748852957</v>
      </c>
      <c r="G185" s="323">
        <f>'Costos Sector Eléctrico'!G164</f>
        <v>0.5559042748852957</v>
      </c>
      <c r="H185" s="323">
        <f>'Costos Sector Eléctrico'!H164</f>
        <v>0.5559042748852957</v>
      </c>
      <c r="I185" s="323">
        <f>'Costos Sector Eléctrico'!I164</f>
        <v>0.5559042748852957</v>
      </c>
      <c r="J185" s="323">
        <f>'Costos Sector Eléctrico'!J164</f>
        <v>0.5559042748852957</v>
      </c>
      <c r="K185" s="323">
        <f>'Costos Sector Eléctrico'!K164</f>
        <v>0.5559042748852957</v>
      </c>
      <c r="L185" s="323">
        <f>'Costos Sector Eléctrico'!L164</f>
        <v>0.5559042748852957</v>
      </c>
      <c r="M185" s="323">
        <f>'Costos Sector Eléctrico'!M164</f>
        <v>0.5559042748852957</v>
      </c>
      <c r="N185" s="323">
        <f>'Costos Sector Eléctrico'!N164</f>
        <v>0.5559042748852957</v>
      </c>
      <c r="O185" s="323">
        <f>'Costos Sector Eléctrico'!O164</f>
        <v>0.5559042748852957</v>
      </c>
      <c r="P185" s="323">
        <f>'Costos Sector Eléctrico'!P164</f>
        <v>0.5559042748852957</v>
      </c>
      <c r="Q185" s="323">
        <f>'Costos Sector Eléctrico'!Q164</f>
        <v>0.5559042748852957</v>
      </c>
      <c r="R185" s="323">
        <f>'Costos Sector Eléctrico'!R164</f>
        <v>0.5559042748852957</v>
      </c>
      <c r="S185" s="323">
        <f>'Costos Sector Eléctrico'!S164</f>
        <v>0.5559042748852957</v>
      </c>
      <c r="T185" s="323">
        <f>'Costos Sector Eléctrico'!T164</f>
        <v>0.5559042748852957</v>
      </c>
      <c r="U185" s="323">
        <f>'Costos Sector Eléctrico'!U164</f>
        <v>0.5559042748852957</v>
      </c>
      <c r="V185" s="323">
        <f>'Costos Sector Eléctrico'!V164</f>
        <v>0.5559042748852957</v>
      </c>
      <c r="W185" s="323">
        <f>'Costos Sector Eléctrico'!W164</f>
        <v>0.5559042748852957</v>
      </c>
      <c r="X185" s="323">
        <f>'Costos Sector Eléctrico'!X164</f>
        <v>0.5559042748852957</v>
      </c>
      <c r="Y185" s="323">
        <f>'Costos Sector Eléctrico'!Y164</f>
        <v>0.5559042748852957</v>
      </c>
      <c r="Z185" s="323">
        <f>'Costos Sector Eléctrico'!Z164</f>
        <v>0.5559042748852957</v>
      </c>
      <c r="AA185" s="323">
        <f>'Costos Sector Eléctrico'!AA164</f>
        <v>0.5559042748852957</v>
      </c>
      <c r="AB185" s="323">
        <f>'Costos Sector Eléctrico'!AB164</f>
        <v>0.5559042748852957</v>
      </c>
      <c r="AC185" s="323">
        <f>'Costos Sector Eléctrico'!AC164</f>
        <v>0.5559042748852957</v>
      </c>
      <c r="AD185" s="323">
        <f>'Costos Sector Eléctrico'!AD164</f>
        <v>0.5559042748852957</v>
      </c>
      <c r="AE185" s="323">
        <f>'Costos Sector Eléctrico'!AE164</f>
        <v>0.5559042748852957</v>
      </c>
      <c r="AF185" s="323">
        <f>'Costos Sector Eléctrico'!AF164</f>
        <v>0.5559042748852957</v>
      </c>
      <c r="AG185" s="323">
        <f>'Costos Sector Eléctrico'!AG164</f>
        <v>0.5559042748852957</v>
      </c>
      <c r="AH185" s="323">
        <f>'Costos Sector Eléctrico'!AH164</f>
        <v>0.5559042748852957</v>
      </c>
      <c r="AI185" s="323">
        <f>'Costos Sector Eléctrico'!AI164</f>
        <v>0.5559042748852957</v>
      </c>
      <c r="AJ185" s="323">
        <f>'Costos Sector Eléctrico'!AJ164</f>
        <v>0.5559042748852957</v>
      </c>
      <c r="AK185" s="82">
        <f>'Costos Sector Eléctrico'!AK164</f>
        <v>0.5559042748852957</v>
      </c>
      <c r="AL185" s="80">
        <f t="shared" ref="AL185:BE185" si="206">AK185</f>
        <v>0.5559042748852957</v>
      </c>
      <c r="AM185" s="80">
        <f t="shared" si="206"/>
        <v>0.5559042748852957</v>
      </c>
      <c r="AN185" s="80">
        <f t="shared" si="206"/>
        <v>0.5559042748852957</v>
      </c>
      <c r="AO185" s="80">
        <f t="shared" si="206"/>
        <v>0.5559042748852957</v>
      </c>
      <c r="AP185" s="80">
        <f t="shared" si="206"/>
        <v>0.5559042748852957</v>
      </c>
      <c r="AQ185" s="80">
        <f t="shared" si="206"/>
        <v>0.5559042748852957</v>
      </c>
      <c r="AR185" s="80">
        <f t="shared" si="206"/>
        <v>0.5559042748852957</v>
      </c>
      <c r="AS185" s="80">
        <f t="shared" si="206"/>
        <v>0.5559042748852957</v>
      </c>
      <c r="AT185" s="80">
        <f t="shared" si="206"/>
        <v>0.5559042748852957</v>
      </c>
      <c r="AU185" s="80">
        <f t="shared" si="206"/>
        <v>0.5559042748852957</v>
      </c>
      <c r="AV185" s="80">
        <f t="shared" si="206"/>
        <v>0.5559042748852957</v>
      </c>
      <c r="AW185" s="80">
        <f t="shared" si="206"/>
        <v>0.5559042748852957</v>
      </c>
      <c r="AX185" s="80">
        <f t="shared" si="206"/>
        <v>0.5559042748852957</v>
      </c>
      <c r="AY185" s="80">
        <f t="shared" si="206"/>
        <v>0.5559042748852957</v>
      </c>
      <c r="AZ185" s="80">
        <f t="shared" si="206"/>
        <v>0.5559042748852957</v>
      </c>
      <c r="BA185" s="80">
        <f t="shared" si="206"/>
        <v>0.5559042748852957</v>
      </c>
      <c r="BB185" s="80">
        <f t="shared" si="206"/>
        <v>0.5559042748852957</v>
      </c>
      <c r="BC185" s="80">
        <f t="shared" si="206"/>
        <v>0.5559042748852957</v>
      </c>
      <c r="BD185" s="80">
        <f t="shared" si="206"/>
        <v>0.5559042748852957</v>
      </c>
      <c r="BE185" s="80">
        <f t="shared" si="206"/>
        <v>0.5559042748852957</v>
      </c>
    </row>
    <row r="186" spans="1:57" ht="13.5" customHeight="1">
      <c r="A186" s="619">
        <v>2</v>
      </c>
      <c r="B186" s="253"/>
      <c r="C186" s="258" t="s">
        <v>180</v>
      </c>
      <c r="D186" s="77" t="s">
        <v>176</v>
      </c>
      <c r="E186" s="323">
        <f>'Costos Sector Eléctrico'!E165</f>
        <v>0.5559042748852957</v>
      </c>
      <c r="F186" s="323">
        <f>'Costos Sector Eléctrico'!F165</f>
        <v>0.5559042748852957</v>
      </c>
      <c r="G186" s="323">
        <f>'Costos Sector Eléctrico'!G165</f>
        <v>0.5559042748852957</v>
      </c>
      <c r="H186" s="323">
        <f>'Costos Sector Eléctrico'!H165</f>
        <v>0.5559042748852957</v>
      </c>
      <c r="I186" s="323">
        <f>'Costos Sector Eléctrico'!I165</f>
        <v>0.5559042748852957</v>
      </c>
      <c r="J186" s="323">
        <f>'Costos Sector Eléctrico'!J165</f>
        <v>0.5559042748852957</v>
      </c>
      <c r="K186" s="323">
        <f>'Costos Sector Eléctrico'!K165</f>
        <v>0.5559042748852957</v>
      </c>
      <c r="L186" s="323">
        <f>'Costos Sector Eléctrico'!L165</f>
        <v>0.5559042748852957</v>
      </c>
      <c r="M186" s="323">
        <f>'Costos Sector Eléctrico'!M165</f>
        <v>0.5559042748852957</v>
      </c>
      <c r="N186" s="323">
        <f>'Costos Sector Eléctrico'!N165</f>
        <v>0.5559042748852957</v>
      </c>
      <c r="O186" s="323">
        <f>'Costos Sector Eléctrico'!O165</f>
        <v>0.5559042748852957</v>
      </c>
      <c r="P186" s="323">
        <f>'Costos Sector Eléctrico'!P165</f>
        <v>0.5559042748852957</v>
      </c>
      <c r="Q186" s="323">
        <f>'Costos Sector Eléctrico'!Q165</f>
        <v>0.5559042748852957</v>
      </c>
      <c r="R186" s="323">
        <f>'Costos Sector Eléctrico'!R165</f>
        <v>0.5559042748852957</v>
      </c>
      <c r="S186" s="323">
        <f>'Costos Sector Eléctrico'!S165</f>
        <v>0.5559042748852957</v>
      </c>
      <c r="T186" s="323">
        <f>'Costos Sector Eléctrico'!T165</f>
        <v>0.5559042748852957</v>
      </c>
      <c r="U186" s="323">
        <f>'Costos Sector Eléctrico'!U165</f>
        <v>0.5559042748852957</v>
      </c>
      <c r="V186" s="323">
        <f>'Costos Sector Eléctrico'!V165</f>
        <v>0.5559042748852957</v>
      </c>
      <c r="W186" s="323">
        <f>'Costos Sector Eléctrico'!W165</f>
        <v>0.5559042748852957</v>
      </c>
      <c r="X186" s="323">
        <f>'Costos Sector Eléctrico'!X165</f>
        <v>0.5559042748852957</v>
      </c>
      <c r="Y186" s="323">
        <f>'Costos Sector Eléctrico'!Y165</f>
        <v>0.5559042748852957</v>
      </c>
      <c r="Z186" s="323">
        <f>'Costos Sector Eléctrico'!Z165</f>
        <v>0.5559042748852957</v>
      </c>
      <c r="AA186" s="323">
        <f>'Costos Sector Eléctrico'!AA165</f>
        <v>0.5559042748852957</v>
      </c>
      <c r="AB186" s="323">
        <f>'Costos Sector Eléctrico'!AB165</f>
        <v>0.5559042748852957</v>
      </c>
      <c r="AC186" s="323">
        <f>'Costos Sector Eléctrico'!AC165</f>
        <v>0.5559042748852957</v>
      </c>
      <c r="AD186" s="323">
        <f>'Costos Sector Eléctrico'!AD165</f>
        <v>0.5559042748852957</v>
      </c>
      <c r="AE186" s="323">
        <f>'Costos Sector Eléctrico'!AE165</f>
        <v>0.5559042748852957</v>
      </c>
      <c r="AF186" s="323">
        <f>'Costos Sector Eléctrico'!AF165</f>
        <v>0.5559042748852957</v>
      </c>
      <c r="AG186" s="323">
        <f>'Costos Sector Eléctrico'!AG165</f>
        <v>0.5559042748852957</v>
      </c>
      <c r="AH186" s="323">
        <f>'Costos Sector Eléctrico'!AH165</f>
        <v>0.5559042748852957</v>
      </c>
      <c r="AI186" s="323">
        <f>'Costos Sector Eléctrico'!AI165</f>
        <v>0.5559042748852957</v>
      </c>
      <c r="AJ186" s="323">
        <f>'Costos Sector Eléctrico'!AJ165</f>
        <v>0.5559042748852957</v>
      </c>
      <c r="AK186" s="82">
        <f>'Costos Sector Eléctrico'!AK165</f>
        <v>0.5559042748852957</v>
      </c>
      <c r="AL186" s="80">
        <f t="shared" ref="AL186:BE186" si="207">AK186</f>
        <v>0.5559042748852957</v>
      </c>
      <c r="AM186" s="80">
        <f t="shared" si="207"/>
        <v>0.5559042748852957</v>
      </c>
      <c r="AN186" s="80">
        <f t="shared" si="207"/>
        <v>0.5559042748852957</v>
      </c>
      <c r="AO186" s="80">
        <f t="shared" si="207"/>
        <v>0.5559042748852957</v>
      </c>
      <c r="AP186" s="80">
        <f t="shared" si="207"/>
        <v>0.5559042748852957</v>
      </c>
      <c r="AQ186" s="80">
        <f t="shared" si="207"/>
        <v>0.5559042748852957</v>
      </c>
      <c r="AR186" s="80">
        <f t="shared" si="207"/>
        <v>0.5559042748852957</v>
      </c>
      <c r="AS186" s="80">
        <f t="shared" si="207"/>
        <v>0.5559042748852957</v>
      </c>
      <c r="AT186" s="80">
        <f t="shared" si="207"/>
        <v>0.5559042748852957</v>
      </c>
      <c r="AU186" s="80">
        <f t="shared" si="207"/>
        <v>0.5559042748852957</v>
      </c>
      <c r="AV186" s="80">
        <f t="shared" si="207"/>
        <v>0.5559042748852957</v>
      </c>
      <c r="AW186" s="80">
        <f t="shared" si="207"/>
        <v>0.5559042748852957</v>
      </c>
      <c r="AX186" s="80">
        <f t="shared" si="207"/>
        <v>0.5559042748852957</v>
      </c>
      <c r="AY186" s="80">
        <f t="shared" si="207"/>
        <v>0.5559042748852957</v>
      </c>
      <c r="AZ186" s="80">
        <f t="shared" si="207"/>
        <v>0.5559042748852957</v>
      </c>
      <c r="BA186" s="80">
        <f t="shared" si="207"/>
        <v>0.5559042748852957</v>
      </c>
      <c r="BB186" s="80">
        <f t="shared" si="207"/>
        <v>0.5559042748852957</v>
      </c>
      <c r="BC186" s="80">
        <f t="shared" si="207"/>
        <v>0.5559042748852957</v>
      </c>
      <c r="BD186" s="80">
        <f t="shared" si="207"/>
        <v>0.5559042748852957</v>
      </c>
      <c r="BE186" s="80">
        <f t="shared" si="207"/>
        <v>0.5559042748852957</v>
      </c>
    </row>
    <row r="187" spans="1:57" ht="13.5" customHeight="1">
      <c r="A187" s="619">
        <v>2</v>
      </c>
      <c r="B187" s="253"/>
      <c r="C187" s="258" t="s">
        <v>181</v>
      </c>
      <c r="D187" s="77" t="s">
        <v>166</v>
      </c>
      <c r="E187" s="323">
        <f>'Costos Sector Eléctrico'!E166</f>
        <v>0.5559042748852957</v>
      </c>
      <c r="F187" s="323">
        <f>'Costos Sector Eléctrico'!F166</f>
        <v>0.5559042748852957</v>
      </c>
      <c r="G187" s="323">
        <f>'Costos Sector Eléctrico'!G166</f>
        <v>0.5559042748852957</v>
      </c>
      <c r="H187" s="323">
        <f>'Costos Sector Eléctrico'!H166</f>
        <v>0.5559042748852957</v>
      </c>
      <c r="I187" s="323">
        <f>'Costos Sector Eléctrico'!I166</f>
        <v>0.5559042748852957</v>
      </c>
      <c r="J187" s="323">
        <f>'Costos Sector Eléctrico'!J166</f>
        <v>0.5559042748852957</v>
      </c>
      <c r="K187" s="323">
        <f>'Costos Sector Eléctrico'!K166</f>
        <v>0.5559042748852957</v>
      </c>
      <c r="L187" s="323">
        <f>'Costos Sector Eléctrico'!L166</f>
        <v>0.5559042748852957</v>
      </c>
      <c r="M187" s="323">
        <f>'Costos Sector Eléctrico'!M166</f>
        <v>0.5559042748852957</v>
      </c>
      <c r="N187" s="323">
        <f>'Costos Sector Eléctrico'!N166</f>
        <v>0.5559042748852957</v>
      </c>
      <c r="O187" s="323">
        <f>'Costos Sector Eléctrico'!O166</f>
        <v>0.5559042748852957</v>
      </c>
      <c r="P187" s="323">
        <f>'Costos Sector Eléctrico'!P166</f>
        <v>0.5559042748852957</v>
      </c>
      <c r="Q187" s="323">
        <f>'Costos Sector Eléctrico'!Q166</f>
        <v>0.5559042748852957</v>
      </c>
      <c r="R187" s="323">
        <f>'Costos Sector Eléctrico'!R166</f>
        <v>0.5559042748852957</v>
      </c>
      <c r="S187" s="323">
        <f>'Costos Sector Eléctrico'!S166</f>
        <v>0.5559042748852957</v>
      </c>
      <c r="T187" s="323">
        <f>'Costos Sector Eléctrico'!T166</f>
        <v>0.5559042748852957</v>
      </c>
      <c r="U187" s="323">
        <f>'Costos Sector Eléctrico'!U166</f>
        <v>0.5559042748852957</v>
      </c>
      <c r="V187" s="323">
        <f>'Costos Sector Eléctrico'!V166</f>
        <v>0.5559042748852957</v>
      </c>
      <c r="W187" s="323">
        <f>'Costos Sector Eléctrico'!W166</f>
        <v>0.5559042748852957</v>
      </c>
      <c r="X187" s="323">
        <f>'Costos Sector Eléctrico'!X166</f>
        <v>0.5559042748852957</v>
      </c>
      <c r="Y187" s="323">
        <f>'Costos Sector Eléctrico'!Y166</f>
        <v>0.5559042748852957</v>
      </c>
      <c r="Z187" s="323">
        <f>'Costos Sector Eléctrico'!Z166</f>
        <v>0.5559042748852957</v>
      </c>
      <c r="AA187" s="323">
        <f>'Costos Sector Eléctrico'!AA166</f>
        <v>0.5559042748852957</v>
      </c>
      <c r="AB187" s="323">
        <f>'Costos Sector Eléctrico'!AB166</f>
        <v>0.5559042748852957</v>
      </c>
      <c r="AC187" s="323">
        <f>'Costos Sector Eléctrico'!AC166</f>
        <v>0.5559042748852957</v>
      </c>
      <c r="AD187" s="323">
        <f>'Costos Sector Eléctrico'!AD166</f>
        <v>0.5559042748852957</v>
      </c>
      <c r="AE187" s="323">
        <f>'Costos Sector Eléctrico'!AE166</f>
        <v>0.5559042748852957</v>
      </c>
      <c r="AF187" s="323">
        <f>'Costos Sector Eléctrico'!AF166</f>
        <v>0.5559042748852957</v>
      </c>
      <c r="AG187" s="323">
        <f>'Costos Sector Eléctrico'!AG166</f>
        <v>0.5559042748852957</v>
      </c>
      <c r="AH187" s="323">
        <f>'Costos Sector Eléctrico'!AH166</f>
        <v>0.5559042748852957</v>
      </c>
      <c r="AI187" s="323">
        <f>'Costos Sector Eléctrico'!AI166</f>
        <v>0.5559042748852957</v>
      </c>
      <c r="AJ187" s="323">
        <f>'Costos Sector Eléctrico'!AJ166</f>
        <v>0.5559042748852957</v>
      </c>
      <c r="AK187" s="82">
        <f>'Costos Sector Eléctrico'!AK166</f>
        <v>0.5559042748852957</v>
      </c>
      <c r="AL187" s="80">
        <f t="shared" ref="AL187:BE187" si="208">AK187</f>
        <v>0.5559042748852957</v>
      </c>
      <c r="AM187" s="80">
        <f t="shared" si="208"/>
        <v>0.5559042748852957</v>
      </c>
      <c r="AN187" s="80">
        <f t="shared" si="208"/>
        <v>0.5559042748852957</v>
      </c>
      <c r="AO187" s="80">
        <f t="shared" si="208"/>
        <v>0.5559042748852957</v>
      </c>
      <c r="AP187" s="80">
        <f t="shared" si="208"/>
        <v>0.5559042748852957</v>
      </c>
      <c r="AQ187" s="80">
        <f t="shared" si="208"/>
        <v>0.5559042748852957</v>
      </c>
      <c r="AR187" s="80">
        <f t="shared" si="208"/>
        <v>0.5559042748852957</v>
      </c>
      <c r="AS187" s="80">
        <f t="shared" si="208"/>
        <v>0.5559042748852957</v>
      </c>
      <c r="AT187" s="80">
        <f t="shared" si="208"/>
        <v>0.5559042748852957</v>
      </c>
      <c r="AU187" s="80">
        <f t="shared" si="208"/>
        <v>0.5559042748852957</v>
      </c>
      <c r="AV187" s="80">
        <f t="shared" si="208"/>
        <v>0.5559042748852957</v>
      </c>
      <c r="AW187" s="80">
        <f t="shared" si="208"/>
        <v>0.5559042748852957</v>
      </c>
      <c r="AX187" s="80">
        <f t="shared" si="208"/>
        <v>0.5559042748852957</v>
      </c>
      <c r="AY187" s="80">
        <f t="shared" si="208"/>
        <v>0.5559042748852957</v>
      </c>
      <c r="AZ187" s="80">
        <f t="shared" si="208"/>
        <v>0.5559042748852957</v>
      </c>
      <c r="BA187" s="80">
        <f t="shared" si="208"/>
        <v>0.5559042748852957</v>
      </c>
      <c r="BB187" s="80">
        <f t="shared" si="208"/>
        <v>0.5559042748852957</v>
      </c>
      <c r="BC187" s="80">
        <f t="shared" si="208"/>
        <v>0.5559042748852957</v>
      </c>
      <c r="BD187" s="80">
        <f t="shared" si="208"/>
        <v>0.5559042748852957</v>
      </c>
      <c r="BE187" s="80">
        <f t="shared" si="208"/>
        <v>0.5559042748852957</v>
      </c>
    </row>
    <row r="188" spans="1:57" ht="13.5" customHeight="1">
      <c r="A188" s="619">
        <v>2</v>
      </c>
      <c r="B188" s="253"/>
      <c r="C188" s="258" t="s">
        <v>182</v>
      </c>
      <c r="D188" s="77" t="s">
        <v>168</v>
      </c>
      <c r="E188" s="323">
        <f>'Costos Sector Eléctrico'!E167</f>
        <v>0.5559042748852957</v>
      </c>
      <c r="F188" s="323">
        <f>'Costos Sector Eléctrico'!F167</f>
        <v>0.5559042748852957</v>
      </c>
      <c r="G188" s="323">
        <f>'Costos Sector Eléctrico'!G167</f>
        <v>0.5559042748852957</v>
      </c>
      <c r="H188" s="323">
        <f>'Costos Sector Eléctrico'!H167</f>
        <v>0.5559042748852957</v>
      </c>
      <c r="I188" s="323">
        <f>'Costos Sector Eléctrico'!I167</f>
        <v>0.5559042748852957</v>
      </c>
      <c r="J188" s="323">
        <f>'Costos Sector Eléctrico'!J167</f>
        <v>0.5559042748852957</v>
      </c>
      <c r="K188" s="323">
        <f>'Costos Sector Eléctrico'!K167</f>
        <v>0.5559042748852957</v>
      </c>
      <c r="L188" s="323">
        <f>'Costos Sector Eléctrico'!L167</f>
        <v>0.5559042748852957</v>
      </c>
      <c r="M188" s="323">
        <f>'Costos Sector Eléctrico'!M167</f>
        <v>0.5559042748852957</v>
      </c>
      <c r="N188" s="323">
        <f>'Costos Sector Eléctrico'!N167</f>
        <v>0.5559042748852957</v>
      </c>
      <c r="O188" s="323">
        <f>'Costos Sector Eléctrico'!O167</f>
        <v>0.5559042748852957</v>
      </c>
      <c r="P188" s="323">
        <f>'Costos Sector Eléctrico'!P167</f>
        <v>0.5559042748852957</v>
      </c>
      <c r="Q188" s="323">
        <f>'Costos Sector Eléctrico'!Q167</f>
        <v>0.5559042748852957</v>
      </c>
      <c r="R188" s="323">
        <f>'Costos Sector Eléctrico'!R167</f>
        <v>0.5559042748852957</v>
      </c>
      <c r="S188" s="323">
        <f>'Costos Sector Eléctrico'!S167</f>
        <v>0.5559042748852957</v>
      </c>
      <c r="T188" s="323">
        <f>'Costos Sector Eléctrico'!T167</f>
        <v>0.5559042748852957</v>
      </c>
      <c r="U188" s="323">
        <f>'Costos Sector Eléctrico'!U167</f>
        <v>0.5559042748852957</v>
      </c>
      <c r="V188" s="323">
        <f>'Costos Sector Eléctrico'!V167</f>
        <v>0.5559042748852957</v>
      </c>
      <c r="W188" s="323">
        <f>'Costos Sector Eléctrico'!W167</f>
        <v>0.5559042748852957</v>
      </c>
      <c r="X188" s="323">
        <f>'Costos Sector Eléctrico'!X167</f>
        <v>0.5559042748852957</v>
      </c>
      <c r="Y188" s="323">
        <f>'Costos Sector Eléctrico'!Y167</f>
        <v>0.5559042748852957</v>
      </c>
      <c r="Z188" s="323">
        <f>'Costos Sector Eléctrico'!Z167</f>
        <v>0.5559042748852957</v>
      </c>
      <c r="AA188" s="323">
        <f>'Costos Sector Eléctrico'!AA167</f>
        <v>0.5559042748852957</v>
      </c>
      <c r="AB188" s="323">
        <f>'Costos Sector Eléctrico'!AB167</f>
        <v>0.5559042748852957</v>
      </c>
      <c r="AC188" s="323">
        <f>'Costos Sector Eléctrico'!AC167</f>
        <v>0.5559042748852957</v>
      </c>
      <c r="AD188" s="323">
        <f>'Costos Sector Eléctrico'!AD167</f>
        <v>0.5559042748852957</v>
      </c>
      <c r="AE188" s="323">
        <f>'Costos Sector Eléctrico'!AE167</f>
        <v>0.5559042748852957</v>
      </c>
      <c r="AF188" s="323">
        <f>'Costos Sector Eléctrico'!AF167</f>
        <v>0.5559042748852957</v>
      </c>
      <c r="AG188" s="323">
        <f>'Costos Sector Eléctrico'!AG167</f>
        <v>0.5559042748852957</v>
      </c>
      <c r="AH188" s="323">
        <f>'Costos Sector Eléctrico'!AH167</f>
        <v>0.5559042748852957</v>
      </c>
      <c r="AI188" s="323">
        <f>'Costos Sector Eléctrico'!AI167</f>
        <v>0.5559042748852957</v>
      </c>
      <c r="AJ188" s="323">
        <f>'Costos Sector Eléctrico'!AJ167</f>
        <v>0.5559042748852957</v>
      </c>
      <c r="AK188" s="82">
        <f>'Costos Sector Eléctrico'!AK167</f>
        <v>0.5559042748852957</v>
      </c>
      <c r="AL188" s="80">
        <f t="shared" ref="AL188:BE188" si="209">AK188</f>
        <v>0.5559042748852957</v>
      </c>
      <c r="AM188" s="80">
        <f t="shared" si="209"/>
        <v>0.5559042748852957</v>
      </c>
      <c r="AN188" s="80">
        <f t="shared" si="209"/>
        <v>0.5559042748852957</v>
      </c>
      <c r="AO188" s="80">
        <f t="shared" si="209"/>
        <v>0.5559042748852957</v>
      </c>
      <c r="AP188" s="80">
        <f t="shared" si="209"/>
        <v>0.5559042748852957</v>
      </c>
      <c r="AQ188" s="80">
        <f t="shared" si="209"/>
        <v>0.5559042748852957</v>
      </c>
      <c r="AR188" s="80">
        <f t="shared" si="209"/>
        <v>0.5559042748852957</v>
      </c>
      <c r="AS188" s="80">
        <f t="shared" si="209"/>
        <v>0.5559042748852957</v>
      </c>
      <c r="AT188" s="80">
        <f t="shared" si="209"/>
        <v>0.5559042748852957</v>
      </c>
      <c r="AU188" s="80">
        <f t="shared" si="209"/>
        <v>0.5559042748852957</v>
      </c>
      <c r="AV188" s="80">
        <f t="shared" si="209"/>
        <v>0.5559042748852957</v>
      </c>
      <c r="AW188" s="80">
        <f t="shared" si="209"/>
        <v>0.5559042748852957</v>
      </c>
      <c r="AX188" s="80">
        <f t="shared" si="209"/>
        <v>0.5559042748852957</v>
      </c>
      <c r="AY188" s="80">
        <f t="shared" si="209"/>
        <v>0.5559042748852957</v>
      </c>
      <c r="AZ188" s="80">
        <f t="shared" si="209"/>
        <v>0.5559042748852957</v>
      </c>
      <c r="BA188" s="80">
        <f t="shared" si="209"/>
        <v>0.5559042748852957</v>
      </c>
      <c r="BB188" s="80">
        <f t="shared" si="209"/>
        <v>0.5559042748852957</v>
      </c>
      <c r="BC188" s="80">
        <f t="shared" si="209"/>
        <v>0.5559042748852957</v>
      </c>
      <c r="BD188" s="80">
        <f t="shared" si="209"/>
        <v>0.5559042748852957</v>
      </c>
      <c r="BE188" s="80">
        <f t="shared" si="209"/>
        <v>0.5559042748852957</v>
      </c>
    </row>
    <row r="189" spans="1:57" ht="13.5" customHeight="1">
      <c r="A189" s="619">
        <v>2</v>
      </c>
      <c r="B189" s="253"/>
      <c r="C189" s="258" t="s">
        <v>183</v>
      </c>
      <c r="D189" s="77" t="s">
        <v>170</v>
      </c>
      <c r="E189" s="323">
        <f>'Costos Sector Eléctrico'!E168</f>
        <v>0.5559042748852957</v>
      </c>
      <c r="F189" s="323">
        <f>'Costos Sector Eléctrico'!F168</f>
        <v>0.5559042748852957</v>
      </c>
      <c r="G189" s="323">
        <f>'Costos Sector Eléctrico'!G168</f>
        <v>0.5559042748852957</v>
      </c>
      <c r="H189" s="323">
        <f>'Costos Sector Eléctrico'!H168</f>
        <v>0.5559042748852957</v>
      </c>
      <c r="I189" s="323">
        <f>'Costos Sector Eléctrico'!I168</f>
        <v>0.5559042748852957</v>
      </c>
      <c r="J189" s="323">
        <f>'Costos Sector Eléctrico'!J168</f>
        <v>0.5559042748852957</v>
      </c>
      <c r="K189" s="323">
        <f>'Costos Sector Eléctrico'!K168</f>
        <v>0.5559042748852957</v>
      </c>
      <c r="L189" s="323">
        <f>'Costos Sector Eléctrico'!L168</f>
        <v>0.5559042748852957</v>
      </c>
      <c r="M189" s="323">
        <f>'Costos Sector Eléctrico'!M168</f>
        <v>0.5559042748852957</v>
      </c>
      <c r="N189" s="323">
        <f>'Costos Sector Eléctrico'!N168</f>
        <v>0.5559042748852957</v>
      </c>
      <c r="O189" s="323">
        <f>'Costos Sector Eléctrico'!O168</f>
        <v>0.5559042748852957</v>
      </c>
      <c r="P189" s="323">
        <f>'Costos Sector Eléctrico'!P168</f>
        <v>0.5559042748852957</v>
      </c>
      <c r="Q189" s="323">
        <f>'Costos Sector Eléctrico'!Q168</f>
        <v>0.5559042748852957</v>
      </c>
      <c r="R189" s="323">
        <f>'Costos Sector Eléctrico'!R168</f>
        <v>0.5559042748852957</v>
      </c>
      <c r="S189" s="323">
        <f>'Costos Sector Eléctrico'!S168</f>
        <v>0.5559042748852957</v>
      </c>
      <c r="T189" s="323">
        <f>'Costos Sector Eléctrico'!T168</f>
        <v>0.5559042748852957</v>
      </c>
      <c r="U189" s="323">
        <f>'Costos Sector Eléctrico'!U168</f>
        <v>0.5559042748852957</v>
      </c>
      <c r="V189" s="323">
        <f>'Costos Sector Eléctrico'!V168</f>
        <v>0.5559042748852957</v>
      </c>
      <c r="W189" s="323">
        <f>'Costos Sector Eléctrico'!W168</f>
        <v>0.5559042748852957</v>
      </c>
      <c r="X189" s="323">
        <f>'Costos Sector Eléctrico'!X168</f>
        <v>0.5559042748852957</v>
      </c>
      <c r="Y189" s="323">
        <f>'Costos Sector Eléctrico'!Y168</f>
        <v>0.5559042748852957</v>
      </c>
      <c r="Z189" s="323">
        <f>'Costos Sector Eléctrico'!Z168</f>
        <v>0.5559042748852957</v>
      </c>
      <c r="AA189" s="323">
        <f>'Costos Sector Eléctrico'!AA168</f>
        <v>0.5559042748852957</v>
      </c>
      <c r="AB189" s="323">
        <f>'Costos Sector Eléctrico'!AB168</f>
        <v>0.5559042748852957</v>
      </c>
      <c r="AC189" s="323">
        <f>'Costos Sector Eléctrico'!AC168</f>
        <v>0.5559042748852957</v>
      </c>
      <c r="AD189" s="323">
        <f>'Costos Sector Eléctrico'!AD168</f>
        <v>0.5559042748852957</v>
      </c>
      <c r="AE189" s="323">
        <f>'Costos Sector Eléctrico'!AE168</f>
        <v>0.5559042748852957</v>
      </c>
      <c r="AF189" s="323">
        <f>'Costos Sector Eléctrico'!AF168</f>
        <v>0.5559042748852957</v>
      </c>
      <c r="AG189" s="323">
        <f>'Costos Sector Eléctrico'!AG168</f>
        <v>0.5559042748852957</v>
      </c>
      <c r="AH189" s="323">
        <f>'Costos Sector Eléctrico'!AH168</f>
        <v>0.5559042748852957</v>
      </c>
      <c r="AI189" s="323">
        <f>'Costos Sector Eléctrico'!AI168</f>
        <v>0.5559042748852957</v>
      </c>
      <c r="AJ189" s="323">
        <f>'Costos Sector Eléctrico'!AJ168</f>
        <v>0.5559042748852957</v>
      </c>
      <c r="AK189" s="82">
        <f>'Costos Sector Eléctrico'!AK168</f>
        <v>0.5559042748852957</v>
      </c>
      <c r="AL189" s="80">
        <f t="shared" ref="AL189:BE189" si="210">AK189</f>
        <v>0.5559042748852957</v>
      </c>
      <c r="AM189" s="80">
        <f t="shared" si="210"/>
        <v>0.5559042748852957</v>
      </c>
      <c r="AN189" s="80">
        <f t="shared" si="210"/>
        <v>0.5559042748852957</v>
      </c>
      <c r="AO189" s="80">
        <f t="shared" si="210"/>
        <v>0.5559042748852957</v>
      </c>
      <c r="AP189" s="80">
        <f t="shared" si="210"/>
        <v>0.5559042748852957</v>
      </c>
      <c r="AQ189" s="80">
        <f t="shared" si="210"/>
        <v>0.5559042748852957</v>
      </c>
      <c r="AR189" s="80">
        <f t="shared" si="210"/>
        <v>0.5559042748852957</v>
      </c>
      <c r="AS189" s="80">
        <f t="shared" si="210"/>
        <v>0.5559042748852957</v>
      </c>
      <c r="AT189" s="80">
        <f t="shared" si="210"/>
        <v>0.5559042748852957</v>
      </c>
      <c r="AU189" s="80">
        <f t="shared" si="210"/>
        <v>0.5559042748852957</v>
      </c>
      <c r="AV189" s="80">
        <f t="shared" si="210"/>
        <v>0.5559042748852957</v>
      </c>
      <c r="AW189" s="80">
        <f t="shared" si="210"/>
        <v>0.5559042748852957</v>
      </c>
      <c r="AX189" s="80">
        <f t="shared" si="210"/>
        <v>0.5559042748852957</v>
      </c>
      <c r="AY189" s="80">
        <f t="shared" si="210"/>
        <v>0.5559042748852957</v>
      </c>
      <c r="AZ189" s="80">
        <f t="shared" si="210"/>
        <v>0.5559042748852957</v>
      </c>
      <c r="BA189" s="80">
        <f t="shared" si="210"/>
        <v>0.5559042748852957</v>
      </c>
      <c r="BB189" s="80">
        <f t="shared" si="210"/>
        <v>0.5559042748852957</v>
      </c>
      <c r="BC189" s="80">
        <f t="shared" si="210"/>
        <v>0.5559042748852957</v>
      </c>
      <c r="BD189" s="80">
        <f t="shared" si="210"/>
        <v>0.5559042748852957</v>
      </c>
      <c r="BE189" s="80">
        <f t="shared" si="210"/>
        <v>0.5559042748852957</v>
      </c>
    </row>
    <row r="190" spans="1:57" ht="13.5" customHeight="1">
      <c r="A190" s="619"/>
      <c r="B190" s="253"/>
      <c r="C190" s="258" t="s">
        <v>142</v>
      </c>
      <c r="D190" s="78" t="s">
        <v>143</v>
      </c>
      <c r="E190" s="453">
        <v>0</v>
      </c>
      <c r="F190" s="453">
        <v>0</v>
      </c>
      <c r="G190" s="453">
        <v>0</v>
      </c>
      <c r="H190" s="453">
        <v>0</v>
      </c>
      <c r="I190" s="453">
        <v>0</v>
      </c>
      <c r="J190" s="453">
        <v>0</v>
      </c>
      <c r="K190" s="453">
        <v>0</v>
      </c>
      <c r="L190" s="453">
        <v>0</v>
      </c>
      <c r="M190" s="453">
        <v>0</v>
      </c>
      <c r="N190" s="453">
        <v>0</v>
      </c>
      <c r="O190" s="453">
        <v>0</v>
      </c>
      <c r="P190" s="453">
        <v>0</v>
      </c>
      <c r="Q190" s="453">
        <v>0</v>
      </c>
      <c r="R190" s="453">
        <v>0</v>
      </c>
      <c r="S190" s="453">
        <v>0</v>
      </c>
      <c r="T190" s="453">
        <v>0</v>
      </c>
      <c r="U190" s="453">
        <v>0</v>
      </c>
      <c r="V190" s="453">
        <v>0</v>
      </c>
      <c r="W190" s="453">
        <v>0</v>
      </c>
      <c r="X190" s="453">
        <v>0</v>
      </c>
      <c r="Y190" s="453">
        <v>0</v>
      </c>
      <c r="Z190" s="453">
        <v>0</v>
      </c>
      <c r="AA190" s="453">
        <v>0</v>
      </c>
      <c r="AB190" s="453">
        <v>0</v>
      </c>
      <c r="AC190" s="453">
        <v>0</v>
      </c>
      <c r="AD190" s="453">
        <v>0</v>
      </c>
      <c r="AE190" s="453">
        <v>0</v>
      </c>
      <c r="AF190" s="453">
        <v>0</v>
      </c>
      <c r="AG190" s="453">
        <v>0</v>
      </c>
      <c r="AH190" s="453">
        <v>0</v>
      </c>
      <c r="AI190" s="453">
        <v>0</v>
      </c>
      <c r="AJ190" s="453">
        <v>0</v>
      </c>
      <c r="AK190" s="98">
        <v>0</v>
      </c>
      <c r="AL190" s="74">
        <f t="shared" ref="AL190:BE190" si="211">AK190</f>
        <v>0</v>
      </c>
      <c r="AM190" s="74">
        <f t="shared" si="211"/>
        <v>0</v>
      </c>
      <c r="AN190" s="74">
        <f t="shared" si="211"/>
        <v>0</v>
      </c>
      <c r="AO190" s="74">
        <f t="shared" si="211"/>
        <v>0</v>
      </c>
      <c r="AP190" s="74">
        <f t="shared" si="211"/>
        <v>0</v>
      </c>
      <c r="AQ190" s="74">
        <f t="shared" si="211"/>
        <v>0</v>
      </c>
      <c r="AR190" s="74">
        <f t="shared" si="211"/>
        <v>0</v>
      </c>
      <c r="AS190" s="74">
        <f t="shared" si="211"/>
        <v>0</v>
      </c>
      <c r="AT190" s="74">
        <f t="shared" si="211"/>
        <v>0</v>
      </c>
      <c r="AU190" s="74">
        <f t="shared" si="211"/>
        <v>0</v>
      </c>
      <c r="AV190" s="74">
        <f t="shared" si="211"/>
        <v>0</v>
      </c>
      <c r="AW190" s="74">
        <f t="shared" si="211"/>
        <v>0</v>
      </c>
      <c r="AX190" s="74">
        <f t="shared" si="211"/>
        <v>0</v>
      </c>
      <c r="AY190" s="74">
        <f t="shared" si="211"/>
        <v>0</v>
      </c>
      <c r="AZ190" s="74">
        <f t="shared" si="211"/>
        <v>0</v>
      </c>
      <c r="BA190" s="74">
        <f t="shared" si="211"/>
        <v>0</v>
      </c>
      <c r="BB190" s="74">
        <f t="shared" si="211"/>
        <v>0</v>
      </c>
      <c r="BC190" s="74">
        <f t="shared" si="211"/>
        <v>0</v>
      </c>
      <c r="BD190" s="74">
        <f t="shared" si="211"/>
        <v>0</v>
      </c>
      <c r="BE190" s="74">
        <f t="shared" si="211"/>
        <v>0</v>
      </c>
    </row>
    <row r="191" spans="1:57" ht="13.5" customHeight="1">
      <c r="A191" s="619"/>
      <c r="B191" s="253"/>
      <c r="C191" s="258"/>
      <c r="D191" s="78" t="s">
        <v>144</v>
      </c>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c r="AA191" s="262"/>
      <c r="AB191" s="262"/>
      <c r="AC191" s="262"/>
      <c r="AD191" s="262"/>
      <c r="AE191" s="262"/>
      <c r="AF191" s="262"/>
      <c r="AG191" s="262"/>
      <c r="AH191" s="262"/>
      <c r="AI191" s="262"/>
      <c r="AJ191" s="262"/>
      <c r="AK191" s="81"/>
      <c r="AL191" s="74">
        <f t="shared" ref="AL191:BE191" si="212">AK191</f>
        <v>0</v>
      </c>
      <c r="AM191" s="74">
        <f t="shared" si="212"/>
        <v>0</v>
      </c>
      <c r="AN191" s="74">
        <f t="shared" si="212"/>
        <v>0</v>
      </c>
      <c r="AO191" s="74">
        <f t="shared" si="212"/>
        <v>0</v>
      </c>
      <c r="AP191" s="74">
        <f t="shared" si="212"/>
        <v>0</v>
      </c>
      <c r="AQ191" s="74">
        <f t="shared" si="212"/>
        <v>0</v>
      </c>
      <c r="AR191" s="74">
        <f t="shared" si="212"/>
        <v>0</v>
      </c>
      <c r="AS191" s="74">
        <f t="shared" si="212"/>
        <v>0</v>
      </c>
      <c r="AT191" s="74">
        <f t="shared" si="212"/>
        <v>0</v>
      </c>
      <c r="AU191" s="74">
        <f t="shared" si="212"/>
        <v>0</v>
      </c>
      <c r="AV191" s="74">
        <f t="shared" si="212"/>
        <v>0</v>
      </c>
      <c r="AW191" s="74">
        <f t="shared" si="212"/>
        <v>0</v>
      </c>
      <c r="AX191" s="74">
        <f t="shared" si="212"/>
        <v>0</v>
      </c>
      <c r="AY191" s="74">
        <f t="shared" si="212"/>
        <v>0</v>
      </c>
      <c r="AZ191" s="74">
        <f t="shared" si="212"/>
        <v>0</v>
      </c>
      <c r="BA191" s="74">
        <f t="shared" si="212"/>
        <v>0</v>
      </c>
      <c r="BB191" s="74">
        <f t="shared" si="212"/>
        <v>0</v>
      </c>
      <c r="BC191" s="74">
        <f t="shared" si="212"/>
        <v>0</v>
      </c>
      <c r="BD191" s="74">
        <f t="shared" si="212"/>
        <v>0</v>
      </c>
      <c r="BE191" s="74">
        <f t="shared" si="212"/>
        <v>0</v>
      </c>
    </row>
    <row r="192" spans="1:57" ht="13.5" customHeight="1">
      <c r="A192" s="619"/>
      <c r="B192" s="253"/>
      <c r="C192" s="258"/>
      <c r="D192" s="75" t="s">
        <v>145</v>
      </c>
      <c r="E192" s="447"/>
      <c r="F192" s="447"/>
      <c r="G192" s="447"/>
      <c r="H192" s="447"/>
      <c r="I192" s="447"/>
      <c r="J192" s="447"/>
      <c r="K192" s="447"/>
      <c r="L192" s="447"/>
      <c r="M192" s="447"/>
      <c r="N192" s="447"/>
      <c r="O192" s="447"/>
      <c r="P192" s="447"/>
      <c r="Q192" s="447"/>
      <c r="R192" s="447"/>
      <c r="S192" s="447"/>
      <c r="T192" s="447"/>
      <c r="U192" s="447"/>
      <c r="V192" s="447"/>
      <c r="W192" s="447"/>
      <c r="X192" s="447"/>
      <c r="Y192" s="447"/>
      <c r="Z192" s="447"/>
      <c r="AA192" s="447"/>
      <c r="AB192" s="447"/>
      <c r="AC192" s="447"/>
      <c r="AD192" s="447"/>
      <c r="AE192" s="447"/>
      <c r="AF192" s="447"/>
      <c r="AG192" s="447"/>
      <c r="AH192" s="447"/>
      <c r="AI192" s="447"/>
      <c r="AJ192" s="447"/>
      <c r="AK192" s="76"/>
      <c r="AL192" s="74">
        <f t="shared" ref="AL192:BE192" si="213">AK192</f>
        <v>0</v>
      </c>
      <c r="AM192" s="74">
        <f t="shared" si="213"/>
        <v>0</v>
      </c>
      <c r="AN192" s="74">
        <f t="shared" si="213"/>
        <v>0</v>
      </c>
      <c r="AO192" s="74">
        <f t="shared" si="213"/>
        <v>0</v>
      </c>
      <c r="AP192" s="74">
        <f t="shared" si="213"/>
        <v>0</v>
      </c>
      <c r="AQ192" s="74">
        <f t="shared" si="213"/>
        <v>0</v>
      </c>
      <c r="AR192" s="74">
        <f t="shared" si="213"/>
        <v>0</v>
      </c>
      <c r="AS192" s="74">
        <f t="shared" si="213"/>
        <v>0</v>
      </c>
      <c r="AT192" s="74">
        <f t="shared" si="213"/>
        <v>0</v>
      </c>
      <c r="AU192" s="74">
        <f t="shared" si="213"/>
        <v>0</v>
      </c>
      <c r="AV192" s="74">
        <f t="shared" si="213"/>
        <v>0</v>
      </c>
      <c r="AW192" s="74">
        <f t="shared" si="213"/>
        <v>0</v>
      </c>
      <c r="AX192" s="74">
        <f t="shared" si="213"/>
        <v>0</v>
      </c>
      <c r="AY192" s="74">
        <f t="shared" si="213"/>
        <v>0</v>
      </c>
      <c r="AZ192" s="74">
        <f t="shared" si="213"/>
        <v>0</v>
      </c>
      <c r="BA192" s="74">
        <f t="shared" si="213"/>
        <v>0</v>
      </c>
      <c r="BB192" s="74">
        <f t="shared" si="213"/>
        <v>0</v>
      </c>
      <c r="BC192" s="74">
        <f t="shared" si="213"/>
        <v>0</v>
      </c>
      <c r="BD192" s="74">
        <f t="shared" si="213"/>
        <v>0</v>
      </c>
      <c r="BE192" s="74">
        <f t="shared" si="213"/>
        <v>0</v>
      </c>
    </row>
    <row r="193" spans="1:57" ht="13.5" customHeight="1">
      <c r="A193" s="619">
        <v>2</v>
      </c>
      <c r="B193" s="253"/>
      <c r="C193" s="258" t="s">
        <v>146</v>
      </c>
      <c r="D193" s="77" t="s">
        <v>155</v>
      </c>
      <c r="E193" s="323">
        <f>'Costos Sector Eléctrico'!E181</f>
        <v>9.15</v>
      </c>
      <c r="F193" s="323">
        <f>'Costos Sector Eléctrico'!F181</f>
        <v>9.15</v>
      </c>
      <c r="G193" s="323">
        <f>'Costos Sector Eléctrico'!G181</f>
        <v>9.3416661019839626</v>
      </c>
      <c r="H193" s="323">
        <f>'Costos Sector Eléctrico'!H181</f>
        <v>9.1931324707271678</v>
      </c>
      <c r="I193" s="323">
        <f>'Costos Sector Eléctrico'!I181</f>
        <v>9.7501083246926452</v>
      </c>
      <c r="J193" s="323">
        <f>'Costos Sector Eléctrico'!J181</f>
        <v>10.123027896557147</v>
      </c>
      <c r="K193" s="323">
        <f>'Costos Sector Eléctrico'!K181</f>
        <v>10.156021624309759</v>
      </c>
      <c r="L193" s="323">
        <f>'Costos Sector Eléctrico'!L181</f>
        <v>10.155952188763287</v>
      </c>
      <c r="M193" s="323">
        <f>'Costos Sector Eléctrico'!M181</f>
        <v>10.155974996864924</v>
      </c>
      <c r="N193" s="323">
        <f>'Costos Sector Eléctrico'!N181</f>
        <v>10.155961426055864</v>
      </c>
      <c r="O193" s="323">
        <f>'Costos Sector Eléctrico'!O181</f>
        <v>10.156003850967588</v>
      </c>
      <c r="P193" s="323">
        <f>'Costos Sector Eléctrico'!P181</f>
        <v>10.156011256076212</v>
      </c>
      <c r="Q193" s="323">
        <f>'Costos Sector Eléctrico'!Q181</f>
        <v>10.155997181924398</v>
      </c>
      <c r="R193" s="323">
        <f>'Costos Sector Eléctrico'!R181</f>
        <v>10.155919341184861</v>
      </c>
      <c r="S193" s="323">
        <f>'Costos Sector Eléctrico'!S181</f>
        <v>10.155995670580921</v>
      </c>
      <c r="T193" s="323">
        <f>'Costos Sector Eléctrico'!T181</f>
        <v>10.155972105037648</v>
      </c>
      <c r="U193" s="323">
        <f>'Costos Sector Eléctrico'!U181</f>
        <v>10.155992685805129</v>
      </c>
      <c r="V193" s="323">
        <f>'Costos Sector Eléctrico'!V181</f>
        <v>10.156000323161717</v>
      </c>
      <c r="W193" s="323">
        <f>'Costos Sector Eléctrico'!W181</f>
        <v>10.155982312962255</v>
      </c>
      <c r="X193" s="323">
        <f>'Costos Sector Eléctrico'!X181</f>
        <v>10.155982312962255</v>
      </c>
      <c r="Y193" s="323">
        <f>'Costos Sector Eléctrico'!Y181</f>
        <v>10.155982312962255</v>
      </c>
      <c r="Z193" s="323">
        <f>'Costos Sector Eléctrico'!Z181</f>
        <v>10.155982312962255</v>
      </c>
      <c r="AA193" s="323">
        <f>'Costos Sector Eléctrico'!AA181</f>
        <v>10.155982312962255</v>
      </c>
      <c r="AB193" s="323">
        <f>'Costos Sector Eléctrico'!AB181</f>
        <v>10.155982312962255</v>
      </c>
      <c r="AC193" s="323">
        <f>'Costos Sector Eléctrico'!AC181</f>
        <v>10.155982312962255</v>
      </c>
      <c r="AD193" s="323">
        <f>'Costos Sector Eléctrico'!AD181</f>
        <v>10.155982312962255</v>
      </c>
      <c r="AE193" s="323">
        <f>'Costos Sector Eléctrico'!AE181</f>
        <v>10.155982312962255</v>
      </c>
      <c r="AF193" s="323">
        <f>'Costos Sector Eléctrico'!AF181</f>
        <v>10.155982312962255</v>
      </c>
      <c r="AG193" s="323">
        <f>'Costos Sector Eléctrico'!AG181</f>
        <v>10.155982312962255</v>
      </c>
      <c r="AH193" s="323">
        <f>'Costos Sector Eléctrico'!AH181</f>
        <v>10.155982312962255</v>
      </c>
      <c r="AI193" s="323">
        <f>'Costos Sector Eléctrico'!AI181</f>
        <v>10.155982312962255</v>
      </c>
      <c r="AJ193" s="323">
        <f>'Costos Sector Eléctrico'!AJ181</f>
        <v>10.155982312962255</v>
      </c>
      <c r="AK193" s="82">
        <f>'Costos Sector Eléctrico'!AK181</f>
        <v>10.155982312962255</v>
      </c>
      <c r="AL193" s="80">
        <f t="shared" ref="AL193:BE193" si="214">AK193</f>
        <v>10.155982312962255</v>
      </c>
      <c r="AM193" s="80">
        <f t="shared" si="214"/>
        <v>10.155982312962255</v>
      </c>
      <c r="AN193" s="80">
        <f t="shared" si="214"/>
        <v>10.155982312962255</v>
      </c>
      <c r="AO193" s="80">
        <f t="shared" si="214"/>
        <v>10.155982312962255</v>
      </c>
      <c r="AP193" s="80">
        <f t="shared" si="214"/>
        <v>10.155982312962255</v>
      </c>
      <c r="AQ193" s="80">
        <f t="shared" si="214"/>
        <v>10.155982312962255</v>
      </c>
      <c r="AR193" s="80">
        <f t="shared" si="214"/>
        <v>10.155982312962255</v>
      </c>
      <c r="AS193" s="80">
        <f t="shared" si="214"/>
        <v>10.155982312962255</v>
      </c>
      <c r="AT193" s="80">
        <f t="shared" si="214"/>
        <v>10.155982312962255</v>
      </c>
      <c r="AU193" s="80">
        <f t="shared" si="214"/>
        <v>10.155982312962255</v>
      </c>
      <c r="AV193" s="80">
        <f t="shared" si="214"/>
        <v>10.155982312962255</v>
      </c>
      <c r="AW193" s="80">
        <f t="shared" si="214"/>
        <v>10.155982312962255</v>
      </c>
      <c r="AX193" s="80">
        <f t="shared" si="214"/>
        <v>10.155982312962255</v>
      </c>
      <c r="AY193" s="80">
        <f t="shared" si="214"/>
        <v>10.155982312962255</v>
      </c>
      <c r="AZ193" s="80">
        <f t="shared" si="214"/>
        <v>10.155982312962255</v>
      </c>
      <c r="BA193" s="80">
        <f t="shared" si="214"/>
        <v>10.155982312962255</v>
      </c>
      <c r="BB193" s="80">
        <f t="shared" si="214"/>
        <v>10.155982312962255</v>
      </c>
      <c r="BC193" s="80">
        <f t="shared" si="214"/>
        <v>10.155982312962255</v>
      </c>
      <c r="BD193" s="80">
        <f t="shared" si="214"/>
        <v>10.155982312962255</v>
      </c>
      <c r="BE193" s="80">
        <f t="shared" si="214"/>
        <v>10.155982312962255</v>
      </c>
    </row>
    <row r="194" spans="1:57" ht="13.5" customHeight="1">
      <c r="A194" s="619">
        <v>2</v>
      </c>
      <c r="B194" s="253"/>
      <c r="C194" s="258" t="s">
        <v>148</v>
      </c>
      <c r="D194" s="77" t="s">
        <v>160</v>
      </c>
      <c r="E194" s="323">
        <f>'Costos Sector Eléctrico'!E182</f>
        <v>9.09</v>
      </c>
      <c r="F194" s="323">
        <f>'Costos Sector Eléctrico'!F182</f>
        <v>9.09</v>
      </c>
      <c r="G194" s="323">
        <f>'Costos Sector Eléctrico'!G182</f>
        <v>5.6841862884691281</v>
      </c>
      <c r="H194" s="323">
        <f>'Costos Sector Eléctrico'!H182</f>
        <v>5.5648829122732453</v>
      </c>
      <c r="I194" s="323">
        <f>'Costos Sector Eléctrico'!I182</f>
        <v>5.674309977103098</v>
      </c>
      <c r="J194" s="323">
        <f>'Costos Sector Eléctrico'!J182</f>
        <v>5.5648937610992757</v>
      </c>
      <c r="K194" s="323">
        <f>'Costos Sector Eléctrico'!K182</f>
        <v>5.5648885140799118</v>
      </c>
      <c r="L194" s="323">
        <f>'Costos Sector Eléctrico'!L182</f>
        <v>5.56489843505714</v>
      </c>
      <c r="M194" s="323">
        <f>'Costos Sector Eléctrico'!M182</f>
        <v>5.5648890517176079</v>
      </c>
      <c r="N194" s="323">
        <f>'Costos Sector Eléctrico'!N182</f>
        <v>5.5648948523983286</v>
      </c>
      <c r="O194" s="323">
        <f>'Costos Sector Eléctrico'!O182</f>
        <v>5.5648973305218465</v>
      </c>
      <c r="P194" s="323">
        <f>'Costos Sector Eléctrico'!P182</f>
        <v>5.5648916622058282</v>
      </c>
      <c r="Q194" s="323">
        <f>'Costos Sector Eléctrico'!Q182</f>
        <v>5.5648965433336341</v>
      </c>
      <c r="R194" s="323">
        <f>'Costos Sector Eléctrico'!R182</f>
        <v>5.5649015745012305</v>
      </c>
      <c r="S194" s="323">
        <f>'Costos Sector Eléctrico'!S182</f>
        <v>5.5648971974512937</v>
      </c>
      <c r="T194" s="323">
        <f>'Costos Sector Eléctrico'!T182</f>
        <v>5.5648922379657835</v>
      </c>
      <c r="U194" s="323">
        <f>'Costos Sector Eléctrico'!U182</f>
        <v>5.5648844202172336</v>
      </c>
      <c r="V194" s="323">
        <f>'Costos Sector Eléctrico'!V182</f>
        <v>5.5648951361044956</v>
      </c>
      <c r="W194" s="323">
        <f>'Costos Sector Eléctrico'!W182</f>
        <v>5.5648955289885773</v>
      </c>
      <c r="X194" s="323">
        <f>'Costos Sector Eléctrico'!X182</f>
        <v>5.5648955289885773</v>
      </c>
      <c r="Y194" s="323">
        <f>'Costos Sector Eléctrico'!Y182</f>
        <v>5.5648955289885773</v>
      </c>
      <c r="Z194" s="323">
        <f>'Costos Sector Eléctrico'!Z182</f>
        <v>5.5648955289885773</v>
      </c>
      <c r="AA194" s="323">
        <f>'Costos Sector Eléctrico'!AA182</f>
        <v>5.5648955289885773</v>
      </c>
      <c r="AB194" s="323">
        <f>'Costos Sector Eléctrico'!AB182</f>
        <v>5.5648955289885773</v>
      </c>
      <c r="AC194" s="323">
        <f>'Costos Sector Eléctrico'!AC182</f>
        <v>5.5648955289885773</v>
      </c>
      <c r="AD194" s="323">
        <f>'Costos Sector Eléctrico'!AD182</f>
        <v>5.5648955289885773</v>
      </c>
      <c r="AE194" s="323">
        <f>'Costos Sector Eléctrico'!AE182</f>
        <v>5.5648955289885773</v>
      </c>
      <c r="AF194" s="323">
        <f>'Costos Sector Eléctrico'!AF182</f>
        <v>5.5648955289885773</v>
      </c>
      <c r="AG194" s="323">
        <f>'Costos Sector Eléctrico'!AG182</f>
        <v>5.5648955289885773</v>
      </c>
      <c r="AH194" s="323">
        <f>'Costos Sector Eléctrico'!AH182</f>
        <v>5.5648955289885773</v>
      </c>
      <c r="AI194" s="323">
        <f>'Costos Sector Eléctrico'!AI182</f>
        <v>5.5648955289885773</v>
      </c>
      <c r="AJ194" s="323">
        <f>'Costos Sector Eléctrico'!AJ182</f>
        <v>5.5648955289885773</v>
      </c>
      <c r="AK194" s="82">
        <f>'Costos Sector Eléctrico'!AK182</f>
        <v>5.5648955289885773</v>
      </c>
      <c r="AL194" s="80">
        <f t="shared" ref="AL194:BE194" si="215">AK194</f>
        <v>5.5648955289885773</v>
      </c>
      <c r="AM194" s="80">
        <f t="shared" si="215"/>
        <v>5.5648955289885773</v>
      </c>
      <c r="AN194" s="80">
        <f t="shared" si="215"/>
        <v>5.5648955289885773</v>
      </c>
      <c r="AO194" s="80">
        <f t="shared" si="215"/>
        <v>5.5648955289885773</v>
      </c>
      <c r="AP194" s="80">
        <f t="shared" si="215"/>
        <v>5.5648955289885773</v>
      </c>
      <c r="AQ194" s="80">
        <f t="shared" si="215"/>
        <v>5.5648955289885773</v>
      </c>
      <c r="AR194" s="80">
        <f t="shared" si="215"/>
        <v>5.5648955289885773</v>
      </c>
      <c r="AS194" s="80">
        <f t="shared" si="215"/>
        <v>5.5648955289885773</v>
      </c>
      <c r="AT194" s="80">
        <f t="shared" si="215"/>
        <v>5.5648955289885773</v>
      </c>
      <c r="AU194" s="80">
        <f t="shared" si="215"/>
        <v>5.5648955289885773</v>
      </c>
      <c r="AV194" s="80">
        <f t="shared" si="215"/>
        <v>5.5648955289885773</v>
      </c>
      <c r="AW194" s="80">
        <f t="shared" si="215"/>
        <v>5.5648955289885773</v>
      </c>
      <c r="AX194" s="80">
        <f t="shared" si="215"/>
        <v>5.5648955289885773</v>
      </c>
      <c r="AY194" s="80">
        <f t="shared" si="215"/>
        <v>5.5648955289885773</v>
      </c>
      <c r="AZ194" s="80">
        <f t="shared" si="215"/>
        <v>5.5648955289885773</v>
      </c>
      <c r="BA194" s="80">
        <f t="shared" si="215"/>
        <v>5.5648955289885773</v>
      </c>
      <c r="BB194" s="80">
        <f t="shared" si="215"/>
        <v>5.5648955289885773</v>
      </c>
      <c r="BC194" s="80">
        <f t="shared" si="215"/>
        <v>5.5648955289885773</v>
      </c>
      <c r="BD194" s="80">
        <f t="shared" si="215"/>
        <v>5.5648955289885773</v>
      </c>
      <c r="BE194" s="80">
        <f t="shared" si="215"/>
        <v>5.5648955289885773</v>
      </c>
    </row>
    <row r="195" spans="1:57" ht="13.5" customHeight="1">
      <c r="A195" s="619">
        <v>2</v>
      </c>
      <c r="B195" s="253"/>
      <c r="C195" s="258" t="s">
        <v>151</v>
      </c>
      <c r="D195" s="83" t="s">
        <v>309</v>
      </c>
      <c r="E195" s="454">
        <f t="shared" ref="E195:AK195" si="216">E194</f>
        <v>9.09</v>
      </c>
      <c r="F195" s="454">
        <f t="shared" si="216"/>
        <v>9.09</v>
      </c>
      <c r="G195" s="454">
        <f t="shared" si="216"/>
        <v>5.6841862884691281</v>
      </c>
      <c r="H195" s="454">
        <f t="shared" si="216"/>
        <v>5.5648829122732453</v>
      </c>
      <c r="I195" s="454">
        <f t="shared" si="216"/>
        <v>5.674309977103098</v>
      </c>
      <c r="J195" s="454">
        <f t="shared" si="216"/>
        <v>5.5648937610992757</v>
      </c>
      <c r="K195" s="454">
        <f t="shared" si="216"/>
        <v>5.5648885140799118</v>
      </c>
      <c r="L195" s="454">
        <f t="shared" si="216"/>
        <v>5.56489843505714</v>
      </c>
      <c r="M195" s="454">
        <f t="shared" si="216"/>
        <v>5.5648890517176079</v>
      </c>
      <c r="N195" s="454">
        <f t="shared" si="216"/>
        <v>5.5648948523983286</v>
      </c>
      <c r="O195" s="454">
        <f t="shared" si="216"/>
        <v>5.5648973305218465</v>
      </c>
      <c r="P195" s="454">
        <f t="shared" si="216"/>
        <v>5.5648916622058282</v>
      </c>
      <c r="Q195" s="454">
        <f t="shared" si="216"/>
        <v>5.5648965433336341</v>
      </c>
      <c r="R195" s="454">
        <f t="shared" si="216"/>
        <v>5.5649015745012305</v>
      </c>
      <c r="S195" s="454">
        <f t="shared" si="216"/>
        <v>5.5648971974512937</v>
      </c>
      <c r="T195" s="454">
        <f t="shared" si="216"/>
        <v>5.5648922379657835</v>
      </c>
      <c r="U195" s="454">
        <f t="shared" si="216"/>
        <v>5.5648844202172336</v>
      </c>
      <c r="V195" s="454">
        <f t="shared" si="216"/>
        <v>5.5648951361044956</v>
      </c>
      <c r="W195" s="454">
        <f t="shared" si="216"/>
        <v>5.5648955289885773</v>
      </c>
      <c r="X195" s="454">
        <f t="shared" si="216"/>
        <v>5.5648955289885773</v>
      </c>
      <c r="Y195" s="454">
        <f t="shared" si="216"/>
        <v>5.5648955289885773</v>
      </c>
      <c r="Z195" s="454">
        <f t="shared" si="216"/>
        <v>5.5648955289885773</v>
      </c>
      <c r="AA195" s="454">
        <f t="shared" si="216"/>
        <v>5.5648955289885773</v>
      </c>
      <c r="AB195" s="454">
        <f t="shared" si="216"/>
        <v>5.5648955289885773</v>
      </c>
      <c r="AC195" s="454">
        <f t="shared" si="216"/>
        <v>5.5648955289885773</v>
      </c>
      <c r="AD195" s="454">
        <f t="shared" si="216"/>
        <v>5.5648955289885773</v>
      </c>
      <c r="AE195" s="454">
        <f t="shared" si="216"/>
        <v>5.5648955289885773</v>
      </c>
      <c r="AF195" s="454">
        <f t="shared" si="216"/>
        <v>5.5648955289885773</v>
      </c>
      <c r="AG195" s="454">
        <f t="shared" si="216"/>
        <v>5.5648955289885773</v>
      </c>
      <c r="AH195" s="454">
        <f t="shared" si="216"/>
        <v>5.5648955289885773</v>
      </c>
      <c r="AI195" s="454">
        <f t="shared" si="216"/>
        <v>5.5648955289885773</v>
      </c>
      <c r="AJ195" s="454">
        <f t="shared" si="216"/>
        <v>5.5648955289885773</v>
      </c>
      <c r="AK195" s="101">
        <f t="shared" si="216"/>
        <v>5.5648955289885773</v>
      </c>
      <c r="AL195" s="80">
        <f t="shared" ref="AL195:BE195" si="217">AK195</f>
        <v>5.5648955289885773</v>
      </c>
      <c r="AM195" s="80">
        <f t="shared" si="217"/>
        <v>5.5648955289885773</v>
      </c>
      <c r="AN195" s="80">
        <f t="shared" si="217"/>
        <v>5.5648955289885773</v>
      </c>
      <c r="AO195" s="80">
        <f t="shared" si="217"/>
        <v>5.5648955289885773</v>
      </c>
      <c r="AP195" s="80">
        <f t="shared" si="217"/>
        <v>5.5648955289885773</v>
      </c>
      <c r="AQ195" s="80">
        <f t="shared" si="217"/>
        <v>5.5648955289885773</v>
      </c>
      <c r="AR195" s="80">
        <f t="shared" si="217"/>
        <v>5.5648955289885773</v>
      </c>
      <c r="AS195" s="80">
        <f t="shared" si="217"/>
        <v>5.5648955289885773</v>
      </c>
      <c r="AT195" s="80">
        <f t="shared" si="217"/>
        <v>5.5648955289885773</v>
      </c>
      <c r="AU195" s="80">
        <f t="shared" si="217"/>
        <v>5.5648955289885773</v>
      </c>
      <c r="AV195" s="80">
        <f t="shared" si="217"/>
        <v>5.5648955289885773</v>
      </c>
      <c r="AW195" s="80">
        <f t="shared" si="217"/>
        <v>5.5648955289885773</v>
      </c>
      <c r="AX195" s="80">
        <f t="shared" si="217"/>
        <v>5.5648955289885773</v>
      </c>
      <c r="AY195" s="80">
        <f t="shared" si="217"/>
        <v>5.5648955289885773</v>
      </c>
      <c r="AZ195" s="80">
        <f t="shared" si="217"/>
        <v>5.5648955289885773</v>
      </c>
      <c r="BA195" s="80">
        <f t="shared" si="217"/>
        <v>5.5648955289885773</v>
      </c>
      <c r="BB195" s="80">
        <f t="shared" si="217"/>
        <v>5.5648955289885773</v>
      </c>
      <c r="BC195" s="80">
        <f t="shared" si="217"/>
        <v>5.5648955289885773</v>
      </c>
      <c r="BD195" s="80">
        <f t="shared" si="217"/>
        <v>5.5648955289885773</v>
      </c>
      <c r="BE195" s="80">
        <f t="shared" si="217"/>
        <v>5.5648955289885773</v>
      </c>
    </row>
    <row r="196" spans="1:57" ht="13.5" customHeight="1">
      <c r="A196" s="619"/>
      <c r="B196" s="253"/>
      <c r="C196" s="258" t="s">
        <v>163</v>
      </c>
      <c r="D196" s="77" t="s">
        <v>161</v>
      </c>
      <c r="E196" s="376">
        <v>0</v>
      </c>
      <c r="F196" s="376">
        <v>0</v>
      </c>
      <c r="G196" s="376">
        <v>0</v>
      </c>
      <c r="H196" s="376">
        <v>0</v>
      </c>
      <c r="I196" s="376">
        <v>0</v>
      </c>
      <c r="J196" s="376">
        <v>0</v>
      </c>
      <c r="K196" s="376">
        <v>0</v>
      </c>
      <c r="L196" s="376">
        <v>0</v>
      </c>
      <c r="M196" s="376">
        <v>0</v>
      </c>
      <c r="N196" s="376">
        <v>0</v>
      </c>
      <c r="O196" s="376">
        <v>0</v>
      </c>
      <c r="P196" s="376">
        <v>0</v>
      </c>
      <c r="Q196" s="376">
        <v>0</v>
      </c>
      <c r="R196" s="376">
        <v>0</v>
      </c>
      <c r="S196" s="376">
        <v>0</v>
      </c>
      <c r="T196" s="376">
        <v>0</v>
      </c>
      <c r="U196" s="376">
        <v>0</v>
      </c>
      <c r="V196" s="376">
        <v>0</v>
      </c>
      <c r="W196" s="376">
        <v>0</v>
      </c>
      <c r="X196" s="376">
        <v>0</v>
      </c>
      <c r="Y196" s="376">
        <v>0</v>
      </c>
      <c r="Z196" s="376">
        <v>0</v>
      </c>
      <c r="AA196" s="376">
        <v>0</v>
      </c>
      <c r="AB196" s="376">
        <v>0</v>
      </c>
      <c r="AC196" s="376">
        <v>0</v>
      </c>
      <c r="AD196" s="376">
        <v>0</v>
      </c>
      <c r="AE196" s="376">
        <v>0</v>
      </c>
      <c r="AF196" s="376">
        <v>0</v>
      </c>
      <c r="AG196" s="376">
        <v>0</v>
      </c>
      <c r="AH196" s="376">
        <v>0</v>
      </c>
      <c r="AI196" s="376">
        <v>0</v>
      </c>
      <c r="AJ196" s="376">
        <v>0</v>
      </c>
      <c r="AK196" s="69">
        <v>0</v>
      </c>
      <c r="AL196" s="74">
        <f t="shared" ref="AL196:BE196" si="218">AK196</f>
        <v>0</v>
      </c>
      <c r="AM196" s="74">
        <f t="shared" si="218"/>
        <v>0</v>
      </c>
      <c r="AN196" s="74">
        <f t="shared" si="218"/>
        <v>0</v>
      </c>
      <c r="AO196" s="74">
        <f t="shared" si="218"/>
        <v>0</v>
      </c>
      <c r="AP196" s="74">
        <f t="shared" si="218"/>
        <v>0</v>
      </c>
      <c r="AQ196" s="74">
        <f t="shared" si="218"/>
        <v>0</v>
      </c>
      <c r="AR196" s="74">
        <f t="shared" si="218"/>
        <v>0</v>
      </c>
      <c r="AS196" s="74">
        <f t="shared" si="218"/>
        <v>0</v>
      </c>
      <c r="AT196" s="74">
        <f t="shared" si="218"/>
        <v>0</v>
      </c>
      <c r="AU196" s="74">
        <f t="shared" si="218"/>
        <v>0</v>
      </c>
      <c r="AV196" s="74">
        <f t="shared" si="218"/>
        <v>0</v>
      </c>
      <c r="AW196" s="74">
        <f t="shared" si="218"/>
        <v>0</v>
      </c>
      <c r="AX196" s="74">
        <f t="shared" si="218"/>
        <v>0</v>
      </c>
      <c r="AY196" s="74">
        <f t="shared" si="218"/>
        <v>0</v>
      </c>
      <c r="AZ196" s="74">
        <f t="shared" si="218"/>
        <v>0</v>
      </c>
      <c r="BA196" s="74">
        <f t="shared" si="218"/>
        <v>0</v>
      </c>
      <c r="BB196" s="74">
        <f t="shared" si="218"/>
        <v>0</v>
      </c>
      <c r="BC196" s="74">
        <f t="shared" si="218"/>
        <v>0</v>
      </c>
      <c r="BD196" s="74">
        <f t="shared" si="218"/>
        <v>0</v>
      </c>
      <c r="BE196" s="74">
        <f t="shared" si="218"/>
        <v>0</v>
      </c>
    </row>
    <row r="197" spans="1:57" ht="13.5" customHeight="1">
      <c r="A197" s="619"/>
      <c r="B197" s="253"/>
      <c r="C197" s="258"/>
      <c r="D197" s="75" t="s">
        <v>153</v>
      </c>
      <c r="E197" s="447"/>
      <c r="F197" s="447"/>
      <c r="G197" s="447"/>
      <c r="H197" s="447"/>
      <c r="I197" s="447"/>
      <c r="J197" s="447"/>
      <c r="K197" s="447"/>
      <c r="L197" s="447"/>
      <c r="M197" s="447"/>
      <c r="N197" s="447"/>
      <c r="O197" s="447"/>
      <c r="P197" s="447"/>
      <c r="Q197" s="447"/>
      <c r="R197" s="447"/>
      <c r="S197" s="447"/>
      <c r="T197" s="447"/>
      <c r="U197" s="447"/>
      <c r="V197" s="447"/>
      <c r="W197" s="447"/>
      <c r="X197" s="447"/>
      <c r="Y197" s="447"/>
      <c r="Z197" s="447"/>
      <c r="AA197" s="447"/>
      <c r="AB197" s="447"/>
      <c r="AC197" s="447"/>
      <c r="AD197" s="447"/>
      <c r="AE197" s="447"/>
      <c r="AF197" s="447"/>
      <c r="AG197" s="447"/>
      <c r="AH197" s="447"/>
      <c r="AI197" s="447"/>
      <c r="AJ197" s="447"/>
      <c r="AK197" s="76"/>
      <c r="AL197" s="74">
        <f t="shared" ref="AL197:BE197" si="219">AK197</f>
        <v>0</v>
      </c>
      <c r="AM197" s="74">
        <f t="shared" si="219"/>
        <v>0</v>
      </c>
      <c r="AN197" s="74">
        <f t="shared" si="219"/>
        <v>0</v>
      </c>
      <c r="AO197" s="74">
        <f t="shared" si="219"/>
        <v>0</v>
      </c>
      <c r="AP197" s="74">
        <f t="shared" si="219"/>
        <v>0</v>
      </c>
      <c r="AQ197" s="74">
        <f t="shared" si="219"/>
        <v>0</v>
      </c>
      <c r="AR197" s="74">
        <f t="shared" si="219"/>
        <v>0</v>
      </c>
      <c r="AS197" s="74">
        <f t="shared" si="219"/>
        <v>0</v>
      </c>
      <c r="AT197" s="74">
        <f t="shared" si="219"/>
        <v>0</v>
      </c>
      <c r="AU197" s="74">
        <f t="shared" si="219"/>
        <v>0</v>
      </c>
      <c r="AV197" s="74">
        <f t="shared" si="219"/>
        <v>0</v>
      </c>
      <c r="AW197" s="74">
        <f t="shared" si="219"/>
        <v>0</v>
      </c>
      <c r="AX197" s="74">
        <f t="shared" si="219"/>
        <v>0</v>
      </c>
      <c r="AY197" s="74">
        <f t="shared" si="219"/>
        <v>0</v>
      </c>
      <c r="AZ197" s="74">
        <f t="shared" si="219"/>
        <v>0</v>
      </c>
      <c r="BA197" s="74">
        <f t="shared" si="219"/>
        <v>0</v>
      </c>
      <c r="BB197" s="74">
        <f t="shared" si="219"/>
        <v>0</v>
      </c>
      <c r="BC197" s="74">
        <f t="shared" si="219"/>
        <v>0</v>
      </c>
      <c r="BD197" s="74">
        <f t="shared" si="219"/>
        <v>0</v>
      </c>
      <c r="BE197" s="74">
        <f t="shared" si="219"/>
        <v>0</v>
      </c>
    </row>
    <row r="198" spans="1:57" ht="13.5" customHeight="1">
      <c r="A198" s="619">
        <v>2</v>
      </c>
      <c r="B198" s="253"/>
      <c r="C198" s="258" t="s">
        <v>154</v>
      </c>
      <c r="D198" s="77" t="s">
        <v>155</v>
      </c>
      <c r="E198" s="323">
        <f>G198</f>
        <v>4.2435047193308151</v>
      </c>
      <c r="F198" s="323">
        <f>G198</f>
        <v>4.2435047193308151</v>
      </c>
      <c r="G198" s="323">
        <f>'Costos Sector Eléctrico'!G191</f>
        <v>4.2435047193308151</v>
      </c>
      <c r="H198" s="323">
        <f>'Costos Sector Eléctrico'!H191</f>
        <v>4.0697021722530868</v>
      </c>
      <c r="I198" s="323">
        <f>'Costos Sector Eléctrico'!I191</f>
        <v>4.4998103693629741</v>
      </c>
      <c r="J198" s="323">
        <f>'Costos Sector Eléctrico'!J191</f>
        <v>4.4998210238219087</v>
      </c>
      <c r="K198" s="323">
        <f>'Costos Sector Eléctrico'!K191</f>
        <v>4.4998168469017781</v>
      </c>
      <c r="L198" s="323">
        <f>'Costos Sector Eléctrico'!L191</f>
        <v>4.499811008535147</v>
      </c>
      <c r="M198" s="323">
        <f>'Costos Sector Eléctrico'!M191</f>
        <v>4.4998034943175025</v>
      </c>
      <c r="N198" s="323">
        <f>'Costos Sector Eléctrico'!N191</f>
        <v>4.4998210164582835</v>
      </c>
      <c r="O198" s="323">
        <f>'Costos Sector Eléctrico'!O191</f>
        <v>4.4998096854150482</v>
      </c>
      <c r="P198" s="323">
        <f>'Costos Sector Eléctrico'!P191</f>
        <v>4.4998137680371819</v>
      </c>
      <c r="Q198" s="323">
        <f>'Costos Sector Eléctrico'!Q191</f>
        <v>4.4998220691561546</v>
      </c>
      <c r="R198" s="323">
        <f>'Costos Sector Eléctrico'!R191</f>
        <v>4.499795016077651</v>
      </c>
      <c r="S198" s="323">
        <f>'Costos Sector Eléctrico'!S191</f>
        <v>4.4998305987690808</v>
      </c>
      <c r="T198" s="323">
        <f>'Costos Sector Eléctrico'!T191</f>
        <v>4.4998483535756693</v>
      </c>
      <c r="U198" s="323">
        <f>'Costos Sector Eléctrico'!U191</f>
        <v>4.4998030063368617</v>
      </c>
      <c r="V198" s="323">
        <f>'Costos Sector Eléctrico'!V191</f>
        <v>4.4998238295279638</v>
      </c>
      <c r="W198" s="323">
        <f>'Costos Sector Eléctrico'!W191</f>
        <v>4.4998263250652526</v>
      </c>
      <c r="X198" s="323">
        <f>'Costos Sector Eléctrico'!X191</f>
        <v>4.4998263250652526</v>
      </c>
      <c r="Y198" s="323">
        <f>'Costos Sector Eléctrico'!Y191</f>
        <v>4.4998263250652526</v>
      </c>
      <c r="Z198" s="323">
        <f>'Costos Sector Eléctrico'!Z191</f>
        <v>4.4998263250652526</v>
      </c>
      <c r="AA198" s="323">
        <f>'Costos Sector Eléctrico'!AA191</f>
        <v>4.4998263250652526</v>
      </c>
      <c r="AB198" s="323">
        <f>'Costos Sector Eléctrico'!AB191</f>
        <v>4.4998263250652526</v>
      </c>
      <c r="AC198" s="323">
        <f>'Costos Sector Eléctrico'!AC191</f>
        <v>4.4998263250652526</v>
      </c>
      <c r="AD198" s="323">
        <f>'Costos Sector Eléctrico'!AD191</f>
        <v>4.4998263250652526</v>
      </c>
      <c r="AE198" s="323">
        <f>'Costos Sector Eléctrico'!AE191</f>
        <v>4.4998263250652526</v>
      </c>
      <c r="AF198" s="323">
        <f>'Costos Sector Eléctrico'!AF191</f>
        <v>4.4998263250652526</v>
      </c>
      <c r="AG198" s="323">
        <f>'Costos Sector Eléctrico'!AG191</f>
        <v>4.4998263250652526</v>
      </c>
      <c r="AH198" s="323">
        <f>'Costos Sector Eléctrico'!AH191</f>
        <v>4.4998263250652526</v>
      </c>
      <c r="AI198" s="323">
        <f>'Costos Sector Eléctrico'!AI191</f>
        <v>4.4998263250652526</v>
      </c>
      <c r="AJ198" s="323">
        <f>'Costos Sector Eléctrico'!AJ191</f>
        <v>4.4998263250652526</v>
      </c>
      <c r="AK198" s="82">
        <f>'Costos Sector Eléctrico'!AK191</f>
        <v>4.4998263250652526</v>
      </c>
      <c r="AL198" s="80">
        <f t="shared" ref="AL198:BE198" si="220">AK198</f>
        <v>4.4998263250652526</v>
      </c>
      <c r="AM198" s="80">
        <f t="shared" si="220"/>
        <v>4.4998263250652526</v>
      </c>
      <c r="AN198" s="80">
        <f t="shared" si="220"/>
        <v>4.4998263250652526</v>
      </c>
      <c r="AO198" s="80">
        <f t="shared" si="220"/>
        <v>4.4998263250652526</v>
      </c>
      <c r="AP198" s="80">
        <f t="shared" si="220"/>
        <v>4.4998263250652526</v>
      </c>
      <c r="AQ198" s="80">
        <f t="shared" si="220"/>
        <v>4.4998263250652526</v>
      </c>
      <c r="AR198" s="80">
        <f t="shared" si="220"/>
        <v>4.4998263250652526</v>
      </c>
      <c r="AS198" s="80">
        <f t="shared" si="220"/>
        <v>4.4998263250652526</v>
      </c>
      <c r="AT198" s="80">
        <f t="shared" si="220"/>
        <v>4.4998263250652526</v>
      </c>
      <c r="AU198" s="80">
        <f t="shared" si="220"/>
        <v>4.4998263250652526</v>
      </c>
      <c r="AV198" s="80">
        <f t="shared" si="220"/>
        <v>4.4998263250652526</v>
      </c>
      <c r="AW198" s="80">
        <f t="shared" si="220"/>
        <v>4.4998263250652526</v>
      </c>
      <c r="AX198" s="80">
        <f t="shared" si="220"/>
        <v>4.4998263250652526</v>
      </c>
      <c r="AY198" s="80">
        <f t="shared" si="220"/>
        <v>4.4998263250652526</v>
      </c>
      <c r="AZ198" s="80">
        <f t="shared" si="220"/>
        <v>4.4998263250652526</v>
      </c>
      <c r="BA198" s="80">
        <f t="shared" si="220"/>
        <v>4.4998263250652526</v>
      </c>
      <c r="BB198" s="80">
        <f t="shared" si="220"/>
        <v>4.4998263250652526</v>
      </c>
      <c r="BC198" s="80">
        <f t="shared" si="220"/>
        <v>4.4998263250652526</v>
      </c>
      <c r="BD198" s="80">
        <f t="shared" si="220"/>
        <v>4.4998263250652526</v>
      </c>
      <c r="BE198" s="80">
        <f t="shared" si="220"/>
        <v>4.4998263250652526</v>
      </c>
    </row>
    <row r="199" spans="1:57" ht="13.5" customHeight="1">
      <c r="A199" s="619">
        <v>4</v>
      </c>
      <c r="B199" s="253"/>
      <c r="C199" s="258" t="s">
        <v>156</v>
      </c>
      <c r="D199" s="77" t="s">
        <v>157</v>
      </c>
      <c r="E199" s="376">
        <f>'Costos Sector Eléctrico'!E188</f>
        <v>18.920000000000002</v>
      </c>
      <c r="F199" s="376">
        <f>'Costos Sector Eléctrico'!F188</f>
        <v>18.920000000000002</v>
      </c>
      <c r="G199" s="376">
        <f>'Costos Sector Eléctrico'!G188</f>
        <v>18.920000000000002</v>
      </c>
      <c r="H199" s="376">
        <f>'Costos Sector Eléctrico'!H188</f>
        <v>18.920000000000002</v>
      </c>
      <c r="I199" s="376">
        <f>'Costos Sector Eléctrico'!I188</f>
        <v>18.920000000000002</v>
      </c>
      <c r="J199" s="376">
        <f>'Costos Sector Eléctrico'!J188</f>
        <v>18.920000000000002</v>
      </c>
      <c r="K199" s="376">
        <f>'Costos Sector Eléctrico'!K188</f>
        <v>18.920000000000002</v>
      </c>
      <c r="L199" s="376">
        <f>'Costos Sector Eléctrico'!L188</f>
        <v>18.920000000000002</v>
      </c>
      <c r="M199" s="376">
        <f>'Costos Sector Eléctrico'!M188</f>
        <v>18.920000000000002</v>
      </c>
      <c r="N199" s="376">
        <f>'Costos Sector Eléctrico'!N188</f>
        <v>18.920000000000002</v>
      </c>
      <c r="O199" s="376">
        <f>'Costos Sector Eléctrico'!O188</f>
        <v>18.920000000000002</v>
      </c>
      <c r="P199" s="376">
        <f>'Costos Sector Eléctrico'!P188</f>
        <v>18.920000000000002</v>
      </c>
      <c r="Q199" s="376">
        <f>'Costos Sector Eléctrico'!Q188</f>
        <v>18.920000000000002</v>
      </c>
      <c r="R199" s="376">
        <f>'Costos Sector Eléctrico'!R188</f>
        <v>18.920000000000002</v>
      </c>
      <c r="S199" s="376">
        <f>'Costos Sector Eléctrico'!S188</f>
        <v>18.920000000000002</v>
      </c>
      <c r="T199" s="376">
        <f>'Costos Sector Eléctrico'!T188</f>
        <v>18.920000000000002</v>
      </c>
      <c r="U199" s="376">
        <f>'Costos Sector Eléctrico'!U188</f>
        <v>18.920000000000002</v>
      </c>
      <c r="V199" s="376">
        <f>'Costos Sector Eléctrico'!V188</f>
        <v>18.920000000000002</v>
      </c>
      <c r="W199" s="376">
        <f>'Costos Sector Eléctrico'!W188</f>
        <v>18.920000000000002</v>
      </c>
      <c r="X199" s="376">
        <f>'Costos Sector Eléctrico'!X188</f>
        <v>18.920000000000002</v>
      </c>
      <c r="Y199" s="376">
        <f>'Costos Sector Eléctrico'!Y188</f>
        <v>18.920000000000002</v>
      </c>
      <c r="Z199" s="376">
        <f>'Costos Sector Eléctrico'!Z188</f>
        <v>18.920000000000002</v>
      </c>
      <c r="AA199" s="376">
        <f>'Costos Sector Eléctrico'!AA188</f>
        <v>18.920000000000002</v>
      </c>
      <c r="AB199" s="376">
        <f>'Costos Sector Eléctrico'!AB188</f>
        <v>18.920000000000002</v>
      </c>
      <c r="AC199" s="376">
        <f>'Costos Sector Eléctrico'!AC188</f>
        <v>18.920000000000002</v>
      </c>
      <c r="AD199" s="376">
        <f>'Costos Sector Eléctrico'!AD188</f>
        <v>18.920000000000002</v>
      </c>
      <c r="AE199" s="376">
        <f>'Costos Sector Eléctrico'!AE188</f>
        <v>18.920000000000002</v>
      </c>
      <c r="AF199" s="376">
        <f>'Costos Sector Eléctrico'!AF188</f>
        <v>18.920000000000002</v>
      </c>
      <c r="AG199" s="376">
        <f>'Costos Sector Eléctrico'!AG188</f>
        <v>18.920000000000002</v>
      </c>
      <c r="AH199" s="376">
        <f>'Costos Sector Eléctrico'!AH188</f>
        <v>18.920000000000002</v>
      </c>
      <c r="AI199" s="376">
        <f>'Costos Sector Eléctrico'!AI188</f>
        <v>18.920000000000002</v>
      </c>
      <c r="AJ199" s="376">
        <f>'Costos Sector Eléctrico'!AJ188</f>
        <v>18.920000000000002</v>
      </c>
      <c r="AK199" s="69">
        <f>'Costos Sector Eléctrico'!AK188</f>
        <v>18.920000000000002</v>
      </c>
      <c r="AL199" s="74">
        <f t="shared" ref="AL199:BE199" si="221">AK199</f>
        <v>18.920000000000002</v>
      </c>
      <c r="AM199" s="74">
        <f t="shared" si="221"/>
        <v>18.920000000000002</v>
      </c>
      <c r="AN199" s="74">
        <f t="shared" si="221"/>
        <v>18.920000000000002</v>
      </c>
      <c r="AO199" s="74">
        <f t="shared" si="221"/>
        <v>18.920000000000002</v>
      </c>
      <c r="AP199" s="74">
        <f t="shared" si="221"/>
        <v>18.920000000000002</v>
      </c>
      <c r="AQ199" s="74">
        <f t="shared" si="221"/>
        <v>18.920000000000002</v>
      </c>
      <c r="AR199" s="74">
        <f t="shared" si="221"/>
        <v>18.920000000000002</v>
      </c>
      <c r="AS199" s="74">
        <f t="shared" si="221"/>
        <v>18.920000000000002</v>
      </c>
      <c r="AT199" s="74">
        <f t="shared" si="221"/>
        <v>18.920000000000002</v>
      </c>
      <c r="AU199" s="74">
        <f t="shared" si="221"/>
        <v>18.920000000000002</v>
      </c>
      <c r="AV199" s="74">
        <f t="shared" si="221"/>
        <v>18.920000000000002</v>
      </c>
      <c r="AW199" s="74">
        <f t="shared" si="221"/>
        <v>18.920000000000002</v>
      </c>
      <c r="AX199" s="74">
        <f t="shared" si="221"/>
        <v>18.920000000000002</v>
      </c>
      <c r="AY199" s="74">
        <f t="shared" si="221"/>
        <v>18.920000000000002</v>
      </c>
      <c r="AZ199" s="74">
        <f t="shared" si="221"/>
        <v>18.920000000000002</v>
      </c>
      <c r="BA199" s="74">
        <f t="shared" si="221"/>
        <v>18.920000000000002</v>
      </c>
      <c r="BB199" s="74">
        <f t="shared" si="221"/>
        <v>18.920000000000002</v>
      </c>
      <c r="BC199" s="74">
        <f t="shared" si="221"/>
        <v>18.920000000000002</v>
      </c>
      <c r="BD199" s="74">
        <f t="shared" si="221"/>
        <v>18.920000000000002</v>
      </c>
      <c r="BE199" s="74">
        <f t="shared" si="221"/>
        <v>18.920000000000002</v>
      </c>
    </row>
    <row r="200" spans="1:57" ht="13.5" customHeight="1">
      <c r="A200" s="619"/>
      <c r="B200" s="253"/>
      <c r="C200" s="258"/>
      <c r="D200" s="75" t="s">
        <v>158</v>
      </c>
      <c r="E200" s="447"/>
      <c r="F200" s="447"/>
      <c r="G200" s="447"/>
      <c r="H200" s="447"/>
      <c r="I200" s="447"/>
      <c r="J200" s="447"/>
      <c r="K200" s="447"/>
      <c r="L200" s="447"/>
      <c r="M200" s="447"/>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76"/>
      <c r="AL200" s="74">
        <f t="shared" ref="AL200:BE200" si="222">AK200</f>
        <v>0</v>
      </c>
      <c r="AM200" s="74">
        <f t="shared" si="222"/>
        <v>0</v>
      </c>
      <c r="AN200" s="74">
        <f t="shared" si="222"/>
        <v>0</v>
      </c>
      <c r="AO200" s="74">
        <f t="shared" si="222"/>
        <v>0</v>
      </c>
      <c r="AP200" s="74">
        <f t="shared" si="222"/>
        <v>0</v>
      </c>
      <c r="AQ200" s="74">
        <f t="shared" si="222"/>
        <v>0</v>
      </c>
      <c r="AR200" s="74">
        <f t="shared" si="222"/>
        <v>0</v>
      </c>
      <c r="AS200" s="74">
        <f t="shared" si="222"/>
        <v>0</v>
      </c>
      <c r="AT200" s="74">
        <f t="shared" si="222"/>
        <v>0</v>
      </c>
      <c r="AU200" s="74">
        <f t="shared" si="222"/>
        <v>0</v>
      </c>
      <c r="AV200" s="74">
        <f t="shared" si="222"/>
        <v>0</v>
      </c>
      <c r="AW200" s="74">
        <f t="shared" si="222"/>
        <v>0</v>
      </c>
      <c r="AX200" s="74">
        <f t="shared" si="222"/>
        <v>0</v>
      </c>
      <c r="AY200" s="74">
        <f t="shared" si="222"/>
        <v>0</v>
      </c>
      <c r="AZ200" s="74">
        <f t="shared" si="222"/>
        <v>0</v>
      </c>
      <c r="BA200" s="74">
        <f t="shared" si="222"/>
        <v>0</v>
      </c>
      <c r="BB200" s="74">
        <f t="shared" si="222"/>
        <v>0</v>
      </c>
      <c r="BC200" s="74">
        <f t="shared" si="222"/>
        <v>0</v>
      </c>
      <c r="BD200" s="74">
        <f t="shared" si="222"/>
        <v>0</v>
      </c>
      <c r="BE200" s="74">
        <f t="shared" si="222"/>
        <v>0</v>
      </c>
    </row>
    <row r="201" spans="1:57" ht="13.5" customHeight="1">
      <c r="A201" s="619">
        <v>4</v>
      </c>
      <c r="B201" s="253"/>
      <c r="C201" s="258" t="s">
        <v>159</v>
      </c>
      <c r="D201" s="77" t="s">
        <v>160</v>
      </c>
      <c r="E201" s="376">
        <f>'Costos Sector Eléctrico'!E195</f>
        <v>12.61</v>
      </c>
      <c r="F201" s="376">
        <f>'Costos Sector Eléctrico'!F195</f>
        <v>12.61</v>
      </c>
      <c r="G201" s="376">
        <f>'Costos Sector Eléctrico'!G195</f>
        <v>12.61</v>
      </c>
      <c r="H201" s="376">
        <f>'Costos Sector Eléctrico'!H195</f>
        <v>12.61</v>
      </c>
      <c r="I201" s="376">
        <f>'Costos Sector Eléctrico'!I195</f>
        <v>12.61</v>
      </c>
      <c r="J201" s="376">
        <f>'Costos Sector Eléctrico'!J195</f>
        <v>12.61</v>
      </c>
      <c r="K201" s="376">
        <f>'Costos Sector Eléctrico'!K195</f>
        <v>12.61</v>
      </c>
      <c r="L201" s="376">
        <f>'Costos Sector Eléctrico'!L195</f>
        <v>12.61</v>
      </c>
      <c r="M201" s="376">
        <f>'Costos Sector Eléctrico'!M195</f>
        <v>12.61</v>
      </c>
      <c r="N201" s="376">
        <f>'Costos Sector Eléctrico'!N195</f>
        <v>12.61</v>
      </c>
      <c r="O201" s="376">
        <f>'Costos Sector Eléctrico'!O195</f>
        <v>12.61</v>
      </c>
      <c r="P201" s="376">
        <f>'Costos Sector Eléctrico'!P195</f>
        <v>12.61</v>
      </c>
      <c r="Q201" s="376">
        <f>'Costos Sector Eléctrico'!Q195</f>
        <v>12.61</v>
      </c>
      <c r="R201" s="376">
        <f>'Costos Sector Eléctrico'!R195</f>
        <v>12.61</v>
      </c>
      <c r="S201" s="376">
        <f>'Costos Sector Eléctrico'!S195</f>
        <v>12.61</v>
      </c>
      <c r="T201" s="376">
        <f>'Costos Sector Eléctrico'!T195</f>
        <v>12.61</v>
      </c>
      <c r="U201" s="376">
        <f>'Costos Sector Eléctrico'!U195</f>
        <v>12.61</v>
      </c>
      <c r="V201" s="376">
        <f>'Costos Sector Eléctrico'!V195</f>
        <v>12.61</v>
      </c>
      <c r="W201" s="376">
        <f>'Costos Sector Eléctrico'!W195</f>
        <v>12.61</v>
      </c>
      <c r="X201" s="376">
        <f>'Costos Sector Eléctrico'!X195</f>
        <v>12.61</v>
      </c>
      <c r="Y201" s="376">
        <f>'Costos Sector Eléctrico'!Y195</f>
        <v>12.61</v>
      </c>
      <c r="Z201" s="376">
        <f>'Costos Sector Eléctrico'!Z195</f>
        <v>12.61</v>
      </c>
      <c r="AA201" s="376">
        <f>'Costos Sector Eléctrico'!AA195</f>
        <v>12.61</v>
      </c>
      <c r="AB201" s="376">
        <f>'Costos Sector Eléctrico'!AB195</f>
        <v>12.61</v>
      </c>
      <c r="AC201" s="376">
        <f>'Costos Sector Eléctrico'!AC195</f>
        <v>12.61</v>
      </c>
      <c r="AD201" s="376">
        <f>'Costos Sector Eléctrico'!AD195</f>
        <v>12.61</v>
      </c>
      <c r="AE201" s="376">
        <f>'Costos Sector Eléctrico'!AE195</f>
        <v>12.61</v>
      </c>
      <c r="AF201" s="376">
        <f>'Costos Sector Eléctrico'!AF195</f>
        <v>12.61</v>
      </c>
      <c r="AG201" s="376">
        <f>'Costos Sector Eléctrico'!AG195</f>
        <v>12.61</v>
      </c>
      <c r="AH201" s="376">
        <f>'Costos Sector Eléctrico'!AH195</f>
        <v>12.61</v>
      </c>
      <c r="AI201" s="376">
        <f>'Costos Sector Eléctrico'!AI195</f>
        <v>12.61</v>
      </c>
      <c r="AJ201" s="376">
        <f>'Costos Sector Eléctrico'!AJ195</f>
        <v>12.61</v>
      </c>
      <c r="AK201" s="69">
        <f>'Costos Sector Eléctrico'!AK195</f>
        <v>12.61</v>
      </c>
      <c r="AL201" s="74">
        <f t="shared" ref="AL201:BE201" si="223">AK201</f>
        <v>12.61</v>
      </c>
      <c r="AM201" s="74">
        <f t="shared" si="223"/>
        <v>12.61</v>
      </c>
      <c r="AN201" s="74">
        <f t="shared" si="223"/>
        <v>12.61</v>
      </c>
      <c r="AO201" s="74">
        <f t="shared" si="223"/>
        <v>12.61</v>
      </c>
      <c r="AP201" s="74">
        <f t="shared" si="223"/>
        <v>12.61</v>
      </c>
      <c r="AQ201" s="74">
        <f t="shared" si="223"/>
        <v>12.61</v>
      </c>
      <c r="AR201" s="74">
        <f t="shared" si="223"/>
        <v>12.61</v>
      </c>
      <c r="AS201" s="74">
        <f t="shared" si="223"/>
        <v>12.61</v>
      </c>
      <c r="AT201" s="74">
        <f t="shared" si="223"/>
        <v>12.61</v>
      </c>
      <c r="AU201" s="74">
        <f t="shared" si="223"/>
        <v>12.61</v>
      </c>
      <c r="AV201" s="74">
        <f t="shared" si="223"/>
        <v>12.61</v>
      </c>
      <c r="AW201" s="74">
        <f t="shared" si="223"/>
        <v>12.61</v>
      </c>
      <c r="AX201" s="74">
        <f t="shared" si="223"/>
        <v>12.61</v>
      </c>
      <c r="AY201" s="74">
        <f t="shared" si="223"/>
        <v>12.61</v>
      </c>
      <c r="AZ201" s="74">
        <f t="shared" si="223"/>
        <v>12.61</v>
      </c>
      <c r="BA201" s="74">
        <f t="shared" si="223"/>
        <v>12.61</v>
      </c>
      <c r="BB201" s="74">
        <f t="shared" si="223"/>
        <v>12.61</v>
      </c>
      <c r="BC201" s="74">
        <f t="shared" si="223"/>
        <v>12.61</v>
      </c>
      <c r="BD201" s="74">
        <f t="shared" si="223"/>
        <v>12.61</v>
      </c>
      <c r="BE201" s="74">
        <f t="shared" si="223"/>
        <v>12.61</v>
      </c>
    </row>
    <row r="202" spans="1:57" ht="13.5" customHeight="1">
      <c r="A202" s="619">
        <v>2</v>
      </c>
      <c r="B202" s="253"/>
      <c r="C202" s="258" t="s">
        <v>267</v>
      </c>
      <c r="D202" s="86" t="s">
        <v>555</v>
      </c>
      <c r="E202" s="99">
        <f t="shared" ref="E202:N202" si="224">$O$202</f>
        <v>2.4700000000000002</v>
      </c>
      <c r="F202" s="99">
        <f t="shared" si="224"/>
        <v>2.4700000000000002</v>
      </c>
      <c r="G202" s="99">
        <f t="shared" si="224"/>
        <v>2.4700000000000002</v>
      </c>
      <c r="H202" s="99">
        <f t="shared" si="224"/>
        <v>2.4700000000000002</v>
      </c>
      <c r="I202" s="99">
        <f t="shared" si="224"/>
        <v>2.4700000000000002</v>
      </c>
      <c r="J202" s="99">
        <f t="shared" si="224"/>
        <v>2.4700000000000002</v>
      </c>
      <c r="K202" s="99">
        <f t="shared" si="224"/>
        <v>2.4700000000000002</v>
      </c>
      <c r="L202" s="99">
        <f t="shared" si="224"/>
        <v>2.4700000000000002</v>
      </c>
      <c r="M202" s="99">
        <f t="shared" si="224"/>
        <v>2.4700000000000002</v>
      </c>
      <c r="N202" s="99">
        <f t="shared" si="224"/>
        <v>2.4700000000000002</v>
      </c>
      <c r="O202" s="99">
        <f>'Costos Sector Eléctrico'!O204</f>
        <v>2.4700000000000002</v>
      </c>
      <c r="P202" s="99">
        <f>'Costos Sector Eléctrico'!P204</f>
        <v>2.4700000000000002</v>
      </c>
      <c r="Q202" s="99">
        <f>'Costos Sector Eléctrico'!Q204</f>
        <v>2.4700000000000002</v>
      </c>
      <c r="R202" s="99">
        <f>'Costos Sector Eléctrico'!R204</f>
        <v>2.4700000000000002</v>
      </c>
      <c r="S202" s="99">
        <f>'Costos Sector Eléctrico'!S204</f>
        <v>2.4700000000000002</v>
      </c>
      <c r="T202" s="99">
        <f>'Costos Sector Eléctrico'!T204</f>
        <v>2.4700000000000002</v>
      </c>
      <c r="U202" s="99">
        <f>'Costos Sector Eléctrico'!U204</f>
        <v>2.4700000000000002</v>
      </c>
      <c r="V202" s="99">
        <f>'Costos Sector Eléctrico'!V204</f>
        <v>2.4700000000000002</v>
      </c>
      <c r="W202" s="99">
        <f>'Costos Sector Eléctrico'!W204</f>
        <v>2.4700000000000002</v>
      </c>
      <c r="X202" s="99">
        <f>'Costos Sector Eléctrico'!X204</f>
        <v>2.4700000000000002</v>
      </c>
      <c r="Y202" s="99">
        <f>'Costos Sector Eléctrico'!Y204</f>
        <v>2.4700000000000002</v>
      </c>
      <c r="Z202" s="99">
        <f>'Costos Sector Eléctrico'!Z204</f>
        <v>2.4700000000000002</v>
      </c>
      <c r="AA202" s="99">
        <f>'Costos Sector Eléctrico'!AA204</f>
        <v>2.4700000000000002</v>
      </c>
      <c r="AB202" s="99">
        <f>'Costos Sector Eléctrico'!AB204</f>
        <v>2.4700000000000002</v>
      </c>
      <c r="AC202" s="99">
        <f>'Costos Sector Eléctrico'!AC204</f>
        <v>2.4700000000000002</v>
      </c>
      <c r="AD202" s="99">
        <f>'Costos Sector Eléctrico'!AD204</f>
        <v>2.4700000000000002</v>
      </c>
      <c r="AE202" s="99">
        <f>'Costos Sector Eléctrico'!AE204</f>
        <v>2.4700000000000002</v>
      </c>
      <c r="AF202" s="99">
        <f>'Costos Sector Eléctrico'!AF204</f>
        <v>2.4700000000000002</v>
      </c>
      <c r="AG202" s="99">
        <f>'Costos Sector Eléctrico'!AG204</f>
        <v>2.4700000000000002</v>
      </c>
      <c r="AH202" s="99">
        <f>'Costos Sector Eléctrico'!AH204</f>
        <v>2.4700000000000002</v>
      </c>
      <c r="AI202" s="99">
        <f>'Costos Sector Eléctrico'!AI204</f>
        <v>2.4700000000000002</v>
      </c>
      <c r="AJ202" s="99">
        <f>'Costos Sector Eléctrico'!AJ204</f>
        <v>2.4700000000000002</v>
      </c>
      <c r="AK202" s="100">
        <f>'Costos Sector Eléctrico'!AK204</f>
        <v>2.4700000000000002</v>
      </c>
      <c r="AL202" s="74">
        <f t="shared" ref="AL202:BE202" si="225">AK202</f>
        <v>2.4700000000000002</v>
      </c>
      <c r="AM202" s="74">
        <f t="shared" si="225"/>
        <v>2.4700000000000002</v>
      </c>
      <c r="AN202" s="74">
        <f t="shared" si="225"/>
        <v>2.4700000000000002</v>
      </c>
      <c r="AO202" s="74">
        <f t="shared" si="225"/>
        <v>2.4700000000000002</v>
      </c>
      <c r="AP202" s="74">
        <f t="shared" si="225"/>
        <v>2.4700000000000002</v>
      </c>
      <c r="AQ202" s="74">
        <f t="shared" si="225"/>
        <v>2.4700000000000002</v>
      </c>
      <c r="AR202" s="74">
        <f t="shared" si="225"/>
        <v>2.4700000000000002</v>
      </c>
      <c r="AS202" s="74">
        <f t="shared" si="225"/>
        <v>2.4700000000000002</v>
      </c>
      <c r="AT202" s="74">
        <f t="shared" si="225"/>
        <v>2.4700000000000002</v>
      </c>
      <c r="AU202" s="74">
        <f t="shared" si="225"/>
        <v>2.4700000000000002</v>
      </c>
      <c r="AV202" s="74">
        <f t="shared" si="225"/>
        <v>2.4700000000000002</v>
      </c>
      <c r="AW202" s="74">
        <f t="shared" si="225"/>
        <v>2.4700000000000002</v>
      </c>
      <c r="AX202" s="74">
        <f t="shared" si="225"/>
        <v>2.4700000000000002</v>
      </c>
      <c r="AY202" s="74">
        <f t="shared" si="225"/>
        <v>2.4700000000000002</v>
      </c>
      <c r="AZ202" s="74">
        <f t="shared" si="225"/>
        <v>2.4700000000000002</v>
      </c>
      <c r="BA202" s="74">
        <f t="shared" si="225"/>
        <v>2.4700000000000002</v>
      </c>
      <c r="BB202" s="74">
        <f t="shared" si="225"/>
        <v>2.4700000000000002</v>
      </c>
      <c r="BC202" s="74">
        <f t="shared" si="225"/>
        <v>2.4700000000000002</v>
      </c>
      <c r="BD202" s="74">
        <f t="shared" si="225"/>
        <v>2.4700000000000002</v>
      </c>
      <c r="BE202" s="74">
        <f t="shared" si="225"/>
        <v>2.4700000000000002</v>
      </c>
    </row>
    <row r="203" spans="1:57" ht="13.5" customHeight="1">
      <c r="A203" s="619"/>
      <c r="B203" s="253"/>
      <c r="C203" s="258"/>
      <c r="D203" s="77"/>
      <c r="E203" s="376"/>
      <c r="F203" s="376"/>
      <c r="G203" s="376"/>
      <c r="H203" s="376"/>
      <c r="I203" s="376"/>
      <c r="J203" s="376"/>
      <c r="K203" s="376"/>
      <c r="L203" s="376"/>
      <c r="M203" s="376"/>
      <c r="N203" s="376"/>
      <c r="O203" s="376"/>
      <c r="P203" s="376"/>
      <c r="Q203" s="376"/>
      <c r="R203" s="376"/>
      <c r="S203" s="376"/>
      <c r="T203" s="376"/>
      <c r="U203" s="376"/>
      <c r="V203" s="376"/>
      <c r="W203" s="376"/>
      <c r="X203" s="376"/>
      <c r="Y203" s="376"/>
      <c r="Z203" s="376"/>
      <c r="AA203" s="376"/>
      <c r="AB203" s="376"/>
      <c r="AC203" s="376"/>
      <c r="AD203" s="376"/>
      <c r="AE203" s="376"/>
      <c r="AF203" s="376"/>
      <c r="AG203" s="376"/>
      <c r="AH203" s="376"/>
      <c r="AI203" s="376"/>
      <c r="AJ203" s="376"/>
      <c r="AK203" s="69"/>
      <c r="AL203" s="74">
        <f t="shared" ref="AL203:BE203" si="226">AK203</f>
        <v>0</v>
      </c>
      <c r="AM203" s="74">
        <f t="shared" si="226"/>
        <v>0</v>
      </c>
      <c r="AN203" s="74">
        <f t="shared" si="226"/>
        <v>0</v>
      </c>
      <c r="AO203" s="74">
        <f t="shared" si="226"/>
        <v>0</v>
      </c>
      <c r="AP203" s="74">
        <f t="shared" si="226"/>
        <v>0</v>
      </c>
      <c r="AQ203" s="74">
        <f t="shared" si="226"/>
        <v>0</v>
      </c>
      <c r="AR203" s="74">
        <f t="shared" si="226"/>
        <v>0</v>
      </c>
      <c r="AS203" s="74">
        <f t="shared" si="226"/>
        <v>0</v>
      </c>
      <c r="AT203" s="74">
        <f t="shared" si="226"/>
        <v>0</v>
      </c>
      <c r="AU203" s="74">
        <f t="shared" si="226"/>
        <v>0</v>
      </c>
      <c r="AV203" s="74">
        <f t="shared" si="226"/>
        <v>0</v>
      </c>
      <c r="AW203" s="74">
        <f t="shared" si="226"/>
        <v>0</v>
      </c>
      <c r="AX203" s="74">
        <f t="shared" si="226"/>
        <v>0</v>
      </c>
      <c r="AY203" s="74">
        <f t="shared" si="226"/>
        <v>0</v>
      </c>
      <c r="AZ203" s="74">
        <f t="shared" si="226"/>
        <v>0</v>
      </c>
      <c r="BA203" s="74">
        <f t="shared" si="226"/>
        <v>0</v>
      </c>
      <c r="BB203" s="74">
        <f t="shared" si="226"/>
        <v>0</v>
      </c>
      <c r="BC203" s="74">
        <f t="shared" si="226"/>
        <v>0</v>
      </c>
      <c r="BD203" s="74">
        <f t="shared" si="226"/>
        <v>0</v>
      </c>
      <c r="BE203" s="74">
        <f t="shared" si="226"/>
        <v>0</v>
      </c>
    </row>
    <row r="204" spans="1:57" ht="13.5" customHeight="1">
      <c r="A204" s="619"/>
      <c r="B204" s="253"/>
      <c r="C204" s="258"/>
      <c r="D204" s="68" t="s">
        <v>556</v>
      </c>
      <c r="E204" s="376"/>
      <c r="F204" s="376"/>
      <c r="G204" s="376"/>
      <c r="H204" s="376"/>
      <c r="I204" s="376"/>
      <c r="J204" s="376"/>
      <c r="K204" s="376"/>
      <c r="L204" s="376"/>
      <c r="M204" s="376"/>
      <c r="N204" s="376"/>
      <c r="O204" s="376"/>
      <c r="P204" s="376"/>
      <c r="Q204" s="376"/>
      <c r="R204" s="376"/>
      <c r="S204" s="376"/>
      <c r="T204" s="376"/>
      <c r="U204" s="376"/>
      <c r="V204" s="376"/>
      <c r="W204" s="376"/>
      <c r="X204" s="376"/>
      <c r="Y204" s="376"/>
      <c r="Z204" s="376"/>
      <c r="AA204" s="376"/>
      <c r="AB204" s="376"/>
      <c r="AC204" s="376"/>
      <c r="AD204" s="376"/>
      <c r="AE204" s="376"/>
      <c r="AF204" s="376"/>
      <c r="AG204" s="376"/>
      <c r="AH204" s="376"/>
      <c r="AI204" s="376"/>
      <c r="AJ204" s="376"/>
      <c r="AK204" s="69"/>
      <c r="AL204" s="74">
        <f t="shared" ref="AL204:BE204" si="227">AK204</f>
        <v>0</v>
      </c>
      <c r="AM204" s="74">
        <f t="shared" si="227"/>
        <v>0</v>
      </c>
      <c r="AN204" s="74">
        <f t="shared" si="227"/>
        <v>0</v>
      </c>
      <c r="AO204" s="74">
        <f t="shared" si="227"/>
        <v>0</v>
      </c>
      <c r="AP204" s="74">
        <f t="shared" si="227"/>
        <v>0</v>
      </c>
      <c r="AQ204" s="74">
        <f t="shared" si="227"/>
        <v>0</v>
      </c>
      <c r="AR204" s="74">
        <f t="shared" si="227"/>
        <v>0</v>
      </c>
      <c r="AS204" s="74">
        <f t="shared" si="227"/>
        <v>0</v>
      </c>
      <c r="AT204" s="74">
        <f t="shared" si="227"/>
        <v>0</v>
      </c>
      <c r="AU204" s="74">
        <f t="shared" si="227"/>
        <v>0</v>
      </c>
      <c r="AV204" s="74">
        <f t="shared" si="227"/>
        <v>0</v>
      </c>
      <c r="AW204" s="74">
        <f t="shared" si="227"/>
        <v>0</v>
      </c>
      <c r="AX204" s="74">
        <f t="shared" si="227"/>
        <v>0</v>
      </c>
      <c r="AY204" s="74">
        <f t="shared" si="227"/>
        <v>0</v>
      </c>
      <c r="AZ204" s="74">
        <f t="shared" si="227"/>
        <v>0</v>
      </c>
      <c r="BA204" s="74">
        <f t="shared" si="227"/>
        <v>0</v>
      </c>
      <c r="BB204" s="74">
        <f t="shared" si="227"/>
        <v>0</v>
      </c>
      <c r="BC204" s="74">
        <f t="shared" si="227"/>
        <v>0</v>
      </c>
      <c r="BD204" s="74">
        <f t="shared" si="227"/>
        <v>0</v>
      </c>
      <c r="BE204" s="74">
        <f t="shared" si="227"/>
        <v>0</v>
      </c>
    </row>
    <row r="205" spans="1:57" ht="13.5" customHeight="1">
      <c r="A205" s="619"/>
      <c r="B205" s="253"/>
      <c r="C205" s="258"/>
      <c r="D205" s="89"/>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1"/>
      <c r="AL205" s="74">
        <f t="shared" ref="AL205:BE205" si="228">AK205</f>
        <v>0</v>
      </c>
      <c r="AM205" s="74">
        <f t="shared" si="228"/>
        <v>0</v>
      </c>
      <c r="AN205" s="74">
        <f t="shared" si="228"/>
        <v>0</v>
      </c>
      <c r="AO205" s="74">
        <f t="shared" si="228"/>
        <v>0</v>
      </c>
      <c r="AP205" s="74">
        <f t="shared" si="228"/>
        <v>0</v>
      </c>
      <c r="AQ205" s="74">
        <f t="shared" si="228"/>
        <v>0</v>
      </c>
      <c r="AR205" s="74">
        <f t="shared" si="228"/>
        <v>0</v>
      </c>
      <c r="AS205" s="74">
        <f t="shared" si="228"/>
        <v>0</v>
      </c>
      <c r="AT205" s="74">
        <f t="shared" si="228"/>
        <v>0</v>
      </c>
      <c r="AU205" s="74">
        <f t="shared" si="228"/>
        <v>0</v>
      </c>
      <c r="AV205" s="74">
        <f t="shared" si="228"/>
        <v>0</v>
      </c>
      <c r="AW205" s="74">
        <f t="shared" si="228"/>
        <v>0</v>
      </c>
      <c r="AX205" s="74">
        <f t="shared" si="228"/>
        <v>0</v>
      </c>
      <c r="AY205" s="74">
        <f t="shared" si="228"/>
        <v>0</v>
      </c>
      <c r="AZ205" s="74">
        <f t="shared" si="228"/>
        <v>0</v>
      </c>
      <c r="BA205" s="74">
        <f t="shared" si="228"/>
        <v>0</v>
      </c>
      <c r="BB205" s="74">
        <f t="shared" si="228"/>
        <v>0</v>
      </c>
      <c r="BC205" s="74">
        <f t="shared" si="228"/>
        <v>0</v>
      </c>
      <c r="BD205" s="74">
        <f t="shared" si="228"/>
        <v>0</v>
      </c>
      <c r="BE205" s="74">
        <f t="shared" si="228"/>
        <v>0</v>
      </c>
    </row>
    <row r="206" spans="1:57" ht="13.5" customHeight="1">
      <c r="A206" s="619"/>
      <c r="B206" s="253"/>
      <c r="C206" s="258"/>
      <c r="D206" s="78" t="s">
        <v>136</v>
      </c>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62"/>
      <c r="AE206" s="262"/>
      <c r="AF206" s="262"/>
      <c r="AG206" s="262"/>
      <c r="AH206" s="262"/>
      <c r="AI206" s="262"/>
      <c r="AJ206" s="262"/>
      <c r="AK206" s="81"/>
      <c r="AL206" s="74">
        <f t="shared" ref="AL206:BE206" si="229">AK206</f>
        <v>0</v>
      </c>
      <c r="AM206" s="74">
        <f t="shared" si="229"/>
        <v>0</v>
      </c>
      <c r="AN206" s="74">
        <f t="shared" si="229"/>
        <v>0</v>
      </c>
      <c r="AO206" s="74">
        <f t="shared" si="229"/>
        <v>0</v>
      </c>
      <c r="AP206" s="74">
        <f t="shared" si="229"/>
        <v>0</v>
      </c>
      <c r="AQ206" s="74">
        <f t="shared" si="229"/>
        <v>0</v>
      </c>
      <c r="AR206" s="74">
        <f t="shared" si="229"/>
        <v>0</v>
      </c>
      <c r="AS206" s="74">
        <f t="shared" si="229"/>
        <v>0</v>
      </c>
      <c r="AT206" s="74">
        <f t="shared" si="229"/>
        <v>0</v>
      </c>
      <c r="AU206" s="74">
        <f t="shared" si="229"/>
        <v>0</v>
      </c>
      <c r="AV206" s="74">
        <f t="shared" si="229"/>
        <v>0</v>
      </c>
      <c r="AW206" s="74">
        <f t="shared" si="229"/>
        <v>0</v>
      </c>
      <c r="AX206" s="74">
        <f t="shared" si="229"/>
        <v>0</v>
      </c>
      <c r="AY206" s="74">
        <f t="shared" si="229"/>
        <v>0</v>
      </c>
      <c r="AZ206" s="74">
        <f t="shared" si="229"/>
        <v>0</v>
      </c>
      <c r="BA206" s="74">
        <f t="shared" si="229"/>
        <v>0</v>
      </c>
      <c r="BB206" s="74">
        <f t="shared" si="229"/>
        <v>0</v>
      </c>
      <c r="BC206" s="74">
        <f t="shared" si="229"/>
        <v>0</v>
      </c>
      <c r="BD206" s="74">
        <f t="shared" si="229"/>
        <v>0</v>
      </c>
      <c r="BE206" s="74">
        <f t="shared" si="229"/>
        <v>0</v>
      </c>
    </row>
    <row r="207" spans="1:57" ht="13.5" customHeight="1">
      <c r="A207" s="619">
        <v>5</v>
      </c>
      <c r="B207" s="253"/>
      <c r="C207" s="258" t="s">
        <v>187</v>
      </c>
      <c r="D207" s="92" t="s">
        <v>188</v>
      </c>
      <c r="E207" s="451">
        <v>0</v>
      </c>
      <c r="F207" s="451">
        <v>0</v>
      </c>
      <c r="G207" s="451">
        <v>0</v>
      </c>
      <c r="H207" s="451">
        <v>0</v>
      </c>
      <c r="I207" s="451">
        <v>0</v>
      </c>
      <c r="J207" s="451">
        <v>0</v>
      </c>
      <c r="K207" s="451">
        <v>0</v>
      </c>
      <c r="L207" s="451">
        <v>0</v>
      </c>
      <c r="M207" s="451">
        <v>0</v>
      </c>
      <c r="N207" s="451">
        <v>0</v>
      </c>
      <c r="O207" s="451">
        <v>0</v>
      </c>
      <c r="P207" s="451">
        <v>0</v>
      </c>
      <c r="Q207" s="451">
        <v>0</v>
      </c>
      <c r="R207" s="451">
        <v>0</v>
      </c>
      <c r="S207" s="451">
        <v>0</v>
      </c>
      <c r="T207" s="451">
        <v>0</v>
      </c>
      <c r="U207" s="451">
        <v>0</v>
      </c>
      <c r="V207" s="451">
        <v>0</v>
      </c>
      <c r="W207" s="451">
        <v>0</v>
      </c>
      <c r="X207" s="451">
        <v>0</v>
      </c>
      <c r="Y207" s="451">
        <v>0</v>
      </c>
      <c r="Z207" s="451">
        <v>0</v>
      </c>
      <c r="AA207" s="451">
        <v>0</v>
      </c>
      <c r="AB207" s="451">
        <v>0</v>
      </c>
      <c r="AC207" s="451">
        <v>0</v>
      </c>
      <c r="AD207" s="451">
        <v>0</v>
      </c>
      <c r="AE207" s="451">
        <v>0</v>
      </c>
      <c r="AF207" s="451">
        <v>0</v>
      </c>
      <c r="AG207" s="451">
        <v>0</v>
      </c>
      <c r="AH207" s="451">
        <v>0</v>
      </c>
      <c r="AI207" s="451">
        <v>0</v>
      </c>
      <c r="AJ207" s="451">
        <v>0</v>
      </c>
      <c r="AK207" s="93">
        <v>0</v>
      </c>
      <c r="AL207" s="74">
        <f t="shared" ref="AL207:BE207" si="230">AK207</f>
        <v>0</v>
      </c>
      <c r="AM207" s="74">
        <f t="shared" si="230"/>
        <v>0</v>
      </c>
      <c r="AN207" s="74">
        <f t="shared" si="230"/>
        <v>0</v>
      </c>
      <c r="AO207" s="74">
        <f t="shared" si="230"/>
        <v>0</v>
      </c>
      <c r="AP207" s="74">
        <f t="shared" si="230"/>
        <v>0</v>
      </c>
      <c r="AQ207" s="74">
        <f t="shared" si="230"/>
        <v>0</v>
      </c>
      <c r="AR207" s="74">
        <f t="shared" si="230"/>
        <v>0</v>
      </c>
      <c r="AS207" s="74">
        <f t="shared" si="230"/>
        <v>0</v>
      </c>
      <c r="AT207" s="74">
        <f t="shared" si="230"/>
        <v>0</v>
      </c>
      <c r="AU207" s="74">
        <f t="shared" si="230"/>
        <v>0</v>
      </c>
      <c r="AV207" s="74">
        <f t="shared" si="230"/>
        <v>0</v>
      </c>
      <c r="AW207" s="74">
        <f t="shared" si="230"/>
        <v>0</v>
      </c>
      <c r="AX207" s="74">
        <f t="shared" si="230"/>
        <v>0</v>
      </c>
      <c r="AY207" s="74">
        <f t="shared" si="230"/>
        <v>0</v>
      </c>
      <c r="AZ207" s="74">
        <f t="shared" si="230"/>
        <v>0</v>
      </c>
      <c r="BA207" s="74">
        <f t="shared" si="230"/>
        <v>0</v>
      </c>
      <c r="BB207" s="74">
        <f t="shared" si="230"/>
        <v>0</v>
      </c>
      <c r="BC207" s="74">
        <f t="shared" si="230"/>
        <v>0</v>
      </c>
      <c r="BD207" s="74">
        <f t="shared" si="230"/>
        <v>0</v>
      </c>
      <c r="BE207" s="74">
        <f t="shared" si="230"/>
        <v>0</v>
      </c>
    </row>
    <row r="208" spans="1:57" ht="13.5" customHeight="1">
      <c r="A208" s="619"/>
      <c r="B208" s="253"/>
      <c r="C208" s="258"/>
      <c r="D208" s="78" t="s">
        <v>137</v>
      </c>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c r="AA208" s="262"/>
      <c r="AB208" s="262"/>
      <c r="AC208" s="262"/>
      <c r="AD208" s="262"/>
      <c r="AE208" s="262"/>
      <c r="AF208" s="262"/>
      <c r="AG208" s="262"/>
      <c r="AH208" s="262"/>
      <c r="AI208" s="262"/>
      <c r="AJ208" s="262"/>
      <c r="AK208" s="81"/>
      <c r="AL208" s="74">
        <f t="shared" ref="AL208:BE208" si="231">AK208</f>
        <v>0</v>
      </c>
      <c r="AM208" s="74">
        <f t="shared" si="231"/>
        <v>0</v>
      </c>
      <c r="AN208" s="74">
        <f t="shared" si="231"/>
        <v>0</v>
      </c>
      <c r="AO208" s="74">
        <f t="shared" si="231"/>
        <v>0</v>
      </c>
      <c r="AP208" s="74">
        <f t="shared" si="231"/>
        <v>0</v>
      </c>
      <c r="AQ208" s="74">
        <f t="shared" si="231"/>
        <v>0</v>
      </c>
      <c r="AR208" s="74">
        <f t="shared" si="231"/>
        <v>0</v>
      </c>
      <c r="AS208" s="74">
        <f t="shared" si="231"/>
        <v>0</v>
      </c>
      <c r="AT208" s="74">
        <f t="shared" si="231"/>
        <v>0</v>
      </c>
      <c r="AU208" s="74">
        <f t="shared" si="231"/>
        <v>0</v>
      </c>
      <c r="AV208" s="74">
        <f t="shared" si="231"/>
        <v>0</v>
      </c>
      <c r="AW208" s="74">
        <f t="shared" si="231"/>
        <v>0</v>
      </c>
      <c r="AX208" s="74">
        <f t="shared" si="231"/>
        <v>0</v>
      </c>
      <c r="AY208" s="74">
        <f t="shared" si="231"/>
        <v>0</v>
      </c>
      <c r="AZ208" s="74">
        <f t="shared" si="231"/>
        <v>0</v>
      </c>
      <c r="BA208" s="74">
        <f t="shared" si="231"/>
        <v>0</v>
      </c>
      <c r="BB208" s="74">
        <f t="shared" si="231"/>
        <v>0</v>
      </c>
      <c r="BC208" s="74">
        <f t="shared" si="231"/>
        <v>0</v>
      </c>
      <c r="BD208" s="74">
        <f t="shared" si="231"/>
        <v>0</v>
      </c>
      <c r="BE208" s="74">
        <f t="shared" si="231"/>
        <v>0</v>
      </c>
    </row>
    <row r="209" spans="1:57" ht="13.5" customHeight="1">
      <c r="A209" s="619"/>
      <c r="B209" s="253"/>
      <c r="C209" s="258"/>
      <c r="D209" s="75" t="s">
        <v>189</v>
      </c>
      <c r="E209" s="447"/>
      <c r="F209" s="447"/>
      <c r="G209" s="447"/>
      <c r="H209" s="447"/>
      <c r="I209" s="447"/>
      <c r="J209" s="447"/>
      <c r="K209" s="447"/>
      <c r="L209" s="447"/>
      <c r="M209" s="447"/>
      <c r="N209" s="447"/>
      <c r="O209" s="447"/>
      <c r="P209" s="447"/>
      <c r="Q209" s="447"/>
      <c r="R209" s="447"/>
      <c r="S209" s="447"/>
      <c r="T209" s="447"/>
      <c r="U209" s="447"/>
      <c r="V209" s="447"/>
      <c r="W209" s="447"/>
      <c r="X209" s="447"/>
      <c r="Y209" s="447"/>
      <c r="Z209" s="447"/>
      <c r="AA209" s="447"/>
      <c r="AB209" s="447"/>
      <c r="AC209" s="447"/>
      <c r="AD209" s="447"/>
      <c r="AE209" s="447"/>
      <c r="AF209" s="447"/>
      <c r="AG209" s="447"/>
      <c r="AH209" s="447"/>
      <c r="AI209" s="447"/>
      <c r="AJ209" s="447"/>
      <c r="AK209" s="76"/>
      <c r="AL209" s="74">
        <f t="shared" ref="AL209:BE209" si="232">AK209</f>
        <v>0</v>
      </c>
      <c r="AM209" s="74">
        <f t="shared" si="232"/>
        <v>0</v>
      </c>
      <c r="AN209" s="74">
        <f t="shared" si="232"/>
        <v>0</v>
      </c>
      <c r="AO209" s="74">
        <f t="shared" si="232"/>
        <v>0</v>
      </c>
      <c r="AP209" s="74">
        <f t="shared" si="232"/>
        <v>0</v>
      </c>
      <c r="AQ209" s="74">
        <f t="shared" si="232"/>
        <v>0</v>
      </c>
      <c r="AR209" s="74">
        <f t="shared" si="232"/>
        <v>0</v>
      </c>
      <c r="AS209" s="74">
        <f t="shared" si="232"/>
        <v>0</v>
      </c>
      <c r="AT209" s="74">
        <f t="shared" si="232"/>
        <v>0</v>
      </c>
      <c r="AU209" s="74">
        <f t="shared" si="232"/>
        <v>0</v>
      </c>
      <c r="AV209" s="74">
        <f t="shared" si="232"/>
        <v>0</v>
      </c>
      <c r="AW209" s="74">
        <f t="shared" si="232"/>
        <v>0</v>
      </c>
      <c r="AX209" s="74">
        <f t="shared" si="232"/>
        <v>0</v>
      </c>
      <c r="AY209" s="74">
        <f t="shared" si="232"/>
        <v>0</v>
      </c>
      <c r="AZ209" s="74">
        <f t="shared" si="232"/>
        <v>0</v>
      </c>
      <c r="BA209" s="74">
        <f t="shared" si="232"/>
        <v>0</v>
      </c>
      <c r="BB209" s="74">
        <f t="shared" si="232"/>
        <v>0</v>
      </c>
      <c r="BC209" s="74">
        <f t="shared" si="232"/>
        <v>0</v>
      </c>
      <c r="BD209" s="74">
        <f t="shared" si="232"/>
        <v>0</v>
      </c>
      <c r="BE209" s="74">
        <f t="shared" si="232"/>
        <v>0</v>
      </c>
    </row>
    <row r="210" spans="1:57" ht="13.5" customHeight="1">
      <c r="A210" s="619"/>
      <c r="B210" s="253"/>
      <c r="C210" s="258"/>
      <c r="D210" s="92" t="s">
        <v>190</v>
      </c>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93"/>
      <c r="AL210" s="74">
        <f t="shared" ref="AL210:BE210" si="233">AK210</f>
        <v>0</v>
      </c>
      <c r="AM210" s="74">
        <f t="shared" si="233"/>
        <v>0</v>
      </c>
      <c r="AN210" s="74">
        <f t="shared" si="233"/>
        <v>0</v>
      </c>
      <c r="AO210" s="74">
        <f t="shared" si="233"/>
        <v>0</v>
      </c>
      <c r="AP210" s="74">
        <f t="shared" si="233"/>
        <v>0</v>
      </c>
      <c r="AQ210" s="74">
        <f t="shared" si="233"/>
        <v>0</v>
      </c>
      <c r="AR210" s="74">
        <f t="shared" si="233"/>
        <v>0</v>
      </c>
      <c r="AS210" s="74">
        <f t="shared" si="233"/>
        <v>0</v>
      </c>
      <c r="AT210" s="74">
        <f t="shared" si="233"/>
        <v>0</v>
      </c>
      <c r="AU210" s="74">
        <f t="shared" si="233"/>
        <v>0</v>
      </c>
      <c r="AV210" s="74">
        <f t="shared" si="233"/>
        <v>0</v>
      </c>
      <c r="AW210" s="74">
        <f t="shared" si="233"/>
        <v>0</v>
      </c>
      <c r="AX210" s="74">
        <f t="shared" si="233"/>
        <v>0</v>
      </c>
      <c r="AY210" s="74">
        <f t="shared" si="233"/>
        <v>0</v>
      </c>
      <c r="AZ210" s="74">
        <f t="shared" si="233"/>
        <v>0</v>
      </c>
      <c r="BA210" s="74">
        <f t="shared" si="233"/>
        <v>0</v>
      </c>
      <c r="BB210" s="74">
        <f t="shared" si="233"/>
        <v>0</v>
      </c>
      <c r="BC210" s="74">
        <f t="shared" si="233"/>
        <v>0</v>
      </c>
      <c r="BD210" s="74">
        <f t="shared" si="233"/>
        <v>0</v>
      </c>
      <c r="BE210" s="74">
        <f t="shared" si="233"/>
        <v>0</v>
      </c>
    </row>
    <row r="211" spans="1:57" ht="13.5" customHeight="1">
      <c r="A211" s="619">
        <v>2</v>
      </c>
      <c r="B211" s="253"/>
      <c r="C211" s="258" t="s">
        <v>191</v>
      </c>
      <c r="D211" s="77" t="s">
        <v>557</v>
      </c>
      <c r="E211" s="323">
        <f t="shared" ref="E211:AK211" si="234">E184</f>
        <v>0.5559042748852957</v>
      </c>
      <c r="F211" s="323">
        <f t="shared" si="234"/>
        <v>0.5559042748852957</v>
      </c>
      <c r="G211" s="323">
        <f t="shared" si="234"/>
        <v>0.5559042748852957</v>
      </c>
      <c r="H211" s="323">
        <f t="shared" si="234"/>
        <v>0.5559042748852957</v>
      </c>
      <c r="I211" s="323">
        <f t="shared" si="234"/>
        <v>0.5559042748852957</v>
      </c>
      <c r="J211" s="323">
        <f t="shared" si="234"/>
        <v>0.5559042748852957</v>
      </c>
      <c r="K211" s="323">
        <f t="shared" si="234"/>
        <v>0.5559042748852957</v>
      </c>
      <c r="L211" s="323">
        <f t="shared" si="234"/>
        <v>0.5559042748852957</v>
      </c>
      <c r="M211" s="323">
        <f t="shared" si="234"/>
        <v>0.5559042748852957</v>
      </c>
      <c r="N211" s="323">
        <f t="shared" si="234"/>
        <v>0.5559042748852957</v>
      </c>
      <c r="O211" s="323">
        <f t="shared" si="234"/>
        <v>0.5559042748852957</v>
      </c>
      <c r="P211" s="323">
        <f t="shared" si="234"/>
        <v>0.5559042748852957</v>
      </c>
      <c r="Q211" s="323">
        <f t="shared" si="234"/>
        <v>0.5559042748852957</v>
      </c>
      <c r="R211" s="323">
        <f t="shared" si="234"/>
        <v>0.5559042748852957</v>
      </c>
      <c r="S211" s="323">
        <f t="shared" si="234"/>
        <v>0.5559042748852957</v>
      </c>
      <c r="T211" s="323">
        <f t="shared" si="234"/>
        <v>0.5559042748852957</v>
      </c>
      <c r="U211" s="323">
        <f t="shared" si="234"/>
        <v>0.5559042748852957</v>
      </c>
      <c r="V211" s="323">
        <f t="shared" si="234"/>
        <v>0.5559042748852957</v>
      </c>
      <c r="W211" s="323">
        <f t="shared" si="234"/>
        <v>0.5559042748852957</v>
      </c>
      <c r="X211" s="323">
        <f t="shared" si="234"/>
        <v>0.5559042748852957</v>
      </c>
      <c r="Y211" s="323">
        <f t="shared" si="234"/>
        <v>0.5559042748852957</v>
      </c>
      <c r="Z211" s="323">
        <f t="shared" si="234"/>
        <v>0.5559042748852957</v>
      </c>
      <c r="AA211" s="323">
        <f t="shared" si="234"/>
        <v>0.5559042748852957</v>
      </c>
      <c r="AB211" s="323">
        <f t="shared" si="234"/>
        <v>0.5559042748852957</v>
      </c>
      <c r="AC211" s="323">
        <f t="shared" si="234"/>
        <v>0.5559042748852957</v>
      </c>
      <c r="AD211" s="323">
        <f t="shared" si="234"/>
        <v>0.5559042748852957</v>
      </c>
      <c r="AE211" s="323">
        <f t="shared" si="234"/>
        <v>0.5559042748852957</v>
      </c>
      <c r="AF211" s="323">
        <f t="shared" si="234"/>
        <v>0.5559042748852957</v>
      </c>
      <c r="AG211" s="323">
        <f t="shared" si="234"/>
        <v>0.5559042748852957</v>
      </c>
      <c r="AH211" s="323">
        <f t="shared" si="234"/>
        <v>0.5559042748852957</v>
      </c>
      <c r="AI211" s="323">
        <f t="shared" si="234"/>
        <v>0.5559042748852957</v>
      </c>
      <c r="AJ211" s="323">
        <f t="shared" si="234"/>
        <v>0.5559042748852957</v>
      </c>
      <c r="AK211" s="82">
        <f t="shared" si="234"/>
        <v>0.5559042748852957</v>
      </c>
      <c r="AL211" s="80">
        <f t="shared" ref="AL211:BE211" si="235">AK211</f>
        <v>0.5559042748852957</v>
      </c>
      <c r="AM211" s="80">
        <f t="shared" si="235"/>
        <v>0.5559042748852957</v>
      </c>
      <c r="AN211" s="80">
        <f t="shared" si="235"/>
        <v>0.5559042748852957</v>
      </c>
      <c r="AO211" s="80">
        <f t="shared" si="235"/>
        <v>0.5559042748852957</v>
      </c>
      <c r="AP211" s="80">
        <f t="shared" si="235"/>
        <v>0.5559042748852957</v>
      </c>
      <c r="AQ211" s="80">
        <f t="shared" si="235"/>
        <v>0.5559042748852957</v>
      </c>
      <c r="AR211" s="80">
        <f t="shared" si="235"/>
        <v>0.5559042748852957</v>
      </c>
      <c r="AS211" s="80">
        <f t="shared" si="235"/>
        <v>0.5559042748852957</v>
      </c>
      <c r="AT211" s="80">
        <f t="shared" si="235"/>
        <v>0.5559042748852957</v>
      </c>
      <c r="AU211" s="80">
        <f t="shared" si="235"/>
        <v>0.5559042748852957</v>
      </c>
      <c r="AV211" s="80">
        <f t="shared" si="235"/>
        <v>0.5559042748852957</v>
      </c>
      <c r="AW211" s="80">
        <f t="shared" si="235"/>
        <v>0.5559042748852957</v>
      </c>
      <c r="AX211" s="80">
        <f t="shared" si="235"/>
        <v>0.5559042748852957</v>
      </c>
      <c r="AY211" s="80">
        <f t="shared" si="235"/>
        <v>0.5559042748852957</v>
      </c>
      <c r="AZ211" s="80">
        <f t="shared" si="235"/>
        <v>0.5559042748852957</v>
      </c>
      <c r="BA211" s="80">
        <f t="shared" si="235"/>
        <v>0.5559042748852957</v>
      </c>
      <c r="BB211" s="80">
        <f t="shared" si="235"/>
        <v>0.5559042748852957</v>
      </c>
      <c r="BC211" s="80">
        <f t="shared" si="235"/>
        <v>0.5559042748852957</v>
      </c>
      <c r="BD211" s="80">
        <f t="shared" si="235"/>
        <v>0.5559042748852957</v>
      </c>
      <c r="BE211" s="80">
        <f t="shared" si="235"/>
        <v>0.5559042748852957</v>
      </c>
    </row>
    <row r="212" spans="1:57" ht="13.5" customHeight="1">
      <c r="A212" s="619">
        <v>2</v>
      </c>
      <c r="B212" s="253"/>
      <c r="C212" s="258" t="s">
        <v>193</v>
      </c>
      <c r="D212" s="77" t="s">
        <v>558</v>
      </c>
      <c r="E212" s="323">
        <f t="shared" ref="E212:AK212" si="236">E187</f>
        <v>0.5559042748852957</v>
      </c>
      <c r="F212" s="323">
        <f t="shared" si="236"/>
        <v>0.5559042748852957</v>
      </c>
      <c r="G212" s="323">
        <f t="shared" si="236"/>
        <v>0.5559042748852957</v>
      </c>
      <c r="H212" s="323">
        <f t="shared" si="236"/>
        <v>0.5559042748852957</v>
      </c>
      <c r="I212" s="323">
        <f t="shared" si="236"/>
        <v>0.5559042748852957</v>
      </c>
      <c r="J212" s="323">
        <f t="shared" si="236"/>
        <v>0.5559042748852957</v>
      </c>
      <c r="K212" s="323">
        <f t="shared" si="236"/>
        <v>0.5559042748852957</v>
      </c>
      <c r="L212" s="323">
        <f t="shared" si="236"/>
        <v>0.5559042748852957</v>
      </c>
      <c r="M212" s="323">
        <f t="shared" si="236"/>
        <v>0.5559042748852957</v>
      </c>
      <c r="N212" s="323">
        <f t="shared" si="236"/>
        <v>0.5559042748852957</v>
      </c>
      <c r="O212" s="323">
        <f t="shared" si="236"/>
        <v>0.5559042748852957</v>
      </c>
      <c r="P212" s="323">
        <f t="shared" si="236"/>
        <v>0.5559042748852957</v>
      </c>
      <c r="Q212" s="323">
        <f t="shared" si="236"/>
        <v>0.5559042748852957</v>
      </c>
      <c r="R212" s="323">
        <f t="shared" si="236"/>
        <v>0.5559042748852957</v>
      </c>
      <c r="S212" s="323">
        <f t="shared" si="236"/>
        <v>0.5559042748852957</v>
      </c>
      <c r="T212" s="323">
        <f t="shared" si="236"/>
        <v>0.5559042748852957</v>
      </c>
      <c r="U212" s="323">
        <f t="shared" si="236"/>
        <v>0.5559042748852957</v>
      </c>
      <c r="V212" s="323">
        <f t="shared" si="236"/>
        <v>0.5559042748852957</v>
      </c>
      <c r="W212" s="323">
        <f t="shared" si="236"/>
        <v>0.5559042748852957</v>
      </c>
      <c r="X212" s="323">
        <f t="shared" si="236"/>
        <v>0.5559042748852957</v>
      </c>
      <c r="Y212" s="323">
        <f t="shared" si="236"/>
        <v>0.5559042748852957</v>
      </c>
      <c r="Z212" s="323">
        <f t="shared" si="236"/>
        <v>0.5559042748852957</v>
      </c>
      <c r="AA212" s="323">
        <f t="shared" si="236"/>
        <v>0.5559042748852957</v>
      </c>
      <c r="AB212" s="323">
        <f t="shared" si="236"/>
        <v>0.5559042748852957</v>
      </c>
      <c r="AC212" s="323">
        <f t="shared" si="236"/>
        <v>0.5559042748852957</v>
      </c>
      <c r="AD212" s="323">
        <f t="shared" si="236"/>
        <v>0.5559042748852957</v>
      </c>
      <c r="AE212" s="323">
        <f t="shared" si="236"/>
        <v>0.5559042748852957</v>
      </c>
      <c r="AF212" s="323">
        <f t="shared" si="236"/>
        <v>0.5559042748852957</v>
      </c>
      <c r="AG212" s="323">
        <f t="shared" si="236"/>
        <v>0.5559042748852957</v>
      </c>
      <c r="AH212" s="323">
        <f t="shared" si="236"/>
        <v>0.5559042748852957</v>
      </c>
      <c r="AI212" s="323">
        <f t="shared" si="236"/>
        <v>0.5559042748852957</v>
      </c>
      <c r="AJ212" s="323">
        <f t="shared" si="236"/>
        <v>0.5559042748852957</v>
      </c>
      <c r="AK212" s="82">
        <f t="shared" si="236"/>
        <v>0.5559042748852957</v>
      </c>
      <c r="AL212" s="80">
        <f t="shared" ref="AL212:BE212" si="237">AK212</f>
        <v>0.5559042748852957</v>
      </c>
      <c r="AM212" s="80">
        <f t="shared" si="237"/>
        <v>0.5559042748852957</v>
      </c>
      <c r="AN212" s="80">
        <f t="shared" si="237"/>
        <v>0.5559042748852957</v>
      </c>
      <c r="AO212" s="80">
        <f t="shared" si="237"/>
        <v>0.5559042748852957</v>
      </c>
      <c r="AP212" s="80">
        <f t="shared" si="237"/>
        <v>0.5559042748852957</v>
      </c>
      <c r="AQ212" s="80">
        <f t="shared" si="237"/>
        <v>0.5559042748852957</v>
      </c>
      <c r="AR212" s="80">
        <f t="shared" si="237"/>
        <v>0.5559042748852957</v>
      </c>
      <c r="AS212" s="80">
        <f t="shared" si="237"/>
        <v>0.5559042748852957</v>
      </c>
      <c r="AT212" s="80">
        <f t="shared" si="237"/>
        <v>0.5559042748852957</v>
      </c>
      <c r="AU212" s="80">
        <f t="shared" si="237"/>
        <v>0.5559042748852957</v>
      </c>
      <c r="AV212" s="80">
        <f t="shared" si="237"/>
        <v>0.5559042748852957</v>
      </c>
      <c r="AW212" s="80">
        <f t="shared" si="237"/>
        <v>0.5559042748852957</v>
      </c>
      <c r="AX212" s="80">
        <f t="shared" si="237"/>
        <v>0.5559042748852957</v>
      </c>
      <c r="AY212" s="80">
        <f t="shared" si="237"/>
        <v>0.5559042748852957</v>
      </c>
      <c r="AZ212" s="80">
        <f t="shared" si="237"/>
        <v>0.5559042748852957</v>
      </c>
      <c r="BA212" s="80">
        <f t="shared" si="237"/>
        <v>0.5559042748852957</v>
      </c>
      <c r="BB212" s="80">
        <f t="shared" si="237"/>
        <v>0.5559042748852957</v>
      </c>
      <c r="BC212" s="80">
        <f t="shared" si="237"/>
        <v>0.5559042748852957</v>
      </c>
      <c r="BD212" s="80">
        <f t="shared" si="237"/>
        <v>0.5559042748852957</v>
      </c>
      <c r="BE212" s="80">
        <f t="shared" si="237"/>
        <v>0.5559042748852957</v>
      </c>
    </row>
    <row r="213" spans="1:57" ht="13.5" customHeight="1">
      <c r="A213" s="619"/>
      <c r="B213" s="253"/>
      <c r="C213" s="258"/>
      <c r="D213" s="92" t="s">
        <v>195</v>
      </c>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93"/>
      <c r="AL213" s="74">
        <f t="shared" ref="AL213:BE213" si="238">AK213</f>
        <v>0</v>
      </c>
      <c r="AM213" s="74">
        <f t="shared" si="238"/>
        <v>0</v>
      </c>
      <c r="AN213" s="74">
        <f t="shared" si="238"/>
        <v>0</v>
      </c>
      <c r="AO213" s="74">
        <f t="shared" si="238"/>
        <v>0</v>
      </c>
      <c r="AP213" s="74">
        <f t="shared" si="238"/>
        <v>0</v>
      </c>
      <c r="AQ213" s="74">
        <f t="shared" si="238"/>
        <v>0</v>
      </c>
      <c r="AR213" s="74">
        <f t="shared" si="238"/>
        <v>0</v>
      </c>
      <c r="AS213" s="74">
        <f t="shared" si="238"/>
        <v>0</v>
      </c>
      <c r="AT213" s="74">
        <f t="shared" si="238"/>
        <v>0</v>
      </c>
      <c r="AU213" s="74">
        <f t="shared" si="238"/>
        <v>0</v>
      </c>
      <c r="AV213" s="74">
        <f t="shared" si="238"/>
        <v>0</v>
      </c>
      <c r="AW213" s="74">
        <f t="shared" si="238"/>
        <v>0</v>
      </c>
      <c r="AX213" s="74">
        <f t="shared" si="238"/>
        <v>0</v>
      </c>
      <c r="AY213" s="74">
        <f t="shared" si="238"/>
        <v>0</v>
      </c>
      <c r="AZ213" s="74">
        <f t="shared" si="238"/>
        <v>0</v>
      </c>
      <c r="BA213" s="74">
        <f t="shared" si="238"/>
        <v>0</v>
      </c>
      <c r="BB213" s="74">
        <f t="shared" si="238"/>
        <v>0</v>
      </c>
      <c r="BC213" s="74">
        <f t="shared" si="238"/>
        <v>0</v>
      </c>
      <c r="BD213" s="74">
        <f t="shared" si="238"/>
        <v>0</v>
      </c>
      <c r="BE213" s="74">
        <f t="shared" si="238"/>
        <v>0</v>
      </c>
    </row>
    <row r="214" spans="1:57" ht="13.5" customHeight="1">
      <c r="A214" s="619">
        <v>2</v>
      </c>
      <c r="B214" s="253"/>
      <c r="C214" s="258" t="s">
        <v>196</v>
      </c>
      <c r="D214" s="77" t="s">
        <v>557</v>
      </c>
      <c r="E214" s="323">
        <f t="shared" ref="E214:AK214" si="239">E184</f>
        <v>0.5559042748852957</v>
      </c>
      <c r="F214" s="323">
        <f t="shared" si="239"/>
        <v>0.5559042748852957</v>
      </c>
      <c r="G214" s="323">
        <f t="shared" si="239"/>
        <v>0.5559042748852957</v>
      </c>
      <c r="H214" s="323">
        <f t="shared" si="239"/>
        <v>0.5559042748852957</v>
      </c>
      <c r="I214" s="323">
        <f t="shared" si="239"/>
        <v>0.5559042748852957</v>
      </c>
      <c r="J214" s="323">
        <f t="shared" si="239"/>
        <v>0.5559042748852957</v>
      </c>
      <c r="K214" s="323">
        <f t="shared" si="239"/>
        <v>0.5559042748852957</v>
      </c>
      <c r="L214" s="323">
        <f t="shared" si="239"/>
        <v>0.5559042748852957</v>
      </c>
      <c r="M214" s="323">
        <f t="shared" si="239"/>
        <v>0.5559042748852957</v>
      </c>
      <c r="N214" s="323">
        <f t="shared" si="239"/>
        <v>0.5559042748852957</v>
      </c>
      <c r="O214" s="323">
        <f t="shared" si="239"/>
        <v>0.5559042748852957</v>
      </c>
      <c r="P214" s="323">
        <f t="shared" si="239"/>
        <v>0.5559042748852957</v>
      </c>
      <c r="Q214" s="323">
        <f t="shared" si="239"/>
        <v>0.5559042748852957</v>
      </c>
      <c r="R214" s="323">
        <f t="shared" si="239"/>
        <v>0.5559042748852957</v>
      </c>
      <c r="S214" s="323">
        <f t="shared" si="239"/>
        <v>0.5559042748852957</v>
      </c>
      <c r="T214" s="323">
        <f t="shared" si="239"/>
        <v>0.5559042748852957</v>
      </c>
      <c r="U214" s="323">
        <f t="shared" si="239"/>
        <v>0.5559042748852957</v>
      </c>
      <c r="V214" s="323">
        <f t="shared" si="239"/>
        <v>0.5559042748852957</v>
      </c>
      <c r="W214" s="323">
        <f t="shared" si="239"/>
        <v>0.5559042748852957</v>
      </c>
      <c r="X214" s="323">
        <f t="shared" si="239"/>
        <v>0.5559042748852957</v>
      </c>
      <c r="Y214" s="323">
        <f t="shared" si="239"/>
        <v>0.5559042748852957</v>
      </c>
      <c r="Z214" s="323">
        <f t="shared" si="239"/>
        <v>0.5559042748852957</v>
      </c>
      <c r="AA214" s="323">
        <f t="shared" si="239"/>
        <v>0.5559042748852957</v>
      </c>
      <c r="AB214" s="323">
        <f t="shared" si="239"/>
        <v>0.5559042748852957</v>
      </c>
      <c r="AC214" s="323">
        <f t="shared" si="239"/>
        <v>0.5559042748852957</v>
      </c>
      <c r="AD214" s="323">
        <f t="shared" si="239"/>
        <v>0.5559042748852957</v>
      </c>
      <c r="AE214" s="323">
        <f t="shared" si="239"/>
        <v>0.5559042748852957</v>
      </c>
      <c r="AF214" s="323">
        <f t="shared" si="239"/>
        <v>0.5559042748852957</v>
      </c>
      <c r="AG214" s="323">
        <f t="shared" si="239"/>
        <v>0.5559042748852957</v>
      </c>
      <c r="AH214" s="323">
        <f t="shared" si="239"/>
        <v>0.5559042748852957</v>
      </c>
      <c r="AI214" s="323">
        <f t="shared" si="239"/>
        <v>0.5559042748852957</v>
      </c>
      <c r="AJ214" s="323">
        <f t="shared" si="239"/>
        <v>0.5559042748852957</v>
      </c>
      <c r="AK214" s="82">
        <f t="shared" si="239"/>
        <v>0.5559042748852957</v>
      </c>
      <c r="AL214" s="80">
        <f t="shared" ref="AL214:BE214" si="240">AK214</f>
        <v>0.5559042748852957</v>
      </c>
      <c r="AM214" s="80">
        <f t="shared" si="240"/>
        <v>0.5559042748852957</v>
      </c>
      <c r="AN214" s="80">
        <f t="shared" si="240"/>
        <v>0.5559042748852957</v>
      </c>
      <c r="AO214" s="80">
        <f t="shared" si="240"/>
        <v>0.5559042748852957</v>
      </c>
      <c r="AP214" s="80">
        <f t="shared" si="240"/>
        <v>0.5559042748852957</v>
      </c>
      <c r="AQ214" s="80">
        <f t="shared" si="240"/>
        <v>0.5559042748852957</v>
      </c>
      <c r="AR214" s="80">
        <f t="shared" si="240"/>
        <v>0.5559042748852957</v>
      </c>
      <c r="AS214" s="80">
        <f t="shared" si="240"/>
        <v>0.5559042748852957</v>
      </c>
      <c r="AT214" s="80">
        <f t="shared" si="240"/>
        <v>0.5559042748852957</v>
      </c>
      <c r="AU214" s="80">
        <f t="shared" si="240"/>
        <v>0.5559042748852957</v>
      </c>
      <c r="AV214" s="80">
        <f t="shared" si="240"/>
        <v>0.5559042748852957</v>
      </c>
      <c r="AW214" s="80">
        <f t="shared" si="240"/>
        <v>0.5559042748852957</v>
      </c>
      <c r="AX214" s="80">
        <f t="shared" si="240"/>
        <v>0.5559042748852957</v>
      </c>
      <c r="AY214" s="80">
        <f t="shared" si="240"/>
        <v>0.5559042748852957</v>
      </c>
      <c r="AZ214" s="80">
        <f t="shared" si="240"/>
        <v>0.5559042748852957</v>
      </c>
      <c r="BA214" s="80">
        <f t="shared" si="240"/>
        <v>0.5559042748852957</v>
      </c>
      <c r="BB214" s="80">
        <f t="shared" si="240"/>
        <v>0.5559042748852957</v>
      </c>
      <c r="BC214" s="80">
        <f t="shared" si="240"/>
        <v>0.5559042748852957</v>
      </c>
      <c r="BD214" s="80">
        <f t="shared" si="240"/>
        <v>0.5559042748852957</v>
      </c>
      <c r="BE214" s="80">
        <f t="shared" si="240"/>
        <v>0.5559042748852957</v>
      </c>
    </row>
    <row r="215" spans="1:57" ht="13.5" customHeight="1">
      <c r="A215" s="619">
        <v>2</v>
      </c>
      <c r="B215" s="253"/>
      <c r="C215" s="258" t="s">
        <v>197</v>
      </c>
      <c r="D215" s="77" t="s">
        <v>558</v>
      </c>
      <c r="E215" s="323">
        <f t="shared" ref="E215:AK215" si="241">E187</f>
        <v>0.5559042748852957</v>
      </c>
      <c r="F215" s="323">
        <f t="shared" si="241"/>
        <v>0.5559042748852957</v>
      </c>
      <c r="G215" s="323">
        <f t="shared" si="241"/>
        <v>0.5559042748852957</v>
      </c>
      <c r="H215" s="323">
        <f t="shared" si="241"/>
        <v>0.5559042748852957</v>
      </c>
      <c r="I215" s="323">
        <f t="shared" si="241"/>
        <v>0.5559042748852957</v>
      </c>
      <c r="J215" s="323">
        <f t="shared" si="241"/>
        <v>0.5559042748852957</v>
      </c>
      <c r="K215" s="323">
        <f t="shared" si="241"/>
        <v>0.5559042748852957</v>
      </c>
      <c r="L215" s="323">
        <f t="shared" si="241"/>
        <v>0.5559042748852957</v>
      </c>
      <c r="M215" s="323">
        <f t="shared" si="241"/>
        <v>0.5559042748852957</v>
      </c>
      <c r="N215" s="323">
        <f t="shared" si="241"/>
        <v>0.5559042748852957</v>
      </c>
      <c r="O215" s="323">
        <f t="shared" si="241"/>
        <v>0.5559042748852957</v>
      </c>
      <c r="P215" s="323">
        <f t="shared" si="241"/>
        <v>0.5559042748852957</v>
      </c>
      <c r="Q215" s="323">
        <f t="shared" si="241"/>
        <v>0.5559042748852957</v>
      </c>
      <c r="R215" s="323">
        <f t="shared" si="241"/>
        <v>0.5559042748852957</v>
      </c>
      <c r="S215" s="323">
        <f t="shared" si="241"/>
        <v>0.5559042748852957</v>
      </c>
      <c r="T215" s="323">
        <f t="shared" si="241"/>
        <v>0.5559042748852957</v>
      </c>
      <c r="U215" s="323">
        <f t="shared" si="241"/>
        <v>0.5559042748852957</v>
      </c>
      <c r="V215" s="323">
        <f t="shared" si="241"/>
        <v>0.5559042748852957</v>
      </c>
      <c r="W215" s="323">
        <f t="shared" si="241"/>
        <v>0.5559042748852957</v>
      </c>
      <c r="X215" s="323">
        <f t="shared" si="241"/>
        <v>0.5559042748852957</v>
      </c>
      <c r="Y215" s="323">
        <f t="shared" si="241"/>
        <v>0.5559042748852957</v>
      </c>
      <c r="Z215" s="323">
        <f t="shared" si="241"/>
        <v>0.5559042748852957</v>
      </c>
      <c r="AA215" s="323">
        <f t="shared" si="241"/>
        <v>0.5559042748852957</v>
      </c>
      <c r="AB215" s="323">
        <f t="shared" si="241"/>
        <v>0.5559042748852957</v>
      </c>
      <c r="AC215" s="323">
        <f t="shared" si="241"/>
        <v>0.5559042748852957</v>
      </c>
      <c r="AD215" s="323">
        <f t="shared" si="241"/>
        <v>0.5559042748852957</v>
      </c>
      <c r="AE215" s="323">
        <f t="shared" si="241"/>
        <v>0.5559042748852957</v>
      </c>
      <c r="AF215" s="323">
        <f t="shared" si="241"/>
        <v>0.5559042748852957</v>
      </c>
      <c r="AG215" s="323">
        <f t="shared" si="241"/>
        <v>0.5559042748852957</v>
      </c>
      <c r="AH215" s="323">
        <f t="shared" si="241"/>
        <v>0.5559042748852957</v>
      </c>
      <c r="AI215" s="323">
        <f t="shared" si="241"/>
        <v>0.5559042748852957</v>
      </c>
      <c r="AJ215" s="323">
        <f t="shared" si="241"/>
        <v>0.5559042748852957</v>
      </c>
      <c r="AK215" s="82">
        <f t="shared" si="241"/>
        <v>0.5559042748852957</v>
      </c>
      <c r="AL215" s="80">
        <f t="shared" ref="AL215:BE215" si="242">AK215</f>
        <v>0.5559042748852957</v>
      </c>
      <c r="AM215" s="80">
        <f t="shared" si="242"/>
        <v>0.5559042748852957</v>
      </c>
      <c r="AN215" s="80">
        <f t="shared" si="242"/>
        <v>0.5559042748852957</v>
      </c>
      <c r="AO215" s="80">
        <f t="shared" si="242"/>
        <v>0.5559042748852957</v>
      </c>
      <c r="AP215" s="80">
        <f t="shared" si="242"/>
        <v>0.5559042748852957</v>
      </c>
      <c r="AQ215" s="80">
        <f t="shared" si="242"/>
        <v>0.5559042748852957</v>
      </c>
      <c r="AR215" s="80">
        <f t="shared" si="242"/>
        <v>0.5559042748852957</v>
      </c>
      <c r="AS215" s="80">
        <f t="shared" si="242"/>
        <v>0.5559042748852957</v>
      </c>
      <c r="AT215" s="80">
        <f t="shared" si="242"/>
        <v>0.5559042748852957</v>
      </c>
      <c r="AU215" s="80">
        <f t="shared" si="242"/>
        <v>0.5559042748852957</v>
      </c>
      <c r="AV215" s="80">
        <f t="shared" si="242"/>
        <v>0.5559042748852957</v>
      </c>
      <c r="AW215" s="80">
        <f t="shared" si="242"/>
        <v>0.5559042748852957</v>
      </c>
      <c r="AX215" s="80">
        <f t="shared" si="242"/>
        <v>0.5559042748852957</v>
      </c>
      <c r="AY215" s="80">
        <f t="shared" si="242"/>
        <v>0.5559042748852957</v>
      </c>
      <c r="AZ215" s="80">
        <f t="shared" si="242"/>
        <v>0.5559042748852957</v>
      </c>
      <c r="BA215" s="80">
        <f t="shared" si="242"/>
        <v>0.5559042748852957</v>
      </c>
      <c r="BB215" s="80">
        <f t="shared" si="242"/>
        <v>0.5559042748852957</v>
      </c>
      <c r="BC215" s="80">
        <f t="shared" si="242"/>
        <v>0.5559042748852957</v>
      </c>
      <c r="BD215" s="80">
        <f t="shared" si="242"/>
        <v>0.5559042748852957</v>
      </c>
      <c r="BE215" s="80">
        <f t="shared" si="242"/>
        <v>0.5559042748852957</v>
      </c>
    </row>
    <row r="216" spans="1:57" ht="13.5" customHeight="1">
      <c r="A216" s="619"/>
      <c r="B216" s="253"/>
      <c r="C216" s="258"/>
      <c r="D216" s="78" t="s">
        <v>143</v>
      </c>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c r="AA216" s="262"/>
      <c r="AB216" s="262"/>
      <c r="AC216" s="262"/>
      <c r="AD216" s="262"/>
      <c r="AE216" s="262"/>
      <c r="AF216" s="262"/>
      <c r="AG216" s="262"/>
      <c r="AH216" s="262"/>
      <c r="AI216" s="262"/>
      <c r="AJ216" s="262"/>
      <c r="AK216" s="81"/>
      <c r="AL216" s="74">
        <f t="shared" ref="AL216:BE216" si="243">AK216</f>
        <v>0</v>
      </c>
      <c r="AM216" s="74">
        <f t="shared" si="243"/>
        <v>0</v>
      </c>
      <c r="AN216" s="74">
        <f t="shared" si="243"/>
        <v>0</v>
      </c>
      <c r="AO216" s="74">
        <f t="shared" si="243"/>
        <v>0</v>
      </c>
      <c r="AP216" s="74">
        <f t="shared" si="243"/>
        <v>0</v>
      </c>
      <c r="AQ216" s="74">
        <f t="shared" si="243"/>
        <v>0</v>
      </c>
      <c r="AR216" s="74">
        <f t="shared" si="243"/>
        <v>0</v>
      </c>
      <c r="AS216" s="74">
        <f t="shared" si="243"/>
        <v>0</v>
      </c>
      <c r="AT216" s="74">
        <f t="shared" si="243"/>
        <v>0</v>
      </c>
      <c r="AU216" s="74">
        <f t="shared" si="243"/>
        <v>0</v>
      </c>
      <c r="AV216" s="74">
        <f t="shared" si="243"/>
        <v>0</v>
      </c>
      <c r="AW216" s="74">
        <f t="shared" si="243"/>
        <v>0</v>
      </c>
      <c r="AX216" s="74">
        <f t="shared" si="243"/>
        <v>0</v>
      </c>
      <c r="AY216" s="74">
        <f t="shared" si="243"/>
        <v>0</v>
      </c>
      <c r="AZ216" s="74">
        <f t="shared" si="243"/>
        <v>0</v>
      </c>
      <c r="BA216" s="74">
        <f t="shared" si="243"/>
        <v>0</v>
      </c>
      <c r="BB216" s="74">
        <f t="shared" si="243"/>
        <v>0</v>
      </c>
      <c r="BC216" s="74">
        <f t="shared" si="243"/>
        <v>0</v>
      </c>
      <c r="BD216" s="74">
        <f t="shared" si="243"/>
        <v>0</v>
      </c>
      <c r="BE216" s="74">
        <f t="shared" si="243"/>
        <v>0</v>
      </c>
    </row>
    <row r="217" spans="1:57" ht="13.5" customHeight="1">
      <c r="A217" s="619">
        <v>5</v>
      </c>
      <c r="B217" s="253"/>
      <c r="C217" s="258" t="s">
        <v>198</v>
      </c>
      <c r="D217" s="92" t="s">
        <v>188</v>
      </c>
      <c r="E217" s="451">
        <v>0</v>
      </c>
      <c r="F217" s="451">
        <v>0</v>
      </c>
      <c r="G217" s="451">
        <v>0</v>
      </c>
      <c r="H217" s="451">
        <v>0</v>
      </c>
      <c r="I217" s="451">
        <v>0</v>
      </c>
      <c r="J217" s="451">
        <v>0</v>
      </c>
      <c r="K217" s="451">
        <v>0</v>
      </c>
      <c r="L217" s="451">
        <v>0</v>
      </c>
      <c r="M217" s="451">
        <v>0</v>
      </c>
      <c r="N217" s="451">
        <v>0</v>
      </c>
      <c r="O217" s="451">
        <v>0</v>
      </c>
      <c r="P217" s="451">
        <v>0</v>
      </c>
      <c r="Q217" s="451">
        <v>0</v>
      </c>
      <c r="R217" s="451">
        <v>0</v>
      </c>
      <c r="S217" s="451">
        <v>0</v>
      </c>
      <c r="T217" s="451">
        <v>0</v>
      </c>
      <c r="U217" s="451">
        <v>0</v>
      </c>
      <c r="V217" s="451">
        <v>0</v>
      </c>
      <c r="W217" s="451">
        <v>0</v>
      </c>
      <c r="X217" s="451">
        <v>0</v>
      </c>
      <c r="Y217" s="451">
        <v>0</v>
      </c>
      <c r="Z217" s="451">
        <v>0</v>
      </c>
      <c r="AA217" s="451">
        <v>0</v>
      </c>
      <c r="AB217" s="451">
        <v>0</v>
      </c>
      <c r="AC217" s="451">
        <v>0</v>
      </c>
      <c r="AD217" s="451">
        <v>0</v>
      </c>
      <c r="AE217" s="451">
        <v>0</v>
      </c>
      <c r="AF217" s="451">
        <v>0</v>
      </c>
      <c r="AG217" s="451">
        <v>0</v>
      </c>
      <c r="AH217" s="451">
        <v>0</v>
      </c>
      <c r="AI217" s="451">
        <v>0</v>
      </c>
      <c r="AJ217" s="451">
        <v>0</v>
      </c>
      <c r="AK217" s="93">
        <v>0</v>
      </c>
      <c r="AL217" s="74">
        <f t="shared" ref="AL217:BE217" si="244">AK217</f>
        <v>0</v>
      </c>
      <c r="AM217" s="74">
        <f t="shared" si="244"/>
        <v>0</v>
      </c>
      <c r="AN217" s="74">
        <f t="shared" si="244"/>
        <v>0</v>
      </c>
      <c r="AO217" s="74">
        <f t="shared" si="244"/>
        <v>0</v>
      </c>
      <c r="AP217" s="74">
        <f t="shared" si="244"/>
        <v>0</v>
      </c>
      <c r="AQ217" s="74">
        <f t="shared" si="244"/>
        <v>0</v>
      </c>
      <c r="AR217" s="74">
        <f t="shared" si="244"/>
        <v>0</v>
      </c>
      <c r="AS217" s="74">
        <f t="shared" si="244"/>
        <v>0</v>
      </c>
      <c r="AT217" s="74">
        <f t="shared" si="244"/>
        <v>0</v>
      </c>
      <c r="AU217" s="74">
        <f t="shared" si="244"/>
        <v>0</v>
      </c>
      <c r="AV217" s="74">
        <f t="shared" si="244"/>
        <v>0</v>
      </c>
      <c r="AW217" s="74">
        <f t="shared" si="244"/>
        <v>0</v>
      </c>
      <c r="AX217" s="74">
        <f t="shared" si="244"/>
        <v>0</v>
      </c>
      <c r="AY217" s="74">
        <f t="shared" si="244"/>
        <v>0</v>
      </c>
      <c r="AZ217" s="74">
        <f t="shared" si="244"/>
        <v>0</v>
      </c>
      <c r="BA217" s="74">
        <f t="shared" si="244"/>
        <v>0</v>
      </c>
      <c r="BB217" s="74">
        <f t="shared" si="244"/>
        <v>0</v>
      </c>
      <c r="BC217" s="74">
        <f t="shared" si="244"/>
        <v>0</v>
      </c>
      <c r="BD217" s="74">
        <f t="shared" si="244"/>
        <v>0</v>
      </c>
      <c r="BE217" s="74">
        <f t="shared" si="244"/>
        <v>0</v>
      </c>
    </row>
    <row r="218" spans="1:57" ht="13.5" customHeight="1">
      <c r="A218" s="619"/>
      <c r="B218" s="253"/>
      <c r="C218" s="258" t="s">
        <v>199</v>
      </c>
      <c r="D218" s="92" t="s">
        <v>190</v>
      </c>
      <c r="E218" s="451">
        <f t="shared" ref="E218:AK218" si="245">E190</f>
        <v>0</v>
      </c>
      <c r="F218" s="451">
        <f t="shared" si="245"/>
        <v>0</v>
      </c>
      <c r="G218" s="451">
        <f t="shared" si="245"/>
        <v>0</v>
      </c>
      <c r="H218" s="451">
        <f t="shared" si="245"/>
        <v>0</v>
      </c>
      <c r="I218" s="451">
        <f t="shared" si="245"/>
        <v>0</v>
      </c>
      <c r="J218" s="451">
        <f t="shared" si="245"/>
        <v>0</v>
      </c>
      <c r="K218" s="451">
        <f t="shared" si="245"/>
        <v>0</v>
      </c>
      <c r="L218" s="451">
        <f t="shared" si="245"/>
        <v>0</v>
      </c>
      <c r="M218" s="451">
        <f t="shared" si="245"/>
        <v>0</v>
      </c>
      <c r="N218" s="451">
        <f t="shared" si="245"/>
        <v>0</v>
      </c>
      <c r="O218" s="451">
        <f t="shared" si="245"/>
        <v>0</v>
      </c>
      <c r="P218" s="451">
        <f t="shared" si="245"/>
        <v>0</v>
      </c>
      <c r="Q218" s="451">
        <f t="shared" si="245"/>
        <v>0</v>
      </c>
      <c r="R218" s="451">
        <f t="shared" si="245"/>
        <v>0</v>
      </c>
      <c r="S218" s="451">
        <f t="shared" si="245"/>
        <v>0</v>
      </c>
      <c r="T218" s="451">
        <f t="shared" si="245"/>
        <v>0</v>
      </c>
      <c r="U218" s="451">
        <f t="shared" si="245"/>
        <v>0</v>
      </c>
      <c r="V218" s="451">
        <f t="shared" si="245"/>
        <v>0</v>
      </c>
      <c r="W218" s="451">
        <f t="shared" si="245"/>
        <v>0</v>
      </c>
      <c r="X218" s="451">
        <f t="shared" si="245"/>
        <v>0</v>
      </c>
      <c r="Y218" s="451">
        <f t="shared" si="245"/>
        <v>0</v>
      </c>
      <c r="Z218" s="451">
        <f t="shared" si="245"/>
        <v>0</v>
      </c>
      <c r="AA218" s="451">
        <f t="shared" si="245"/>
        <v>0</v>
      </c>
      <c r="AB218" s="451">
        <f t="shared" si="245"/>
        <v>0</v>
      </c>
      <c r="AC218" s="451">
        <f t="shared" si="245"/>
        <v>0</v>
      </c>
      <c r="AD218" s="451">
        <f t="shared" si="245"/>
        <v>0</v>
      </c>
      <c r="AE218" s="451">
        <f t="shared" si="245"/>
        <v>0</v>
      </c>
      <c r="AF218" s="451">
        <f t="shared" si="245"/>
        <v>0</v>
      </c>
      <c r="AG218" s="451">
        <f t="shared" si="245"/>
        <v>0</v>
      </c>
      <c r="AH218" s="451">
        <f t="shared" si="245"/>
        <v>0</v>
      </c>
      <c r="AI218" s="451">
        <f t="shared" si="245"/>
        <v>0</v>
      </c>
      <c r="AJ218" s="451">
        <f t="shared" si="245"/>
        <v>0</v>
      </c>
      <c r="AK218" s="93">
        <f t="shared" si="245"/>
        <v>0</v>
      </c>
      <c r="AL218" s="74">
        <f t="shared" ref="AL218:BE218" si="246">AK218</f>
        <v>0</v>
      </c>
      <c r="AM218" s="74">
        <f t="shared" si="246"/>
        <v>0</v>
      </c>
      <c r="AN218" s="74">
        <f t="shared" si="246"/>
        <v>0</v>
      </c>
      <c r="AO218" s="74">
        <f t="shared" si="246"/>
        <v>0</v>
      </c>
      <c r="AP218" s="74">
        <f t="shared" si="246"/>
        <v>0</v>
      </c>
      <c r="AQ218" s="74">
        <f t="shared" si="246"/>
        <v>0</v>
      </c>
      <c r="AR218" s="74">
        <f t="shared" si="246"/>
        <v>0</v>
      </c>
      <c r="AS218" s="74">
        <f t="shared" si="246"/>
        <v>0</v>
      </c>
      <c r="AT218" s="74">
        <f t="shared" si="246"/>
        <v>0</v>
      </c>
      <c r="AU218" s="74">
        <f t="shared" si="246"/>
        <v>0</v>
      </c>
      <c r="AV218" s="74">
        <f t="shared" si="246"/>
        <v>0</v>
      </c>
      <c r="AW218" s="74">
        <f t="shared" si="246"/>
        <v>0</v>
      </c>
      <c r="AX218" s="74">
        <f t="shared" si="246"/>
        <v>0</v>
      </c>
      <c r="AY218" s="74">
        <f t="shared" si="246"/>
        <v>0</v>
      </c>
      <c r="AZ218" s="74">
        <f t="shared" si="246"/>
        <v>0</v>
      </c>
      <c r="BA218" s="74">
        <f t="shared" si="246"/>
        <v>0</v>
      </c>
      <c r="BB218" s="74">
        <f t="shared" si="246"/>
        <v>0</v>
      </c>
      <c r="BC218" s="74">
        <f t="shared" si="246"/>
        <v>0</v>
      </c>
      <c r="BD218" s="74">
        <f t="shared" si="246"/>
        <v>0</v>
      </c>
      <c r="BE218" s="74">
        <f t="shared" si="246"/>
        <v>0</v>
      </c>
    </row>
    <row r="219" spans="1:57" ht="13.5" customHeight="1">
      <c r="A219" s="619"/>
      <c r="B219" s="253"/>
      <c r="C219" s="258"/>
      <c r="D219" s="78" t="s">
        <v>144</v>
      </c>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c r="AA219" s="262"/>
      <c r="AB219" s="262"/>
      <c r="AC219" s="262"/>
      <c r="AD219" s="262"/>
      <c r="AE219" s="262"/>
      <c r="AF219" s="262"/>
      <c r="AG219" s="262"/>
      <c r="AH219" s="262"/>
      <c r="AI219" s="262"/>
      <c r="AJ219" s="262"/>
      <c r="AK219" s="81"/>
      <c r="AL219" s="74">
        <f t="shared" ref="AL219:BE219" si="247">AK219</f>
        <v>0</v>
      </c>
      <c r="AM219" s="74">
        <f t="shared" si="247"/>
        <v>0</v>
      </c>
      <c r="AN219" s="74">
        <f t="shared" si="247"/>
        <v>0</v>
      </c>
      <c r="AO219" s="74">
        <f t="shared" si="247"/>
        <v>0</v>
      </c>
      <c r="AP219" s="74">
        <f t="shared" si="247"/>
        <v>0</v>
      </c>
      <c r="AQ219" s="74">
        <f t="shared" si="247"/>
        <v>0</v>
      </c>
      <c r="AR219" s="74">
        <f t="shared" si="247"/>
        <v>0</v>
      </c>
      <c r="AS219" s="74">
        <f t="shared" si="247"/>
        <v>0</v>
      </c>
      <c r="AT219" s="74">
        <f t="shared" si="247"/>
        <v>0</v>
      </c>
      <c r="AU219" s="74">
        <f t="shared" si="247"/>
        <v>0</v>
      </c>
      <c r="AV219" s="74">
        <f t="shared" si="247"/>
        <v>0</v>
      </c>
      <c r="AW219" s="74">
        <f t="shared" si="247"/>
        <v>0</v>
      </c>
      <c r="AX219" s="74">
        <f t="shared" si="247"/>
        <v>0</v>
      </c>
      <c r="AY219" s="74">
        <f t="shared" si="247"/>
        <v>0</v>
      </c>
      <c r="AZ219" s="74">
        <f t="shared" si="247"/>
        <v>0</v>
      </c>
      <c r="BA219" s="74">
        <f t="shared" si="247"/>
        <v>0</v>
      </c>
      <c r="BB219" s="74">
        <f t="shared" si="247"/>
        <v>0</v>
      </c>
      <c r="BC219" s="74">
        <f t="shared" si="247"/>
        <v>0</v>
      </c>
      <c r="BD219" s="74">
        <f t="shared" si="247"/>
        <v>0</v>
      </c>
      <c r="BE219" s="74">
        <f t="shared" si="247"/>
        <v>0</v>
      </c>
    </row>
    <row r="220" spans="1:57" ht="13.5" customHeight="1">
      <c r="A220" s="619"/>
      <c r="B220" s="253"/>
      <c r="C220" s="258"/>
      <c r="D220" s="75" t="s">
        <v>145</v>
      </c>
      <c r="E220" s="447"/>
      <c r="F220" s="447"/>
      <c r="G220" s="447"/>
      <c r="H220" s="447"/>
      <c r="I220" s="447"/>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76"/>
      <c r="AL220" s="74">
        <f t="shared" ref="AL220:BE220" si="248">AK220</f>
        <v>0</v>
      </c>
      <c r="AM220" s="74">
        <f t="shared" si="248"/>
        <v>0</v>
      </c>
      <c r="AN220" s="74">
        <f t="shared" si="248"/>
        <v>0</v>
      </c>
      <c r="AO220" s="74">
        <f t="shared" si="248"/>
        <v>0</v>
      </c>
      <c r="AP220" s="74">
        <f t="shared" si="248"/>
        <v>0</v>
      </c>
      <c r="AQ220" s="74">
        <f t="shared" si="248"/>
        <v>0</v>
      </c>
      <c r="AR220" s="74">
        <f t="shared" si="248"/>
        <v>0</v>
      </c>
      <c r="AS220" s="74">
        <f t="shared" si="248"/>
        <v>0</v>
      </c>
      <c r="AT220" s="74">
        <f t="shared" si="248"/>
        <v>0</v>
      </c>
      <c r="AU220" s="74">
        <f t="shared" si="248"/>
        <v>0</v>
      </c>
      <c r="AV220" s="74">
        <f t="shared" si="248"/>
        <v>0</v>
      </c>
      <c r="AW220" s="74">
        <f t="shared" si="248"/>
        <v>0</v>
      </c>
      <c r="AX220" s="74">
        <f t="shared" si="248"/>
        <v>0</v>
      </c>
      <c r="AY220" s="74">
        <f t="shared" si="248"/>
        <v>0</v>
      </c>
      <c r="AZ220" s="74">
        <f t="shared" si="248"/>
        <v>0</v>
      </c>
      <c r="BA220" s="74">
        <f t="shared" si="248"/>
        <v>0</v>
      </c>
      <c r="BB220" s="74">
        <f t="shared" si="248"/>
        <v>0</v>
      </c>
      <c r="BC220" s="74">
        <f t="shared" si="248"/>
        <v>0</v>
      </c>
      <c r="BD220" s="74">
        <f t="shared" si="248"/>
        <v>0</v>
      </c>
      <c r="BE220" s="74">
        <f t="shared" si="248"/>
        <v>0</v>
      </c>
    </row>
    <row r="221" spans="1:57" ht="13.5" customHeight="1">
      <c r="A221" s="619"/>
      <c r="B221" s="253"/>
      <c r="C221" s="258"/>
      <c r="D221" s="92" t="s">
        <v>190</v>
      </c>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93"/>
      <c r="AL221" s="74">
        <f t="shared" ref="AL221:BE221" si="249">AK221</f>
        <v>0</v>
      </c>
      <c r="AM221" s="74">
        <f t="shared" si="249"/>
        <v>0</v>
      </c>
      <c r="AN221" s="74">
        <f t="shared" si="249"/>
        <v>0</v>
      </c>
      <c r="AO221" s="74">
        <f t="shared" si="249"/>
        <v>0</v>
      </c>
      <c r="AP221" s="74">
        <f t="shared" si="249"/>
        <v>0</v>
      </c>
      <c r="AQ221" s="74">
        <f t="shared" si="249"/>
        <v>0</v>
      </c>
      <c r="AR221" s="74">
        <f t="shared" si="249"/>
        <v>0</v>
      </c>
      <c r="AS221" s="74">
        <f t="shared" si="249"/>
        <v>0</v>
      </c>
      <c r="AT221" s="74">
        <f t="shared" si="249"/>
        <v>0</v>
      </c>
      <c r="AU221" s="74">
        <f t="shared" si="249"/>
        <v>0</v>
      </c>
      <c r="AV221" s="74">
        <f t="shared" si="249"/>
        <v>0</v>
      </c>
      <c r="AW221" s="74">
        <f t="shared" si="249"/>
        <v>0</v>
      </c>
      <c r="AX221" s="74">
        <f t="shared" si="249"/>
        <v>0</v>
      </c>
      <c r="AY221" s="74">
        <f t="shared" si="249"/>
        <v>0</v>
      </c>
      <c r="AZ221" s="74">
        <f t="shared" si="249"/>
        <v>0</v>
      </c>
      <c r="BA221" s="74">
        <f t="shared" si="249"/>
        <v>0</v>
      </c>
      <c r="BB221" s="74">
        <f t="shared" si="249"/>
        <v>0</v>
      </c>
      <c r="BC221" s="74">
        <f t="shared" si="249"/>
        <v>0</v>
      </c>
      <c r="BD221" s="74">
        <f t="shared" si="249"/>
        <v>0</v>
      </c>
      <c r="BE221" s="74">
        <f t="shared" si="249"/>
        <v>0</v>
      </c>
    </row>
    <row r="222" spans="1:57" ht="13.5" customHeight="1">
      <c r="A222" s="619">
        <v>2</v>
      </c>
      <c r="B222" s="253"/>
      <c r="C222" s="258" t="s">
        <v>200</v>
      </c>
      <c r="D222" s="77" t="s">
        <v>201</v>
      </c>
      <c r="E222" s="323">
        <f t="shared" ref="E222:AK222" si="250">E193</f>
        <v>9.15</v>
      </c>
      <c r="F222" s="323">
        <f t="shared" si="250"/>
        <v>9.15</v>
      </c>
      <c r="G222" s="323">
        <f t="shared" si="250"/>
        <v>9.3416661019839626</v>
      </c>
      <c r="H222" s="323">
        <f t="shared" si="250"/>
        <v>9.1931324707271678</v>
      </c>
      <c r="I222" s="323">
        <f t="shared" si="250"/>
        <v>9.7501083246926452</v>
      </c>
      <c r="J222" s="323">
        <f t="shared" si="250"/>
        <v>10.123027896557147</v>
      </c>
      <c r="K222" s="323">
        <f t="shared" si="250"/>
        <v>10.156021624309759</v>
      </c>
      <c r="L222" s="323">
        <f t="shared" si="250"/>
        <v>10.155952188763287</v>
      </c>
      <c r="M222" s="323">
        <f t="shared" si="250"/>
        <v>10.155974996864924</v>
      </c>
      <c r="N222" s="323">
        <f t="shared" si="250"/>
        <v>10.155961426055864</v>
      </c>
      <c r="O222" s="323">
        <f t="shared" si="250"/>
        <v>10.156003850967588</v>
      </c>
      <c r="P222" s="323">
        <f t="shared" si="250"/>
        <v>10.156011256076212</v>
      </c>
      <c r="Q222" s="323">
        <f t="shared" si="250"/>
        <v>10.155997181924398</v>
      </c>
      <c r="R222" s="323">
        <f t="shared" si="250"/>
        <v>10.155919341184861</v>
      </c>
      <c r="S222" s="323">
        <f t="shared" si="250"/>
        <v>10.155995670580921</v>
      </c>
      <c r="T222" s="323">
        <f t="shared" si="250"/>
        <v>10.155972105037648</v>
      </c>
      <c r="U222" s="323">
        <f t="shared" si="250"/>
        <v>10.155992685805129</v>
      </c>
      <c r="V222" s="323">
        <f t="shared" si="250"/>
        <v>10.156000323161717</v>
      </c>
      <c r="W222" s="323">
        <f t="shared" si="250"/>
        <v>10.155982312962255</v>
      </c>
      <c r="X222" s="323">
        <f t="shared" si="250"/>
        <v>10.155982312962255</v>
      </c>
      <c r="Y222" s="323">
        <f t="shared" si="250"/>
        <v>10.155982312962255</v>
      </c>
      <c r="Z222" s="323">
        <f t="shared" si="250"/>
        <v>10.155982312962255</v>
      </c>
      <c r="AA222" s="323">
        <f t="shared" si="250"/>
        <v>10.155982312962255</v>
      </c>
      <c r="AB222" s="323">
        <f t="shared" si="250"/>
        <v>10.155982312962255</v>
      </c>
      <c r="AC222" s="323">
        <f t="shared" si="250"/>
        <v>10.155982312962255</v>
      </c>
      <c r="AD222" s="323">
        <f t="shared" si="250"/>
        <v>10.155982312962255</v>
      </c>
      <c r="AE222" s="323">
        <f t="shared" si="250"/>
        <v>10.155982312962255</v>
      </c>
      <c r="AF222" s="323">
        <f t="shared" si="250"/>
        <v>10.155982312962255</v>
      </c>
      <c r="AG222" s="323">
        <f t="shared" si="250"/>
        <v>10.155982312962255</v>
      </c>
      <c r="AH222" s="323">
        <f t="shared" si="250"/>
        <v>10.155982312962255</v>
      </c>
      <c r="AI222" s="323">
        <f t="shared" si="250"/>
        <v>10.155982312962255</v>
      </c>
      <c r="AJ222" s="323">
        <f t="shared" si="250"/>
        <v>10.155982312962255</v>
      </c>
      <c r="AK222" s="82">
        <f t="shared" si="250"/>
        <v>10.155982312962255</v>
      </c>
      <c r="AL222" s="80">
        <f t="shared" ref="AL222:BE222" si="251">AK222</f>
        <v>10.155982312962255</v>
      </c>
      <c r="AM222" s="80">
        <f t="shared" si="251"/>
        <v>10.155982312962255</v>
      </c>
      <c r="AN222" s="80">
        <f t="shared" si="251"/>
        <v>10.155982312962255</v>
      </c>
      <c r="AO222" s="80">
        <f t="shared" si="251"/>
        <v>10.155982312962255</v>
      </c>
      <c r="AP222" s="80">
        <f t="shared" si="251"/>
        <v>10.155982312962255</v>
      </c>
      <c r="AQ222" s="80">
        <f t="shared" si="251"/>
        <v>10.155982312962255</v>
      </c>
      <c r="AR222" s="80">
        <f t="shared" si="251"/>
        <v>10.155982312962255</v>
      </c>
      <c r="AS222" s="80">
        <f t="shared" si="251"/>
        <v>10.155982312962255</v>
      </c>
      <c r="AT222" s="80">
        <f t="shared" si="251"/>
        <v>10.155982312962255</v>
      </c>
      <c r="AU222" s="80">
        <f t="shared" si="251"/>
        <v>10.155982312962255</v>
      </c>
      <c r="AV222" s="80">
        <f t="shared" si="251"/>
        <v>10.155982312962255</v>
      </c>
      <c r="AW222" s="80">
        <f t="shared" si="251"/>
        <v>10.155982312962255</v>
      </c>
      <c r="AX222" s="80">
        <f t="shared" si="251"/>
        <v>10.155982312962255</v>
      </c>
      <c r="AY222" s="80">
        <f t="shared" si="251"/>
        <v>10.155982312962255</v>
      </c>
      <c r="AZ222" s="80">
        <f t="shared" si="251"/>
        <v>10.155982312962255</v>
      </c>
      <c r="BA222" s="80">
        <f t="shared" si="251"/>
        <v>10.155982312962255</v>
      </c>
      <c r="BB222" s="80">
        <f t="shared" si="251"/>
        <v>10.155982312962255</v>
      </c>
      <c r="BC222" s="80">
        <f t="shared" si="251"/>
        <v>10.155982312962255</v>
      </c>
      <c r="BD222" s="80">
        <f t="shared" si="251"/>
        <v>10.155982312962255</v>
      </c>
      <c r="BE222" s="80">
        <f t="shared" si="251"/>
        <v>10.155982312962255</v>
      </c>
    </row>
    <row r="223" spans="1:57" ht="13.5" customHeight="1">
      <c r="A223" s="619"/>
      <c r="B223" s="253"/>
      <c r="C223" s="258"/>
      <c r="D223" s="92" t="s">
        <v>188</v>
      </c>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93"/>
      <c r="AL223" s="74">
        <f t="shared" ref="AL223:BE223" si="252">AK223</f>
        <v>0</v>
      </c>
      <c r="AM223" s="74">
        <f t="shared" si="252"/>
        <v>0</v>
      </c>
      <c r="AN223" s="74">
        <f t="shared" si="252"/>
        <v>0</v>
      </c>
      <c r="AO223" s="74">
        <f t="shared" si="252"/>
        <v>0</v>
      </c>
      <c r="AP223" s="74">
        <f t="shared" si="252"/>
        <v>0</v>
      </c>
      <c r="AQ223" s="74">
        <f t="shared" si="252"/>
        <v>0</v>
      </c>
      <c r="AR223" s="74">
        <f t="shared" si="252"/>
        <v>0</v>
      </c>
      <c r="AS223" s="74">
        <f t="shared" si="252"/>
        <v>0</v>
      </c>
      <c r="AT223" s="74">
        <f t="shared" si="252"/>
        <v>0</v>
      </c>
      <c r="AU223" s="74">
        <f t="shared" si="252"/>
        <v>0</v>
      </c>
      <c r="AV223" s="74">
        <f t="shared" si="252"/>
        <v>0</v>
      </c>
      <c r="AW223" s="74">
        <f t="shared" si="252"/>
        <v>0</v>
      </c>
      <c r="AX223" s="74">
        <f t="shared" si="252"/>
        <v>0</v>
      </c>
      <c r="AY223" s="74">
        <f t="shared" si="252"/>
        <v>0</v>
      </c>
      <c r="AZ223" s="74">
        <f t="shared" si="252"/>
        <v>0</v>
      </c>
      <c r="BA223" s="74">
        <f t="shared" si="252"/>
        <v>0</v>
      </c>
      <c r="BB223" s="74">
        <f t="shared" si="252"/>
        <v>0</v>
      </c>
      <c r="BC223" s="74">
        <f t="shared" si="252"/>
        <v>0</v>
      </c>
      <c r="BD223" s="74">
        <f t="shared" si="252"/>
        <v>0</v>
      </c>
      <c r="BE223" s="74">
        <f t="shared" si="252"/>
        <v>0</v>
      </c>
    </row>
    <row r="224" spans="1:57" ht="13.5" customHeight="1">
      <c r="A224" s="619">
        <v>5</v>
      </c>
      <c r="B224" s="253"/>
      <c r="C224" s="258" t="s">
        <v>202</v>
      </c>
      <c r="D224" s="77" t="s">
        <v>201</v>
      </c>
      <c r="E224" s="323">
        <f t="shared" ref="E224:AK224" si="253">(1.04*1000)/(1000000*0.6196*0.005807)</f>
        <v>0.28904809015365462</v>
      </c>
      <c r="F224" s="323">
        <f t="shared" si="253"/>
        <v>0.28904809015365462</v>
      </c>
      <c r="G224" s="323">
        <f t="shared" si="253"/>
        <v>0.28904809015365462</v>
      </c>
      <c r="H224" s="323">
        <f t="shared" si="253"/>
        <v>0.28904809015365462</v>
      </c>
      <c r="I224" s="323">
        <f t="shared" si="253"/>
        <v>0.28904809015365462</v>
      </c>
      <c r="J224" s="323">
        <f t="shared" si="253"/>
        <v>0.28904809015365462</v>
      </c>
      <c r="K224" s="323">
        <f t="shared" si="253"/>
        <v>0.28904809015365462</v>
      </c>
      <c r="L224" s="323">
        <f t="shared" si="253"/>
        <v>0.28904809015365462</v>
      </c>
      <c r="M224" s="323">
        <f t="shared" si="253"/>
        <v>0.28904809015365462</v>
      </c>
      <c r="N224" s="323">
        <f t="shared" si="253"/>
        <v>0.28904809015365462</v>
      </c>
      <c r="O224" s="323">
        <f t="shared" si="253"/>
        <v>0.28904809015365462</v>
      </c>
      <c r="P224" s="323">
        <f t="shared" si="253"/>
        <v>0.28904809015365462</v>
      </c>
      <c r="Q224" s="323">
        <f t="shared" si="253"/>
        <v>0.28904809015365462</v>
      </c>
      <c r="R224" s="323">
        <f t="shared" si="253"/>
        <v>0.28904809015365462</v>
      </c>
      <c r="S224" s="323">
        <f t="shared" si="253"/>
        <v>0.28904809015365462</v>
      </c>
      <c r="T224" s="323">
        <f t="shared" si="253"/>
        <v>0.28904809015365462</v>
      </c>
      <c r="U224" s="323">
        <f t="shared" si="253"/>
        <v>0.28904809015365462</v>
      </c>
      <c r="V224" s="323">
        <f t="shared" si="253"/>
        <v>0.28904809015365462</v>
      </c>
      <c r="W224" s="323">
        <f t="shared" si="253"/>
        <v>0.28904809015365462</v>
      </c>
      <c r="X224" s="323">
        <f t="shared" si="253"/>
        <v>0.28904809015365462</v>
      </c>
      <c r="Y224" s="323">
        <f t="shared" si="253"/>
        <v>0.28904809015365462</v>
      </c>
      <c r="Z224" s="323">
        <f t="shared" si="253"/>
        <v>0.28904809015365462</v>
      </c>
      <c r="AA224" s="323">
        <f t="shared" si="253"/>
        <v>0.28904809015365462</v>
      </c>
      <c r="AB224" s="323">
        <f t="shared" si="253"/>
        <v>0.28904809015365462</v>
      </c>
      <c r="AC224" s="323">
        <f t="shared" si="253"/>
        <v>0.28904809015365462</v>
      </c>
      <c r="AD224" s="323">
        <f t="shared" si="253"/>
        <v>0.28904809015365462</v>
      </c>
      <c r="AE224" s="323">
        <f t="shared" si="253"/>
        <v>0.28904809015365462</v>
      </c>
      <c r="AF224" s="323">
        <f t="shared" si="253"/>
        <v>0.28904809015365462</v>
      </c>
      <c r="AG224" s="323">
        <f t="shared" si="253"/>
        <v>0.28904809015365462</v>
      </c>
      <c r="AH224" s="323">
        <f t="shared" si="253"/>
        <v>0.28904809015365462</v>
      </c>
      <c r="AI224" s="323">
        <f t="shared" si="253"/>
        <v>0.28904809015365462</v>
      </c>
      <c r="AJ224" s="323">
        <f t="shared" si="253"/>
        <v>0.28904809015365462</v>
      </c>
      <c r="AK224" s="82">
        <f t="shared" si="253"/>
        <v>0.28904809015365462</v>
      </c>
      <c r="AL224" s="80">
        <f t="shared" ref="AL224:BE224" si="254">AK224</f>
        <v>0.28904809015365462</v>
      </c>
      <c r="AM224" s="80">
        <f t="shared" si="254"/>
        <v>0.28904809015365462</v>
      </c>
      <c r="AN224" s="80">
        <f t="shared" si="254"/>
        <v>0.28904809015365462</v>
      </c>
      <c r="AO224" s="80">
        <f t="shared" si="254"/>
        <v>0.28904809015365462</v>
      </c>
      <c r="AP224" s="80">
        <f t="shared" si="254"/>
        <v>0.28904809015365462</v>
      </c>
      <c r="AQ224" s="80">
        <f t="shared" si="254"/>
        <v>0.28904809015365462</v>
      </c>
      <c r="AR224" s="80">
        <f t="shared" si="254"/>
        <v>0.28904809015365462</v>
      </c>
      <c r="AS224" s="80">
        <f t="shared" si="254"/>
        <v>0.28904809015365462</v>
      </c>
      <c r="AT224" s="80">
        <f t="shared" si="254"/>
        <v>0.28904809015365462</v>
      </c>
      <c r="AU224" s="80">
        <f t="shared" si="254"/>
        <v>0.28904809015365462</v>
      </c>
      <c r="AV224" s="80">
        <f t="shared" si="254"/>
        <v>0.28904809015365462</v>
      </c>
      <c r="AW224" s="80">
        <f t="shared" si="254"/>
        <v>0.28904809015365462</v>
      </c>
      <c r="AX224" s="80">
        <f t="shared" si="254"/>
        <v>0.28904809015365462</v>
      </c>
      <c r="AY224" s="80">
        <f t="shared" si="254"/>
        <v>0.28904809015365462</v>
      </c>
      <c r="AZ224" s="80">
        <f t="shared" si="254"/>
        <v>0.28904809015365462</v>
      </c>
      <c r="BA224" s="80">
        <f t="shared" si="254"/>
        <v>0.28904809015365462</v>
      </c>
      <c r="BB224" s="80">
        <f t="shared" si="254"/>
        <v>0.28904809015365462</v>
      </c>
      <c r="BC224" s="80">
        <f t="shared" si="254"/>
        <v>0.28904809015365462</v>
      </c>
      <c r="BD224" s="80">
        <f t="shared" si="254"/>
        <v>0.28904809015365462</v>
      </c>
      <c r="BE224" s="80">
        <f t="shared" si="254"/>
        <v>0.28904809015365462</v>
      </c>
    </row>
    <row r="225" spans="1:57" ht="13.5" customHeight="1">
      <c r="A225" s="619"/>
      <c r="B225" s="253"/>
      <c r="C225" s="258"/>
      <c r="D225" s="92" t="s">
        <v>203</v>
      </c>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93"/>
      <c r="AL225" s="74">
        <f t="shared" ref="AL225:BE225" si="255">AK225</f>
        <v>0</v>
      </c>
      <c r="AM225" s="74">
        <f t="shared" si="255"/>
        <v>0</v>
      </c>
      <c r="AN225" s="74">
        <f t="shared" si="255"/>
        <v>0</v>
      </c>
      <c r="AO225" s="74">
        <f t="shared" si="255"/>
        <v>0</v>
      </c>
      <c r="AP225" s="74">
        <f t="shared" si="255"/>
        <v>0</v>
      </c>
      <c r="AQ225" s="74">
        <f t="shared" si="255"/>
        <v>0</v>
      </c>
      <c r="AR225" s="74">
        <f t="shared" si="255"/>
        <v>0</v>
      </c>
      <c r="AS225" s="74">
        <f t="shared" si="255"/>
        <v>0</v>
      </c>
      <c r="AT225" s="74">
        <f t="shared" si="255"/>
        <v>0</v>
      </c>
      <c r="AU225" s="74">
        <f t="shared" si="255"/>
        <v>0</v>
      </c>
      <c r="AV225" s="74">
        <f t="shared" si="255"/>
        <v>0</v>
      </c>
      <c r="AW225" s="74">
        <f t="shared" si="255"/>
        <v>0</v>
      </c>
      <c r="AX225" s="74">
        <f t="shared" si="255"/>
        <v>0</v>
      </c>
      <c r="AY225" s="74">
        <f t="shared" si="255"/>
        <v>0</v>
      </c>
      <c r="AZ225" s="74">
        <f t="shared" si="255"/>
        <v>0</v>
      </c>
      <c r="BA225" s="74">
        <f t="shared" si="255"/>
        <v>0</v>
      </c>
      <c r="BB225" s="74">
        <f t="shared" si="255"/>
        <v>0</v>
      </c>
      <c r="BC225" s="74">
        <f t="shared" si="255"/>
        <v>0</v>
      </c>
      <c r="BD225" s="74">
        <f t="shared" si="255"/>
        <v>0</v>
      </c>
      <c r="BE225" s="74">
        <f t="shared" si="255"/>
        <v>0</v>
      </c>
    </row>
    <row r="226" spans="1:57" ht="13.5" customHeight="1">
      <c r="A226" s="85">
        <v>4</v>
      </c>
      <c r="B226" s="253"/>
      <c r="C226" s="258" t="s">
        <v>204</v>
      </c>
      <c r="D226" s="83" t="s">
        <v>205</v>
      </c>
      <c r="E226" s="454">
        <v>0.28899999999999998</v>
      </c>
      <c r="F226" s="454">
        <v>0.28899999999999998</v>
      </c>
      <c r="G226" s="454">
        <v>0.28899999999999998</v>
      </c>
      <c r="H226" s="454">
        <v>0.28899999999999998</v>
      </c>
      <c r="I226" s="454">
        <v>0.28899999999999998</v>
      </c>
      <c r="J226" s="454">
        <v>0.28899999999999998</v>
      </c>
      <c r="K226" s="454">
        <v>0.28899999999999998</v>
      </c>
      <c r="L226" s="454">
        <v>0.28899999999999998</v>
      </c>
      <c r="M226" s="454">
        <v>0.28899999999999998</v>
      </c>
      <c r="N226" s="454">
        <v>0.28899999999999998</v>
      </c>
      <c r="O226" s="454">
        <v>0.28899999999999998</v>
      </c>
      <c r="P226" s="454">
        <v>0.28899999999999998</v>
      </c>
      <c r="Q226" s="454">
        <v>0.28899999999999998</v>
      </c>
      <c r="R226" s="454">
        <v>0.28899999999999998</v>
      </c>
      <c r="S226" s="454">
        <v>0.28899999999999998</v>
      </c>
      <c r="T226" s="454">
        <v>0.28899999999999998</v>
      </c>
      <c r="U226" s="454">
        <v>0.28899999999999998</v>
      </c>
      <c r="V226" s="454">
        <v>0.28899999999999998</v>
      </c>
      <c r="W226" s="454">
        <v>0.28899999999999998</v>
      </c>
      <c r="X226" s="454">
        <v>0.28899999999999998</v>
      </c>
      <c r="Y226" s="454">
        <v>0.28899999999999998</v>
      </c>
      <c r="Z226" s="454">
        <v>0.28899999999999998</v>
      </c>
      <c r="AA226" s="454">
        <v>0.28899999999999998</v>
      </c>
      <c r="AB226" s="454">
        <v>0.28899999999999998</v>
      </c>
      <c r="AC226" s="454">
        <v>0.28899999999999998</v>
      </c>
      <c r="AD226" s="454">
        <v>0.28899999999999998</v>
      </c>
      <c r="AE226" s="454">
        <v>0.28899999999999998</v>
      </c>
      <c r="AF226" s="454">
        <v>0.28899999999999998</v>
      </c>
      <c r="AG226" s="454">
        <v>0.28899999999999998</v>
      </c>
      <c r="AH226" s="454">
        <v>0.28899999999999998</v>
      </c>
      <c r="AI226" s="454">
        <v>0.28899999999999998</v>
      </c>
      <c r="AJ226" s="454">
        <v>0.28899999999999998</v>
      </c>
      <c r="AK226" s="101">
        <v>0.28899999999999998</v>
      </c>
      <c r="AL226" s="80">
        <f t="shared" ref="AL226:BE226" si="256">AK226</f>
        <v>0.28899999999999998</v>
      </c>
      <c r="AM226" s="80">
        <f t="shared" si="256"/>
        <v>0.28899999999999998</v>
      </c>
      <c r="AN226" s="80">
        <f t="shared" si="256"/>
        <v>0.28899999999999998</v>
      </c>
      <c r="AO226" s="80">
        <f t="shared" si="256"/>
        <v>0.28899999999999998</v>
      </c>
      <c r="AP226" s="80">
        <f t="shared" si="256"/>
        <v>0.28899999999999998</v>
      </c>
      <c r="AQ226" s="80">
        <f t="shared" si="256"/>
        <v>0.28899999999999998</v>
      </c>
      <c r="AR226" s="80">
        <f t="shared" si="256"/>
        <v>0.28899999999999998</v>
      </c>
      <c r="AS226" s="80">
        <f t="shared" si="256"/>
        <v>0.28899999999999998</v>
      </c>
      <c r="AT226" s="80">
        <f t="shared" si="256"/>
        <v>0.28899999999999998</v>
      </c>
      <c r="AU226" s="80">
        <f t="shared" si="256"/>
        <v>0.28899999999999998</v>
      </c>
      <c r="AV226" s="80">
        <f t="shared" si="256"/>
        <v>0.28899999999999998</v>
      </c>
      <c r="AW226" s="80">
        <f t="shared" si="256"/>
        <v>0.28899999999999998</v>
      </c>
      <c r="AX226" s="80">
        <f t="shared" si="256"/>
        <v>0.28899999999999998</v>
      </c>
      <c r="AY226" s="80">
        <f t="shared" si="256"/>
        <v>0.28899999999999998</v>
      </c>
      <c r="AZ226" s="80">
        <f t="shared" si="256"/>
        <v>0.28899999999999998</v>
      </c>
      <c r="BA226" s="80">
        <f t="shared" si="256"/>
        <v>0.28899999999999998</v>
      </c>
      <c r="BB226" s="80">
        <f t="shared" si="256"/>
        <v>0.28899999999999998</v>
      </c>
      <c r="BC226" s="80">
        <f t="shared" si="256"/>
        <v>0.28899999999999998</v>
      </c>
      <c r="BD226" s="80">
        <f t="shared" si="256"/>
        <v>0.28899999999999998</v>
      </c>
      <c r="BE226" s="80">
        <f t="shared" si="256"/>
        <v>0.28899999999999998</v>
      </c>
    </row>
    <row r="227" spans="1:57" ht="13.5" customHeight="1">
      <c r="A227" s="619">
        <v>2</v>
      </c>
      <c r="B227" s="253"/>
      <c r="C227" s="258" t="s">
        <v>206</v>
      </c>
      <c r="D227" s="77" t="s">
        <v>201</v>
      </c>
      <c r="E227" s="323">
        <f t="shared" ref="E227:AK227" si="257">E193</f>
        <v>9.15</v>
      </c>
      <c r="F227" s="323">
        <f t="shared" si="257"/>
        <v>9.15</v>
      </c>
      <c r="G227" s="323">
        <f t="shared" si="257"/>
        <v>9.3416661019839626</v>
      </c>
      <c r="H227" s="323">
        <f t="shared" si="257"/>
        <v>9.1931324707271678</v>
      </c>
      <c r="I227" s="323">
        <f t="shared" si="257"/>
        <v>9.7501083246926452</v>
      </c>
      <c r="J227" s="323">
        <f t="shared" si="257"/>
        <v>10.123027896557147</v>
      </c>
      <c r="K227" s="323">
        <f t="shared" si="257"/>
        <v>10.156021624309759</v>
      </c>
      <c r="L227" s="323">
        <f t="shared" si="257"/>
        <v>10.155952188763287</v>
      </c>
      <c r="M227" s="323">
        <f t="shared" si="257"/>
        <v>10.155974996864924</v>
      </c>
      <c r="N227" s="323">
        <f t="shared" si="257"/>
        <v>10.155961426055864</v>
      </c>
      <c r="O227" s="323">
        <f t="shared" si="257"/>
        <v>10.156003850967588</v>
      </c>
      <c r="P227" s="323">
        <f t="shared" si="257"/>
        <v>10.156011256076212</v>
      </c>
      <c r="Q227" s="323">
        <f t="shared" si="257"/>
        <v>10.155997181924398</v>
      </c>
      <c r="R227" s="323">
        <f t="shared" si="257"/>
        <v>10.155919341184861</v>
      </c>
      <c r="S227" s="323">
        <f t="shared" si="257"/>
        <v>10.155995670580921</v>
      </c>
      <c r="T227" s="323">
        <f t="shared" si="257"/>
        <v>10.155972105037648</v>
      </c>
      <c r="U227" s="323">
        <f t="shared" si="257"/>
        <v>10.155992685805129</v>
      </c>
      <c r="V227" s="323">
        <f t="shared" si="257"/>
        <v>10.156000323161717</v>
      </c>
      <c r="W227" s="323">
        <f t="shared" si="257"/>
        <v>10.155982312962255</v>
      </c>
      <c r="X227" s="323">
        <f t="shared" si="257"/>
        <v>10.155982312962255</v>
      </c>
      <c r="Y227" s="323">
        <f t="shared" si="257"/>
        <v>10.155982312962255</v>
      </c>
      <c r="Z227" s="323">
        <f t="shared" si="257"/>
        <v>10.155982312962255</v>
      </c>
      <c r="AA227" s="323">
        <f t="shared" si="257"/>
        <v>10.155982312962255</v>
      </c>
      <c r="AB227" s="323">
        <f t="shared" si="257"/>
        <v>10.155982312962255</v>
      </c>
      <c r="AC227" s="323">
        <f t="shared" si="257"/>
        <v>10.155982312962255</v>
      </c>
      <c r="AD227" s="323">
        <f t="shared" si="257"/>
        <v>10.155982312962255</v>
      </c>
      <c r="AE227" s="323">
        <f t="shared" si="257"/>
        <v>10.155982312962255</v>
      </c>
      <c r="AF227" s="323">
        <f t="shared" si="257"/>
        <v>10.155982312962255</v>
      </c>
      <c r="AG227" s="323">
        <f t="shared" si="257"/>
        <v>10.155982312962255</v>
      </c>
      <c r="AH227" s="323">
        <f t="shared" si="257"/>
        <v>10.155982312962255</v>
      </c>
      <c r="AI227" s="323">
        <f t="shared" si="257"/>
        <v>10.155982312962255</v>
      </c>
      <c r="AJ227" s="323">
        <f t="shared" si="257"/>
        <v>10.155982312962255</v>
      </c>
      <c r="AK227" s="82">
        <f t="shared" si="257"/>
        <v>10.155982312962255</v>
      </c>
      <c r="AL227" s="80">
        <f t="shared" ref="AL227:BE227" si="258">AK227</f>
        <v>10.155982312962255</v>
      </c>
      <c r="AM227" s="80">
        <f t="shared" si="258"/>
        <v>10.155982312962255</v>
      </c>
      <c r="AN227" s="80">
        <f t="shared" si="258"/>
        <v>10.155982312962255</v>
      </c>
      <c r="AO227" s="80">
        <f t="shared" si="258"/>
        <v>10.155982312962255</v>
      </c>
      <c r="AP227" s="80">
        <f t="shared" si="258"/>
        <v>10.155982312962255</v>
      </c>
      <c r="AQ227" s="80">
        <f t="shared" si="258"/>
        <v>10.155982312962255</v>
      </c>
      <c r="AR227" s="80">
        <f t="shared" si="258"/>
        <v>10.155982312962255</v>
      </c>
      <c r="AS227" s="80">
        <f t="shared" si="258"/>
        <v>10.155982312962255</v>
      </c>
      <c r="AT227" s="80">
        <f t="shared" si="258"/>
        <v>10.155982312962255</v>
      </c>
      <c r="AU227" s="80">
        <f t="shared" si="258"/>
        <v>10.155982312962255</v>
      </c>
      <c r="AV227" s="80">
        <f t="shared" si="258"/>
        <v>10.155982312962255</v>
      </c>
      <c r="AW227" s="80">
        <f t="shared" si="258"/>
        <v>10.155982312962255</v>
      </c>
      <c r="AX227" s="80">
        <f t="shared" si="258"/>
        <v>10.155982312962255</v>
      </c>
      <c r="AY227" s="80">
        <f t="shared" si="258"/>
        <v>10.155982312962255</v>
      </c>
      <c r="AZ227" s="80">
        <f t="shared" si="258"/>
        <v>10.155982312962255</v>
      </c>
      <c r="BA227" s="80">
        <f t="shared" si="258"/>
        <v>10.155982312962255</v>
      </c>
      <c r="BB227" s="80">
        <f t="shared" si="258"/>
        <v>10.155982312962255</v>
      </c>
      <c r="BC227" s="80">
        <f t="shared" si="258"/>
        <v>10.155982312962255</v>
      </c>
      <c r="BD227" s="80">
        <f t="shared" si="258"/>
        <v>10.155982312962255</v>
      </c>
      <c r="BE227" s="80">
        <f t="shared" si="258"/>
        <v>10.155982312962255</v>
      </c>
    </row>
    <row r="228" spans="1:57" ht="13.5" customHeight="1">
      <c r="A228" s="619">
        <v>2</v>
      </c>
      <c r="B228" s="253"/>
      <c r="C228" s="258" t="s">
        <v>207</v>
      </c>
      <c r="D228" s="77" t="s">
        <v>208</v>
      </c>
      <c r="E228" s="323">
        <f t="shared" ref="E228:AK228" si="259">E194</f>
        <v>9.09</v>
      </c>
      <c r="F228" s="323">
        <f t="shared" si="259"/>
        <v>9.09</v>
      </c>
      <c r="G228" s="323">
        <f t="shared" si="259"/>
        <v>5.6841862884691281</v>
      </c>
      <c r="H228" s="323">
        <f t="shared" si="259"/>
        <v>5.5648829122732453</v>
      </c>
      <c r="I228" s="323">
        <f t="shared" si="259"/>
        <v>5.674309977103098</v>
      </c>
      <c r="J228" s="323">
        <f t="shared" si="259"/>
        <v>5.5648937610992757</v>
      </c>
      <c r="K228" s="323">
        <f t="shared" si="259"/>
        <v>5.5648885140799118</v>
      </c>
      <c r="L228" s="323">
        <f t="shared" si="259"/>
        <v>5.56489843505714</v>
      </c>
      <c r="M228" s="323">
        <f t="shared" si="259"/>
        <v>5.5648890517176079</v>
      </c>
      <c r="N228" s="323">
        <f t="shared" si="259"/>
        <v>5.5648948523983286</v>
      </c>
      <c r="O228" s="323">
        <f t="shared" si="259"/>
        <v>5.5648973305218465</v>
      </c>
      <c r="P228" s="323">
        <f t="shared" si="259"/>
        <v>5.5648916622058282</v>
      </c>
      <c r="Q228" s="323">
        <f t="shared" si="259"/>
        <v>5.5648965433336341</v>
      </c>
      <c r="R228" s="323">
        <f t="shared" si="259"/>
        <v>5.5649015745012305</v>
      </c>
      <c r="S228" s="323">
        <f t="shared" si="259"/>
        <v>5.5648971974512937</v>
      </c>
      <c r="T228" s="323">
        <f t="shared" si="259"/>
        <v>5.5648922379657835</v>
      </c>
      <c r="U228" s="323">
        <f t="shared" si="259"/>
        <v>5.5648844202172336</v>
      </c>
      <c r="V228" s="323">
        <f t="shared" si="259"/>
        <v>5.5648951361044956</v>
      </c>
      <c r="W228" s="323">
        <f t="shared" si="259"/>
        <v>5.5648955289885773</v>
      </c>
      <c r="X228" s="323">
        <f t="shared" si="259"/>
        <v>5.5648955289885773</v>
      </c>
      <c r="Y228" s="323">
        <f t="shared" si="259"/>
        <v>5.5648955289885773</v>
      </c>
      <c r="Z228" s="323">
        <f t="shared" si="259"/>
        <v>5.5648955289885773</v>
      </c>
      <c r="AA228" s="323">
        <f t="shared" si="259"/>
        <v>5.5648955289885773</v>
      </c>
      <c r="AB228" s="323">
        <f t="shared" si="259"/>
        <v>5.5648955289885773</v>
      </c>
      <c r="AC228" s="323">
        <f t="shared" si="259"/>
        <v>5.5648955289885773</v>
      </c>
      <c r="AD228" s="323">
        <f t="shared" si="259"/>
        <v>5.5648955289885773</v>
      </c>
      <c r="AE228" s="323">
        <f t="shared" si="259"/>
        <v>5.5648955289885773</v>
      </c>
      <c r="AF228" s="323">
        <f t="shared" si="259"/>
        <v>5.5648955289885773</v>
      </c>
      <c r="AG228" s="323">
        <f t="shared" si="259"/>
        <v>5.5648955289885773</v>
      </c>
      <c r="AH228" s="323">
        <f t="shared" si="259"/>
        <v>5.5648955289885773</v>
      </c>
      <c r="AI228" s="323">
        <f t="shared" si="259"/>
        <v>5.5648955289885773</v>
      </c>
      <c r="AJ228" s="323">
        <f t="shared" si="259"/>
        <v>5.5648955289885773</v>
      </c>
      <c r="AK228" s="82">
        <f t="shared" si="259"/>
        <v>5.5648955289885773</v>
      </c>
      <c r="AL228" s="80">
        <f t="shared" ref="AL228:BE228" si="260">AK228</f>
        <v>5.5648955289885773</v>
      </c>
      <c r="AM228" s="80">
        <f t="shared" si="260"/>
        <v>5.5648955289885773</v>
      </c>
      <c r="AN228" s="80">
        <f t="shared" si="260"/>
        <v>5.5648955289885773</v>
      </c>
      <c r="AO228" s="80">
        <f t="shared" si="260"/>
        <v>5.5648955289885773</v>
      </c>
      <c r="AP228" s="80">
        <f t="shared" si="260"/>
        <v>5.5648955289885773</v>
      </c>
      <c r="AQ228" s="80">
        <f t="shared" si="260"/>
        <v>5.5648955289885773</v>
      </c>
      <c r="AR228" s="80">
        <f t="shared" si="260"/>
        <v>5.5648955289885773</v>
      </c>
      <c r="AS228" s="80">
        <f t="shared" si="260"/>
        <v>5.5648955289885773</v>
      </c>
      <c r="AT228" s="80">
        <f t="shared" si="260"/>
        <v>5.5648955289885773</v>
      </c>
      <c r="AU228" s="80">
        <f t="shared" si="260"/>
        <v>5.5648955289885773</v>
      </c>
      <c r="AV228" s="80">
        <f t="shared" si="260"/>
        <v>5.5648955289885773</v>
      </c>
      <c r="AW228" s="80">
        <f t="shared" si="260"/>
        <v>5.5648955289885773</v>
      </c>
      <c r="AX228" s="80">
        <f t="shared" si="260"/>
        <v>5.5648955289885773</v>
      </c>
      <c r="AY228" s="80">
        <f t="shared" si="260"/>
        <v>5.5648955289885773</v>
      </c>
      <c r="AZ228" s="80">
        <f t="shared" si="260"/>
        <v>5.5648955289885773</v>
      </c>
      <c r="BA228" s="80">
        <f t="shared" si="260"/>
        <v>5.5648955289885773</v>
      </c>
      <c r="BB228" s="80">
        <f t="shared" si="260"/>
        <v>5.5648955289885773</v>
      </c>
      <c r="BC228" s="80">
        <f t="shared" si="260"/>
        <v>5.5648955289885773</v>
      </c>
      <c r="BD228" s="80">
        <f t="shared" si="260"/>
        <v>5.5648955289885773</v>
      </c>
      <c r="BE228" s="80">
        <f t="shared" si="260"/>
        <v>5.5648955289885773</v>
      </c>
    </row>
    <row r="229" spans="1:57" ht="13.5" customHeight="1">
      <c r="A229" s="85">
        <v>4</v>
      </c>
      <c r="B229" s="253"/>
      <c r="C229" s="258" t="s">
        <v>209</v>
      </c>
      <c r="D229" s="83" t="s">
        <v>210</v>
      </c>
      <c r="E229" s="454">
        <v>0.26</v>
      </c>
      <c r="F229" s="454">
        <v>0.26</v>
      </c>
      <c r="G229" s="454">
        <v>0.26</v>
      </c>
      <c r="H229" s="454">
        <v>0.26</v>
      </c>
      <c r="I229" s="454">
        <v>0.26</v>
      </c>
      <c r="J229" s="454">
        <v>0.26</v>
      </c>
      <c r="K229" s="454">
        <v>0.26</v>
      </c>
      <c r="L229" s="454">
        <v>0.26</v>
      </c>
      <c r="M229" s="454">
        <v>0.26</v>
      </c>
      <c r="N229" s="454">
        <v>0.26</v>
      </c>
      <c r="O229" s="454">
        <v>0.26</v>
      </c>
      <c r="P229" s="454">
        <v>0.26</v>
      </c>
      <c r="Q229" s="454">
        <v>0.26</v>
      </c>
      <c r="R229" s="454">
        <v>0.26</v>
      </c>
      <c r="S229" s="454">
        <v>0.26</v>
      </c>
      <c r="T229" s="454">
        <v>0.26</v>
      </c>
      <c r="U229" s="454">
        <v>0.26</v>
      </c>
      <c r="V229" s="454">
        <v>0.26</v>
      </c>
      <c r="W229" s="454">
        <v>0.26</v>
      </c>
      <c r="X229" s="454">
        <v>0.26</v>
      </c>
      <c r="Y229" s="454">
        <v>0.26</v>
      </c>
      <c r="Z229" s="454">
        <v>0.26</v>
      </c>
      <c r="AA229" s="454">
        <v>0.26</v>
      </c>
      <c r="AB229" s="454">
        <v>0.26</v>
      </c>
      <c r="AC229" s="454">
        <v>0.26</v>
      </c>
      <c r="AD229" s="454">
        <v>0.26</v>
      </c>
      <c r="AE229" s="454">
        <v>0.26</v>
      </c>
      <c r="AF229" s="454">
        <v>0.26</v>
      </c>
      <c r="AG229" s="454">
        <v>0.26</v>
      </c>
      <c r="AH229" s="454">
        <v>0.26</v>
      </c>
      <c r="AI229" s="454">
        <v>0.26</v>
      </c>
      <c r="AJ229" s="454">
        <v>0.26</v>
      </c>
      <c r="AK229" s="101">
        <v>0.26</v>
      </c>
      <c r="AL229" s="80">
        <f t="shared" ref="AL229:BE229" si="261">AK229</f>
        <v>0.26</v>
      </c>
      <c r="AM229" s="80">
        <f t="shared" si="261"/>
        <v>0.26</v>
      </c>
      <c r="AN229" s="80">
        <f t="shared" si="261"/>
        <v>0.26</v>
      </c>
      <c r="AO229" s="80">
        <f t="shared" si="261"/>
        <v>0.26</v>
      </c>
      <c r="AP229" s="80">
        <f t="shared" si="261"/>
        <v>0.26</v>
      </c>
      <c r="AQ229" s="80">
        <f t="shared" si="261"/>
        <v>0.26</v>
      </c>
      <c r="AR229" s="80">
        <f t="shared" si="261"/>
        <v>0.26</v>
      </c>
      <c r="AS229" s="80">
        <f t="shared" si="261"/>
        <v>0.26</v>
      </c>
      <c r="AT229" s="80">
        <f t="shared" si="261"/>
        <v>0.26</v>
      </c>
      <c r="AU229" s="80">
        <f t="shared" si="261"/>
        <v>0.26</v>
      </c>
      <c r="AV229" s="80">
        <f t="shared" si="261"/>
        <v>0.26</v>
      </c>
      <c r="AW229" s="80">
        <f t="shared" si="261"/>
        <v>0.26</v>
      </c>
      <c r="AX229" s="80">
        <f t="shared" si="261"/>
        <v>0.26</v>
      </c>
      <c r="AY229" s="80">
        <f t="shared" si="261"/>
        <v>0.26</v>
      </c>
      <c r="AZ229" s="80">
        <f t="shared" si="261"/>
        <v>0.26</v>
      </c>
      <c r="BA229" s="80">
        <f t="shared" si="261"/>
        <v>0.26</v>
      </c>
      <c r="BB229" s="80">
        <f t="shared" si="261"/>
        <v>0.26</v>
      </c>
      <c r="BC229" s="80">
        <f t="shared" si="261"/>
        <v>0.26</v>
      </c>
      <c r="BD229" s="80">
        <f t="shared" si="261"/>
        <v>0.26</v>
      </c>
      <c r="BE229" s="80">
        <f t="shared" si="261"/>
        <v>0.26</v>
      </c>
    </row>
    <row r="230" spans="1:57" ht="13.5" customHeight="1">
      <c r="A230" s="619"/>
      <c r="B230" s="253"/>
      <c r="C230" s="258"/>
      <c r="D230" s="75" t="s">
        <v>153</v>
      </c>
      <c r="E230" s="447"/>
      <c r="F230" s="447"/>
      <c r="G230" s="447"/>
      <c r="H230" s="447"/>
      <c r="I230" s="447"/>
      <c r="J230" s="447"/>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76"/>
      <c r="AL230" s="74">
        <f t="shared" ref="AL230:BE230" si="262">AK230</f>
        <v>0</v>
      </c>
      <c r="AM230" s="74">
        <f t="shared" si="262"/>
        <v>0</v>
      </c>
      <c r="AN230" s="74">
        <f t="shared" si="262"/>
        <v>0</v>
      </c>
      <c r="AO230" s="74">
        <f t="shared" si="262"/>
        <v>0</v>
      </c>
      <c r="AP230" s="74">
        <f t="shared" si="262"/>
        <v>0</v>
      </c>
      <c r="AQ230" s="74">
        <f t="shared" si="262"/>
        <v>0</v>
      </c>
      <c r="AR230" s="74">
        <f t="shared" si="262"/>
        <v>0</v>
      </c>
      <c r="AS230" s="74">
        <f t="shared" si="262"/>
        <v>0</v>
      </c>
      <c r="AT230" s="74">
        <f t="shared" si="262"/>
        <v>0</v>
      </c>
      <c r="AU230" s="74">
        <f t="shared" si="262"/>
        <v>0</v>
      </c>
      <c r="AV230" s="74">
        <f t="shared" si="262"/>
        <v>0</v>
      </c>
      <c r="AW230" s="74">
        <f t="shared" si="262"/>
        <v>0</v>
      </c>
      <c r="AX230" s="74">
        <f t="shared" si="262"/>
        <v>0</v>
      </c>
      <c r="AY230" s="74">
        <f t="shared" si="262"/>
        <v>0</v>
      </c>
      <c r="AZ230" s="74">
        <f t="shared" si="262"/>
        <v>0</v>
      </c>
      <c r="BA230" s="74">
        <f t="shared" si="262"/>
        <v>0</v>
      </c>
      <c r="BB230" s="74">
        <f t="shared" si="262"/>
        <v>0</v>
      </c>
      <c r="BC230" s="74">
        <f t="shared" si="262"/>
        <v>0</v>
      </c>
      <c r="BD230" s="74">
        <f t="shared" si="262"/>
        <v>0</v>
      </c>
      <c r="BE230" s="74">
        <f t="shared" si="262"/>
        <v>0</v>
      </c>
    </row>
    <row r="231" spans="1:57" ht="13.5" customHeight="1">
      <c r="A231" s="619"/>
      <c r="B231" s="253"/>
      <c r="C231" s="258"/>
      <c r="D231" s="92" t="s">
        <v>203</v>
      </c>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93"/>
      <c r="AL231" s="74">
        <f t="shared" ref="AL231:BE231" si="263">AK231</f>
        <v>0</v>
      </c>
      <c r="AM231" s="74">
        <f t="shared" si="263"/>
        <v>0</v>
      </c>
      <c r="AN231" s="74">
        <f t="shared" si="263"/>
        <v>0</v>
      </c>
      <c r="AO231" s="74">
        <f t="shared" si="263"/>
        <v>0</v>
      </c>
      <c r="AP231" s="74">
        <f t="shared" si="263"/>
        <v>0</v>
      </c>
      <c r="AQ231" s="74">
        <f t="shared" si="263"/>
        <v>0</v>
      </c>
      <c r="AR231" s="74">
        <f t="shared" si="263"/>
        <v>0</v>
      </c>
      <c r="AS231" s="74">
        <f t="shared" si="263"/>
        <v>0</v>
      </c>
      <c r="AT231" s="74">
        <f t="shared" si="263"/>
        <v>0</v>
      </c>
      <c r="AU231" s="74">
        <f t="shared" si="263"/>
        <v>0</v>
      </c>
      <c r="AV231" s="74">
        <f t="shared" si="263"/>
        <v>0</v>
      </c>
      <c r="AW231" s="74">
        <f t="shared" si="263"/>
        <v>0</v>
      </c>
      <c r="AX231" s="74">
        <f t="shared" si="263"/>
        <v>0</v>
      </c>
      <c r="AY231" s="74">
        <f t="shared" si="263"/>
        <v>0</v>
      </c>
      <c r="AZ231" s="74">
        <f t="shared" si="263"/>
        <v>0</v>
      </c>
      <c r="BA231" s="74">
        <f t="shared" si="263"/>
        <v>0</v>
      </c>
      <c r="BB231" s="74">
        <f t="shared" si="263"/>
        <v>0</v>
      </c>
      <c r="BC231" s="74">
        <f t="shared" si="263"/>
        <v>0</v>
      </c>
      <c r="BD231" s="74">
        <f t="shared" si="263"/>
        <v>0</v>
      </c>
      <c r="BE231" s="74">
        <f t="shared" si="263"/>
        <v>0</v>
      </c>
    </row>
    <row r="232" spans="1:57" ht="13.5" customHeight="1">
      <c r="A232" s="619">
        <v>2</v>
      </c>
      <c r="B232" s="253"/>
      <c r="C232" s="258" t="s">
        <v>211</v>
      </c>
      <c r="D232" s="83" t="s">
        <v>201</v>
      </c>
      <c r="E232" s="454">
        <f t="shared" ref="E232:AK232" si="264">E198</f>
        <v>4.2435047193308151</v>
      </c>
      <c r="F232" s="454">
        <f t="shared" si="264"/>
        <v>4.2435047193308151</v>
      </c>
      <c r="G232" s="454">
        <f t="shared" si="264"/>
        <v>4.2435047193308151</v>
      </c>
      <c r="H232" s="454">
        <f t="shared" si="264"/>
        <v>4.0697021722530868</v>
      </c>
      <c r="I232" s="454">
        <f t="shared" si="264"/>
        <v>4.4998103693629741</v>
      </c>
      <c r="J232" s="454">
        <f t="shared" si="264"/>
        <v>4.4998210238219087</v>
      </c>
      <c r="K232" s="454">
        <f t="shared" si="264"/>
        <v>4.4998168469017781</v>
      </c>
      <c r="L232" s="454">
        <f t="shared" si="264"/>
        <v>4.499811008535147</v>
      </c>
      <c r="M232" s="454">
        <f t="shared" si="264"/>
        <v>4.4998034943175025</v>
      </c>
      <c r="N232" s="454">
        <f t="shared" si="264"/>
        <v>4.4998210164582835</v>
      </c>
      <c r="O232" s="454">
        <f t="shared" si="264"/>
        <v>4.4998096854150482</v>
      </c>
      <c r="P232" s="454">
        <f t="shared" si="264"/>
        <v>4.4998137680371819</v>
      </c>
      <c r="Q232" s="454">
        <f t="shared" si="264"/>
        <v>4.4998220691561546</v>
      </c>
      <c r="R232" s="454">
        <f t="shared" si="264"/>
        <v>4.499795016077651</v>
      </c>
      <c r="S232" s="454">
        <f t="shared" si="264"/>
        <v>4.4998305987690808</v>
      </c>
      <c r="T232" s="454">
        <f t="shared" si="264"/>
        <v>4.4998483535756693</v>
      </c>
      <c r="U232" s="454">
        <f t="shared" si="264"/>
        <v>4.4998030063368617</v>
      </c>
      <c r="V232" s="454">
        <f t="shared" si="264"/>
        <v>4.4998238295279638</v>
      </c>
      <c r="W232" s="454">
        <f t="shared" si="264"/>
        <v>4.4998263250652526</v>
      </c>
      <c r="X232" s="454">
        <f t="shared" si="264"/>
        <v>4.4998263250652526</v>
      </c>
      <c r="Y232" s="454">
        <f t="shared" si="264"/>
        <v>4.4998263250652526</v>
      </c>
      <c r="Z232" s="454">
        <f t="shared" si="264"/>
        <v>4.4998263250652526</v>
      </c>
      <c r="AA232" s="454">
        <f t="shared" si="264"/>
        <v>4.4998263250652526</v>
      </c>
      <c r="AB232" s="454">
        <f t="shared" si="264"/>
        <v>4.4998263250652526</v>
      </c>
      <c r="AC232" s="454">
        <f t="shared" si="264"/>
        <v>4.4998263250652526</v>
      </c>
      <c r="AD232" s="454">
        <f t="shared" si="264"/>
        <v>4.4998263250652526</v>
      </c>
      <c r="AE232" s="454">
        <f t="shared" si="264"/>
        <v>4.4998263250652526</v>
      </c>
      <c r="AF232" s="454">
        <f t="shared" si="264"/>
        <v>4.4998263250652526</v>
      </c>
      <c r="AG232" s="454">
        <f t="shared" si="264"/>
        <v>4.4998263250652526</v>
      </c>
      <c r="AH232" s="454">
        <f t="shared" si="264"/>
        <v>4.4998263250652526</v>
      </c>
      <c r="AI232" s="454">
        <f t="shared" si="264"/>
        <v>4.4998263250652526</v>
      </c>
      <c r="AJ232" s="454">
        <f t="shared" si="264"/>
        <v>4.4998263250652526</v>
      </c>
      <c r="AK232" s="101">
        <f t="shared" si="264"/>
        <v>4.4998263250652526</v>
      </c>
      <c r="AL232" s="80">
        <f t="shared" ref="AL232:BE232" si="265">AK232</f>
        <v>4.4998263250652526</v>
      </c>
      <c r="AM232" s="80">
        <f t="shared" si="265"/>
        <v>4.4998263250652526</v>
      </c>
      <c r="AN232" s="80">
        <f t="shared" si="265"/>
        <v>4.4998263250652526</v>
      </c>
      <c r="AO232" s="80">
        <f t="shared" si="265"/>
        <v>4.4998263250652526</v>
      </c>
      <c r="AP232" s="80">
        <f t="shared" si="265"/>
        <v>4.4998263250652526</v>
      </c>
      <c r="AQ232" s="80">
        <f t="shared" si="265"/>
        <v>4.4998263250652526</v>
      </c>
      <c r="AR232" s="80">
        <f t="shared" si="265"/>
        <v>4.4998263250652526</v>
      </c>
      <c r="AS232" s="80">
        <f t="shared" si="265"/>
        <v>4.4998263250652526</v>
      </c>
      <c r="AT232" s="80">
        <f t="shared" si="265"/>
        <v>4.4998263250652526</v>
      </c>
      <c r="AU232" s="80">
        <f t="shared" si="265"/>
        <v>4.4998263250652526</v>
      </c>
      <c r="AV232" s="80">
        <f t="shared" si="265"/>
        <v>4.4998263250652526</v>
      </c>
      <c r="AW232" s="80">
        <f t="shared" si="265"/>
        <v>4.4998263250652526</v>
      </c>
      <c r="AX232" s="80">
        <f t="shared" si="265"/>
        <v>4.4998263250652526</v>
      </c>
      <c r="AY232" s="80">
        <f t="shared" si="265"/>
        <v>4.4998263250652526</v>
      </c>
      <c r="AZ232" s="80">
        <f t="shared" si="265"/>
        <v>4.4998263250652526</v>
      </c>
      <c r="BA232" s="80">
        <f t="shared" si="265"/>
        <v>4.4998263250652526</v>
      </c>
      <c r="BB232" s="80">
        <f t="shared" si="265"/>
        <v>4.4998263250652526</v>
      </c>
      <c r="BC232" s="80">
        <f t="shared" si="265"/>
        <v>4.4998263250652526</v>
      </c>
      <c r="BD232" s="80">
        <f t="shared" si="265"/>
        <v>4.4998263250652526</v>
      </c>
      <c r="BE232" s="80">
        <f t="shared" si="265"/>
        <v>4.4998263250652526</v>
      </c>
    </row>
    <row r="233" spans="1:57" ht="13.5" customHeight="1">
      <c r="A233" s="619">
        <v>4</v>
      </c>
      <c r="B233" s="253"/>
      <c r="C233" s="258" t="s">
        <v>212</v>
      </c>
      <c r="D233" s="77" t="s">
        <v>210</v>
      </c>
      <c r="E233" s="376">
        <f t="shared" ref="E233:AK233" si="266">E199</f>
        <v>18.920000000000002</v>
      </c>
      <c r="F233" s="376">
        <f t="shared" si="266"/>
        <v>18.920000000000002</v>
      </c>
      <c r="G233" s="376">
        <f t="shared" si="266"/>
        <v>18.920000000000002</v>
      </c>
      <c r="H233" s="376">
        <f t="shared" si="266"/>
        <v>18.920000000000002</v>
      </c>
      <c r="I233" s="376">
        <f t="shared" si="266"/>
        <v>18.920000000000002</v>
      </c>
      <c r="J233" s="376">
        <f t="shared" si="266"/>
        <v>18.920000000000002</v>
      </c>
      <c r="K233" s="376">
        <f t="shared" si="266"/>
        <v>18.920000000000002</v>
      </c>
      <c r="L233" s="376">
        <f t="shared" si="266"/>
        <v>18.920000000000002</v>
      </c>
      <c r="M233" s="376">
        <f t="shared" si="266"/>
        <v>18.920000000000002</v>
      </c>
      <c r="N233" s="376">
        <f t="shared" si="266"/>
        <v>18.920000000000002</v>
      </c>
      <c r="O233" s="376">
        <f t="shared" si="266"/>
        <v>18.920000000000002</v>
      </c>
      <c r="P233" s="376">
        <f t="shared" si="266"/>
        <v>18.920000000000002</v>
      </c>
      <c r="Q233" s="376">
        <f t="shared" si="266"/>
        <v>18.920000000000002</v>
      </c>
      <c r="R233" s="376">
        <f t="shared" si="266"/>
        <v>18.920000000000002</v>
      </c>
      <c r="S233" s="376">
        <f t="shared" si="266"/>
        <v>18.920000000000002</v>
      </c>
      <c r="T233" s="376">
        <f t="shared" si="266"/>
        <v>18.920000000000002</v>
      </c>
      <c r="U233" s="376">
        <f t="shared" si="266"/>
        <v>18.920000000000002</v>
      </c>
      <c r="V233" s="376">
        <f t="shared" si="266"/>
        <v>18.920000000000002</v>
      </c>
      <c r="W233" s="376">
        <f t="shared" si="266"/>
        <v>18.920000000000002</v>
      </c>
      <c r="X233" s="376">
        <f t="shared" si="266"/>
        <v>18.920000000000002</v>
      </c>
      <c r="Y233" s="376">
        <f t="shared" si="266"/>
        <v>18.920000000000002</v>
      </c>
      <c r="Z233" s="376">
        <f t="shared" si="266"/>
        <v>18.920000000000002</v>
      </c>
      <c r="AA233" s="376">
        <f t="shared" si="266"/>
        <v>18.920000000000002</v>
      </c>
      <c r="AB233" s="376">
        <f t="shared" si="266"/>
        <v>18.920000000000002</v>
      </c>
      <c r="AC233" s="376">
        <f t="shared" si="266"/>
        <v>18.920000000000002</v>
      </c>
      <c r="AD233" s="376">
        <f t="shared" si="266"/>
        <v>18.920000000000002</v>
      </c>
      <c r="AE233" s="376">
        <f t="shared" si="266"/>
        <v>18.920000000000002</v>
      </c>
      <c r="AF233" s="376">
        <f t="shared" si="266"/>
        <v>18.920000000000002</v>
      </c>
      <c r="AG233" s="376">
        <f t="shared" si="266"/>
        <v>18.920000000000002</v>
      </c>
      <c r="AH233" s="376">
        <f t="shared" si="266"/>
        <v>18.920000000000002</v>
      </c>
      <c r="AI233" s="376">
        <f t="shared" si="266"/>
        <v>18.920000000000002</v>
      </c>
      <c r="AJ233" s="376">
        <f t="shared" si="266"/>
        <v>18.920000000000002</v>
      </c>
      <c r="AK233" s="69">
        <f t="shared" si="266"/>
        <v>18.920000000000002</v>
      </c>
      <c r="AL233" s="74">
        <f t="shared" ref="AL233:BE233" si="267">AK233</f>
        <v>18.920000000000002</v>
      </c>
      <c r="AM233" s="74">
        <f t="shared" si="267"/>
        <v>18.920000000000002</v>
      </c>
      <c r="AN233" s="74">
        <f t="shared" si="267"/>
        <v>18.920000000000002</v>
      </c>
      <c r="AO233" s="74">
        <f t="shared" si="267"/>
        <v>18.920000000000002</v>
      </c>
      <c r="AP233" s="74">
        <f t="shared" si="267"/>
        <v>18.920000000000002</v>
      </c>
      <c r="AQ233" s="74">
        <f t="shared" si="267"/>
        <v>18.920000000000002</v>
      </c>
      <c r="AR233" s="74">
        <f t="shared" si="267"/>
        <v>18.920000000000002</v>
      </c>
      <c r="AS233" s="74">
        <f t="shared" si="267"/>
        <v>18.920000000000002</v>
      </c>
      <c r="AT233" s="74">
        <f t="shared" si="267"/>
        <v>18.920000000000002</v>
      </c>
      <c r="AU233" s="74">
        <f t="shared" si="267"/>
        <v>18.920000000000002</v>
      </c>
      <c r="AV233" s="74">
        <f t="shared" si="267"/>
        <v>18.920000000000002</v>
      </c>
      <c r="AW233" s="74">
        <f t="shared" si="267"/>
        <v>18.920000000000002</v>
      </c>
      <c r="AX233" s="74">
        <f t="shared" si="267"/>
        <v>18.920000000000002</v>
      </c>
      <c r="AY233" s="74">
        <f t="shared" si="267"/>
        <v>18.920000000000002</v>
      </c>
      <c r="AZ233" s="74">
        <f t="shared" si="267"/>
        <v>18.920000000000002</v>
      </c>
      <c r="BA233" s="74">
        <f t="shared" si="267"/>
        <v>18.920000000000002</v>
      </c>
      <c r="BB233" s="74">
        <f t="shared" si="267"/>
        <v>18.920000000000002</v>
      </c>
      <c r="BC233" s="74">
        <f t="shared" si="267"/>
        <v>18.920000000000002</v>
      </c>
      <c r="BD233" s="74">
        <f t="shared" si="267"/>
        <v>18.920000000000002</v>
      </c>
      <c r="BE233" s="74">
        <f t="shared" si="267"/>
        <v>18.920000000000002</v>
      </c>
    </row>
    <row r="234" spans="1:57" ht="13.5" customHeight="1">
      <c r="A234" s="85">
        <v>4</v>
      </c>
      <c r="B234" s="253"/>
      <c r="C234" s="258" t="s">
        <v>213</v>
      </c>
      <c r="D234" s="83" t="s">
        <v>205</v>
      </c>
      <c r="E234" s="450">
        <v>0.6</v>
      </c>
      <c r="F234" s="450">
        <v>0.6</v>
      </c>
      <c r="G234" s="450">
        <v>0.6</v>
      </c>
      <c r="H234" s="450">
        <v>0.6</v>
      </c>
      <c r="I234" s="450">
        <v>0.6</v>
      </c>
      <c r="J234" s="450">
        <v>0.6</v>
      </c>
      <c r="K234" s="450">
        <v>0.6</v>
      </c>
      <c r="L234" s="450">
        <v>0.6</v>
      </c>
      <c r="M234" s="450">
        <v>0.6</v>
      </c>
      <c r="N234" s="450">
        <v>0.6</v>
      </c>
      <c r="O234" s="450">
        <v>0.6</v>
      </c>
      <c r="P234" s="450">
        <v>0.6</v>
      </c>
      <c r="Q234" s="450">
        <v>0.6</v>
      </c>
      <c r="R234" s="450">
        <v>0.6</v>
      </c>
      <c r="S234" s="450">
        <v>0.6</v>
      </c>
      <c r="T234" s="450">
        <v>0.6</v>
      </c>
      <c r="U234" s="450">
        <v>0.6</v>
      </c>
      <c r="V234" s="450">
        <v>0.6</v>
      </c>
      <c r="W234" s="450">
        <v>0.6</v>
      </c>
      <c r="X234" s="450">
        <v>0.6</v>
      </c>
      <c r="Y234" s="450">
        <v>0.6</v>
      </c>
      <c r="Z234" s="450">
        <v>0.6</v>
      </c>
      <c r="AA234" s="450">
        <v>0.6</v>
      </c>
      <c r="AB234" s="450">
        <v>0.6</v>
      </c>
      <c r="AC234" s="450">
        <v>0.6</v>
      </c>
      <c r="AD234" s="450">
        <v>0.6</v>
      </c>
      <c r="AE234" s="450">
        <v>0.6</v>
      </c>
      <c r="AF234" s="450">
        <v>0.6</v>
      </c>
      <c r="AG234" s="450">
        <v>0.6</v>
      </c>
      <c r="AH234" s="450">
        <v>0.6</v>
      </c>
      <c r="AI234" s="450">
        <v>0.6</v>
      </c>
      <c r="AJ234" s="450">
        <v>0.6</v>
      </c>
      <c r="AK234" s="84">
        <v>0.6</v>
      </c>
      <c r="AL234" s="74">
        <f t="shared" ref="AL234:BE234" si="268">AK234</f>
        <v>0.6</v>
      </c>
      <c r="AM234" s="74">
        <f t="shared" si="268"/>
        <v>0.6</v>
      </c>
      <c r="AN234" s="74">
        <f t="shared" si="268"/>
        <v>0.6</v>
      </c>
      <c r="AO234" s="74">
        <f t="shared" si="268"/>
        <v>0.6</v>
      </c>
      <c r="AP234" s="74">
        <f t="shared" si="268"/>
        <v>0.6</v>
      </c>
      <c r="AQ234" s="74">
        <f t="shared" si="268"/>
        <v>0.6</v>
      </c>
      <c r="AR234" s="74">
        <f t="shared" si="268"/>
        <v>0.6</v>
      </c>
      <c r="AS234" s="74">
        <f t="shared" si="268"/>
        <v>0.6</v>
      </c>
      <c r="AT234" s="74">
        <f t="shared" si="268"/>
        <v>0.6</v>
      </c>
      <c r="AU234" s="74">
        <f t="shared" si="268"/>
        <v>0.6</v>
      </c>
      <c r="AV234" s="74">
        <f t="shared" si="268"/>
        <v>0.6</v>
      </c>
      <c r="AW234" s="74">
        <f t="shared" si="268"/>
        <v>0.6</v>
      </c>
      <c r="AX234" s="74">
        <f t="shared" si="268"/>
        <v>0.6</v>
      </c>
      <c r="AY234" s="74">
        <f t="shared" si="268"/>
        <v>0.6</v>
      </c>
      <c r="AZ234" s="74">
        <f t="shared" si="268"/>
        <v>0.6</v>
      </c>
      <c r="BA234" s="74">
        <f t="shared" si="268"/>
        <v>0.6</v>
      </c>
      <c r="BB234" s="74">
        <f t="shared" si="268"/>
        <v>0.6</v>
      </c>
      <c r="BC234" s="74">
        <f t="shared" si="268"/>
        <v>0.6</v>
      </c>
      <c r="BD234" s="74">
        <f t="shared" si="268"/>
        <v>0.6</v>
      </c>
      <c r="BE234" s="74">
        <f t="shared" si="268"/>
        <v>0.6</v>
      </c>
    </row>
    <row r="235" spans="1:57" ht="13.5" customHeight="1">
      <c r="A235" s="619"/>
      <c r="B235" s="253"/>
      <c r="C235" s="258"/>
      <c r="D235" s="75" t="s">
        <v>158</v>
      </c>
      <c r="E235" s="447"/>
      <c r="F235" s="447"/>
      <c r="G235" s="447"/>
      <c r="H235" s="447"/>
      <c r="I235" s="447"/>
      <c r="J235" s="447"/>
      <c r="K235" s="447"/>
      <c r="L235" s="447"/>
      <c r="M235" s="447"/>
      <c r="N235" s="447"/>
      <c r="O235" s="447"/>
      <c r="P235" s="447"/>
      <c r="Q235" s="447"/>
      <c r="R235" s="447"/>
      <c r="S235" s="447"/>
      <c r="T235" s="447"/>
      <c r="U235" s="447"/>
      <c r="V235" s="447"/>
      <c r="W235" s="447"/>
      <c r="X235" s="447"/>
      <c r="Y235" s="447"/>
      <c r="Z235" s="447"/>
      <c r="AA235" s="447"/>
      <c r="AB235" s="447"/>
      <c r="AC235" s="447"/>
      <c r="AD235" s="447"/>
      <c r="AE235" s="447"/>
      <c r="AF235" s="447"/>
      <c r="AG235" s="447"/>
      <c r="AH235" s="447"/>
      <c r="AI235" s="447"/>
      <c r="AJ235" s="447"/>
      <c r="AK235" s="76"/>
      <c r="AL235" s="74">
        <f t="shared" ref="AL235:BE235" si="269">AK235</f>
        <v>0</v>
      </c>
      <c r="AM235" s="74">
        <f t="shared" si="269"/>
        <v>0</v>
      </c>
      <c r="AN235" s="74">
        <f t="shared" si="269"/>
        <v>0</v>
      </c>
      <c r="AO235" s="74">
        <f t="shared" si="269"/>
        <v>0</v>
      </c>
      <c r="AP235" s="74">
        <f t="shared" si="269"/>
        <v>0</v>
      </c>
      <c r="AQ235" s="74">
        <f t="shared" si="269"/>
        <v>0</v>
      </c>
      <c r="AR235" s="74">
        <f t="shared" si="269"/>
        <v>0</v>
      </c>
      <c r="AS235" s="74">
        <f t="shared" si="269"/>
        <v>0</v>
      </c>
      <c r="AT235" s="74">
        <f t="shared" si="269"/>
        <v>0</v>
      </c>
      <c r="AU235" s="74">
        <f t="shared" si="269"/>
        <v>0</v>
      </c>
      <c r="AV235" s="74">
        <f t="shared" si="269"/>
        <v>0</v>
      </c>
      <c r="AW235" s="74">
        <f t="shared" si="269"/>
        <v>0</v>
      </c>
      <c r="AX235" s="74">
        <f t="shared" si="269"/>
        <v>0</v>
      </c>
      <c r="AY235" s="74">
        <f t="shared" si="269"/>
        <v>0</v>
      </c>
      <c r="AZ235" s="74">
        <f t="shared" si="269"/>
        <v>0</v>
      </c>
      <c r="BA235" s="74">
        <f t="shared" si="269"/>
        <v>0</v>
      </c>
      <c r="BB235" s="74">
        <f t="shared" si="269"/>
        <v>0</v>
      </c>
      <c r="BC235" s="74">
        <f t="shared" si="269"/>
        <v>0</v>
      </c>
      <c r="BD235" s="74">
        <f t="shared" si="269"/>
        <v>0</v>
      </c>
      <c r="BE235" s="74">
        <f t="shared" si="269"/>
        <v>0</v>
      </c>
    </row>
    <row r="236" spans="1:57" ht="13.5" customHeight="1">
      <c r="A236" s="619"/>
      <c r="B236" s="253"/>
      <c r="C236" s="258"/>
      <c r="D236" s="92" t="s">
        <v>190</v>
      </c>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93"/>
      <c r="AL236" s="74">
        <f t="shared" ref="AL236:BE236" si="270">AK236</f>
        <v>0</v>
      </c>
      <c r="AM236" s="74">
        <f t="shared" si="270"/>
        <v>0</v>
      </c>
      <c r="AN236" s="74">
        <f t="shared" si="270"/>
        <v>0</v>
      </c>
      <c r="AO236" s="74">
        <f t="shared" si="270"/>
        <v>0</v>
      </c>
      <c r="AP236" s="74">
        <f t="shared" si="270"/>
        <v>0</v>
      </c>
      <c r="AQ236" s="74">
        <f t="shared" si="270"/>
        <v>0</v>
      </c>
      <c r="AR236" s="74">
        <f t="shared" si="270"/>
        <v>0</v>
      </c>
      <c r="AS236" s="74">
        <f t="shared" si="270"/>
        <v>0</v>
      </c>
      <c r="AT236" s="74">
        <f t="shared" si="270"/>
        <v>0</v>
      </c>
      <c r="AU236" s="74">
        <f t="shared" si="270"/>
        <v>0</v>
      </c>
      <c r="AV236" s="74">
        <f t="shared" si="270"/>
        <v>0</v>
      </c>
      <c r="AW236" s="74">
        <f t="shared" si="270"/>
        <v>0</v>
      </c>
      <c r="AX236" s="74">
        <f t="shared" si="270"/>
        <v>0</v>
      </c>
      <c r="AY236" s="74">
        <f t="shared" si="270"/>
        <v>0</v>
      </c>
      <c r="AZ236" s="74">
        <f t="shared" si="270"/>
        <v>0</v>
      </c>
      <c r="BA236" s="74">
        <f t="shared" si="270"/>
        <v>0</v>
      </c>
      <c r="BB236" s="74">
        <f t="shared" si="270"/>
        <v>0</v>
      </c>
      <c r="BC236" s="74">
        <f t="shared" si="270"/>
        <v>0</v>
      </c>
      <c r="BD236" s="74">
        <f t="shared" si="270"/>
        <v>0</v>
      </c>
      <c r="BE236" s="74">
        <f t="shared" si="270"/>
        <v>0</v>
      </c>
    </row>
    <row r="237" spans="1:57" ht="13.5" customHeight="1">
      <c r="A237" s="619">
        <v>4</v>
      </c>
      <c r="B237" s="253"/>
      <c r="C237" s="258" t="s">
        <v>214</v>
      </c>
      <c r="D237" s="77" t="s">
        <v>201</v>
      </c>
      <c r="E237" s="376">
        <f>'Costos Sector Eléctrico'!E197</f>
        <v>9.4600000000000009</v>
      </c>
      <c r="F237" s="376">
        <f>'Costos Sector Eléctrico'!F197</f>
        <v>9.4600000000000009</v>
      </c>
      <c r="G237" s="376">
        <f>'Costos Sector Eléctrico'!G197</f>
        <v>9.4600000000000009</v>
      </c>
      <c r="H237" s="376">
        <f>'Costos Sector Eléctrico'!H197</f>
        <v>9.4600000000000009</v>
      </c>
      <c r="I237" s="376">
        <f>'Costos Sector Eléctrico'!I197</f>
        <v>9.4600000000000009</v>
      </c>
      <c r="J237" s="376">
        <f>'Costos Sector Eléctrico'!J197</f>
        <v>9.4600000000000009</v>
      </c>
      <c r="K237" s="376">
        <f>'Costos Sector Eléctrico'!K197</f>
        <v>9.4600000000000009</v>
      </c>
      <c r="L237" s="376">
        <f>'Costos Sector Eléctrico'!L197</f>
        <v>9.4600000000000009</v>
      </c>
      <c r="M237" s="376">
        <f>'Costos Sector Eléctrico'!M197</f>
        <v>9.4600000000000009</v>
      </c>
      <c r="N237" s="376">
        <f>'Costos Sector Eléctrico'!N197</f>
        <v>9.4600000000000009</v>
      </c>
      <c r="O237" s="376">
        <f>'Costos Sector Eléctrico'!O197</f>
        <v>9.4600000000000009</v>
      </c>
      <c r="P237" s="376">
        <f>'Costos Sector Eléctrico'!P197</f>
        <v>9.4600000000000009</v>
      </c>
      <c r="Q237" s="376">
        <f>'Costos Sector Eléctrico'!Q197</f>
        <v>9.4600000000000009</v>
      </c>
      <c r="R237" s="376">
        <f>'Costos Sector Eléctrico'!R197</f>
        <v>9.4600000000000009</v>
      </c>
      <c r="S237" s="376">
        <f>'Costos Sector Eléctrico'!S197</f>
        <v>9.4600000000000009</v>
      </c>
      <c r="T237" s="376">
        <f>'Costos Sector Eléctrico'!T197</f>
        <v>9.4600000000000009</v>
      </c>
      <c r="U237" s="376">
        <f>'Costos Sector Eléctrico'!U197</f>
        <v>9.4600000000000009</v>
      </c>
      <c r="V237" s="376">
        <f>'Costos Sector Eléctrico'!V197</f>
        <v>9.4600000000000009</v>
      </c>
      <c r="W237" s="376">
        <f>'Costos Sector Eléctrico'!W197</f>
        <v>9.4600000000000009</v>
      </c>
      <c r="X237" s="376">
        <f>'Costos Sector Eléctrico'!X197</f>
        <v>9.4600000000000009</v>
      </c>
      <c r="Y237" s="376">
        <f>'Costos Sector Eléctrico'!Y197</f>
        <v>9.4600000000000009</v>
      </c>
      <c r="Z237" s="376">
        <f>'Costos Sector Eléctrico'!Z197</f>
        <v>9.4600000000000009</v>
      </c>
      <c r="AA237" s="376">
        <f>'Costos Sector Eléctrico'!AA197</f>
        <v>9.4600000000000009</v>
      </c>
      <c r="AB237" s="376">
        <f>'Costos Sector Eléctrico'!AB197</f>
        <v>9.4600000000000009</v>
      </c>
      <c r="AC237" s="376">
        <f>'Costos Sector Eléctrico'!AC197</f>
        <v>9.4600000000000009</v>
      </c>
      <c r="AD237" s="376">
        <f>'Costos Sector Eléctrico'!AD197</f>
        <v>9.4600000000000009</v>
      </c>
      <c r="AE237" s="376">
        <f>'Costos Sector Eléctrico'!AE197</f>
        <v>9.4600000000000009</v>
      </c>
      <c r="AF237" s="376">
        <f>'Costos Sector Eléctrico'!AF197</f>
        <v>9.4600000000000009</v>
      </c>
      <c r="AG237" s="376">
        <f>'Costos Sector Eléctrico'!AG197</f>
        <v>9.4600000000000009</v>
      </c>
      <c r="AH237" s="376">
        <f>'Costos Sector Eléctrico'!AH197</f>
        <v>9.4600000000000009</v>
      </c>
      <c r="AI237" s="376">
        <f>'Costos Sector Eléctrico'!AI197</f>
        <v>9.4600000000000009</v>
      </c>
      <c r="AJ237" s="376">
        <f>'Costos Sector Eléctrico'!AJ197</f>
        <v>9.4600000000000009</v>
      </c>
      <c r="AK237" s="69">
        <f>'Costos Sector Eléctrico'!AK197</f>
        <v>9.4600000000000009</v>
      </c>
      <c r="AL237" s="74">
        <f t="shared" ref="AL237:BE237" si="271">AK237</f>
        <v>9.4600000000000009</v>
      </c>
      <c r="AM237" s="74">
        <f t="shared" si="271"/>
        <v>9.4600000000000009</v>
      </c>
      <c r="AN237" s="74">
        <f t="shared" si="271"/>
        <v>9.4600000000000009</v>
      </c>
      <c r="AO237" s="74">
        <f t="shared" si="271"/>
        <v>9.4600000000000009</v>
      </c>
      <c r="AP237" s="74">
        <f t="shared" si="271"/>
        <v>9.4600000000000009</v>
      </c>
      <c r="AQ237" s="74">
        <f t="shared" si="271"/>
        <v>9.4600000000000009</v>
      </c>
      <c r="AR237" s="74">
        <f t="shared" si="271"/>
        <v>9.4600000000000009</v>
      </c>
      <c r="AS237" s="74">
        <f t="shared" si="271"/>
        <v>9.4600000000000009</v>
      </c>
      <c r="AT237" s="74">
        <f t="shared" si="271"/>
        <v>9.4600000000000009</v>
      </c>
      <c r="AU237" s="74">
        <f t="shared" si="271"/>
        <v>9.4600000000000009</v>
      </c>
      <c r="AV237" s="74">
        <f t="shared" si="271"/>
        <v>9.4600000000000009</v>
      </c>
      <c r="AW237" s="74">
        <f t="shared" si="271"/>
        <v>9.4600000000000009</v>
      </c>
      <c r="AX237" s="74">
        <f t="shared" si="271"/>
        <v>9.4600000000000009</v>
      </c>
      <c r="AY237" s="74">
        <f t="shared" si="271"/>
        <v>9.4600000000000009</v>
      </c>
      <c r="AZ237" s="74">
        <f t="shared" si="271"/>
        <v>9.4600000000000009</v>
      </c>
      <c r="BA237" s="74">
        <f t="shared" si="271"/>
        <v>9.4600000000000009</v>
      </c>
      <c r="BB237" s="74">
        <f t="shared" si="271"/>
        <v>9.4600000000000009</v>
      </c>
      <c r="BC237" s="74">
        <f t="shared" si="271"/>
        <v>9.4600000000000009</v>
      </c>
      <c r="BD237" s="74">
        <f t="shared" si="271"/>
        <v>9.4600000000000009</v>
      </c>
      <c r="BE237" s="74">
        <f t="shared" si="271"/>
        <v>9.4600000000000009</v>
      </c>
    </row>
    <row r="238" spans="1:57" ht="13.5" customHeight="1">
      <c r="A238" s="619"/>
      <c r="B238" s="253"/>
      <c r="C238" s="258"/>
      <c r="D238" s="92" t="s">
        <v>195</v>
      </c>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93"/>
      <c r="AL238" s="74">
        <f t="shared" ref="AL238:BE238" si="272">AK238</f>
        <v>0</v>
      </c>
      <c r="AM238" s="74">
        <f t="shared" si="272"/>
        <v>0</v>
      </c>
      <c r="AN238" s="74">
        <f t="shared" si="272"/>
        <v>0</v>
      </c>
      <c r="AO238" s="74">
        <f t="shared" si="272"/>
        <v>0</v>
      </c>
      <c r="AP238" s="74">
        <f t="shared" si="272"/>
        <v>0</v>
      </c>
      <c r="AQ238" s="74">
        <f t="shared" si="272"/>
        <v>0</v>
      </c>
      <c r="AR238" s="74">
        <f t="shared" si="272"/>
        <v>0</v>
      </c>
      <c r="AS238" s="74">
        <f t="shared" si="272"/>
        <v>0</v>
      </c>
      <c r="AT238" s="74">
        <f t="shared" si="272"/>
        <v>0</v>
      </c>
      <c r="AU238" s="74">
        <f t="shared" si="272"/>
        <v>0</v>
      </c>
      <c r="AV238" s="74">
        <f t="shared" si="272"/>
        <v>0</v>
      </c>
      <c r="AW238" s="74">
        <f t="shared" si="272"/>
        <v>0</v>
      </c>
      <c r="AX238" s="74">
        <f t="shared" si="272"/>
        <v>0</v>
      </c>
      <c r="AY238" s="74">
        <f t="shared" si="272"/>
        <v>0</v>
      </c>
      <c r="AZ238" s="74">
        <f t="shared" si="272"/>
        <v>0</v>
      </c>
      <c r="BA238" s="74">
        <f t="shared" si="272"/>
        <v>0</v>
      </c>
      <c r="BB238" s="74">
        <f t="shared" si="272"/>
        <v>0</v>
      </c>
      <c r="BC238" s="74">
        <f t="shared" si="272"/>
        <v>0</v>
      </c>
      <c r="BD238" s="74">
        <f t="shared" si="272"/>
        <v>0</v>
      </c>
      <c r="BE238" s="74">
        <f t="shared" si="272"/>
        <v>0</v>
      </c>
    </row>
    <row r="239" spans="1:57" ht="13.5" customHeight="1">
      <c r="A239" s="619">
        <v>4</v>
      </c>
      <c r="B239" s="253"/>
      <c r="C239" s="258" t="s">
        <v>215</v>
      </c>
      <c r="D239" s="77" t="s">
        <v>201</v>
      </c>
      <c r="E239" s="376">
        <f>'Costos Sector Eléctrico'!E197</f>
        <v>9.4600000000000009</v>
      </c>
      <c r="F239" s="376">
        <f>'Costos Sector Eléctrico'!F197</f>
        <v>9.4600000000000009</v>
      </c>
      <c r="G239" s="376">
        <f>'Costos Sector Eléctrico'!G197</f>
        <v>9.4600000000000009</v>
      </c>
      <c r="H239" s="376">
        <f>'Costos Sector Eléctrico'!H197</f>
        <v>9.4600000000000009</v>
      </c>
      <c r="I239" s="376">
        <f>'Costos Sector Eléctrico'!I197</f>
        <v>9.4600000000000009</v>
      </c>
      <c r="J239" s="376">
        <f>'Costos Sector Eléctrico'!J197</f>
        <v>9.4600000000000009</v>
      </c>
      <c r="K239" s="376">
        <f>'Costos Sector Eléctrico'!K197</f>
        <v>9.4600000000000009</v>
      </c>
      <c r="L239" s="376">
        <f>'Costos Sector Eléctrico'!L197</f>
        <v>9.4600000000000009</v>
      </c>
      <c r="M239" s="376">
        <f>'Costos Sector Eléctrico'!M197</f>
        <v>9.4600000000000009</v>
      </c>
      <c r="N239" s="376">
        <f>'Costos Sector Eléctrico'!N197</f>
        <v>9.4600000000000009</v>
      </c>
      <c r="O239" s="376">
        <f>'Costos Sector Eléctrico'!O197</f>
        <v>9.4600000000000009</v>
      </c>
      <c r="P239" s="376">
        <f>'Costos Sector Eléctrico'!P197</f>
        <v>9.4600000000000009</v>
      </c>
      <c r="Q239" s="376">
        <f>'Costos Sector Eléctrico'!Q197</f>
        <v>9.4600000000000009</v>
      </c>
      <c r="R239" s="376">
        <f>'Costos Sector Eléctrico'!R197</f>
        <v>9.4600000000000009</v>
      </c>
      <c r="S239" s="376">
        <f>'Costos Sector Eléctrico'!S197</f>
        <v>9.4600000000000009</v>
      </c>
      <c r="T239" s="376">
        <f>'Costos Sector Eléctrico'!T197</f>
        <v>9.4600000000000009</v>
      </c>
      <c r="U239" s="376">
        <f>'Costos Sector Eléctrico'!U197</f>
        <v>9.4600000000000009</v>
      </c>
      <c r="V239" s="376">
        <f>'Costos Sector Eléctrico'!V197</f>
        <v>9.4600000000000009</v>
      </c>
      <c r="W239" s="376">
        <f>'Costos Sector Eléctrico'!W197</f>
        <v>9.4600000000000009</v>
      </c>
      <c r="X239" s="376">
        <f>'Costos Sector Eléctrico'!X197</f>
        <v>9.4600000000000009</v>
      </c>
      <c r="Y239" s="376">
        <f>'Costos Sector Eléctrico'!Y197</f>
        <v>9.4600000000000009</v>
      </c>
      <c r="Z239" s="376">
        <f>'Costos Sector Eléctrico'!Z197</f>
        <v>9.4600000000000009</v>
      </c>
      <c r="AA239" s="376">
        <f>'Costos Sector Eléctrico'!AA197</f>
        <v>9.4600000000000009</v>
      </c>
      <c r="AB239" s="376">
        <f>'Costos Sector Eléctrico'!AB197</f>
        <v>9.4600000000000009</v>
      </c>
      <c r="AC239" s="376">
        <f>'Costos Sector Eléctrico'!AC197</f>
        <v>9.4600000000000009</v>
      </c>
      <c r="AD239" s="376">
        <f>'Costos Sector Eléctrico'!AD197</f>
        <v>9.4600000000000009</v>
      </c>
      <c r="AE239" s="376">
        <f>'Costos Sector Eléctrico'!AE197</f>
        <v>9.4600000000000009</v>
      </c>
      <c r="AF239" s="376">
        <f>'Costos Sector Eléctrico'!AF197</f>
        <v>9.4600000000000009</v>
      </c>
      <c r="AG239" s="376">
        <f>'Costos Sector Eléctrico'!AG197</f>
        <v>9.4600000000000009</v>
      </c>
      <c r="AH239" s="376">
        <f>'Costos Sector Eléctrico'!AH197</f>
        <v>9.4600000000000009</v>
      </c>
      <c r="AI239" s="376">
        <f>'Costos Sector Eléctrico'!AI197</f>
        <v>9.4600000000000009</v>
      </c>
      <c r="AJ239" s="376">
        <f>'Costos Sector Eléctrico'!AJ197</f>
        <v>9.4600000000000009</v>
      </c>
      <c r="AK239" s="69">
        <f>'Costos Sector Eléctrico'!AK197</f>
        <v>9.4600000000000009</v>
      </c>
      <c r="AL239" s="74">
        <f t="shared" ref="AL239:BE239" si="273">AK239</f>
        <v>9.4600000000000009</v>
      </c>
      <c r="AM239" s="74">
        <f t="shared" si="273"/>
        <v>9.4600000000000009</v>
      </c>
      <c r="AN239" s="74">
        <f t="shared" si="273"/>
        <v>9.4600000000000009</v>
      </c>
      <c r="AO239" s="74">
        <f t="shared" si="273"/>
        <v>9.4600000000000009</v>
      </c>
      <c r="AP239" s="74">
        <f t="shared" si="273"/>
        <v>9.4600000000000009</v>
      </c>
      <c r="AQ239" s="74">
        <f t="shared" si="273"/>
        <v>9.4600000000000009</v>
      </c>
      <c r="AR239" s="74">
        <f t="shared" si="273"/>
        <v>9.4600000000000009</v>
      </c>
      <c r="AS239" s="74">
        <f t="shared" si="273"/>
        <v>9.4600000000000009</v>
      </c>
      <c r="AT239" s="74">
        <f t="shared" si="273"/>
        <v>9.4600000000000009</v>
      </c>
      <c r="AU239" s="74">
        <f t="shared" si="273"/>
        <v>9.4600000000000009</v>
      </c>
      <c r="AV239" s="74">
        <f t="shared" si="273"/>
        <v>9.4600000000000009</v>
      </c>
      <c r="AW239" s="74">
        <f t="shared" si="273"/>
        <v>9.4600000000000009</v>
      </c>
      <c r="AX239" s="74">
        <f t="shared" si="273"/>
        <v>9.4600000000000009</v>
      </c>
      <c r="AY239" s="74">
        <f t="shared" si="273"/>
        <v>9.4600000000000009</v>
      </c>
      <c r="AZ239" s="74">
        <f t="shared" si="273"/>
        <v>9.4600000000000009</v>
      </c>
      <c r="BA239" s="74">
        <f t="shared" si="273"/>
        <v>9.4600000000000009</v>
      </c>
      <c r="BB239" s="74">
        <f t="shared" si="273"/>
        <v>9.4600000000000009</v>
      </c>
      <c r="BC239" s="74">
        <f t="shared" si="273"/>
        <v>9.4600000000000009</v>
      </c>
      <c r="BD239" s="74">
        <f t="shared" si="273"/>
        <v>9.4600000000000009</v>
      </c>
      <c r="BE239" s="74">
        <f t="shared" si="273"/>
        <v>9.4600000000000009</v>
      </c>
    </row>
    <row r="240" spans="1:57" ht="13.5" customHeight="1">
      <c r="A240" s="619"/>
      <c r="B240" s="253"/>
      <c r="C240" s="258"/>
      <c r="D240" s="92" t="s">
        <v>203</v>
      </c>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93"/>
      <c r="AL240" s="74">
        <f t="shared" ref="AL240:BE240" si="274">AK240</f>
        <v>0</v>
      </c>
      <c r="AM240" s="74">
        <f t="shared" si="274"/>
        <v>0</v>
      </c>
      <c r="AN240" s="74">
        <f t="shared" si="274"/>
        <v>0</v>
      </c>
      <c r="AO240" s="74">
        <f t="shared" si="274"/>
        <v>0</v>
      </c>
      <c r="AP240" s="74">
        <f t="shared" si="274"/>
        <v>0</v>
      </c>
      <c r="AQ240" s="74">
        <f t="shared" si="274"/>
        <v>0</v>
      </c>
      <c r="AR240" s="74">
        <f t="shared" si="274"/>
        <v>0</v>
      </c>
      <c r="AS240" s="74">
        <f t="shared" si="274"/>
        <v>0</v>
      </c>
      <c r="AT240" s="74">
        <f t="shared" si="274"/>
        <v>0</v>
      </c>
      <c r="AU240" s="74">
        <f t="shared" si="274"/>
        <v>0</v>
      </c>
      <c r="AV240" s="74">
        <f t="shared" si="274"/>
        <v>0</v>
      </c>
      <c r="AW240" s="74">
        <f t="shared" si="274"/>
        <v>0</v>
      </c>
      <c r="AX240" s="74">
        <f t="shared" si="274"/>
        <v>0</v>
      </c>
      <c r="AY240" s="74">
        <f t="shared" si="274"/>
        <v>0</v>
      </c>
      <c r="AZ240" s="74">
        <f t="shared" si="274"/>
        <v>0</v>
      </c>
      <c r="BA240" s="74">
        <f t="shared" si="274"/>
        <v>0</v>
      </c>
      <c r="BB240" s="74">
        <f t="shared" si="274"/>
        <v>0</v>
      </c>
      <c r="BC240" s="74">
        <f t="shared" si="274"/>
        <v>0</v>
      </c>
      <c r="BD240" s="74">
        <f t="shared" si="274"/>
        <v>0</v>
      </c>
      <c r="BE240" s="74">
        <f t="shared" si="274"/>
        <v>0</v>
      </c>
    </row>
    <row r="241" spans="1:57" ht="13.5" customHeight="1">
      <c r="A241" s="85">
        <v>4</v>
      </c>
      <c r="B241" s="253"/>
      <c r="C241" s="258" t="s">
        <v>216</v>
      </c>
      <c r="D241" s="95" t="s">
        <v>210</v>
      </c>
      <c r="E241" s="96">
        <v>0.4</v>
      </c>
      <c r="F241" s="96">
        <v>0.4</v>
      </c>
      <c r="G241" s="96">
        <v>0.4</v>
      </c>
      <c r="H241" s="96">
        <v>0.4</v>
      </c>
      <c r="I241" s="96">
        <v>0.4</v>
      </c>
      <c r="J241" s="96">
        <v>0.4</v>
      </c>
      <c r="K241" s="96">
        <v>0.4</v>
      </c>
      <c r="L241" s="96">
        <v>0.4</v>
      </c>
      <c r="M241" s="96">
        <v>0.4</v>
      </c>
      <c r="N241" s="96">
        <v>0.4</v>
      </c>
      <c r="O241" s="96">
        <v>0.4</v>
      </c>
      <c r="P241" s="96">
        <v>0.4</v>
      </c>
      <c r="Q241" s="96">
        <v>0.4</v>
      </c>
      <c r="R241" s="96">
        <v>0.4</v>
      </c>
      <c r="S241" s="96">
        <v>0.4</v>
      </c>
      <c r="T241" s="96">
        <v>0.4</v>
      </c>
      <c r="U241" s="96">
        <v>0.4</v>
      </c>
      <c r="V241" s="96">
        <v>0.4</v>
      </c>
      <c r="W241" s="96">
        <v>0.4</v>
      </c>
      <c r="X241" s="96">
        <v>0.4</v>
      </c>
      <c r="Y241" s="96">
        <v>0.4</v>
      </c>
      <c r="Z241" s="96">
        <v>0.4</v>
      </c>
      <c r="AA241" s="96">
        <v>0.4</v>
      </c>
      <c r="AB241" s="96">
        <v>0.4</v>
      </c>
      <c r="AC241" s="96">
        <v>0.4</v>
      </c>
      <c r="AD241" s="96">
        <v>0.4</v>
      </c>
      <c r="AE241" s="96">
        <v>0.4</v>
      </c>
      <c r="AF241" s="96">
        <v>0.4</v>
      </c>
      <c r="AG241" s="96">
        <v>0.4</v>
      </c>
      <c r="AH241" s="96">
        <v>0.4</v>
      </c>
      <c r="AI241" s="96">
        <v>0.4</v>
      </c>
      <c r="AJ241" s="96">
        <v>0.4</v>
      </c>
      <c r="AK241" s="97">
        <v>0.4</v>
      </c>
      <c r="AL241" s="74">
        <f t="shared" ref="AL241:BE241" si="275">AK241</f>
        <v>0.4</v>
      </c>
      <c r="AM241" s="74">
        <f t="shared" si="275"/>
        <v>0.4</v>
      </c>
      <c r="AN241" s="74">
        <f t="shared" si="275"/>
        <v>0.4</v>
      </c>
      <c r="AO241" s="74">
        <f t="shared" si="275"/>
        <v>0.4</v>
      </c>
      <c r="AP241" s="74">
        <f t="shared" si="275"/>
        <v>0.4</v>
      </c>
      <c r="AQ241" s="74">
        <f t="shared" si="275"/>
        <v>0.4</v>
      </c>
      <c r="AR241" s="74">
        <f t="shared" si="275"/>
        <v>0.4</v>
      </c>
      <c r="AS241" s="74">
        <f t="shared" si="275"/>
        <v>0.4</v>
      </c>
      <c r="AT241" s="74">
        <f t="shared" si="275"/>
        <v>0.4</v>
      </c>
      <c r="AU241" s="74">
        <f t="shared" si="275"/>
        <v>0.4</v>
      </c>
      <c r="AV241" s="74">
        <f t="shared" si="275"/>
        <v>0.4</v>
      </c>
      <c r="AW241" s="74">
        <f t="shared" si="275"/>
        <v>0.4</v>
      </c>
      <c r="AX241" s="74">
        <f t="shared" si="275"/>
        <v>0.4</v>
      </c>
      <c r="AY241" s="74">
        <f t="shared" si="275"/>
        <v>0.4</v>
      </c>
      <c r="AZ241" s="74">
        <f t="shared" si="275"/>
        <v>0.4</v>
      </c>
      <c r="BA241" s="74">
        <f t="shared" si="275"/>
        <v>0.4</v>
      </c>
      <c r="BB241" s="74">
        <f t="shared" si="275"/>
        <v>0.4</v>
      </c>
      <c r="BC241" s="74">
        <f t="shared" si="275"/>
        <v>0.4</v>
      </c>
      <c r="BD241" s="74">
        <f t="shared" si="275"/>
        <v>0.4</v>
      </c>
      <c r="BE241" s="74">
        <f t="shared" si="275"/>
        <v>0.4</v>
      </c>
    </row>
    <row r="242" spans="1:57" ht="13.5" customHeight="1">
      <c r="A242" s="619"/>
      <c r="B242" s="253"/>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c r="AT242" s="258"/>
      <c r="AU242" s="258"/>
      <c r="AV242" s="258"/>
      <c r="AW242" s="258"/>
      <c r="AX242" s="258"/>
      <c r="AY242" s="258"/>
      <c r="AZ242" s="258"/>
      <c r="BA242" s="258"/>
      <c r="BB242" s="258"/>
      <c r="BC242" s="258"/>
      <c r="BD242" s="258"/>
      <c r="BE242" s="258"/>
    </row>
    <row r="243" spans="1:57" ht="13.5" customHeight="1">
      <c r="A243" s="619"/>
      <c r="B243" s="253"/>
      <c r="C243" s="258"/>
      <c r="D243" s="258"/>
      <c r="E243" s="258"/>
      <c r="F243" s="258"/>
      <c r="G243" s="258"/>
      <c r="H243" s="258"/>
      <c r="I243" s="258"/>
      <c r="J243" s="258"/>
      <c r="K243" s="258"/>
      <c r="L243" s="258"/>
      <c r="M243" s="258"/>
      <c r="N243" s="258"/>
      <c r="O243" s="258"/>
      <c r="P243" s="258"/>
      <c r="Q243" s="258"/>
      <c r="R243" s="258"/>
      <c r="S243" s="258"/>
      <c r="T243" s="258"/>
      <c r="U243" s="258"/>
      <c r="V243" s="258"/>
      <c r="W243" s="258"/>
      <c r="X243" s="258"/>
      <c r="Y243" s="258"/>
      <c r="Z243" s="258"/>
      <c r="AA243" s="258"/>
      <c r="AB243" s="258"/>
      <c r="AC243" s="258"/>
      <c r="AD243" s="258"/>
      <c r="AE243" s="258"/>
      <c r="AF243" s="258"/>
      <c r="AG243" s="258"/>
      <c r="AH243" s="258"/>
      <c r="AI243" s="258"/>
      <c r="AJ243" s="258"/>
      <c r="AK243" s="258"/>
      <c r="AL243" s="258"/>
      <c r="AM243" s="258"/>
      <c r="AN243" s="258"/>
      <c r="AO243" s="258"/>
      <c r="AP243" s="258"/>
      <c r="AQ243" s="258"/>
      <c r="AR243" s="258"/>
      <c r="AS243" s="258"/>
      <c r="AT243" s="258"/>
      <c r="AU243" s="258"/>
      <c r="AV243" s="258"/>
      <c r="AW243" s="258"/>
      <c r="AX243" s="258"/>
      <c r="AY243" s="258"/>
      <c r="AZ243" s="258"/>
      <c r="BA243" s="258"/>
      <c r="BB243" s="258"/>
      <c r="BC243" s="258"/>
      <c r="BD243" s="258"/>
      <c r="BE243" s="258"/>
    </row>
    <row r="244" spans="1:57" ht="13.5" customHeight="1">
      <c r="A244" s="619"/>
      <c r="B244" s="253"/>
      <c r="C244" s="258"/>
      <c r="D244" s="258"/>
      <c r="E244" s="258"/>
      <c r="F244" s="258"/>
      <c r="G244" s="258"/>
      <c r="H244" s="258"/>
      <c r="I244" s="258"/>
      <c r="J244" s="258"/>
      <c r="K244" s="258"/>
      <c r="L244" s="258"/>
      <c r="M244" s="258"/>
      <c r="N244" s="258"/>
      <c r="O244" s="258"/>
      <c r="P244" s="258"/>
      <c r="Q244" s="258"/>
      <c r="R244" s="258"/>
      <c r="S244" s="258"/>
      <c r="T244" s="258"/>
      <c r="U244" s="258"/>
      <c r="V244" s="258"/>
      <c r="W244" s="258"/>
      <c r="X244" s="258"/>
      <c r="Y244" s="258"/>
      <c r="Z244" s="258"/>
      <c r="AA244" s="258"/>
      <c r="AB244" s="258"/>
      <c r="AC244" s="258"/>
      <c r="AD244" s="258"/>
      <c r="AE244" s="258"/>
      <c r="AF244" s="258"/>
      <c r="AG244" s="258"/>
      <c r="AH244" s="258"/>
      <c r="AI244" s="258"/>
      <c r="AJ244" s="258"/>
      <c r="AK244" s="258"/>
      <c r="AL244" s="258"/>
      <c r="AM244" s="258"/>
      <c r="AN244" s="258"/>
      <c r="AO244" s="258"/>
      <c r="AP244" s="258"/>
      <c r="AQ244" s="258"/>
      <c r="AR244" s="258"/>
      <c r="AS244" s="258"/>
      <c r="AT244" s="258"/>
      <c r="AU244" s="258"/>
      <c r="AV244" s="258"/>
      <c r="AW244" s="258"/>
      <c r="AX244" s="258"/>
      <c r="AY244" s="258"/>
      <c r="AZ244" s="258"/>
      <c r="BA244" s="258"/>
      <c r="BB244" s="258"/>
      <c r="BC244" s="258"/>
      <c r="BD244" s="258"/>
      <c r="BE244" s="258"/>
    </row>
    <row r="245" spans="1:57" ht="13.5" customHeight="1">
      <c r="A245" s="619"/>
      <c r="B245" s="102"/>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row>
    <row r="246" spans="1:57" ht="13.5" customHeight="1">
      <c r="A246" s="8"/>
      <c r="B246" s="8">
        <v>0</v>
      </c>
      <c r="C246" s="8">
        <v>1</v>
      </c>
      <c r="D246" s="8">
        <v>2</v>
      </c>
      <c r="E246" s="8">
        <v>3</v>
      </c>
      <c r="F246" s="8">
        <v>4</v>
      </c>
      <c r="G246" s="8">
        <v>5</v>
      </c>
      <c r="H246" s="8">
        <v>6</v>
      </c>
      <c r="I246" s="8">
        <v>7</v>
      </c>
      <c r="J246" s="8">
        <v>8</v>
      </c>
      <c r="K246" s="8">
        <v>9</v>
      </c>
      <c r="L246" s="8">
        <v>10</v>
      </c>
      <c r="M246" s="8">
        <v>11</v>
      </c>
      <c r="N246" s="8">
        <v>12</v>
      </c>
      <c r="O246" s="8">
        <v>13</v>
      </c>
      <c r="P246" s="8">
        <v>14</v>
      </c>
      <c r="Q246" s="8">
        <v>15</v>
      </c>
      <c r="R246" s="8">
        <v>16</v>
      </c>
      <c r="S246" s="8">
        <v>17</v>
      </c>
      <c r="T246" s="8">
        <v>18</v>
      </c>
      <c r="U246" s="8">
        <v>19</v>
      </c>
      <c r="V246" s="8">
        <v>20</v>
      </c>
      <c r="W246" s="8">
        <v>21</v>
      </c>
      <c r="X246" s="8">
        <v>22</v>
      </c>
      <c r="Y246" s="8">
        <v>23</v>
      </c>
      <c r="Z246" s="8">
        <v>24</v>
      </c>
      <c r="AA246" s="8">
        <v>25</v>
      </c>
      <c r="AB246" s="8">
        <v>26</v>
      </c>
      <c r="AC246" s="8">
        <v>27</v>
      </c>
      <c r="AD246" s="8">
        <v>28</v>
      </c>
      <c r="AE246" s="8">
        <v>29</v>
      </c>
      <c r="AF246" s="8">
        <v>30</v>
      </c>
      <c r="AG246" s="8">
        <v>31</v>
      </c>
      <c r="AH246" s="8">
        <v>32</v>
      </c>
      <c r="AI246" s="8">
        <v>33</v>
      </c>
      <c r="AJ246" s="8">
        <v>34</v>
      </c>
      <c r="AK246" s="8">
        <v>35</v>
      </c>
      <c r="AL246" s="8">
        <v>36</v>
      </c>
      <c r="AM246" s="8">
        <v>37</v>
      </c>
      <c r="AN246" s="8">
        <v>38</v>
      </c>
      <c r="AO246" s="8">
        <v>39</v>
      </c>
      <c r="AP246" s="8">
        <v>40</v>
      </c>
      <c r="AQ246" s="8">
        <v>41</v>
      </c>
      <c r="AR246" s="8">
        <v>42</v>
      </c>
      <c r="AS246" s="8">
        <v>43</v>
      </c>
      <c r="AT246" s="8">
        <v>44</v>
      </c>
      <c r="AU246" s="8">
        <v>45</v>
      </c>
      <c r="AV246" s="8">
        <v>46</v>
      </c>
      <c r="AW246" s="8">
        <v>47</v>
      </c>
      <c r="AX246" s="8">
        <v>48</v>
      </c>
      <c r="AY246" s="8">
        <v>49</v>
      </c>
      <c r="AZ246" s="8">
        <v>50</v>
      </c>
      <c r="BA246" s="8">
        <v>51</v>
      </c>
      <c r="BB246" s="8">
        <v>52</v>
      </c>
      <c r="BC246" s="8">
        <v>53</v>
      </c>
      <c r="BD246" s="8">
        <v>54</v>
      </c>
      <c r="BE246" s="8">
        <v>55</v>
      </c>
    </row>
    <row r="247" spans="1:57" ht="13.5" customHeight="1">
      <c r="A247" s="1"/>
      <c r="B247" s="1"/>
      <c r="C247" s="15" t="s">
        <v>561</v>
      </c>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row>
    <row r="248" spans="1:57" ht="13.5" customHeight="1">
      <c r="A248" s="1"/>
      <c r="B248" s="1">
        <v>1</v>
      </c>
      <c r="C248" s="455" t="s">
        <v>562</v>
      </c>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row>
    <row r="249" spans="1:57" ht="13.5" customHeight="1">
      <c r="A249" s="1"/>
      <c r="B249" s="1">
        <v>2</v>
      </c>
      <c r="C249" s="455" t="s">
        <v>563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row>
    <row r="250" spans="1:57" ht="13.5" customHeight="1">
      <c r="A250" s="1"/>
      <c r="B250" s="1">
        <v>3</v>
      </c>
      <c r="C250" s="455" t="s">
        <v>564</v>
      </c>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row>
    <row r="251" spans="1:57" ht="13.5" customHeight="1">
      <c r="A251" s="1"/>
      <c r="B251" s="1">
        <v>4</v>
      </c>
      <c r="C251" s="1" t="s">
        <v>565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row>
    <row r="252" spans="1:57" ht="13.5" customHeight="1">
      <c r="A252" s="1"/>
      <c r="B252" s="1">
        <v>5</v>
      </c>
      <c r="C252" s="1" t="s">
        <v>566</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row>
    <row r="253" spans="1:57" ht="13.5" customHeight="1">
      <c r="A253" s="1"/>
      <c r="B253" s="1">
        <v>6</v>
      </c>
      <c r="C253" s="104" t="s">
        <v>567</v>
      </c>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row>
    <row r="254" spans="1:5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row>
    <row r="255" spans="1:57" ht="13.5" customHeight="1">
      <c r="A255" s="1"/>
      <c r="B255" s="1"/>
      <c r="C255" s="105" t="s">
        <v>568</v>
      </c>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row>
    <row r="256" spans="1:57" ht="13.5" customHeight="1">
      <c r="A256" s="1"/>
      <c r="B256" s="1">
        <v>1</v>
      </c>
      <c r="C256" s="106" t="s">
        <v>569</v>
      </c>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row>
    <row r="257" spans="1:57" ht="13.5" customHeight="1">
      <c r="A257" s="1"/>
      <c r="B257" s="1">
        <v>2</v>
      </c>
      <c r="C257" s="1" t="s">
        <v>570</v>
      </c>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row>
    <row r="258" spans="1:5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row>
    <row r="259" spans="1:5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row>
    <row r="260" spans="1:5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row>
    <row r="261" spans="1:5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row>
    <row r="262" spans="1:5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row>
    <row r="263" spans="1:5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row>
    <row r="264" spans="1:5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row>
    <row r="265" spans="1:5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row>
    <row r="266" spans="1:5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row>
    <row r="267" spans="1:5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row>
    <row r="268" spans="1:5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row>
    <row r="269" spans="1:5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row>
    <row r="270" spans="1:5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row>
    <row r="271" spans="1:5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row>
    <row r="272" spans="1:5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row>
    <row r="273" spans="1:5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row>
    <row r="274" spans="1:5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row>
    <row r="275" spans="1:5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row>
    <row r="276" spans="1:5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row>
    <row r="277" spans="1:5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row>
    <row r="278" spans="1:5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row>
    <row r="279" spans="1:5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row>
    <row r="280" spans="1:5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row>
    <row r="281" spans="1:5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row>
    <row r="282" spans="1:5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row>
    <row r="283" spans="1:5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row>
    <row r="284" spans="1:5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row>
    <row r="285" spans="1:5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row>
    <row r="286" spans="1:5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row>
    <row r="287" spans="1:5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row>
    <row r="288" spans="1:5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row>
    <row r="289" spans="1:5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row>
    <row r="290" spans="1:5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row>
    <row r="291" spans="1:5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row>
    <row r="292" spans="1:5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row>
    <row r="293" spans="1:5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row>
    <row r="294" spans="1:5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row>
    <row r="295" spans="1:5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row>
    <row r="296" spans="1:5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row>
    <row r="297" spans="1:5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row>
    <row r="298" spans="1:5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row>
    <row r="299" spans="1:5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row>
    <row r="300" spans="1:5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row>
    <row r="301" spans="1:5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row>
    <row r="302" spans="1:5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row>
    <row r="303" spans="1:5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row>
    <row r="304" spans="1:5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row>
    <row r="305" spans="1:5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row>
    <row r="306" spans="1:5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row>
    <row r="307" spans="1:5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row>
    <row r="308" spans="1:5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row>
    <row r="309" spans="1:5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row>
    <row r="310" spans="1:5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row>
    <row r="311" spans="1:5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row>
    <row r="312" spans="1:5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row>
    <row r="313" spans="1:5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row>
    <row r="314" spans="1:5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row>
    <row r="315" spans="1:5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row>
    <row r="316" spans="1:5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row>
    <row r="317" spans="1:5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row>
    <row r="318" spans="1:5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row>
    <row r="319" spans="1:5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row>
    <row r="320" spans="1:5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row>
    <row r="321" spans="1:5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row>
    <row r="322" spans="1:5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row>
    <row r="323" spans="1:5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row>
    <row r="324" spans="1:57"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row>
    <row r="325" spans="1:57"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row>
    <row r="326" spans="1:57"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row>
    <row r="327" spans="1:57"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row>
    <row r="328" spans="1:57"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row>
    <row r="329" spans="1:57"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row>
    <row r="330" spans="1:57"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row>
    <row r="331" spans="1:57"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row>
    <row r="332" spans="1:57"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row>
    <row r="333" spans="1:57"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row>
    <row r="334" spans="1:57"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row>
    <row r="335" spans="1:57"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row>
    <row r="336" spans="1:57"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row>
    <row r="337" spans="1:57"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row>
    <row r="338" spans="1:57"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row>
    <row r="339" spans="1:57"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row>
    <row r="340" spans="1:57"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row>
    <row r="341" spans="1:57"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row>
    <row r="342" spans="1:57"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row>
    <row r="343" spans="1:57"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row>
    <row r="344" spans="1:57"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row>
    <row r="345" spans="1:57"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row>
    <row r="346" spans="1:57"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row>
    <row r="347" spans="1:57"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row>
    <row r="348" spans="1:57"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row>
    <row r="349" spans="1:57"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row>
    <row r="350" spans="1:57"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row>
    <row r="351" spans="1:57"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row>
    <row r="352" spans="1:57"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row>
    <row r="353" spans="1:57"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row>
    <row r="354" spans="1:57"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row>
    <row r="355" spans="1:57"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row>
    <row r="356" spans="1:57"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row>
    <row r="357" spans="1:57"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row>
    <row r="358" spans="1:57"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row>
    <row r="359" spans="1:57"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row>
    <row r="360" spans="1:57"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row>
    <row r="361" spans="1:57"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row>
    <row r="362" spans="1:57"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row>
    <row r="363" spans="1:57"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row>
    <row r="364" spans="1:57"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row>
    <row r="365" spans="1:57"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row>
    <row r="366" spans="1:57"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row>
    <row r="367" spans="1:57"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row>
    <row r="368" spans="1:57"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row>
    <row r="369" spans="1:57"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row>
    <row r="370" spans="1:57"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row>
    <row r="371" spans="1:57"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row>
    <row r="372" spans="1:57"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row>
    <row r="373" spans="1:57"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row>
    <row r="374" spans="1:57"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row>
    <row r="375" spans="1:57"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row>
    <row r="376" spans="1:57"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row>
    <row r="377" spans="1:57"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row>
    <row r="378" spans="1:57"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row>
    <row r="379" spans="1:57"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row>
    <row r="380" spans="1:57"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row>
    <row r="381" spans="1:57"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row>
    <row r="382" spans="1:57"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row>
    <row r="383" spans="1:57"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row>
    <row r="384" spans="1:57"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row>
    <row r="385" spans="1:57"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row>
    <row r="386" spans="1:57"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row>
    <row r="387" spans="1:57"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row>
    <row r="388" spans="1:57"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row>
    <row r="389" spans="1:57"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row>
    <row r="390" spans="1:57"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row>
    <row r="391" spans="1:57"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row>
    <row r="392" spans="1:57"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row>
    <row r="393" spans="1:57"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row>
    <row r="394" spans="1:57"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row>
    <row r="395" spans="1:57"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row>
    <row r="396" spans="1:57"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row>
    <row r="397" spans="1:57"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row>
    <row r="398" spans="1:57"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row>
    <row r="399" spans="1:57"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row>
    <row r="400" spans="1:57"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row>
    <row r="401" spans="1:57"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row>
    <row r="402" spans="1:57"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row>
    <row r="403" spans="1:57"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row>
    <row r="404" spans="1:57"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row>
    <row r="405" spans="1:57"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row>
    <row r="406" spans="1:57"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row>
    <row r="407" spans="1:57"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row>
    <row r="408" spans="1:57"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row>
    <row r="409" spans="1:57"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row>
    <row r="410" spans="1:57"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row>
    <row r="411" spans="1:57"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row>
    <row r="412" spans="1:57"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row>
    <row r="413" spans="1:57"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row>
    <row r="414" spans="1:57"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row>
    <row r="415" spans="1:57"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row>
    <row r="416" spans="1:57"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row>
    <row r="417" spans="1:57"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row>
    <row r="418" spans="1:57"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row>
    <row r="419" spans="1:57"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row>
    <row r="420" spans="1:57"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row>
    <row r="421" spans="1:57"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row>
    <row r="422" spans="1:57"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row>
    <row r="423" spans="1:57"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row>
    <row r="424" spans="1:57"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row>
    <row r="425" spans="1:57"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row>
    <row r="426" spans="1:57"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row>
    <row r="427" spans="1:57"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row>
    <row r="428" spans="1:57"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row>
    <row r="429" spans="1:57"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row>
    <row r="430" spans="1:57"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row>
    <row r="431" spans="1:57"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row>
    <row r="432" spans="1:57"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row>
    <row r="433" spans="1:57"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row>
    <row r="434" spans="1:57"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row>
    <row r="435" spans="1:5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sheetData>
  <hyperlinks>
    <hyperlink ref="A38" r:id="rId1" display="https://docs.google.com/spreadsheets/d/1o5fd77snZK7anhtf5hhT5zmPw7j6ykzW/edit?usp=share_link&amp;ouid=108620842928617053979&amp;rtpof=true&amp;sd=true" xr:uid="{00000000-0004-0000-0600-000000000000}"/>
    <hyperlink ref="A72" r:id="rId2" display="https://docs.google.com/spreadsheets/d/1o5fd77snZK7anhtf5hhT5zmPw7j6ykzW/edit?usp=share_link&amp;ouid=108620842928617053979&amp;rtpof=true&amp;sd=true" xr:uid="{00000000-0004-0000-0600-000001000000}"/>
    <hyperlink ref="A74" r:id="rId3" display="https://docs.google.com/spreadsheets/d/1o5fd77snZK7anhtf5hhT5zmPw7j6ykzW/edit?usp=share_link&amp;ouid=108620842928617053979&amp;rtpof=true&amp;sd=true" xr:uid="{00000000-0004-0000-0600-000002000000}"/>
    <hyperlink ref="A81" r:id="rId4" display="https://docs.google.com/spreadsheets/d/1o5fd77snZK7anhtf5hhT5zmPw7j6ykzW/edit?usp=share_link&amp;ouid=108620842928617053979&amp;rtpof=true&amp;sd=true" xr:uid="{00000000-0004-0000-0600-000003000000}"/>
    <hyperlink ref="A118" r:id="rId5" display="https://docs.google.com/spreadsheets/d/1o5fd77snZK7anhtf5hhT5zmPw7j6ykzW/edit?usp=share_link&amp;ouid=108620842928617053979&amp;rtpof=true&amp;sd=true" xr:uid="{00000000-0004-0000-0600-000004000000}"/>
    <hyperlink ref="A146" r:id="rId6" display="https://docs.google.com/spreadsheets/d/1o5fd77snZK7anhtf5hhT5zmPw7j6ykzW/edit?usp=share_link&amp;ouid=108620842928617053979&amp;rtpof=true&amp;sd=true" xr:uid="{00000000-0004-0000-0600-000005000000}"/>
    <hyperlink ref="A149" r:id="rId7" display="https://docs.google.com/spreadsheets/d/1o5fd77snZK7anhtf5hhT5zmPw7j6ykzW/edit?usp=share_link&amp;ouid=108620842928617053979&amp;rtpof=true&amp;sd=true" xr:uid="{00000000-0004-0000-0600-000006000000}"/>
    <hyperlink ref="A152" r:id="rId8" display="https://docs.google.com/spreadsheets/d/1o5fd77snZK7anhtf5hhT5zmPw7j6ykzW/edit?usp=share_link&amp;ouid=108620842928617053979&amp;rtpof=true&amp;sd=true" xr:uid="{00000000-0004-0000-0600-000007000000}"/>
    <hyperlink ref="A154" r:id="rId9" display="https://docs.google.com/spreadsheets/d/1o5fd77snZK7anhtf5hhT5zmPw7j6ykzW/edit?usp=share_link&amp;ouid=108620842928617053979&amp;rtpof=true&amp;sd=true" xr:uid="{00000000-0004-0000-0600-000008000000}"/>
    <hyperlink ref="A161" r:id="rId10" display="https://docs.google.com/spreadsheets/d/1o5fd77snZK7anhtf5hhT5zmPw7j6ykzW/edit?usp=share_link&amp;ouid=108620842928617053979&amp;rtpof=true&amp;sd=true" xr:uid="{00000000-0004-0000-0600-000009000000}"/>
    <hyperlink ref="A226" r:id="rId11" display="https://docs.google.com/spreadsheets/d/1o5fd77snZK7anhtf5hhT5zmPw7j6ykzW/edit?usp=share_link&amp;ouid=108620842928617053979&amp;rtpof=true&amp;sd=true" xr:uid="{00000000-0004-0000-0600-00000A000000}"/>
    <hyperlink ref="A229" r:id="rId12" display="https://docs.google.com/spreadsheets/d/1o5fd77snZK7anhtf5hhT5zmPw7j6ykzW/edit?usp=share_link&amp;ouid=108620842928617053979&amp;rtpof=true&amp;sd=true" xr:uid="{00000000-0004-0000-0600-00000B000000}"/>
    <hyperlink ref="A234" r:id="rId13" display="https://docs.google.com/spreadsheets/d/1o5fd77snZK7anhtf5hhT5zmPw7j6ykzW/edit?usp=share_link&amp;ouid=108620842928617053979&amp;rtpof=true&amp;sd=true" xr:uid="{00000000-0004-0000-0600-00000C000000}"/>
    <hyperlink ref="A241" r:id="rId14" display="https://docs.google.com/spreadsheets/d/1o5fd77snZK7anhtf5hhT5zmPw7j6ykzW/edit?usp=share_link&amp;ouid=108620842928617053979&amp;rtpof=true&amp;sd=true" xr:uid="{00000000-0004-0000-0600-00000D000000}"/>
    <hyperlink ref="C248" r:id="rId15" xr:uid="{00000000-0004-0000-0600-00000E000000}"/>
    <hyperlink ref="C249" r:id="rId16" xr:uid="{00000000-0004-0000-0600-00000F000000}"/>
    <hyperlink ref="C250" r:id="rId17" xr:uid="{00000000-0004-0000-0600-000010000000}"/>
    <hyperlink ref="C253" r:id="rId18" xr:uid="{00000000-0004-0000-0600-000011000000}"/>
  </hyperlinks>
  <pageMargins left="0.7" right="0.7" top="0.75" bottom="0.75" header="0" footer="0"/>
  <pageSetup orientation="landscape"/>
  <legacyDrawing r:id="rId1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857"/>
  <sheetViews>
    <sheetView topLeftCell="A204" workbookViewId="0">
      <selection activeCell="D16" sqref="D16"/>
    </sheetView>
  </sheetViews>
  <sheetFormatPr defaultColWidth="12.6640625" defaultRowHeight="15" customHeight="1"/>
  <cols>
    <col min="1" max="1" width="9" customWidth="1"/>
    <col min="2" max="2" width="2.44140625" customWidth="1"/>
    <col min="3" max="3" width="16.77734375" customWidth="1"/>
    <col min="4" max="4" width="58.21875" customWidth="1"/>
    <col min="5" max="38" width="8.44140625" customWidth="1"/>
  </cols>
  <sheetData>
    <row r="1" spans="1:38" ht="13.5" customHeight="1">
      <c r="A1" s="619"/>
      <c r="B1" s="52"/>
      <c r="C1" s="373"/>
      <c r="D1" s="621" t="s">
        <v>6</v>
      </c>
      <c r="E1" s="374">
        <v>2018</v>
      </c>
      <c r="F1" s="374">
        <v>2019</v>
      </c>
      <c r="G1" s="374">
        <v>2020</v>
      </c>
      <c r="H1" s="373">
        <v>2021</v>
      </c>
      <c r="I1" s="373">
        <v>2022</v>
      </c>
      <c r="J1" s="373">
        <v>2023</v>
      </c>
      <c r="K1" s="373">
        <v>2024</v>
      </c>
      <c r="L1" s="373">
        <v>2025</v>
      </c>
      <c r="M1" s="373">
        <v>2026</v>
      </c>
      <c r="N1" s="373">
        <v>2027</v>
      </c>
      <c r="O1" s="373">
        <v>2028</v>
      </c>
      <c r="P1" s="373">
        <v>2029</v>
      </c>
      <c r="Q1" s="373">
        <v>2030</v>
      </c>
      <c r="R1" s="373">
        <v>2031</v>
      </c>
      <c r="S1" s="373">
        <v>2032</v>
      </c>
      <c r="T1" s="373">
        <v>2033</v>
      </c>
      <c r="U1" s="373">
        <v>2034</v>
      </c>
      <c r="V1" s="373">
        <v>2035</v>
      </c>
      <c r="W1" s="373">
        <v>2036</v>
      </c>
      <c r="X1" s="373">
        <v>2037</v>
      </c>
      <c r="Y1" s="373">
        <v>2038</v>
      </c>
      <c r="Z1" s="373">
        <v>2039</v>
      </c>
      <c r="AA1" s="373">
        <v>2040</v>
      </c>
      <c r="AB1" s="373">
        <v>2041</v>
      </c>
      <c r="AC1" s="373">
        <v>2042</v>
      </c>
      <c r="AD1" s="373">
        <v>2043</v>
      </c>
      <c r="AE1" s="373">
        <v>2044</v>
      </c>
      <c r="AF1" s="373">
        <v>2045</v>
      </c>
      <c r="AG1" s="373">
        <v>2046</v>
      </c>
      <c r="AH1" s="373">
        <v>2047</v>
      </c>
      <c r="AI1" s="373">
        <v>2048</v>
      </c>
      <c r="AJ1" s="373">
        <v>2049</v>
      </c>
      <c r="AK1" s="373">
        <v>2050</v>
      </c>
      <c r="AL1" s="53"/>
    </row>
    <row r="2" spans="1:38"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3.5" customHeight="1">
      <c r="A3" s="619"/>
      <c r="B3" s="23"/>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375"/>
    </row>
    <row r="4" spans="1:38" ht="13.5" customHeight="1">
      <c r="A4" s="619"/>
      <c r="B4" s="253"/>
      <c r="C4" s="258"/>
      <c r="D4" s="281" t="s">
        <v>477</v>
      </c>
      <c r="E4" s="376"/>
      <c r="F4" s="376"/>
      <c r="G4" s="376"/>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c r="AI4" s="376"/>
      <c r="AJ4" s="376"/>
      <c r="AK4" s="376"/>
      <c r="AL4" s="377"/>
    </row>
    <row r="5" spans="1:38" ht="13.5" customHeight="1">
      <c r="A5" s="619"/>
      <c r="B5" s="253"/>
      <c r="C5" s="258"/>
      <c r="D5" s="281"/>
      <c r="E5" s="376"/>
      <c r="F5" s="376"/>
      <c r="G5" s="376"/>
      <c r="H5" s="376"/>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76"/>
      <c r="AJ5" s="376"/>
      <c r="AK5" s="376"/>
      <c r="AL5" s="377"/>
    </row>
    <row r="6" spans="1:38" ht="13.5" customHeight="1">
      <c r="A6" s="619"/>
      <c r="B6" s="253"/>
      <c r="C6" s="258"/>
      <c r="D6" s="281" t="s">
        <v>552</v>
      </c>
      <c r="E6" s="376"/>
      <c r="F6" s="376"/>
      <c r="G6" s="376"/>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76"/>
      <c r="AH6" s="376"/>
      <c r="AI6" s="376"/>
      <c r="AJ6" s="376"/>
      <c r="AK6" s="376"/>
      <c r="AL6" s="377"/>
    </row>
    <row r="7" spans="1:38" ht="13.5" customHeight="1">
      <c r="A7" s="619"/>
      <c r="B7" s="253"/>
      <c r="C7" s="258"/>
      <c r="D7" s="281"/>
      <c r="E7" s="376"/>
      <c r="F7" s="376"/>
      <c r="G7" s="376"/>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6"/>
      <c r="AL7" s="377"/>
    </row>
    <row r="8" spans="1:38" ht="13.5" customHeight="1">
      <c r="A8" s="619"/>
      <c r="B8" s="253"/>
      <c r="C8" s="258"/>
      <c r="D8" s="107" t="s">
        <v>131</v>
      </c>
      <c r="E8" s="108"/>
      <c r="F8" s="108"/>
      <c r="G8" s="108"/>
      <c r="H8" s="108"/>
      <c r="I8" s="108"/>
      <c r="J8" s="108"/>
      <c r="K8" s="108"/>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9"/>
      <c r="AL8" s="377"/>
    </row>
    <row r="9" spans="1:38" ht="13.5" customHeight="1">
      <c r="A9" s="619"/>
      <c r="B9" s="253"/>
      <c r="C9" s="258"/>
      <c r="D9" s="110" t="s">
        <v>571</v>
      </c>
      <c r="E9" s="447"/>
      <c r="F9" s="447"/>
      <c r="G9" s="447"/>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76"/>
      <c r="AL9" s="377"/>
    </row>
    <row r="10" spans="1:38" ht="13.5" customHeight="1">
      <c r="A10" s="619"/>
      <c r="B10" s="253"/>
      <c r="C10" s="258"/>
      <c r="D10" s="77" t="s">
        <v>572</v>
      </c>
      <c r="E10" s="376">
        <v>2712</v>
      </c>
      <c r="F10" s="376">
        <v>2712</v>
      </c>
      <c r="G10" s="376">
        <v>2712</v>
      </c>
      <c r="H10" s="376">
        <v>2712</v>
      </c>
      <c r="I10" s="376">
        <v>2712</v>
      </c>
      <c r="J10" s="376">
        <v>2712</v>
      </c>
      <c r="K10" s="376">
        <v>2712</v>
      </c>
      <c r="L10" s="376">
        <v>2712</v>
      </c>
      <c r="M10" s="376">
        <v>2712</v>
      </c>
      <c r="N10" s="376">
        <v>2712</v>
      </c>
      <c r="O10" s="376">
        <v>2712</v>
      </c>
      <c r="P10" s="376">
        <v>2712</v>
      </c>
      <c r="Q10" s="376">
        <v>2712</v>
      </c>
      <c r="R10" s="376">
        <v>2712</v>
      </c>
      <c r="S10" s="376">
        <v>2712</v>
      </c>
      <c r="T10" s="376">
        <v>2712</v>
      </c>
      <c r="U10" s="376">
        <v>2712</v>
      </c>
      <c r="V10" s="376">
        <v>2712</v>
      </c>
      <c r="W10" s="376">
        <v>2712</v>
      </c>
      <c r="X10" s="376">
        <v>2712</v>
      </c>
      <c r="Y10" s="376">
        <v>2712</v>
      </c>
      <c r="Z10" s="376">
        <v>2712</v>
      </c>
      <c r="AA10" s="376">
        <v>2712</v>
      </c>
      <c r="AB10" s="376">
        <v>2712</v>
      </c>
      <c r="AC10" s="376">
        <v>2712</v>
      </c>
      <c r="AD10" s="376">
        <v>2712</v>
      </c>
      <c r="AE10" s="376">
        <v>2712</v>
      </c>
      <c r="AF10" s="376">
        <v>2712</v>
      </c>
      <c r="AG10" s="376">
        <v>2712</v>
      </c>
      <c r="AH10" s="376">
        <v>2712</v>
      </c>
      <c r="AI10" s="376">
        <v>2712</v>
      </c>
      <c r="AJ10" s="376">
        <v>2712</v>
      </c>
      <c r="AK10" s="69">
        <v>2712</v>
      </c>
      <c r="AL10" s="377"/>
    </row>
    <row r="11" spans="1:38" ht="13.5" customHeight="1">
      <c r="A11" s="619">
        <v>1</v>
      </c>
      <c r="B11" s="456"/>
      <c r="C11" s="457" t="s">
        <v>133</v>
      </c>
      <c r="D11" s="77" t="s">
        <v>573</v>
      </c>
      <c r="E11" s="458">
        <v>2600</v>
      </c>
      <c r="F11" s="458">
        <f t="shared" ref="F11:AJ11" si="0">$E$11+(((F1-$E$1)/($AK$1-$E$1))*($AK$11-$E$11))</f>
        <v>2593.5</v>
      </c>
      <c r="G11" s="458">
        <f t="shared" si="0"/>
        <v>2587</v>
      </c>
      <c r="H11" s="458">
        <f t="shared" si="0"/>
        <v>2580.5</v>
      </c>
      <c r="I11" s="458">
        <f t="shared" si="0"/>
        <v>2574</v>
      </c>
      <c r="J11" s="458">
        <f t="shared" si="0"/>
        <v>2567.5</v>
      </c>
      <c r="K11" s="458">
        <f t="shared" si="0"/>
        <v>2561</v>
      </c>
      <c r="L11" s="458">
        <f t="shared" si="0"/>
        <v>2554.5</v>
      </c>
      <c r="M11" s="458">
        <f t="shared" si="0"/>
        <v>2548</v>
      </c>
      <c r="N11" s="458">
        <f t="shared" si="0"/>
        <v>2541.5</v>
      </c>
      <c r="O11" s="458">
        <f t="shared" si="0"/>
        <v>2535</v>
      </c>
      <c r="P11" s="458">
        <f t="shared" si="0"/>
        <v>2528.5</v>
      </c>
      <c r="Q11" s="458">
        <f t="shared" si="0"/>
        <v>2522</v>
      </c>
      <c r="R11" s="458">
        <f t="shared" si="0"/>
        <v>2515.5</v>
      </c>
      <c r="S11" s="458">
        <f t="shared" si="0"/>
        <v>2509</v>
      </c>
      <c r="T11" s="458">
        <f t="shared" si="0"/>
        <v>2502.5</v>
      </c>
      <c r="U11" s="458">
        <f t="shared" si="0"/>
        <v>2496</v>
      </c>
      <c r="V11" s="458">
        <f t="shared" si="0"/>
        <v>2489.5</v>
      </c>
      <c r="W11" s="458">
        <f t="shared" si="0"/>
        <v>2483</v>
      </c>
      <c r="X11" s="458">
        <f t="shared" si="0"/>
        <v>2476.5</v>
      </c>
      <c r="Y11" s="458">
        <f t="shared" si="0"/>
        <v>2470</v>
      </c>
      <c r="Z11" s="458">
        <f t="shared" si="0"/>
        <v>2463.5</v>
      </c>
      <c r="AA11" s="458">
        <f t="shared" si="0"/>
        <v>2457</v>
      </c>
      <c r="AB11" s="458">
        <f t="shared" si="0"/>
        <v>2450.5</v>
      </c>
      <c r="AC11" s="458">
        <f t="shared" si="0"/>
        <v>2444</v>
      </c>
      <c r="AD11" s="458">
        <f t="shared" si="0"/>
        <v>2437.5</v>
      </c>
      <c r="AE11" s="458">
        <f t="shared" si="0"/>
        <v>2431</v>
      </c>
      <c r="AF11" s="458">
        <f t="shared" si="0"/>
        <v>2424.5</v>
      </c>
      <c r="AG11" s="458">
        <f t="shared" si="0"/>
        <v>2418</v>
      </c>
      <c r="AH11" s="458">
        <f t="shared" si="0"/>
        <v>2411.5</v>
      </c>
      <c r="AI11" s="458">
        <f t="shared" si="0"/>
        <v>2405</v>
      </c>
      <c r="AJ11" s="458">
        <f t="shared" si="0"/>
        <v>2398.5</v>
      </c>
      <c r="AK11" s="69">
        <v>2392</v>
      </c>
      <c r="AL11" s="377"/>
    </row>
    <row r="12" spans="1:38" ht="13.5" customHeight="1">
      <c r="A12" s="619"/>
      <c r="B12" s="253"/>
      <c r="C12" s="258"/>
      <c r="D12" s="110" t="s">
        <v>574</v>
      </c>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c r="AH12" s="447"/>
      <c r="AI12" s="447"/>
      <c r="AJ12" s="447"/>
      <c r="AK12" s="76"/>
      <c r="AL12" s="377"/>
    </row>
    <row r="13" spans="1:38" ht="13.5" customHeight="1">
      <c r="A13" s="619"/>
      <c r="B13" s="253"/>
      <c r="C13" s="258"/>
      <c r="D13" s="111" t="s">
        <v>575</v>
      </c>
      <c r="E13" s="451">
        <v>2500</v>
      </c>
      <c r="F13" s="451">
        <v>2500</v>
      </c>
      <c r="G13" s="451">
        <v>2500</v>
      </c>
      <c r="H13" s="451">
        <v>2500</v>
      </c>
      <c r="I13" s="451">
        <v>2500</v>
      </c>
      <c r="J13" s="451">
        <v>2500</v>
      </c>
      <c r="K13" s="451">
        <v>2500</v>
      </c>
      <c r="L13" s="451">
        <v>2500</v>
      </c>
      <c r="M13" s="451">
        <v>2500</v>
      </c>
      <c r="N13" s="451">
        <v>2500</v>
      </c>
      <c r="O13" s="451">
        <v>2500</v>
      </c>
      <c r="P13" s="451">
        <v>2500</v>
      </c>
      <c r="Q13" s="451">
        <v>2500</v>
      </c>
      <c r="R13" s="451">
        <v>2500</v>
      </c>
      <c r="S13" s="451">
        <v>2500</v>
      </c>
      <c r="T13" s="451">
        <v>2500</v>
      </c>
      <c r="U13" s="451">
        <v>2500</v>
      </c>
      <c r="V13" s="451">
        <v>2500</v>
      </c>
      <c r="W13" s="451">
        <v>2500</v>
      </c>
      <c r="X13" s="451">
        <v>2500</v>
      </c>
      <c r="Y13" s="451">
        <v>2500</v>
      </c>
      <c r="Z13" s="451">
        <v>2500</v>
      </c>
      <c r="AA13" s="451">
        <v>2500</v>
      </c>
      <c r="AB13" s="451">
        <v>2500</v>
      </c>
      <c r="AC13" s="451">
        <v>2500</v>
      </c>
      <c r="AD13" s="451">
        <v>2500</v>
      </c>
      <c r="AE13" s="451">
        <v>2500</v>
      </c>
      <c r="AF13" s="451">
        <v>2500</v>
      </c>
      <c r="AG13" s="451">
        <v>2500</v>
      </c>
      <c r="AH13" s="451">
        <v>2500</v>
      </c>
      <c r="AI13" s="451">
        <v>2500</v>
      </c>
      <c r="AJ13" s="451">
        <v>2500</v>
      </c>
      <c r="AK13" s="93">
        <v>2500</v>
      </c>
      <c r="AL13" s="377"/>
    </row>
    <row r="14" spans="1:38" ht="13.5" customHeight="1">
      <c r="A14" s="619"/>
      <c r="B14" s="253"/>
      <c r="C14" s="258"/>
      <c r="D14" s="111" t="s">
        <v>576</v>
      </c>
      <c r="E14" s="451">
        <v>3300</v>
      </c>
      <c r="F14" s="451">
        <v>3300</v>
      </c>
      <c r="G14" s="451">
        <v>3300</v>
      </c>
      <c r="H14" s="451">
        <v>3300</v>
      </c>
      <c r="I14" s="451">
        <v>3300</v>
      </c>
      <c r="J14" s="451">
        <v>3300</v>
      </c>
      <c r="K14" s="451">
        <v>3300</v>
      </c>
      <c r="L14" s="451">
        <v>3300</v>
      </c>
      <c r="M14" s="451">
        <v>3300</v>
      </c>
      <c r="N14" s="451">
        <v>3300</v>
      </c>
      <c r="O14" s="451">
        <v>3300</v>
      </c>
      <c r="P14" s="451">
        <v>3300</v>
      </c>
      <c r="Q14" s="451">
        <v>3300</v>
      </c>
      <c r="R14" s="451">
        <v>3300</v>
      </c>
      <c r="S14" s="451">
        <v>3300</v>
      </c>
      <c r="T14" s="451">
        <v>3300</v>
      </c>
      <c r="U14" s="451">
        <v>3300</v>
      </c>
      <c r="V14" s="451">
        <v>3300</v>
      </c>
      <c r="W14" s="451">
        <v>3300</v>
      </c>
      <c r="X14" s="451">
        <v>3300</v>
      </c>
      <c r="Y14" s="451">
        <v>3300</v>
      </c>
      <c r="Z14" s="451">
        <v>3300</v>
      </c>
      <c r="AA14" s="451">
        <v>3300</v>
      </c>
      <c r="AB14" s="451">
        <v>3300</v>
      </c>
      <c r="AC14" s="451">
        <v>3300</v>
      </c>
      <c r="AD14" s="451">
        <v>3300</v>
      </c>
      <c r="AE14" s="451">
        <v>3300</v>
      </c>
      <c r="AF14" s="451">
        <v>3300</v>
      </c>
      <c r="AG14" s="451">
        <v>3300</v>
      </c>
      <c r="AH14" s="451">
        <v>3300</v>
      </c>
      <c r="AI14" s="451">
        <v>3300</v>
      </c>
      <c r="AJ14" s="451">
        <v>3300</v>
      </c>
      <c r="AK14" s="93">
        <v>3300</v>
      </c>
      <c r="AL14" s="377"/>
    </row>
    <row r="15" spans="1:38" ht="13.5" customHeight="1">
      <c r="A15" s="619"/>
      <c r="B15" s="253"/>
      <c r="C15" s="258"/>
      <c r="D15" s="112" t="s">
        <v>136</v>
      </c>
      <c r="E15" s="262"/>
      <c r="F15" s="343"/>
      <c r="G15" s="343"/>
      <c r="H15" s="343"/>
      <c r="I15" s="343"/>
      <c r="J15" s="343"/>
      <c r="K15" s="343"/>
      <c r="L15" s="343"/>
      <c r="M15" s="343"/>
      <c r="N15" s="343"/>
      <c r="O15" s="343"/>
      <c r="P15" s="343"/>
      <c r="Q15" s="343"/>
      <c r="R15" s="343"/>
      <c r="S15" s="343"/>
      <c r="T15" s="343"/>
      <c r="U15" s="343"/>
      <c r="V15" s="343"/>
      <c r="W15" s="343"/>
      <c r="X15" s="343"/>
      <c r="Y15" s="343"/>
      <c r="Z15" s="343"/>
      <c r="AA15" s="343"/>
      <c r="AB15" s="343"/>
      <c r="AC15" s="343"/>
      <c r="AD15" s="343"/>
      <c r="AE15" s="343"/>
      <c r="AF15" s="343"/>
      <c r="AG15" s="343"/>
      <c r="AH15" s="343"/>
      <c r="AI15" s="343"/>
      <c r="AJ15" s="343"/>
      <c r="AK15" s="113"/>
      <c r="AL15" s="377"/>
    </row>
    <row r="16" spans="1:38" ht="13.5" customHeight="1">
      <c r="A16" s="619"/>
      <c r="B16" s="253"/>
      <c r="C16" s="258"/>
      <c r="D16" s="110" t="s">
        <v>577</v>
      </c>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76"/>
      <c r="AL16" s="377"/>
    </row>
    <row r="17" spans="1:38" ht="13.5" customHeight="1">
      <c r="A17" s="619"/>
      <c r="B17" s="253"/>
      <c r="C17" s="258"/>
      <c r="D17" s="83" t="s">
        <v>578</v>
      </c>
      <c r="E17" s="376">
        <v>2530</v>
      </c>
      <c r="F17" s="376">
        <v>2530</v>
      </c>
      <c r="G17" s="376">
        <v>2530</v>
      </c>
      <c r="H17" s="376">
        <v>2530</v>
      </c>
      <c r="I17" s="376">
        <v>2530</v>
      </c>
      <c r="J17" s="376">
        <v>2530</v>
      </c>
      <c r="K17" s="376">
        <v>2530</v>
      </c>
      <c r="L17" s="376">
        <v>2530</v>
      </c>
      <c r="M17" s="376">
        <v>2530</v>
      </c>
      <c r="N17" s="376">
        <v>2530</v>
      </c>
      <c r="O17" s="376">
        <v>2530</v>
      </c>
      <c r="P17" s="376">
        <v>2530</v>
      </c>
      <c r="Q17" s="376">
        <v>2533</v>
      </c>
      <c r="R17" s="376">
        <v>2533</v>
      </c>
      <c r="S17" s="376">
        <v>2533</v>
      </c>
      <c r="T17" s="376">
        <v>2533</v>
      </c>
      <c r="U17" s="376">
        <v>2533</v>
      </c>
      <c r="V17" s="376">
        <v>2533</v>
      </c>
      <c r="W17" s="376">
        <v>2533</v>
      </c>
      <c r="X17" s="376">
        <v>2533</v>
      </c>
      <c r="Y17" s="376">
        <v>2533</v>
      </c>
      <c r="Z17" s="376">
        <v>2533</v>
      </c>
      <c r="AA17" s="376">
        <v>2533</v>
      </c>
      <c r="AB17" s="376">
        <v>2533</v>
      </c>
      <c r="AC17" s="376">
        <v>2533</v>
      </c>
      <c r="AD17" s="376">
        <v>2533</v>
      </c>
      <c r="AE17" s="376">
        <v>2533</v>
      </c>
      <c r="AF17" s="376">
        <v>2533</v>
      </c>
      <c r="AG17" s="376">
        <v>2533</v>
      </c>
      <c r="AH17" s="376">
        <v>2533</v>
      </c>
      <c r="AI17" s="376">
        <v>2533</v>
      </c>
      <c r="AJ17" s="376">
        <v>2533</v>
      </c>
      <c r="AK17" s="69">
        <v>2537</v>
      </c>
      <c r="AL17" s="377"/>
    </row>
    <row r="18" spans="1:38" ht="13.5" customHeight="1">
      <c r="A18" s="619">
        <v>1</v>
      </c>
      <c r="B18" s="456"/>
      <c r="C18" s="457" t="s">
        <v>135</v>
      </c>
      <c r="D18" s="83" t="s">
        <v>579</v>
      </c>
      <c r="E18" s="459">
        <v>1643.8888888888889</v>
      </c>
      <c r="F18" s="459">
        <f t="shared" ref="F18:AJ18" si="1">$E$18+(((F1-$E$1)/($AK$1-$E$1))*($AK$18-$E$18))</f>
        <v>1628.7048611111111</v>
      </c>
      <c r="G18" s="459">
        <f t="shared" si="1"/>
        <v>1613.5208333333333</v>
      </c>
      <c r="H18" s="459">
        <f t="shared" si="1"/>
        <v>1598.3368055555557</v>
      </c>
      <c r="I18" s="459">
        <f t="shared" si="1"/>
        <v>1583.1527777777778</v>
      </c>
      <c r="J18" s="459">
        <f t="shared" si="1"/>
        <v>1567.96875</v>
      </c>
      <c r="K18" s="459">
        <f t="shared" si="1"/>
        <v>1552.7847222222222</v>
      </c>
      <c r="L18" s="459">
        <f t="shared" si="1"/>
        <v>1537.6006944444443</v>
      </c>
      <c r="M18" s="459">
        <f t="shared" si="1"/>
        <v>1522.4166666666667</v>
      </c>
      <c r="N18" s="459">
        <f t="shared" si="1"/>
        <v>1507.2326388888889</v>
      </c>
      <c r="O18" s="459">
        <f t="shared" si="1"/>
        <v>1492.0486111111111</v>
      </c>
      <c r="P18" s="459">
        <f t="shared" si="1"/>
        <v>1476.8645833333333</v>
      </c>
      <c r="Q18" s="459">
        <f t="shared" si="1"/>
        <v>1461.6805555555557</v>
      </c>
      <c r="R18" s="459">
        <f t="shared" si="1"/>
        <v>1446.4965277777778</v>
      </c>
      <c r="S18" s="459">
        <f t="shared" si="1"/>
        <v>1431.3125</v>
      </c>
      <c r="T18" s="459">
        <f t="shared" si="1"/>
        <v>1416.1284722222222</v>
      </c>
      <c r="U18" s="459">
        <f t="shared" si="1"/>
        <v>1400.9444444444443</v>
      </c>
      <c r="V18" s="459">
        <f t="shared" si="1"/>
        <v>1385.7604166666667</v>
      </c>
      <c r="W18" s="459">
        <f t="shared" si="1"/>
        <v>1370.5763888888889</v>
      </c>
      <c r="X18" s="459">
        <f t="shared" si="1"/>
        <v>1355.3923611111111</v>
      </c>
      <c r="Y18" s="459">
        <f t="shared" si="1"/>
        <v>1340.2083333333335</v>
      </c>
      <c r="Z18" s="459">
        <f t="shared" si="1"/>
        <v>1325.0243055555557</v>
      </c>
      <c r="AA18" s="459">
        <f t="shared" si="1"/>
        <v>1309.8402777777778</v>
      </c>
      <c r="AB18" s="459">
        <f t="shared" si="1"/>
        <v>1294.65625</v>
      </c>
      <c r="AC18" s="459">
        <f t="shared" si="1"/>
        <v>1279.4722222222222</v>
      </c>
      <c r="AD18" s="459">
        <f t="shared" si="1"/>
        <v>1264.2881944444443</v>
      </c>
      <c r="AE18" s="459">
        <f t="shared" si="1"/>
        <v>1249.1041666666667</v>
      </c>
      <c r="AF18" s="459">
        <f t="shared" si="1"/>
        <v>1233.9201388888889</v>
      </c>
      <c r="AG18" s="459">
        <f t="shared" si="1"/>
        <v>1218.7361111111111</v>
      </c>
      <c r="AH18" s="459">
        <f t="shared" si="1"/>
        <v>1203.5520833333333</v>
      </c>
      <c r="AI18" s="459">
        <f t="shared" si="1"/>
        <v>1188.3680555555557</v>
      </c>
      <c r="AJ18" s="459">
        <f t="shared" si="1"/>
        <v>1173.1840277777778</v>
      </c>
      <c r="AK18" s="69">
        <v>1158</v>
      </c>
      <c r="AL18" s="377"/>
    </row>
    <row r="19" spans="1:38" ht="13.5" customHeight="1">
      <c r="A19" s="619"/>
      <c r="B19" s="253"/>
      <c r="C19" s="258"/>
      <c r="D19" s="112" t="s">
        <v>137</v>
      </c>
      <c r="E19" s="343"/>
      <c r="F19" s="343"/>
      <c r="G19" s="343"/>
      <c r="H19" s="343"/>
      <c r="I19" s="343"/>
      <c r="J19" s="343"/>
      <c r="K19" s="343"/>
      <c r="L19" s="343"/>
      <c r="M19" s="343"/>
      <c r="N19" s="343"/>
      <c r="O19" s="343"/>
      <c r="P19" s="343"/>
      <c r="Q19" s="343"/>
      <c r="R19" s="343"/>
      <c r="S19" s="343"/>
      <c r="T19" s="343"/>
      <c r="U19" s="343"/>
      <c r="V19" s="343"/>
      <c r="W19" s="343"/>
      <c r="X19" s="343"/>
      <c r="Y19" s="343"/>
      <c r="Z19" s="343"/>
      <c r="AA19" s="343"/>
      <c r="AB19" s="343"/>
      <c r="AC19" s="343"/>
      <c r="AD19" s="343"/>
      <c r="AE19" s="343"/>
      <c r="AF19" s="343"/>
      <c r="AG19" s="343"/>
      <c r="AH19" s="343"/>
      <c r="AI19" s="343"/>
      <c r="AJ19" s="343"/>
      <c r="AK19" s="113"/>
      <c r="AL19" s="377"/>
    </row>
    <row r="20" spans="1:38" ht="13.5" customHeight="1">
      <c r="A20" s="619"/>
      <c r="B20" s="253"/>
      <c r="C20" s="258"/>
      <c r="D20" s="110" t="s">
        <v>580</v>
      </c>
      <c r="E20" s="447"/>
      <c r="F20" s="447"/>
      <c r="G20" s="447"/>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76"/>
      <c r="AL20" s="377"/>
    </row>
    <row r="21" spans="1:38" ht="13.5" customHeight="1">
      <c r="A21" s="619"/>
      <c r="B21" s="253"/>
      <c r="C21" s="258"/>
      <c r="D21" s="111" t="s">
        <v>581</v>
      </c>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93"/>
      <c r="AL21" s="377"/>
    </row>
    <row r="22" spans="1:38" ht="13.5" customHeight="1">
      <c r="A22" s="619"/>
      <c r="B22" s="253"/>
      <c r="C22" s="258"/>
      <c r="D22" s="114" t="s">
        <v>582</v>
      </c>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93"/>
      <c r="AL22" s="377"/>
    </row>
    <row r="23" spans="1:38" ht="13.5" customHeight="1">
      <c r="A23" s="619">
        <v>1</v>
      </c>
      <c r="B23" s="456"/>
      <c r="C23" s="457" t="s">
        <v>171</v>
      </c>
      <c r="D23" s="77" t="s">
        <v>583</v>
      </c>
      <c r="E23" s="459">
        <v>3046.6669999999999</v>
      </c>
      <c r="F23" s="459">
        <v>3046.6669999999999</v>
      </c>
      <c r="G23" s="459">
        <v>3046.6669999999999</v>
      </c>
      <c r="H23" s="459">
        <v>3046.6669999999999</v>
      </c>
      <c r="I23" s="459">
        <v>3046.6669999999999</v>
      </c>
      <c r="J23" s="459">
        <v>3046.6669999999999</v>
      </c>
      <c r="K23" s="459">
        <v>3046.6669999999999</v>
      </c>
      <c r="L23" s="459">
        <v>3046.6669999999999</v>
      </c>
      <c r="M23" s="459">
        <v>3046.6669999999999</v>
      </c>
      <c r="N23" s="459">
        <v>3046.6669999999999</v>
      </c>
      <c r="O23" s="459">
        <v>3046.6669999999999</v>
      </c>
      <c r="P23" s="459">
        <v>3046.6669999999999</v>
      </c>
      <c r="Q23" s="459">
        <v>3046.6669999999999</v>
      </c>
      <c r="R23" s="459">
        <v>3046.6669999999999</v>
      </c>
      <c r="S23" s="459">
        <v>3046.6669999999999</v>
      </c>
      <c r="T23" s="459">
        <v>3046.6669999999999</v>
      </c>
      <c r="U23" s="459">
        <v>3046.6669999999999</v>
      </c>
      <c r="V23" s="459">
        <v>3046.6669999999999</v>
      </c>
      <c r="W23" s="459">
        <v>3046.6669999999999</v>
      </c>
      <c r="X23" s="459">
        <v>3046.6669999999999</v>
      </c>
      <c r="Y23" s="459">
        <v>3046.6669999999999</v>
      </c>
      <c r="Z23" s="459">
        <v>3046.6669999999999</v>
      </c>
      <c r="AA23" s="459">
        <v>3046.6669999999999</v>
      </c>
      <c r="AB23" s="459">
        <v>3046.6669999999999</v>
      </c>
      <c r="AC23" s="459">
        <v>3046.6669999999999</v>
      </c>
      <c r="AD23" s="459">
        <v>3046.6669999999999</v>
      </c>
      <c r="AE23" s="459">
        <v>3046.6669999999999</v>
      </c>
      <c r="AF23" s="459">
        <v>3046.6669999999999</v>
      </c>
      <c r="AG23" s="459">
        <v>3046.6669999999999</v>
      </c>
      <c r="AH23" s="459">
        <v>3046.6669999999999</v>
      </c>
      <c r="AI23" s="459">
        <v>3046.6669999999999</v>
      </c>
      <c r="AJ23" s="459">
        <v>3046.6669999999999</v>
      </c>
      <c r="AK23" s="115">
        <v>3046.6669999999999</v>
      </c>
      <c r="AL23" s="377"/>
    </row>
    <row r="24" spans="1:38" ht="13.5" customHeight="1">
      <c r="A24" s="619">
        <v>1</v>
      </c>
      <c r="B24" s="456"/>
      <c r="C24" s="457" t="s">
        <v>173</v>
      </c>
      <c r="D24" s="77" t="s">
        <v>584</v>
      </c>
      <c r="E24" s="459">
        <v>2890.9666666666667</v>
      </c>
      <c r="F24" s="459">
        <v>2890.9666666666667</v>
      </c>
      <c r="G24" s="459">
        <v>2890.9666666666667</v>
      </c>
      <c r="H24" s="459">
        <v>2890.9666666666667</v>
      </c>
      <c r="I24" s="459">
        <v>2890.9666666666667</v>
      </c>
      <c r="J24" s="459">
        <v>2890.9666666666667</v>
      </c>
      <c r="K24" s="459">
        <v>2890.9666666666667</v>
      </c>
      <c r="L24" s="459">
        <v>2890.9666666666667</v>
      </c>
      <c r="M24" s="459">
        <v>2890.9666666666667</v>
      </c>
      <c r="N24" s="459">
        <v>2890.9666666666667</v>
      </c>
      <c r="O24" s="459">
        <v>2890.9666666666667</v>
      </c>
      <c r="P24" s="459">
        <v>2890.9666666666667</v>
      </c>
      <c r="Q24" s="459">
        <v>2890.9666666666667</v>
      </c>
      <c r="R24" s="459">
        <v>2890.9666666666667</v>
      </c>
      <c r="S24" s="459">
        <v>2890.9666666666667</v>
      </c>
      <c r="T24" s="459">
        <v>2890.9666666666667</v>
      </c>
      <c r="U24" s="459">
        <v>2890.9666666666667</v>
      </c>
      <c r="V24" s="459">
        <v>2890.9666666666667</v>
      </c>
      <c r="W24" s="459">
        <v>2890.9666666666667</v>
      </c>
      <c r="X24" s="459">
        <v>2890.9666666666667</v>
      </c>
      <c r="Y24" s="459">
        <v>2890.9666666666667</v>
      </c>
      <c r="Z24" s="459">
        <v>2890.9666666666667</v>
      </c>
      <c r="AA24" s="459">
        <v>2890.9666666666667</v>
      </c>
      <c r="AB24" s="459">
        <v>2890.9666666666667</v>
      </c>
      <c r="AC24" s="459">
        <v>2890.9666666666667</v>
      </c>
      <c r="AD24" s="459">
        <v>2890.9666666666667</v>
      </c>
      <c r="AE24" s="459">
        <v>2890.9666666666667</v>
      </c>
      <c r="AF24" s="459">
        <v>2890.9666666666667</v>
      </c>
      <c r="AG24" s="459">
        <v>2890.9666666666667</v>
      </c>
      <c r="AH24" s="459">
        <v>2890.9666666666667</v>
      </c>
      <c r="AI24" s="459">
        <v>2890.9666666666667</v>
      </c>
      <c r="AJ24" s="459">
        <v>2890.9666666666667</v>
      </c>
      <c r="AK24" s="115">
        <v>2890.9666666666667</v>
      </c>
      <c r="AL24" s="377"/>
    </row>
    <row r="25" spans="1:38" ht="13.5" customHeight="1">
      <c r="A25" s="619">
        <v>1</v>
      </c>
      <c r="B25" s="456"/>
      <c r="C25" s="457" t="s">
        <v>175</v>
      </c>
      <c r="D25" s="77" t="s">
        <v>585</v>
      </c>
      <c r="E25" s="459">
        <v>1572.4504999999999</v>
      </c>
      <c r="F25" s="459">
        <v>1572.4504999999999</v>
      </c>
      <c r="G25" s="459">
        <v>1572.4504999999999</v>
      </c>
      <c r="H25" s="459">
        <v>1572.4504999999999</v>
      </c>
      <c r="I25" s="459">
        <v>1572.4504999999999</v>
      </c>
      <c r="J25" s="459">
        <v>1572.4504999999999</v>
      </c>
      <c r="K25" s="459">
        <v>1572.4504999999999</v>
      </c>
      <c r="L25" s="459">
        <v>1572.4504999999999</v>
      </c>
      <c r="M25" s="459">
        <v>1572.4504999999999</v>
      </c>
      <c r="N25" s="459">
        <v>1572.4504999999999</v>
      </c>
      <c r="O25" s="459">
        <v>1572.4504999999999</v>
      </c>
      <c r="P25" s="459">
        <v>1572.4504999999999</v>
      </c>
      <c r="Q25" s="459">
        <v>1572.4504999999999</v>
      </c>
      <c r="R25" s="459">
        <v>1572.4504999999999</v>
      </c>
      <c r="S25" s="459">
        <v>1572.4504999999999</v>
      </c>
      <c r="T25" s="459">
        <v>1572.4504999999999</v>
      </c>
      <c r="U25" s="459">
        <v>1572.4504999999999</v>
      </c>
      <c r="V25" s="459">
        <v>1572.4504999999999</v>
      </c>
      <c r="W25" s="459">
        <v>1572.4504999999999</v>
      </c>
      <c r="X25" s="459">
        <v>1572.4504999999999</v>
      </c>
      <c r="Y25" s="459">
        <v>1572.4504999999999</v>
      </c>
      <c r="Z25" s="459">
        <v>1572.4504999999999</v>
      </c>
      <c r="AA25" s="459">
        <v>1572.4504999999999</v>
      </c>
      <c r="AB25" s="459">
        <v>1572.4504999999999</v>
      </c>
      <c r="AC25" s="459">
        <v>1572.4504999999999</v>
      </c>
      <c r="AD25" s="459">
        <v>1572.4504999999999</v>
      </c>
      <c r="AE25" s="459">
        <v>1572.4504999999999</v>
      </c>
      <c r="AF25" s="459">
        <v>1572.4504999999999</v>
      </c>
      <c r="AG25" s="459">
        <v>1572.4504999999999</v>
      </c>
      <c r="AH25" s="459">
        <v>1572.4504999999999</v>
      </c>
      <c r="AI25" s="459">
        <v>1572.4504999999999</v>
      </c>
      <c r="AJ25" s="459">
        <v>1572.4504999999999</v>
      </c>
      <c r="AK25" s="115">
        <v>1572.4504999999999</v>
      </c>
      <c r="AL25" s="377"/>
    </row>
    <row r="26" spans="1:38" ht="13.5" customHeight="1">
      <c r="A26" s="619">
        <v>1</v>
      </c>
      <c r="B26" s="456"/>
      <c r="C26" s="457" t="s">
        <v>165</v>
      </c>
      <c r="D26" s="77" t="s">
        <v>586</v>
      </c>
      <c r="E26" s="459">
        <v>3046.6669999999999</v>
      </c>
      <c r="F26" s="459">
        <v>3046.6669999999999</v>
      </c>
      <c r="G26" s="459">
        <v>3046.6669999999999</v>
      </c>
      <c r="H26" s="459">
        <v>3046.6669999999999</v>
      </c>
      <c r="I26" s="459">
        <v>3046.6669999999999</v>
      </c>
      <c r="J26" s="459">
        <v>3046.6669999999999</v>
      </c>
      <c r="K26" s="459">
        <v>3046.6669999999999</v>
      </c>
      <c r="L26" s="459">
        <v>3046.6669999999999</v>
      </c>
      <c r="M26" s="459">
        <v>3046.6669999999999</v>
      </c>
      <c r="N26" s="459">
        <v>3046.6669999999999</v>
      </c>
      <c r="O26" s="459">
        <v>3046.6669999999999</v>
      </c>
      <c r="P26" s="459">
        <v>3046.6669999999999</v>
      </c>
      <c r="Q26" s="459">
        <v>3046.6669999999999</v>
      </c>
      <c r="R26" s="459">
        <v>3046.6669999999999</v>
      </c>
      <c r="S26" s="459">
        <v>3046.6669999999999</v>
      </c>
      <c r="T26" s="459">
        <v>3046.6669999999999</v>
      </c>
      <c r="U26" s="459">
        <v>3046.6669999999999</v>
      </c>
      <c r="V26" s="459">
        <v>3046.6669999999999</v>
      </c>
      <c r="W26" s="459">
        <v>3046.6669999999999</v>
      </c>
      <c r="X26" s="459">
        <v>3046.6669999999999</v>
      </c>
      <c r="Y26" s="459">
        <v>3046.6669999999999</v>
      </c>
      <c r="Z26" s="459">
        <v>3046.6669999999999</v>
      </c>
      <c r="AA26" s="459">
        <v>3046.6669999999999</v>
      </c>
      <c r="AB26" s="459">
        <v>3046.6669999999999</v>
      </c>
      <c r="AC26" s="459">
        <v>3046.6669999999999</v>
      </c>
      <c r="AD26" s="459">
        <v>3046.6669999999999</v>
      </c>
      <c r="AE26" s="459">
        <v>3046.6669999999999</v>
      </c>
      <c r="AF26" s="459">
        <v>3046.6669999999999</v>
      </c>
      <c r="AG26" s="459">
        <v>3046.6669999999999</v>
      </c>
      <c r="AH26" s="459">
        <v>3046.6669999999999</v>
      </c>
      <c r="AI26" s="459">
        <v>3046.6669999999999</v>
      </c>
      <c r="AJ26" s="459">
        <v>3046.6669999999999</v>
      </c>
      <c r="AK26" s="115">
        <v>3046.6669999999999</v>
      </c>
      <c r="AL26" s="377"/>
    </row>
    <row r="27" spans="1:38" ht="13.5" customHeight="1">
      <c r="A27" s="619">
        <v>1</v>
      </c>
      <c r="B27" s="456"/>
      <c r="C27" s="457" t="s">
        <v>167</v>
      </c>
      <c r="D27" s="77" t="s">
        <v>587</v>
      </c>
      <c r="E27" s="459">
        <v>2890.9666666666667</v>
      </c>
      <c r="F27" s="459">
        <v>2890.9666666666667</v>
      </c>
      <c r="G27" s="459">
        <v>2890.9666666666667</v>
      </c>
      <c r="H27" s="459">
        <v>2890.9666666666667</v>
      </c>
      <c r="I27" s="459">
        <v>2890.9666666666667</v>
      </c>
      <c r="J27" s="459">
        <v>2890.9666666666667</v>
      </c>
      <c r="K27" s="459">
        <v>2890.9666666666667</v>
      </c>
      <c r="L27" s="459">
        <v>2890.9666666666667</v>
      </c>
      <c r="M27" s="459">
        <v>2890.9666666666667</v>
      </c>
      <c r="N27" s="459">
        <v>2890.9666666666667</v>
      </c>
      <c r="O27" s="459">
        <v>2890.9666666666667</v>
      </c>
      <c r="P27" s="459">
        <v>2890.9666666666667</v>
      </c>
      <c r="Q27" s="459">
        <v>2890.9666666666667</v>
      </c>
      <c r="R27" s="459">
        <v>2890.9666666666667</v>
      </c>
      <c r="S27" s="459">
        <v>2890.9666666666667</v>
      </c>
      <c r="T27" s="459">
        <v>2890.9666666666667</v>
      </c>
      <c r="U27" s="459">
        <v>2890.9666666666667</v>
      </c>
      <c r="V27" s="459">
        <v>2890.9666666666667</v>
      </c>
      <c r="W27" s="459">
        <v>2890.9666666666667</v>
      </c>
      <c r="X27" s="459">
        <v>2890.9666666666667</v>
      </c>
      <c r="Y27" s="459">
        <v>2890.9666666666667</v>
      </c>
      <c r="Z27" s="459">
        <v>2890.9666666666667</v>
      </c>
      <c r="AA27" s="459">
        <v>2890.9666666666667</v>
      </c>
      <c r="AB27" s="459">
        <v>2890.9666666666667</v>
      </c>
      <c r="AC27" s="459">
        <v>2890.9666666666667</v>
      </c>
      <c r="AD27" s="459">
        <v>2890.9666666666667</v>
      </c>
      <c r="AE27" s="459">
        <v>2890.9666666666667</v>
      </c>
      <c r="AF27" s="459">
        <v>2890.9666666666667</v>
      </c>
      <c r="AG27" s="459">
        <v>2890.9666666666667</v>
      </c>
      <c r="AH27" s="459">
        <v>2890.9666666666667</v>
      </c>
      <c r="AI27" s="459">
        <v>2890.9666666666667</v>
      </c>
      <c r="AJ27" s="459">
        <v>2890.9666666666667</v>
      </c>
      <c r="AK27" s="115">
        <v>2890.9666666666667</v>
      </c>
      <c r="AL27" s="377"/>
    </row>
    <row r="28" spans="1:38" ht="13.5" customHeight="1">
      <c r="A28" s="619">
        <v>1</v>
      </c>
      <c r="B28" s="456"/>
      <c r="C28" s="457" t="s">
        <v>169</v>
      </c>
      <c r="D28" s="77" t="s">
        <v>588</v>
      </c>
      <c r="E28" s="459">
        <v>1572.4504999999999</v>
      </c>
      <c r="F28" s="459">
        <v>1572.4504999999999</v>
      </c>
      <c r="G28" s="459">
        <v>1572.4504999999999</v>
      </c>
      <c r="H28" s="459">
        <v>1572.4504999999999</v>
      </c>
      <c r="I28" s="459">
        <v>1572.4504999999999</v>
      </c>
      <c r="J28" s="459">
        <v>1572.4504999999999</v>
      </c>
      <c r="K28" s="459">
        <v>1572.4504999999999</v>
      </c>
      <c r="L28" s="459">
        <v>1572.4504999999999</v>
      </c>
      <c r="M28" s="459">
        <v>1572.4504999999999</v>
      </c>
      <c r="N28" s="459">
        <v>1572.4504999999999</v>
      </c>
      <c r="O28" s="459">
        <v>1572.4504999999999</v>
      </c>
      <c r="P28" s="459">
        <v>1572.4504999999999</v>
      </c>
      <c r="Q28" s="459">
        <v>1572.4504999999999</v>
      </c>
      <c r="R28" s="459">
        <v>1572.4504999999999</v>
      </c>
      <c r="S28" s="459">
        <v>1572.4504999999999</v>
      </c>
      <c r="T28" s="459">
        <v>1572.4504999999999</v>
      </c>
      <c r="U28" s="459">
        <v>1572.4504999999999</v>
      </c>
      <c r="V28" s="459">
        <v>1572.4504999999999</v>
      </c>
      <c r="W28" s="459">
        <v>1572.4504999999999</v>
      </c>
      <c r="X28" s="459">
        <v>1572.4504999999999</v>
      </c>
      <c r="Y28" s="459">
        <v>1572.4504999999999</v>
      </c>
      <c r="Z28" s="459">
        <v>1572.4504999999999</v>
      </c>
      <c r="AA28" s="459">
        <v>1572.4504999999999</v>
      </c>
      <c r="AB28" s="459">
        <v>1572.4504999999999</v>
      </c>
      <c r="AC28" s="459">
        <v>1572.4504999999999</v>
      </c>
      <c r="AD28" s="459">
        <v>1572.4504999999999</v>
      </c>
      <c r="AE28" s="459">
        <v>1572.4504999999999</v>
      </c>
      <c r="AF28" s="459">
        <v>1572.4504999999999</v>
      </c>
      <c r="AG28" s="459">
        <v>1572.4504999999999</v>
      </c>
      <c r="AH28" s="459">
        <v>1572.4504999999999</v>
      </c>
      <c r="AI28" s="459">
        <v>1572.4504999999999</v>
      </c>
      <c r="AJ28" s="459">
        <v>1572.4504999999999</v>
      </c>
      <c r="AK28" s="115">
        <v>1572.4504999999999</v>
      </c>
      <c r="AL28" s="377"/>
    </row>
    <row r="29" spans="1:38" ht="13.5" customHeight="1">
      <c r="A29" s="619"/>
      <c r="B29" s="253"/>
      <c r="C29" s="258"/>
      <c r="D29" s="111" t="s">
        <v>589</v>
      </c>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93"/>
      <c r="AL29" s="377"/>
    </row>
    <row r="30" spans="1:38" ht="13.5" customHeight="1">
      <c r="A30" s="619"/>
      <c r="B30" s="253"/>
      <c r="C30" s="258"/>
      <c r="D30" s="114" t="s">
        <v>582</v>
      </c>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93"/>
      <c r="AL30" s="377"/>
    </row>
    <row r="31" spans="1:38" ht="13.5" customHeight="1">
      <c r="A31" s="619">
        <v>1</v>
      </c>
      <c r="B31" s="456"/>
      <c r="C31" s="457" t="s">
        <v>181</v>
      </c>
      <c r="D31" s="77" t="s">
        <v>583</v>
      </c>
      <c r="E31" s="459">
        <v>3080.5955555555552</v>
      </c>
      <c r="F31" s="459">
        <v>3080.5955555555552</v>
      </c>
      <c r="G31" s="459">
        <v>3080.5955555555552</v>
      </c>
      <c r="H31" s="459">
        <v>3080.5955555555552</v>
      </c>
      <c r="I31" s="459">
        <v>3080.5955555555552</v>
      </c>
      <c r="J31" s="459">
        <v>3080.5955555555552</v>
      </c>
      <c r="K31" s="459">
        <v>3080.5955555555552</v>
      </c>
      <c r="L31" s="459">
        <v>3080.5955555555552</v>
      </c>
      <c r="M31" s="459">
        <v>3080.5955555555552</v>
      </c>
      <c r="N31" s="459">
        <v>3080.5955555555552</v>
      </c>
      <c r="O31" s="459">
        <v>3080.5955555555552</v>
      </c>
      <c r="P31" s="459">
        <v>3080.5955555555552</v>
      </c>
      <c r="Q31" s="459">
        <v>3080.5955555555552</v>
      </c>
      <c r="R31" s="459">
        <v>3080.5955555555552</v>
      </c>
      <c r="S31" s="459">
        <v>3080.5955555555552</v>
      </c>
      <c r="T31" s="459">
        <v>3080.5955555555552</v>
      </c>
      <c r="U31" s="459">
        <v>3080.5955555555552</v>
      </c>
      <c r="V31" s="459">
        <v>3080.5955555555552</v>
      </c>
      <c r="W31" s="459">
        <v>3080.5955555555552</v>
      </c>
      <c r="X31" s="459">
        <v>3080.5955555555552</v>
      </c>
      <c r="Y31" s="459">
        <v>3080.5955555555552</v>
      </c>
      <c r="Z31" s="459">
        <v>3080.5955555555552</v>
      </c>
      <c r="AA31" s="459">
        <v>3080.5955555555552</v>
      </c>
      <c r="AB31" s="459">
        <v>3080.5955555555552</v>
      </c>
      <c r="AC31" s="459">
        <v>3080.5955555555552</v>
      </c>
      <c r="AD31" s="459">
        <v>3080.5955555555552</v>
      </c>
      <c r="AE31" s="459">
        <v>3080.5955555555552</v>
      </c>
      <c r="AF31" s="459">
        <v>3080.5955555555552</v>
      </c>
      <c r="AG31" s="459">
        <v>3080.5955555555552</v>
      </c>
      <c r="AH31" s="459">
        <v>3080.5955555555552</v>
      </c>
      <c r="AI31" s="459">
        <v>3080.5955555555552</v>
      </c>
      <c r="AJ31" s="459">
        <v>3080.5955555555552</v>
      </c>
      <c r="AK31" s="115">
        <v>3080.5955555555552</v>
      </c>
      <c r="AL31" s="377"/>
    </row>
    <row r="32" spans="1:38" ht="13.5" customHeight="1">
      <c r="A32" s="619">
        <v>1</v>
      </c>
      <c r="B32" s="456"/>
      <c r="C32" s="457" t="s">
        <v>182</v>
      </c>
      <c r="D32" s="77" t="s">
        <v>584</v>
      </c>
      <c r="E32" s="459">
        <v>2740.8264285714286</v>
      </c>
      <c r="F32" s="459">
        <v>2740.8264285714286</v>
      </c>
      <c r="G32" s="459">
        <v>2740.8264285714286</v>
      </c>
      <c r="H32" s="459">
        <v>2740.8264285714286</v>
      </c>
      <c r="I32" s="459">
        <v>2740.8264285714286</v>
      </c>
      <c r="J32" s="459">
        <v>2740.8264285714286</v>
      </c>
      <c r="K32" s="459">
        <v>2740.8264285714286</v>
      </c>
      <c r="L32" s="459">
        <v>2740.8264285714286</v>
      </c>
      <c r="M32" s="459">
        <v>2740.8264285714286</v>
      </c>
      <c r="N32" s="459">
        <v>2740.8264285714286</v>
      </c>
      <c r="O32" s="459">
        <v>2740.8264285714286</v>
      </c>
      <c r="P32" s="459">
        <v>2740.8264285714286</v>
      </c>
      <c r="Q32" s="459">
        <v>2740.8264285714286</v>
      </c>
      <c r="R32" s="459">
        <v>2740.8264285714286</v>
      </c>
      <c r="S32" s="459">
        <v>2740.8264285714286</v>
      </c>
      <c r="T32" s="459">
        <v>2740.8264285714286</v>
      </c>
      <c r="U32" s="459">
        <v>2740.8264285714286</v>
      </c>
      <c r="V32" s="459">
        <v>2740.8264285714286</v>
      </c>
      <c r="W32" s="459">
        <v>2740.8264285714286</v>
      </c>
      <c r="X32" s="459">
        <v>2740.8264285714286</v>
      </c>
      <c r="Y32" s="459">
        <v>2740.8264285714286</v>
      </c>
      <c r="Z32" s="459">
        <v>2740.8264285714286</v>
      </c>
      <c r="AA32" s="459">
        <v>2740.8264285714286</v>
      </c>
      <c r="AB32" s="459">
        <v>2740.8264285714286</v>
      </c>
      <c r="AC32" s="459">
        <v>2740.8264285714286</v>
      </c>
      <c r="AD32" s="459">
        <v>2740.8264285714286</v>
      </c>
      <c r="AE32" s="459">
        <v>2740.8264285714286</v>
      </c>
      <c r="AF32" s="459">
        <v>2740.8264285714286</v>
      </c>
      <c r="AG32" s="459">
        <v>2740.8264285714286</v>
      </c>
      <c r="AH32" s="459">
        <v>2740.8264285714286</v>
      </c>
      <c r="AI32" s="459">
        <v>2740.8264285714286</v>
      </c>
      <c r="AJ32" s="459">
        <v>2740.8264285714286</v>
      </c>
      <c r="AK32" s="115">
        <v>2740.8264285714286</v>
      </c>
      <c r="AL32" s="377"/>
    </row>
    <row r="33" spans="1:38" ht="13.5" customHeight="1">
      <c r="A33" s="619">
        <v>1</v>
      </c>
      <c r="B33" s="456"/>
      <c r="C33" s="457" t="s">
        <v>183</v>
      </c>
      <c r="D33" s="77" t="s">
        <v>585</v>
      </c>
      <c r="E33" s="459">
        <v>1318.4942000000001</v>
      </c>
      <c r="F33" s="459">
        <v>1318.4942000000001</v>
      </c>
      <c r="G33" s="459">
        <v>1318.4942000000001</v>
      </c>
      <c r="H33" s="459">
        <v>1318.4942000000001</v>
      </c>
      <c r="I33" s="459">
        <v>1318.4942000000001</v>
      </c>
      <c r="J33" s="459">
        <v>1318.4942000000001</v>
      </c>
      <c r="K33" s="459">
        <v>1318.4942000000001</v>
      </c>
      <c r="L33" s="459">
        <v>1318.4942000000001</v>
      </c>
      <c r="M33" s="459">
        <v>1318.4942000000001</v>
      </c>
      <c r="N33" s="459">
        <v>1318.4942000000001</v>
      </c>
      <c r="O33" s="459">
        <v>1318.4942000000001</v>
      </c>
      <c r="P33" s="459">
        <v>1318.4942000000001</v>
      </c>
      <c r="Q33" s="459">
        <v>1318.4942000000001</v>
      </c>
      <c r="R33" s="459">
        <v>1318.4942000000001</v>
      </c>
      <c r="S33" s="459">
        <v>1318.4942000000001</v>
      </c>
      <c r="T33" s="459">
        <v>1318.4942000000001</v>
      </c>
      <c r="U33" s="459">
        <v>1318.4942000000001</v>
      </c>
      <c r="V33" s="459">
        <v>1318.4942000000001</v>
      </c>
      <c r="W33" s="459">
        <v>1318.4942000000001</v>
      </c>
      <c r="X33" s="459">
        <v>1318.4942000000001</v>
      </c>
      <c r="Y33" s="459">
        <v>1318.4942000000001</v>
      </c>
      <c r="Z33" s="459">
        <v>1318.4942000000001</v>
      </c>
      <c r="AA33" s="459">
        <v>1318.4942000000001</v>
      </c>
      <c r="AB33" s="459">
        <v>1318.4942000000001</v>
      </c>
      <c r="AC33" s="459">
        <v>1318.4942000000001</v>
      </c>
      <c r="AD33" s="459">
        <v>1318.4942000000001</v>
      </c>
      <c r="AE33" s="459">
        <v>1318.4942000000001</v>
      </c>
      <c r="AF33" s="459">
        <v>1318.4942000000001</v>
      </c>
      <c r="AG33" s="459">
        <v>1318.4942000000001</v>
      </c>
      <c r="AH33" s="459">
        <v>1318.4942000000001</v>
      </c>
      <c r="AI33" s="459">
        <v>1318.4942000000001</v>
      </c>
      <c r="AJ33" s="459">
        <v>1318.4942000000001</v>
      </c>
      <c r="AK33" s="115">
        <v>1318.4942000000001</v>
      </c>
      <c r="AL33" s="377"/>
    </row>
    <row r="34" spans="1:38" ht="13.5" customHeight="1">
      <c r="A34" s="619">
        <v>1</v>
      </c>
      <c r="B34" s="456"/>
      <c r="C34" s="457" t="s">
        <v>178</v>
      </c>
      <c r="D34" s="77" t="s">
        <v>586</v>
      </c>
      <c r="E34" s="459">
        <v>3080.5955555555552</v>
      </c>
      <c r="F34" s="459">
        <v>3080.5955555555552</v>
      </c>
      <c r="G34" s="459">
        <v>3080.5955555555552</v>
      </c>
      <c r="H34" s="459">
        <v>3080.5955555555552</v>
      </c>
      <c r="I34" s="459">
        <v>3080.5955555555552</v>
      </c>
      <c r="J34" s="459">
        <v>3080.5955555555552</v>
      </c>
      <c r="K34" s="459">
        <v>3080.5955555555552</v>
      </c>
      <c r="L34" s="459">
        <v>3080.5955555555552</v>
      </c>
      <c r="M34" s="459">
        <v>3080.5955555555552</v>
      </c>
      <c r="N34" s="459">
        <v>3080.5955555555552</v>
      </c>
      <c r="O34" s="459">
        <v>3080.5955555555552</v>
      </c>
      <c r="P34" s="459">
        <v>3080.5955555555552</v>
      </c>
      <c r="Q34" s="459">
        <v>3080.5955555555552</v>
      </c>
      <c r="R34" s="459">
        <v>3080.5955555555552</v>
      </c>
      <c r="S34" s="459">
        <v>3080.5955555555552</v>
      </c>
      <c r="T34" s="459">
        <v>3080.5955555555552</v>
      </c>
      <c r="U34" s="459">
        <v>3080.5955555555552</v>
      </c>
      <c r="V34" s="459">
        <v>3080.5955555555552</v>
      </c>
      <c r="W34" s="459">
        <v>3080.5955555555552</v>
      </c>
      <c r="X34" s="459">
        <v>3080.5955555555552</v>
      </c>
      <c r="Y34" s="459">
        <v>3080.5955555555552</v>
      </c>
      <c r="Z34" s="459">
        <v>3080.5955555555552</v>
      </c>
      <c r="AA34" s="459">
        <v>3080.5955555555552</v>
      </c>
      <c r="AB34" s="459">
        <v>3080.5955555555552</v>
      </c>
      <c r="AC34" s="459">
        <v>3080.5955555555552</v>
      </c>
      <c r="AD34" s="459">
        <v>3080.5955555555552</v>
      </c>
      <c r="AE34" s="459">
        <v>3080.5955555555552</v>
      </c>
      <c r="AF34" s="459">
        <v>3080.5955555555552</v>
      </c>
      <c r="AG34" s="459">
        <v>3080.5955555555552</v>
      </c>
      <c r="AH34" s="459">
        <v>3080.5955555555552</v>
      </c>
      <c r="AI34" s="459">
        <v>3080.5955555555552</v>
      </c>
      <c r="AJ34" s="459">
        <v>3080.5955555555552</v>
      </c>
      <c r="AK34" s="115">
        <v>3080.5955555555552</v>
      </c>
      <c r="AL34" s="377"/>
    </row>
    <row r="35" spans="1:38" ht="13.5" customHeight="1">
      <c r="A35" s="619">
        <v>1</v>
      </c>
      <c r="B35" s="456"/>
      <c r="C35" s="457" t="s">
        <v>179</v>
      </c>
      <c r="D35" s="77" t="s">
        <v>587</v>
      </c>
      <c r="E35" s="459">
        <v>2740.8264285714286</v>
      </c>
      <c r="F35" s="459">
        <v>2740.8264285714286</v>
      </c>
      <c r="G35" s="459">
        <v>2740.8264285714286</v>
      </c>
      <c r="H35" s="459">
        <v>2740.8264285714286</v>
      </c>
      <c r="I35" s="459">
        <v>2740.8264285714286</v>
      </c>
      <c r="J35" s="459">
        <v>2740.8264285714286</v>
      </c>
      <c r="K35" s="459">
        <v>2740.8264285714286</v>
      </c>
      <c r="L35" s="459">
        <v>2740.8264285714286</v>
      </c>
      <c r="M35" s="459">
        <v>2740.8264285714286</v>
      </c>
      <c r="N35" s="459">
        <v>2740.8264285714286</v>
      </c>
      <c r="O35" s="459">
        <v>2740.8264285714286</v>
      </c>
      <c r="P35" s="459">
        <v>2740.8264285714286</v>
      </c>
      <c r="Q35" s="459">
        <v>2740.8264285714286</v>
      </c>
      <c r="R35" s="459">
        <v>2740.8264285714286</v>
      </c>
      <c r="S35" s="459">
        <v>2740.8264285714286</v>
      </c>
      <c r="T35" s="459">
        <v>2740.8264285714286</v>
      </c>
      <c r="U35" s="459">
        <v>2740.8264285714286</v>
      </c>
      <c r="V35" s="459">
        <v>2740.8264285714286</v>
      </c>
      <c r="W35" s="459">
        <v>2740.8264285714286</v>
      </c>
      <c r="X35" s="459">
        <v>2740.8264285714286</v>
      </c>
      <c r="Y35" s="459">
        <v>2740.8264285714286</v>
      </c>
      <c r="Z35" s="459">
        <v>2740.8264285714286</v>
      </c>
      <c r="AA35" s="459">
        <v>2740.8264285714286</v>
      </c>
      <c r="AB35" s="459">
        <v>2740.8264285714286</v>
      </c>
      <c r="AC35" s="459">
        <v>2740.8264285714286</v>
      </c>
      <c r="AD35" s="459">
        <v>2740.8264285714286</v>
      </c>
      <c r="AE35" s="459">
        <v>2740.8264285714286</v>
      </c>
      <c r="AF35" s="459">
        <v>2740.8264285714286</v>
      </c>
      <c r="AG35" s="459">
        <v>2740.8264285714286</v>
      </c>
      <c r="AH35" s="459">
        <v>2740.8264285714286</v>
      </c>
      <c r="AI35" s="459">
        <v>2740.8264285714286</v>
      </c>
      <c r="AJ35" s="459">
        <v>2740.8264285714286</v>
      </c>
      <c r="AK35" s="115">
        <v>2740.8264285714286</v>
      </c>
      <c r="AL35" s="377"/>
    </row>
    <row r="36" spans="1:38" ht="13.5" customHeight="1">
      <c r="A36" s="619">
        <v>1</v>
      </c>
      <c r="B36" s="456"/>
      <c r="C36" s="457" t="s">
        <v>180</v>
      </c>
      <c r="D36" s="77" t="s">
        <v>588</v>
      </c>
      <c r="E36" s="459">
        <v>1318.4942000000001</v>
      </c>
      <c r="F36" s="459">
        <v>1318.4942000000001</v>
      </c>
      <c r="G36" s="459">
        <v>1318.4942000000001</v>
      </c>
      <c r="H36" s="459">
        <v>1318.4942000000001</v>
      </c>
      <c r="I36" s="459">
        <v>1318.4942000000001</v>
      </c>
      <c r="J36" s="459">
        <v>1318.4942000000001</v>
      </c>
      <c r="K36" s="459">
        <v>1318.4942000000001</v>
      </c>
      <c r="L36" s="459">
        <v>1318.4942000000001</v>
      </c>
      <c r="M36" s="459">
        <v>1318.4942000000001</v>
      </c>
      <c r="N36" s="459">
        <v>1318.4942000000001</v>
      </c>
      <c r="O36" s="459">
        <v>1318.4942000000001</v>
      </c>
      <c r="P36" s="459">
        <v>1318.4942000000001</v>
      </c>
      <c r="Q36" s="459">
        <v>1318.4942000000001</v>
      </c>
      <c r="R36" s="459">
        <v>1318.4942000000001</v>
      </c>
      <c r="S36" s="459">
        <v>1318.4942000000001</v>
      </c>
      <c r="T36" s="459">
        <v>1318.4942000000001</v>
      </c>
      <c r="U36" s="459">
        <v>1318.4942000000001</v>
      </c>
      <c r="V36" s="459">
        <v>1318.4942000000001</v>
      </c>
      <c r="W36" s="459">
        <v>1318.4942000000001</v>
      </c>
      <c r="X36" s="459">
        <v>1318.4942000000001</v>
      </c>
      <c r="Y36" s="459">
        <v>1318.4942000000001</v>
      </c>
      <c r="Z36" s="459">
        <v>1318.4942000000001</v>
      </c>
      <c r="AA36" s="459">
        <v>1318.4942000000001</v>
      </c>
      <c r="AB36" s="459">
        <v>1318.4942000000001</v>
      </c>
      <c r="AC36" s="459">
        <v>1318.4942000000001</v>
      </c>
      <c r="AD36" s="459">
        <v>1318.4942000000001</v>
      </c>
      <c r="AE36" s="459">
        <v>1318.4942000000001</v>
      </c>
      <c r="AF36" s="459">
        <v>1318.4942000000001</v>
      </c>
      <c r="AG36" s="459">
        <v>1318.4942000000001</v>
      </c>
      <c r="AH36" s="459">
        <v>1318.4942000000001</v>
      </c>
      <c r="AI36" s="459">
        <v>1318.4942000000001</v>
      </c>
      <c r="AJ36" s="459">
        <v>1318.4942000000001</v>
      </c>
      <c r="AK36" s="115">
        <v>1318.4942000000001</v>
      </c>
      <c r="AL36" s="377"/>
    </row>
    <row r="37" spans="1:38" ht="13.5" customHeight="1">
      <c r="A37" s="619"/>
      <c r="B37" s="253"/>
      <c r="C37" s="258"/>
      <c r="D37" s="112" t="s">
        <v>143</v>
      </c>
      <c r="E37" s="343"/>
      <c r="F37" s="343"/>
      <c r="G37" s="343"/>
      <c r="H37" s="343"/>
      <c r="I37" s="343"/>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113"/>
      <c r="AL37" s="377"/>
    </row>
    <row r="38" spans="1:38" ht="13.5" customHeight="1">
      <c r="A38" s="619"/>
      <c r="B38" s="253"/>
      <c r="C38" s="258"/>
      <c r="D38" s="110" t="s">
        <v>590</v>
      </c>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76"/>
      <c r="AL38" s="377"/>
    </row>
    <row r="39" spans="1:38" ht="13.5" customHeight="1">
      <c r="A39" s="619"/>
      <c r="B39" s="253"/>
      <c r="C39" s="258"/>
      <c r="D39" s="77" t="s">
        <v>591</v>
      </c>
      <c r="E39" s="376">
        <v>1980</v>
      </c>
      <c r="F39" s="376"/>
      <c r="G39" s="376"/>
      <c r="H39" s="376"/>
      <c r="I39" s="323"/>
      <c r="J39" s="323"/>
      <c r="K39" s="323"/>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69"/>
      <c r="AL39" s="377"/>
    </row>
    <row r="40" spans="1:38" ht="13.5" customHeight="1">
      <c r="A40" s="619">
        <v>3</v>
      </c>
      <c r="B40" s="253"/>
      <c r="C40" s="457" t="s">
        <v>142</v>
      </c>
      <c r="D40" s="77" t="s">
        <v>592</v>
      </c>
      <c r="E40" s="460">
        <f t="shared" ref="E40:G40" si="2">F40+($H$40-$I$40)</f>
        <v>1216.6666666666665</v>
      </c>
      <c r="F40" s="460">
        <f t="shared" si="2"/>
        <v>1174.4444444444443</v>
      </c>
      <c r="G40" s="460">
        <f t="shared" si="2"/>
        <v>1132.2222222222222</v>
      </c>
      <c r="H40" s="461">
        <v>1090</v>
      </c>
      <c r="I40" s="460">
        <f t="shared" ref="I40:P40" si="3">$H$40+(($Q$40-$H$40)*(I1-$H$1)/($Q$1-$H$1))</f>
        <v>1047.7777777777778</v>
      </c>
      <c r="J40" s="460">
        <f t="shared" si="3"/>
        <v>1005.5555555555555</v>
      </c>
      <c r="K40" s="460">
        <f t="shared" si="3"/>
        <v>963.33333333333337</v>
      </c>
      <c r="L40" s="460">
        <f t="shared" si="3"/>
        <v>921.11111111111109</v>
      </c>
      <c r="M40" s="460">
        <f t="shared" si="3"/>
        <v>878.88888888888891</v>
      </c>
      <c r="N40" s="460">
        <f t="shared" si="3"/>
        <v>836.66666666666663</v>
      </c>
      <c r="O40" s="460">
        <f t="shared" si="3"/>
        <v>794.44444444444446</v>
      </c>
      <c r="P40" s="460">
        <f t="shared" si="3"/>
        <v>752.22222222222217</v>
      </c>
      <c r="Q40" s="461">
        <v>710</v>
      </c>
      <c r="R40" s="461">
        <f t="shared" ref="R40:AJ40" si="4">$Q$40+(($AK$40-$Q$40)*(R1-$Q$1)/($AK$1-$Q$1))</f>
        <v>700</v>
      </c>
      <c r="S40" s="461">
        <f t="shared" si="4"/>
        <v>690</v>
      </c>
      <c r="T40" s="461">
        <f t="shared" si="4"/>
        <v>680</v>
      </c>
      <c r="U40" s="461">
        <f t="shared" si="4"/>
        <v>670</v>
      </c>
      <c r="V40" s="461">
        <f t="shared" si="4"/>
        <v>660</v>
      </c>
      <c r="W40" s="461">
        <f t="shared" si="4"/>
        <v>650</v>
      </c>
      <c r="X40" s="461">
        <f t="shared" si="4"/>
        <v>640</v>
      </c>
      <c r="Y40" s="461">
        <f t="shared" si="4"/>
        <v>630</v>
      </c>
      <c r="Z40" s="461">
        <f t="shared" si="4"/>
        <v>620</v>
      </c>
      <c r="AA40" s="461">
        <f t="shared" si="4"/>
        <v>610</v>
      </c>
      <c r="AB40" s="461">
        <f t="shared" si="4"/>
        <v>600</v>
      </c>
      <c r="AC40" s="461">
        <f t="shared" si="4"/>
        <v>590</v>
      </c>
      <c r="AD40" s="461">
        <f t="shared" si="4"/>
        <v>580</v>
      </c>
      <c r="AE40" s="461">
        <f t="shared" si="4"/>
        <v>570</v>
      </c>
      <c r="AF40" s="461">
        <f t="shared" si="4"/>
        <v>560</v>
      </c>
      <c r="AG40" s="461">
        <f t="shared" si="4"/>
        <v>550</v>
      </c>
      <c r="AH40" s="461">
        <f t="shared" si="4"/>
        <v>540</v>
      </c>
      <c r="AI40" s="461">
        <f t="shared" si="4"/>
        <v>530</v>
      </c>
      <c r="AJ40" s="461">
        <f t="shared" si="4"/>
        <v>520</v>
      </c>
      <c r="AK40" s="116">
        <v>510</v>
      </c>
      <c r="AL40" s="377"/>
    </row>
    <row r="41" spans="1:38" ht="13.5" customHeight="1">
      <c r="A41" s="619"/>
      <c r="B41" s="253"/>
      <c r="C41" s="258"/>
      <c r="D41" s="110" t="s">
        <v>574</v>
      </c>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c r="AH41" s="447"/>
      <c r="AI41" s="447"/>
      <c r="AJ41" s="447"/>
      <c r="AK41" s="76"/>
      <c r="AL41" s="377"/>
    </row>
    <row r="42" spans="1:38" ht="13.5" customHeight="1">
      <c r="A42" s="619"/>
      <c r="B42" s="456"/>
      <c r="C42" s="457" t="s">
        <v>593</v>
      </c>
      <c r="D42" s="111" t="s">
        <v>594</v>
      </c>
      <c r="E42" s="451">
        <v>1980</v>
      </c>
      <c r="F42" s="451">
        <v>1360</v>
      </c>
      <c r="G42" s="451">
        <v>1360</v>
      </c>
      <c r="H42" s="451">
        <v>1360</v>
      </c>
      <c r="I42" s="451">
        <v>1360</v>
      </c>
      <c r="J42" s="451">
        <v>1360</v>
      </c>
      <c r="K42" s="451">
        <v>1360</v>
      </c>
      <c r="L42" s="451">
        <v>1220</v>
      </c>
      <c r="M42" s="451">
        <v>1220</v>
      </c>
      <c r="N42" s="451">
        <v>1220</v>
      </c>
      <c r="O42" s="451">
        <v>1220</v>
      </c>
      <c r="P42" s="451">
        <v>1220</v>
      </c>
      <c r="Q42" s="451">
        <v>1080</v>
      </c>
      <c r="R42" s="451">
        <v>1080</v>
      </c>
      <c r="S42" s="451">
        <v>1080</v>
      </c>
      <c r="T42" s="451">
        <v>1080</v>
      </c>
      <c r="U42" s="451">
        <v>1080</v>
      </c>
      <c r="V42" s="451">
        <v>1050</v>
      </c>
      <c r="W42" s="451">
        <v>1050</v>
      </c>
      <c r="X42" s="451">
        <v>1050</v>
      </c>
      <c r="Y42" s="451">
        <v>1050</v>
      </c>
      <c r="Z42" s="451">
        <v>1050</v>
      </c>
      <c r="AA42" s="451">
        <v>1020</v>
      </c>
      <c r="AB42" s="451">
        <v>1020</v>
      </c>
      <c r="AC42" s="451">
        <v>1020</v>
      </c>
      <c r="AD42" s="451">
        <v>1020</v>
      </c>
      <c r="AE42" s="451">
        <v>1020</v>
      </c>
      <c r="AF42" s="451">
        <v>990</v>
      </c>
      <c r="AG42" s="451">
        <v>990</v>
      </c>
      <c r="AH42" s="451">
        <v>990</v>
      </c>
      <c r="AI42" s="451">
        <v>990</v>
      </c>
      <c r="AJ42" s="451">
        <v>990</v>
      </c>
      <c r="AK42" s="93">
        <v>960</v>
      </c>
      <c r="AL42" s="377"/>
    </row>
    <row r="43" spans="1:38" ht="13.5" customHeight="1">
      <c r="A43" s="619"/>
      <c r="B43" s="253"/>
      <c r="C43" s="258"/>
      <c r="D43" s="111" t="s">
        <v>595</v>
      </c>
      <c r="E43" s="451">
        <v>7254</v>
      </c>
      <c r="F43" s="451">
        <v>6849</v>
      </c>
      <c r="G43" s="451">
        <v>6849</v>
      </c>
      <c r="H43" s="451">
        <v>6849</v>
      </c>
      <c r="I43" s="451">
        <v>6849</v>
      </c>
      <c r="J43" s="451">
        <v>6849</v>
      </c>
      <c r="K43" s="451">
        <v>6849</v>
      </c>
      <c r="L43" s="451">
        <v>6445</v>
      </c>
      <c r="M43" s="451">
        <v>6445</v>
      </c>
      <c r="N43" s="451">
        <v>6445</v>
      </c>
      <c r="O43" s="451">
        <v>6445</v>
      </c>
      <c r="P43" s="451">
        <v>6445</v>
      </c>
      <c r="Q43" s="451">
        <v>6040</v>
      </c>
      <c r="R43" s="451">
        <v>6040</v>
      </c>
      <c r="S43" s="451">
        <v>6040</v>
      </c>
      <c r="T43" s="451">
        <v>6040</v>
      </c>
      <c r="U43" s="451">
        <v>6040</v>
      </c>
      <c r="V43" s="451">
        <v>5636</v>
      </c>
      <c r="W43" s="451">
        <v>5636</v>
      </c>
      <c r="X43" s="451">
        <v>5636</v>
      </c>
      <c r="Y43" s="451">
        <v>5636</v>
      </c>
      <c r="Z43" s="451">
        <v>5636</v>
      </c>
      <c r="AA43" s="451">
        <v>5231</v>
      </c>
      <c r="AB43" s="451">
        <v>5231</v>
      </c>
      <c r="AC43" s="451">
        <v>5231</v>
      </c>
      <c r="AD43" s="451">
        <v>5231</v>
      </c>
      <c r="AE43" s="451">
        <v>5231</v>
      </c>
      <c r="AF43" s="451">
        <v>4827</v>
      </c>
      <c r="AG43" s="451">
        <v>4827</v>
      </c>
      <c r="AH43" s="451">
        <v>4827</v>
      </c>
      <c r="AI43" s="451">
        <v>4827</v>
      </c>
      <c r="AJ43" s="451">
        <v>4827</v>
      </c>
      <c r="AK43" s="93">
        <v>4422</v>
      </c>
      <c r="AL43" s="377"/>
    </row>
    <row r="44" spans="1:38" ht="13.5" customHeight="1">
      <c r="A44" s="619"/>
      <c r="B44" s="253"/>
      <c r="C44" s="258"/>
      <c r="D44" s="112" t="s">
        <v>144</v>
      </c>
      <c r="E44" s="343"/>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113"/>
      <c r="AL44" s="377"/>
    </row>
    <row r="45" spans="1:38" ht="13.5" customHeight="1">
      <c r="A45" s="619"/>
      <c r="B45" s="253"/>
      <c r="C45" s="258"/>
      <c r="D45" s="110" t="s">
        <v>574</v>
      </c>
      <c r="E45" s="447"/>
      <c r="F45" s="447"/>
      <c r="G45" s="447"/>
      <c r="H45" s="447"/>
      <c r="I45" s="447"/>
      <c r="J45" s="447"/>
      <c r="K45" s="447"/>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76"/>
      <c r="AL45" s="377"/>
    </row>
    <row r="46" spans="1:38" ht="13.5" customHeight="1">
      <c r="A46" s="619"/>
      <c r="B46" s="253"/>
      <c r="C46" s="258"/>
      <c r="D46" s="111" t="s">
        <v>596</v>
      </c>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93"/>
      <c r="AL46" s="377"/>
    </row>
    <row r="47" spans="1:38" ht="13.5" customHeight="1">
      <c r="A47" s="619"/>
      <c r="B47" s="253"/>
      <c r="C47" s="258"/>
      <c r="D47" s="114" t="s">
        <v>597</v>
      </c>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93"/>
      <c r="AL47" s="377"/>
    </row>
    <row r="48" spans="1:38" ht="13.5" customHeight="1">
      <c r="A48" s="619"/>
      <c r="B48" s="456"/>
      <c r="C48" s="457" t="s">
        <v>163</v>
      </c>
      <c r="D48" s="77" t="s">
        <v>598</v>
      </c>
      <c r="E48" s="376">
        <v>2350</v>
      </c>
      <c r="F48" s="376">
        <v>2350</v>
      </c>
      <c r="G48" s="376">
        <v>2350</v>
      </c>
      <c r="H48" s="376">
        <v>2350</v>
      </c>
      <c r="I48" s="376">
        <v>2350</v>
      </c>
      <c r="J48" s="376">
        <v>2350</v>
      </c>
      <c r="K48" s="376">
        <v>2350</v>
      </c>
      <c r="L48" s="376">
        <v>2325</v>
      </c>
      <c r="M48" s="376">
        <v>2325</v>
      </c>
      <c r="N48" s="376">
        <v>2325</v>
      </c>
      <c r="O48" s="376">
        <v>2325</v>
      </c>
      <c r="P48" s="376">
        <v>2325</v>
      </c>
      <c r="Q48" s="376">
        <v>2300</v>
      </c>
      <c r="R48" s="376">
        <v>2300</v>
      </c>
      <c r="S48" s="376">
        <v>2300</v>
      </c>
      <c r="T48" s="376">
        <v>2300</v>
      </c>
      <c r="U48" s="376">
        <v>2300</v>
      </c>
      <c r="V48" s="376">
        <v>2288</v>
      </c>
      <c r="W48" s="376">
        <v>2288</v>
      </c>
      <c r="X48" s="376">
        <v>2288</v>
      </c>
      <c r="Y48" s="376">
        <v>2288</v>
      </c>
      <c r="Z48" s="376">
        <v>2288</v>
      </c>
      <c r="AA48" s="376">
        <v>2275</v>
      </c>
      <c r="AB48" s="376">
        <v>2275</v>
      </c>
      <c r="AC48" s="376">
        <v>2275</v>
      </c>
      <c r="AD48" s="376">
        <v>2275</v>
      </c>
      <c r="AE48" s="376">
        <v>2275</v>
      </c>
      <c r="AF48" s="376">
        <v>2263</v>
      </c>
      <c r="AG48" s="376">
        <v>2263</v>
      </c>
      <c r="AH48" s="376">
        <v>2263</v>
      </c>
      <c r="AI48" s="376">
        <v>2263</v>
      </c>
      <c r="AJ48" s="376">
        <v>2263</v>
      </c>
      <c r="AK48" s="69">
        <v>2250</v>
      </c>
      <c r="AL48" s="377"/>
    </row>
    <row r="49" spans="1:38" ht="13.5" customHeight="1">
      <c r="A49" s="619">
        <v>1</v>
      </c>
      <c r="B49" s="456"/>
      <c r="C49" s="457" t="s">
        <v>146</v>
      </c>
      <c r="D49" s="77" t="s">
        <v>599</v>
      </c>
      <c r="E49" s="458">
        <v>1200</v>
      </c>
      <c r="F49" s="458">
        <v>1200</v>
      </c>
      <c r="G49" s="458">
        <v>1200</v>
      </c>
      <c r="H49" s="458">
        <v>1200</v>
      </c>
      <c r="I49" s="458">
        <v>1200</v>
      </c>
      <c r="J49" s="458">
        <v>1200</v>
      </c>
      <c r="K49" s="458">
        <v>1200</v>
      </c>
      <c r="L49" s="458">
        <v>1200</v>
      </c>
      <c r="M49" s="458">
        <v>1200</v>
      </c>
      <c r="N49" s="458">
        <v>1200</v>
      </c>
      <c r="O49" s="458">
        <v>1200</v>
      </c>
      <c r="P49" s="458">
        <v>1200</v>
      </c>
      <c r="Q49" s="458">
        <v>1200</v>
      </c>
      <c r="R49" s="458">
        <v>1200</v>
      </c>
      <c r="S49" s="458">
        <v>1200</v>
      </c>
      <c r="T49" s="458">
        <v>1200</v>
      </c>
      <c r="U49" s="458">
        <v>1200</v>
      </c>
      <c r="V49" s="458">
        <v>1200</v>
      </c>
      <c r="W49" s="458">
        <v>1200</v>
      </c>
      <c r="X49" s="458">
        <v>1200</v>
      </c>
      <c r="Y49" s="458">
        <v>1200</v>
      </c>
      <c r="Z49" s="458">
        <v>1200</v>
      </c>
      <c r="AA49" s="458">
        <v>1200</v>
      </c>
      <c r="AB49" s="458">
        <v>1200</v>
      </c>
      <c r="AC49" s="458">
        <v>1200</v>
      </c>
      <c r="AD49" s="458">
        <v>1200</v>
      </c>
      <c r="AE49" s="458">
        <v>1200</v>
      </c>
      <c r="AF49" s="458">
        <v>1200</v>
      </c>
      <c r="AG49" s="458">
        <v>1200</v>
      </c>
      <c r="AH49" s="458">
        <v>1200</v>
      </c>
      <c r="AI49" s="458">
        <v>1200</v>
      </c>
      <c r="AJ49" s="458">
        <v>1200</v>
      </c>
      <c r="AK49" s="117">
        <v>1200</v>
      </c>
      <c r="AL49" s="377"/>
    </row>
    <row r="50" spans="1:38" ht="13.5" customHeight="1">
      <c r="A50" s="619"/>
      <c r="B50" s="456"/>
      <c r="C50" s="457" t="s">
        <v>148</v>
      </c>
      <c r="D50" s="77" t="s">
        <v>600</v>
      </c>
      <c r="E50" s="376">
        <v>1070</v>
      </c>
      <c r="F50" s="376">
        <v>1070</v>
      </c>
      <c r="G50" s="376">
        <v>1070</v>
      </c>
      <c r="H50" s="376">
        <v>1070</v>
      </c>
      <c r="I50" s="376">
        <v>1070</v>
      </c>
      <c r="J50" s="376">
        <v>1070</v>
      </c>
      <c r="K50" s="376">
        <v>1070</v>
      </c>
      <c r="L50" s="376">
        <v>1070</v>
      </c>
      <c r="M50" s="376">
        <v>1070</v>
      </c>
      <c r="N50" s="376">
        <v>1070</v>
      </c>
      <c r="O50" s="376">
        <v>1070</v>
      </c>
      <c r="P50" s="376">
        <v>1070</v>
      </c>
      <c r="Q50" s="376">
        <v>1070</v>
      </c>
      <c r="R50" s="376">
        <v>1070</v>
      </c>
      <c r="S50" s="376">
        <v>1070</v>
      </c>
      <c r="T50" s="376">
        <v>1070</v>
      </c>
      <c r="U50" s="376">
        <v>1070</v>
      </c>
      <c r="V50" s="376">
        <v>1070</v>
      </c>
      <c r="W50" s="376">
        <v>1070</v>
      </c>
      <c r="X50" s="376">
        <v>1070</v>
      </c>
      <c r="Y50" s="376">
        <v>1070</v>
      </c>
      <c r="Z50" s="376">
        <v>1070</v>
      </c>
      <c r="AA50" s="376">
        <v>1070</v>
      </c>
      <c r="AB50" s="376">
        <v>1070</v>
      </c>
      <c r="AC50" s="376">
        <v>1070</v>
      </c>
      <c r="AD50" s="376">
        <v>1070</v>
      </c>
      <c r="AE50" s="376">
        <v>1070</v>
      </c>
      <c r="AF50" s="376">
        <v>1070</v>
      </c>
      <c r="AG50" s="376">
        <v>1070</v>
      </c>
      <c r="AH50" s="376">
        <v>1070</v>
      </c>
      <c r="AI50" s="376">
        <v>1070</v>
      </c>
      <c r="AJ50" s="376">
        <v>1070</v>
      </c>
      <c r="AK50" s="69">
        <v>1070</v>
      </c>
      <c r="AL50" s="377"/>
    </row>
    <row r="51" spans="1:38" ht="13.5" customHeight="1">
      <c r="A51" s="619"/>
      <c r="B51" s="163"/>
      <c r="C51" s="462" t="s">
        <v>151</v>
      </c>
      <c r="D51" s="77" t="s">
        <v>601</v>
      </c>
      <c r="E51" s="376" t="s">
        <v>186</v>
      </c>
      <c r="F51" s="376" t="s">
        <v>186</v>
      </c>
      <c r="G51" s="376" t="s">
        <v>186</v>
      </c>
      <c r="H51" s="376" t="s">
        <v>186</v>
      </c>
      <c r="I51" s="376" t="s">
        <v>186</v>
      </c>
      <c r="J51" s="376" t="s">
        <v>186</v>
      </c>
      <c r="K51" s="376" t="s">
        <v>186</v>
      </c>
      <c r="L51" s="376" t="s">
        <v>186</v>
      </c>
      <c r="M51" s="376" t="s">
        <v>186</v>
      </c>
      <c r="N51" s="376" t="s">
        <v>186</v>
      </c>
      <c r="O51" s="376" t="s">
        <v>186</v>
      </c>
      <c r="P51" s="376" t="s">
        <v>186</v>
      </c>
      <c r="Q51" s="376" t="s">
        <v>186</v>
      </c>
      <c r="R51" s="376" t="s">
        <v>186</v>
      </c>
      <c r="S51" s="376" t="s">
        <v>186</v>
      </c>
      <c r="T51" s="376" t="s">
        <v>186</v>
      </c>
      <c r="U51" s="376" t="s">
        <v>186</v>
      </c>
      <c r="V51" s="376" t="s">
        <v>186</v>
      </c>
      <c r="W51" s="376" t="s">
        <v>186</v>
      </c>
      <c r="X51" s="376" t="s">
        <v>186</v>
      </c>
      <c r="Y51" s="376" t="s">
        <v>186</v>
      </c>
      <c r="Z51" s="376" t="s">
        <v>186</v>
      </c>
      <c r="AA51" s="376" t="s">
        <v>186</v>
      </c>
      <c r="AB51" s="376" t="s">
        <v>186</v>
      </c>
      <c r="AC51" s="376" t="s">
        <v>186</v>
      </c>
      <c r="AD51" s="376" t="s">
        <v>186</v>
      </c>
      <c r="AE51" s="376" t="s">
        <v>186</v>
      </c>
      <c r="AF51" s="376" t="s">
        <v>186</v>
      </c>
      <c r="AG51" s="376" t="s">
        <v>186</v>
      </c>
      <c r="AH51" s="376" t="s">
        <v>186</v>
      </c>
      <c r="AI51" s="376" t="s">
        <v>186</v>
      </c>
      <c r="AJ51" s="376" t="s">
        <v>186</v>
      </c>
      <c r="AK51" s="69" t="s">
        <v>186</v>
      </c>
      <c r="AL51" s="377"/>
    </row>
    <row r="52" spans="1:38" ht="13.5" customHeight="1">
      <c r="A52" s="619"/>
      <c r="B52" s="253"/>
      <c r="C52" s="258"/>
      <c r="D52" s="111" t="s">
        <v>602</v>
      </c>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93"/>
      <c r="AL52" s="377"/>
    </row>
    <row r="53" spans="1:38" ht="13.5" customHeight="1">
      <c r="A53" s="619"/>
      <c r="B53" s="253"/>
      <c r="C53" s="258"/>
      <c r="D53" s="114" t="s">
        <v>603</v>
      </c>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93"/>
      <c r="AL53" s="377"/>
    </row>
    <row r="54" spans="1:38" ht="13.5" customHeight="1">
      <c r="A54" s="619"/>
      <c r="B54" s="253"/>
      <c r="C54" s="258"/>
      <c r="D54" s="83" t="s">
        <v>604</v>
      </c>
      <c r="E54" s="376">
        <v>869</v>
      </c>
      <c r="F54" s="376">
        <v>869</v>
      </c>
      <c r="G54" s="376">
        <v>869</v>
      </c>
      <c r="H54" s="376">
        <v>869</v>
      </c>
      <c r="I54" s="376">
        <v>869</v>
      </c>
      <c r="J54" s="376">
        <v>869</v>
      </c>
      <c r="K54" s="376">
        <v>869</v>
      </c>
      <c r="L54" s="376">
        <v>869</v>
      </c>
      <c r="M54" s="376">
        <v>869</v>
      </c>
      <c r="N54" s="376">
        <v>869</v>
      </c>
      <c r="O54" s="376">
        <v>869</v>
      </c>
      <c r="P54" s="376">
        <v>869</v>
      </c>
      <c r="Q54" s="376">
        <v>869</v>
      </c>
      <c r="R54" s="376">
        <v>869</v>
      </c>
      <c r="S54" s="376">
        <v>869</v>
      </c>
      <c r="T54" s="376">
        <v>869</v>
      </c>
      <c r="U54" s="376">
        <v>869</v>
      </c>
      <c r="V54" s="376">
        <v>869</v>
      </c>
      <c r="W54" s="376">
        <v>869</v>
      </c>
      <c r="X54" s="376">
        <v>869</v>
      </c>
      <c r="Y54" s="376">
        <v>869</v>
      </c>
      <c r="Z54" s="376">
        <v>869</v>
      </c>
      <c r="AA54" s="376">
        <v>869</v>
      </c>
      <c r="AB54" s="376">
        <v>869</v>
      </c>
      <c r="AC54" s="376">
        <v>869</v>
      </c>
      <c r="AD54" s="376">
        <v>869</v>
      </c>
      <c r="AE54" s="376">
        <v>869</v>
      </c>
      <c r="AF54" s="376">
        <v>869</v>
      </c>
      <c r="AG54" s="376">
        <v>869</v>
      </c>
      <c r="AH54" s="376">
        <v>869</v>
      </c>
      <c r="AI54" s="376">
        <v>869</v>
      </c>
      <c r="AJ54" s="376">
        <v>869</v>
      </c>
      <c r="AK54" s="69">
        <v>869</v>
      </c>
      <c r="AL54" s="377"/>
    </row>
    <row r="55" spans="1:38" ht="13.5" customHeight="1">
      <c r="A55" s="619"/>
      <c r="B55" s="253"/>
      <c r="C55" s="258"/>
      <c r="D55" s="77" t="s">
        <v>605</v>
      </c>
      <c r="E55" s="376">
        <v>869</v>
      </c>
      <c r="F55" s="376">
        <v>845</v>
      </c>
      <c r="G55" s="376">
        <v>845</v>
      </c>
      <c r="H55" s="376">
        <v>845</v>
      </c>
      <c r="I55" s="376">
        <v>845</v>
      </c>
      <c r="J55" s="376">
        <v>845</v>
      </c>
      <c r="K55" s="376">
        <v>845</v>
      </c>
      <c r="L55" s="376">
        <v>825</v>
      </c>
      <c r="M55" s="376">
        <v>825</v>
      </c>
      <c r="N55" s="376">
        <v>825</v>
      </c>
      <c r="O55" s="376">
        <v>825</v>
      </c>
      <c r="P55" s="376">
        <v>825</v>
      </c>
      <c r="Q55" s="376">
        <v>805</v>
      </c>
      <c r="R55" s="376">
        <v>805</v>
      </c>
      <c r="S55" s="376">
        <v>805</v>
      </c>
      <c r="T55" s="376">
        <v>805</v>
      </c>
      <c r="U55" s="376">
        <v>805</v>
      </c>
      <c r="V55" s="376">
        <v>790</v>
      </c>
      <c r="W55" s="376">
        <v>790</v>
      </c>
      <c r="X55" s="376">
        <v>790</v>
      </c>
      <c r="Y55" s="376">
        <v>790</v>
      </c>
      <c r="Z55" s="376">
        <v>790</v>
      </c>
      <c r="AA55" s="376">
        <v>775</v>
      </c>
      <c r="AB55" s="376">
        <v>775</v>
      </c>
      <c r="AC55" s="376">
        <v>775</v>
      </c>
      <c r="AD55" s="376">
        <v>775</v>
      </c>
      <c r="AE55" s="376">
        <v>775</v>
      </c>
      <c r="AF55" s="376">
        <v>759</v>
      </c>
      <c r="AG55" s="376">
        <v>759</v>
      </c>
      <c r="AH55" s="376">
        <v>759</v>
      </c>
      <c r="AI55" s="376">
        <v>759</v>
      </c>
      <c r="AJ55" s="376">
        <v>759</v>
      </c>
      <c r="AK55" s="69">
        <v>744</v>
      </c>
      <c r="AL55" s="377"/>
    </row>
    <row r="56" spans="1:38" ht="13.5" customHeight="1">
      <c r="A56" s="619"/>
      <c r="B56" s="456"/>
      <c r="C56" s="457" t="s">
        <v>156</v>
      </c>
      <c r="D56" s="77" t="s">
        <v>606</v>
      </c>
      <c r="E56" s="376">
        <v>1190</v>
      </c>
      <c r="F56" s="376">
        <v>1000</v>
      </c>
      <c r="G56" s="376">
        <v>1000</v>
      </c>
      <c r="H56" s="376">
        <v>1000</v>
      </c>
      <c r="I56" s="376">
        <v>1000</v>
      </c>
      <c r="J56" s="376">
        <v>1000</v>
      </c>
      <c r="K56" s="376">
        <v>1000</v>
      </c>
      <c r="L56" s="376">
        <v>991.5</v>
      </c>
      <c r="M56" s="376">
        <v>991.5</v>
      </c>
      <c r="N56" s="376">
        <v>991.5</v>
      </c>
      <c r="O56" s="376">
        <v>991.5</v>
      </c>
      <c r="P56" s="376">
        <v>991.5</v>
      </c>
      <c r="Q56" s="376">
        <v>983</v>
      </c>
      <c r="R56" s="376">
        <v>983</v>
      </c>
      <c r="S56" s="376">
        <v>983</v>
      </c>
      <c r="T56" s="376">
        <v>983</v>
      </c>
      <c r="U56" s="376">
        <v>983</v>
      </c>
      <c r="V56" s="376">
        <v>965.5</v>
      </c>
      <c r="W56" s="376">
        <v>965.5</v>
      </c>
      <c r="X56" s="376">
        <v>965.5</v>
      </c>
      <c r="Y56" s="376">
        <v>965.5</v>
      </c>
      <c r="Z56" s="376">
        <v>965.5</v>
      </c>
      <c r="AA56" s="376">
        <v>948</v>
      </c>
      <c r="AB56" s="376">
        <v>948</v>
      </c>
      <c r="AC56" s="376">
        <v>948</v>
      </c>
      <c r="AD56" s="376">
        <v>948</v>
      </c>
      <c r="AE56" s="376">
        <v>948</v>
      </c>
      <c r="AF56" s="376">
        <v>930.5</v>
      </c>
      <c r="AG56" s="376">
        <v>930.5</v>
      </c>
      <c r="AH56" s="376">
        <v>930.5</v>
      </c>
      <c r="AI56" s="376">
        <v>930.5</v>
      </c>
      <c r="AJ56" s="376">
        <v>930.5</v>
      </c>
      <c r="AK56" s="69">
        <v>913</v>
      </c>
      <c r="AL56" s="377"/>
    </row>
    <row r="57" spans="1:38" ht="13.5" customHeight="1">
      <c r="A57" s="619"/>
      <c r="B57" s="253"/>
      <c r="C57" s="258"/>
      <c r="D57" s="77" t="s">
        <v>607</v>
      </c>
      <c r="E57" s="376">
        <v>2450</v>
      </c>
      <c r="F57" s="376">
        <v>2450</v>
      </c>
      <c r="G57" s="376">
        <v>2450</v>
      </c>
      <c r="H57" s="376">
        <v>2450</v>
      </c>
      <c r="I57" s="376">
        <v>2450</v>
      </c>
      <c r="J57" s="376">
        <v>2450</v>
      </c>
      <c r="K57" s="376">
        <v>2450</v>
      </c>
      <c r="L57" s="376">
        <v>2325</v>
      </c>
      <c r="M57" s="376">
        <v>2325</v>
      </c>
      <c r="N57" s="376">
        <v>2325</v>
      </c>
      <c r="O57" s="376">
        <v>2325</v>
      </c>
      <c r="P57" s="376">
        <v>2325</v>
      </c>
      <c r="Q57" s="376">
        <v>2200</v>
      </c>
      <c r="R57" s="376">
        <v>2200</v>
      </c>
      <c r="S57" s="376">
        <v>2200</v>
      </c>
      <c r="T57" s="376">
        <v>2200</v>
      </c>
      <c r="U57" s="376">
        <v>2200</v>
      </c>
      <c r="V57" s="376">
        <v>2175</v>
      </c>
      <c r="W57" s="376">
        <v>2175</v>
      </c>
      <c r="X57" s="376">
        <v>2175</v>
      </c>
      <c r="Y57" s="376">
        <v>2175</v>
      </c>
      <c r="Z57" s="376">
        <v>2175</v>
      </c>
      <c r="AA57" s="376">
        <v>2150</v>
      </c>
      <c r="AB57" s="376">
        <v>2150</v>
      </c>
      <c r="AC57" s="376">
        <v>2150</v>
      </c>
      <c r="AD57" s="376">
        <v>2150</v>
      </c>
      <c r="AE57" s="376">
        <v>2150</v>
      </c>
      <c r="AF57" s="376">
        <v>2125</v>
      </c>
      <c r="AG57" s="376">
        <v>2125</v>
      </c>
      <c r="AH57" s="376">
        <v>2125</v>
      </c>
      <c r="AI57" s="376">
        <v>2125</v>
      </c>
      <c r="AJ57" s="376">
        <v>2125</v>
      </c>
      <c r="AK57" s="69">
        <v>2100</v>
      </c>
      <c r="AL57" s="377"/>
    </row>
    <row r="58" spans="1:38" ht="13.5" customHeight="1">
      <c r="A58" s="619"/>
      <c r="B58" s="463"/>
      <c r="C58" s="464" t="s">
        <v>154</v>
      </c>
      <c r="D58" s="77" t="s">
        <v>599</v>
      </c>
      <c r="E58" s="376" t="s">
        <v>186</v>
      </c>
      <c r="F58" s="376" t="s">
        <v>186</v>
      </c>
      <c r="G58" s="376" t="s">
        <v>186</v>
      </c>
      <c r="H58" s="376" t="s">
        <v>186</v>
      </c>
      <c r="I58" s="376" t="s">
        <v>186</v>
      </c>
      <c r="J58" s="376" t="s">
        <v>186</v>
      </c>
      <c r="K58" s="376" t="s">
        <v>186</v>
      </c>
      <c r="L58" s="376" t="s">
        <v>186</v>
      </c>
      <c r="M58" s="376" t="s">
        <v>186</v>
      </c>
      <c r="N58" s="376" t="s">
        <v>186</v>
      </c>
      <c r="O58" s="376" t="s">
        <v>186</v>
      </c>
      <c r="P58" s="376" t="s">
        <v>186</v>
      </c>
      <c r="Q58" s="376" t="s">
        <v>186</v>
      </c>
      <c r="R58" s="376" t="s">
        <v>186</v>
      </c>
      <c r="S58" s="376" t="s">
        <v>186</v>
      </c>
      <c r="T58" s="376" t="s">
        <v>186</v>
      </c>
      <c r="U58" s="376" t="s">
        <v>186</v>
      </c>
      <c r="V58" s="376" t="s">
        <v>186</v>
      </c>
      <c r="W58" s="376" t="s">
        <v>186</v>
      </c>
      <c r="X58" s="376" t="s">
        <v>186</v>
      </c>
      <c r="Y58" s="376" t="s">
        <v>186</v>
      </c>
      <c r="Z58" s="376" t="s">
        <v>186</v>
      </c>
      <c r="AA58" s="376" t="s">
        <v>186</v>
      </c>
      <c r="AB58" s="376" t="s">
        <v>186</v>
      </c>
      <c r="AC58" s="376" t="s">
        <v>186</v>
      </c>
      <c r="AD58" s="376" t="s">
        <v>186</v>
      </c>
      <c r="AE58" s="376" t="s">
        <v>186</v>
      </c>
      <c r="AF58" s="376" t="s">
        <v>186</v>
      </c>
      <c r="AG58" s="376" t="s">
        <v>186</v>
      </c>
      <c r="AH58" s="376" t="s">
        <v>186</v>
      </c>
      <c r="AI58" s="376" t="s">
        <v>186</v>
      </c>
      <c r="AJ58" s="376" t="s">
        <v>186</v>
      </c>
      <c r="AK58" s="69" t="s">
        <v>186</v>
      </c>
      <c r="AL58" s="377"/>
    </row>
    <row r="59" spans="1:38" ht="13.5" customHeight="1">
      <c r="A59" s="619"/>
      <c r="B59" s="253"/>
      <c r="C59" s="258"/>
      <c r="D59" s="111" t="s">
        <v>608</v>
      </c>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93"/>
      <c r="AL59" s="377"/>
    </row>
    <row r="60" spans="1:38" ht="13.5" customHeight="1">
      <c r="A60" s="619"/>
      <c r="B60" s="253"/>
      <c r="C60" s="258"/>
      <c r="D60" s="114" t="s">
        <v>603</v>
      </c>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93"/>
      <c r="AL60" s="377"/>
    </row>
    <row r="61" spans="1:38" ht="13.5" customHeight="1">
      <c r="A61" s="619"/>
      <c r="B61" s="253"/>
      <c r="C61" s="258"/>
      <c r="D61" s="77" t="s">
        <v>609</v>
      </c>
      <c r="E61" s="376">
        <v>5855</v>
      </c>
      <c r="F61" s="376">
        <v>5085</v>
      </c>
      <c r="G61" s="376">
        <v>5085</v>
      </c>
      <c r="H61" s="376">
        <v>5085</v>
      </c>
      <c r="I61" s="376">
        <v>5085</v>
      </c>
      <c r="J61" s="376">
        <v>5085</v>
      </c>
      <c r="K61" s="376">
        <v>5085</v>
      </c>
      <c r="L61" s="376">
        <v>4755</v>
      </c>
      <c r="M61" s="376">
        <v>4755</v>
      </c>
      <c r="N61" s="376">
        <v>4755</v>
      </c>
      <c r="O61" s="376">
        <v>4755</v>
      </c>
      <c r="P61" s="376">
        <v>4755</v>
      </c>
      <c r="Q61" s="376">
        <v>4424</v>
      </c>
      <c r="R61" s="376">
        <v>4424</v>
      </c>
      <c r="S61" s="376">
        <v>4424</v>
      </c>
      <c r="T61" s="376">
        <v>4424</v>
      </c>
      <c r="U61" s="376">
        <v>4424</v>
      </c>
      <c r="V61" s="376">
        <v>4424</v>
      </c>
      <c r="W61" s="376">
        <v>4424</v>
      </c>
      <c r="X61" s="376">
        <v>4424</v>
      </c>
      <c r="Y61" s="376">
        <v>4424</v>
      </c>
      <c r="Z61" s="376">
        <v>4424</v>
      </c>
      <c r="AA61" s="376">
        <v>4424</v>
      </c>
      <c r="AB61" s="376">
        <v>4424</v>
      </c>
      <c r="AC61" s="376">
        <v>4424</v>
      </c>
      <c r="AD61" s="376">
        <v>4424</v>
      </c>
      <c r="AE61" s="376">
        <v>4424</v>
      </c>
      <c r="AF61" s="376">
        <v>4424</v>
      </c>
      <c r="AG61" s="376">
        <v>4424</v>
      </c>
      <c r="AH61" s="376">
        <v>4424</v>
      </c>
      <c r="AI61" s="376">
        <v>4424</v>
      </c>
      <c r="AJ61" s="376">
        <v>4424</v>
      </c>
      <c r="AK61" s="69">
        <v>4424</v>
      </c>
      <c r="AL61" s="377"/>
    </row>
    <row r="62" spans="1:38" ht="13.5" customHeight="1">
      <c r="A62" s="619"/>
      <c r="B62" s="456"/>
      <c r="C62" s="457" t="s">
        <v>159</v>
      </c>
      <c r="D62" s="77" t="s">
        <v>610</v>
      </c>
      <c r="E62" s="376">
        <v>1770</v>
      </c>
      <c r="F62" s="376">
        <v>1770</v>
      </c>
      <c r="G62" s="376">
        <v>1770</v>
      </c>
      <c r="H62" s="376">
        <v>1770</v>
      </c>
      <c r="I62" s="376">
        <v>1770</v>
      </c>
      <c r="J62" s="376">
        <v>1770</v>
      </c>
      <c r="K62" s="376">
        <v>1770</v>
      </c>
      <c r="L62" s="376">
        <v>1770</v>
      </c>
      <c r="M62" s="376">
        <v>1770</v>
      </c>
      <c r="N62" s="376">
        <v>1770</v>
      </c>
      <c r="O62" s="376">
        <v>1770</v>
      </c>
      <c r="P62" s="376">
        <v>1770</v>
      </c>
      <c r="Q62" s="376">
        <v>1770</v>
      </c>
      <c r="R62" s="376">
        <v>1770</v>
      </c>
      <c r="S62" s="376">
        <v>1770</v>
      </c>
      <c r="T62" s="376">
        <v>1770</v>
      </c>
      <c r="U62" s="376">
        <v>1770</v>
      </c>
      <c r="V62" s="376">
        <v>1770</v>
      </c>
      <c r="W62" s="376">
        <v>1770</v>
      </c>
      <c r="X62" s="376">
        <v>1770</v>
      </c>
      <c r="Y62" s="376">
        <v>1770</v>
      </c>
      <c r="Z62" s="376">
        <v>1770</v>
      </c>
      <c r="AA62" s="376">
        <v>1770</v>
      </c>
      <c r="AB62" s="376">
        <v>1770</v>
      </c>
      <c r="AC62" s="376">
        <v>1770</v>
      </c>
      <c r="AD62" s="376">
        <v>1770</v>
      </c>
      <c r="AE62" s="376">
        <v>1770</v>
      </c>
      <c r="AF62" s="376">
        <v>1770</v>
      </c>
      <c r="AG62" s="376">
        <v>1770</v>
      </c>
      <c r="AH62" s="376">
        <v>1770</v>
      </c>
      <c r="AI62" s="376">
        <v>1770</v>
      </c>
      <c r="AJ62" s="376">
        <v>1770</v>
      </c>
      <c r="AK62" s="69">
        <v>1770</v>
      </c>
      <c r="AL62" s="377"/>
    </row>
    <row r="63" spans="1:38" ht="13.5" customHeight="1">
      <c r="A63" s="619"/>
      <c r="B63" s="253"/>
      <c r="C63" s="258"/>
      <c r="D63" s="77" t="s">
        <v>611</v>
      </c>
      <c r="E63" s="376">
        <v>4500</v>
      </c>
      <c r="F63" s="376">
        <v>4500</v>
      </c>
      <c r="G63" s="376">
        <v>4500</v>
      </c>
      <c r="H63" s="376">
        <v>4500</v>
      </c>
      <c r="I63" s="376">
        <v>4500</v>
      </c>
      <c r="J63" s="376">
        <v>4500</v>
      </c>
      <c r="K63" s="376">
        <v>4500</v>
      </c>
      <c r="L63" s="376">
        <v>4500</v>
      </c>
      <c r="M63" s="376">
        <v>4500</v>
      </c>
      <c r="N63" s="376">
        <v>4500</v>
      </c>
      <c r="O63" s="376">
        <v>4500</v>
      </c>
      <c r="P63" s="376">
        <v>4500</v>
      </c>
      <c r="Q63" s="376">
        <v>4500</v>
      </c>
      <c r="R63" s="376">
        <v>4500</v>
      </c>
      <c r="S63" s="376">
        <v>4500</v>
      </c>
      <c r="T63" s="376">
        <v>4500</v>
      </c>
      <c r="U63" s="376">
        <v>4500</v>
      </c>
      <c r="V63" s="376">
        <v>4400</v>
      </c>
      <c r="W63" s="376">
        <v>4400</v>
      </c>
      <c r="X63" s="376">
        <v>4400</v>
      </c>
      <c r="Y63" s="376">
        <v>4400</v>
      </c>
      <c r="Z63" s="376">
        <v>4400</v>
      </c>
      <c r="AA63" s="376">
        <v>4300</v>
      </c>
      <c r="AB63" s="376">
        <v>4300</v>
      </c>
      <c r="AC63" s="376">
        <v>4300</v>
      </c>
      <c r="AD63" s="376">
        <v>4300</v>
      </c>
      <c r="AE63" s="376">
        <v>4300</v>
      </c>
      <c r="AF63" s="376">
        <v>4200</v>
      </c>
      <c r="AG63" s="376">
        <v>4200</v>
      </c>
      <c r="AH63" s="376">
        <v>4200</v>
      </c>
      <c r="AI63" s="376">
        <v>4200</v>
      </c>
      <c r="AJ63" s="376">
        <v>4200</v>
      </c>
      <c r="AK63" s="69">
        <v>4100</v>
      </c>
      <c r="AL63" s="377"/>
    </row>
    <row r="64" spans="1:38" ht="13.5" customHeight="1">
      <c r="A64" s="619"/>
      <c r="B64" s="253"/>
      <c r="C64" s="258"/>
      <c r="D64" s="77" t="s">
        <v>599</v>
      </c>
      <c r="E64" s="376">
        <v>1000</v>
      </c>
      <c r="F64" s="376">
        <v>1000</v>
      </c>
      <c r="G64" s="376">
        <v>1000</v>
      </c>
      <c r="H64" s="376">
        <v>1000</v>
      </c>
      <c r="I64" s="376">
        <v>1000</v>
      </c>
      <c r="J64" s="376">
        <v>1000</v>
      </c>
      <c r="K64" s="376">
        <v>1000</v>
      </c>
      <c r="L64" s="376">
        <v>1000</v>
      </c>
      <c r="M64" s="376">
        <v>1000</v>
      </c>
      <c r="N64" s="376">
        <v>1000</v>
      </c>
      <c r="O64" s="376">
        <v>1000</v>
      </c>
      <c r="P64" s="376">
        <v>1000</v>
      </c>
      <c r="Q64" s="376">
        <v>1000</v>
      </c>
      <c r="R64" s="376">
        <v>1000</v>
      </c>
      <c r="S64" s="376">
        <v>1000</v>
      </c>
      <c r="T64" s="376">
        <v>1000</v>
      </c>
      <c r="U64" s="376">
        <v>1000</v>
      </c>
      <c r="V64" s="376">
        <v>1000</v>
      </c>
      <c r="W64" s="376">
        <v>1000</v>
      </c>
      <c r="X64" s="376">
        <v>1000</v>
      </c>
      <c r="Y64" s="376">
        <v>1000</v>
      </c>
      <c r="Z64" s="376">
        <v>1000</v>
      </c>
      <c r="AA64" s="376">
        <v>1000</v>
      </c>
      <c r="AB64" s="376">
        <v>1000</v>
      </c>
      <c r="AC64" s="376">
        <v>1000</v>
      </c>
      <c r="AD64" s="376">
        <v>1000</v>
      </c>
      <c r="AE64" s="376">
        <v>1000</v>
      </c>
      <c r="AF64" s="376">
        <v>1000</v>
      </c>
      <c r="AG64" s="376">
        <v>1000</v>
      </c>
      <c r="AH64" s="376">
        <v>1000</v>
      </c>
      <c r="AI64" s="376">
        <v>1000</v>
      </c>
      <c r="AJ64" s="376">
        <v>1000</v>
      </c>
      <c r="AK64" s="69">
        <v>1000</v>
      </c>
      <c r="AL64" s="377"/>
    </row>
    <row r="65" spans="1:38" ht="13.5" customHeight="1">
      <c r="A65" s="619"/>
      <c r="B65" s="253"/>
      <c r="C65" s="258"/>
      <c r="D65" s="111" t="s">
        <v>612</v>
      </c>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93"/>
      <c r="AL65" s="377"/>
    </row>
    <row r="66" spans="1:38" ht="13.5" customHeight="1">
      <c r="A66" s="619"/>
      <c r="B66" s="253"/>
      <c r="C66" s="258"/>
      <c r="D66" s="114" t="s">
        <v>603</v>
      </c>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93"/>
      <c r="AL66" s="377"/>
    </row>
    <row r="67" spans="1:38" ht="13.5" customHeight="1">
      <c r="A67" s="619">
        <v>1</v>
      </c>
      <c r="B67" s="253"/>
      <c r="C67" s="258"/>
      <c r="D67" s="118" t="s">
        <v>613</v>
      </c>
      <c r="E67" s="459">
        <v>1449.60025</v>
      </c>
      <c r="F67" s="459">
        <v>1449.60025</v>
      </c>
      <c r="G67" s="459">
        <v>1449.60025</v>
      </c>
      <c r="H67" s="459">
        <v>1449.60025</v>
      </c>
      <c r="I67" s="459">
        <v>1449.60025</v>
      </c>
      <c r="J67" s="459">
        <v>1449.60025</v>
      </c>
      <c r="K67" s="459">
        <v>1449.60025</v>
      </c>
      <c r="L67" s="459">
        <v>1449.60025</v>
      </c>
      <c r="M67" s="459">
        <v>1449.60025</v>
      </c>
      <c r="N67" s="459">
        <v>1449.60025</v>
      </c>
      <c r="O67" s="459">
        <v>1449.60025</v>
      </c>
      <c r="P67" s="459">
        <v>1449.60025</v>
      </c>
      <c r="Q67" s="459">
        <v>1449.60025</v>
      </c>
      <c r="R67" s="459">
        <v>1449.60025</v>
      </c>
      <c r="S67" s="459">
        <v>1449.60025</v>
      </c>
      <c r="T67" s="459">
        <v>1449.60025</v>
      </c>
      <c r="U67" s="459">
        <v>1449.60025</v>
      </c>
      <c r="V67" s="459">
        <v>1449.60025</v>
      </c>
      <c r="W67" s="459">
        <v>1449.60025</v>
      </c>
      <c r="X67" s="459">
        <v>1449.60025</v>
      </c>
      <c r="Y67" s="459">
        <v>1449.60025</v>
      </c>
      <c r="Z67" s="459">
        <v>1449.60025</v>
      </c>
      <c r="AA67" s="459">
        <v>1449.60025</v>
      </c>
      <c r="AB67" s="459">
        <v>1449.60025</v>
      </c>
      <c r="AC67" s="459">
        <v>1449.60025</v>
      </c>
      <c r="AD67" s="459">
        <v>1449.60025</v>
      </c>
      <c r="AE67" s="459">
        <v>1449.60025</v>
      </c>
      <c r="AF67" s="459">
        <v>1449.60025</v>
      </c>
      <c r="AG67" s="459">
        <v>1449.60025</v>
      </c>
      <c r="AH67" s="459">
        <v>1449.60025</v>
      </c>
      <c r="AI67" s="459">
        <v>1449.60025</v>
      </c>
      <c r="AJ67" s="459">
        <v>1449.60025</v>
      </c>
      <c r="AK67" s="115">
        <v>1449.60025</v>
      </c>
      <c r="AL67" s="377"/>
    </row>
    <row r="68" spans="1:38" ht="13.5" customHeight="1">
      <c r="A68" s="619"/>
      <c r="B68" s="253"/>
      <c r="C68" s="258"/>
      <c r="D68" s="112" t="s">
        <v>253</v>
      </c>
      <c r="E68" s="343"/>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c r="AD68" s="343"/>
      <c r="AE68" s="343"/>
      <c r="AF68" s="343"/>
      <c r="AG68" s="343"/>
      <c r="AH68" s="343"/>
      <c r="AI68" s="343"/>
      <c r="AJ68" s="343"/>
      <c r="AK68" s="113"/>
      <c r="AL68" s="377"/>
    </row>
    <row r="69" spans="1:38" ht="13.5" customHeight="1">
      <c r="A69" s="619"/>
      <c r="B69" s="253"/>
      <c r="C69" s="258"/>
      <c r="D69" s="110" t="s">
        <v>614</v>
      </c>
      <c r="E69" s="447"/>
      <c r="F69" s="447"/>
      <c r="G69" s="447"/>
      <c r="H69" s="447"/>
      <c r="I69" s="447"/>
      <c r="J69" s="447"/>
      <c r="K69" s="447"/>
      <c r="L69" s="447"/>
      <c r="M69" s="447"/>
      <c r="N69" s="447"/>
      <c r="O69" s="447"/>
      <c r="P69" s="447"/>
      <c r="Q69" s="447"/>
      <c r="R69" s="447"/>
      <c r="S69" s="447"/>
      <c r="T69" s="447"/>
      <c r="U69" s="447"/>
      <c r="V69" s="447"/>
      <c r="W69" s="447"/>
      <c r="X69" s="447"/>
      <c r="Y69" s="447"/>
      <c r="Z69" s="447"/>
      <c r="AA69" s="447"/>
      <c r="AB69" s="447"/>
      <c r="AC69" s="447"/>
      <c r="AD69" s="447"/>
      <c r="AE69" s="447"/>
      <c r="AF69" s="447"/>
      <c r="AG69" s="447"/>
      <c r="AH69" s="447"/>
      <c r="AI69" s="447"/>
      <c r="AJ69" s="447"/>
      <c r="AK69" s="76"/>
      <c r="AL69" s="377"/>
    </row>
    <row r="70" spans="1:38" ht="13.5" customHeight="1">
      <c r="A70" s="619"/>
      <c r="B70" s="253"/>
      <c r="C70" s="258"/>
      <c r="D70" s="77" t="s">
        <v>615</v>
      </c>
      <c r="E70" s="376">
        <v>2500</v>
      </c>
      <c r="F70" s="376">
        <v>2500</v>
      </c>
      <c r="G70" s="376">
        <v>2500</v>
      </c>
      <c r="H70" s="376">
        <v>2500</v>
      </c>
      <c r="I70" s="376">
        <v>2500</v>
      </c>
      <c r="J70" s="376">
        <v>2500</v>
      </c>
      <c r="K70" s="376">
        <v>2500</v>
      </c>
      <c r="L70" s="376">
        <v>2500</v>
      </c>
      <c r="M70" s="376">
        <v>2500</v>
      </c>
      <c r="N70" s="376">
        <v>2500</v>
      </c>
      <c r="O70" s="376">
        <v>2500</v>
      </c>
      <c r="P70" s="376">
        <v>2500</v>
      </c>
      <c r="Q70" s="376">
        <v>2500</v>
      </c>
      <c r="R70" s="376">
        <v>2500</v>
      </c>
      <c r="S70" s="376">
        <v>2500</v>
      </c>
      <c r="T70" s="376">
        <v>2500</v>
      </c>
      <c r="U70" s="376">
        <v>2500</v>
      </c>
      <c r="V70" s="376">
        <v>2250</v>
      </c>
      <c r="W70" s="376">
        <v>2250</v>
      </c>
      <c r="X70" s="376">
        <v>2250</v>
      </c>
      <c r="Y70" s="376">
        <v>2250</v>
      </c>
      <c r="Z70" s="376">
        <v>2250</v>
      </c>
      <c r="AA70" s="376">
        <v>1875</v>
      </c>
      <c r="AB70" s="376">
        <v>1875</v>
      </c>
      <c r="AC70" s="376">
        <v>1875</v>
      </c>
      <c r="AD70" s="376">
        <v>1875</v>
      </c>
      <c r="AE70" s="376">
        <v>1875</v>
      </c>
      <c r="AF70" s="376">
        <v>1875</v>
      </c>
      <c r="AG70" s="376">
        <v>1875</v>
      </c>
      <c r="AH70" s="376">
        <v>1875</v>
      </c>
      <c r="AI70" s="376">
        <v>1875</v>
      </c>
      <c r="AJ70" s="376">
        <v>1875</v>
      </c>
      <c r="AK70" s="69">
        <v>1875</v>
      </c>
      <c r="AL70" s="377"/>
    </row>
    <row r="71" spans="1:38" ht="13.5" customHeight="1">
      <c r="A71" s="619"/>
      <c r="B71" s="253"/>
      <c r="C71" s="258"/>
      <c r="D71" s="77" t="s">
        <v>616</v>
      </c>
      <c r="E71" s="376">
        <v>4275</v>
      </c>
      <c r="F71" s="376">
        <v>4275</v>
      </c>
      <c r="G71" s="376">
        <v>4275</v>
      </c>
      <c r="H71" s="376">
        <v>4275</v>
      </c>
      <c r="I71" s="376">
        <v>4275</v>
      </c>
      <c r="J71" s="376">
        <v>4275</v>
      </c>
      <c r="K71" s="376">
        <v>4275</v>
      </c>
      <c r="L71" s="376">
        <v>4275</v>
      </c>
      <c r="M71" s="376">
        <v>4275</v>
      </c>
      <c r="N71" s="376">
        <v>4275</v>
      </c>
      <c r="O71" s="376">
        <v>4275</v>
      </c>
      <c r="P71" s="376">
        <v>4275</v>
      </c>
      <c r="Q71" s="376">
        <v>4275</v>
      </c>
      <c r="R71" s="376">
        <v>4275</v>
      </c>
      <c r="S71" s="376">
        <v>4275</v>
      </c>
      <c r="T71" s="376">
        <v>4275</v>
      </c>
      <c r="U71" s="376">
        <v>4275</v>
      </c>
      <c r="V71" s="376">
        <v>4275</v>
      </c>
      <c r="W71" s="376">
        <v>4275</v>
      </c>
      <c r="X71" s="376">
        <v>4275</v>
      </c>
      <c r="Y71" s="376">
        <v>4275</v>
      </c>
      <c r="Z71" s="376">
        <v>4275</v>
      </c>
      <c r="AA71" s="376">
        <v>3563</v>
      </c>
      <c r="AB71" s="376">
        <v>3563</v>
      </c>
      <c r="AC71" s="376">
        <v>3563</v>
      </c>
      <c r="AD71" s="376">
        <v>3563</v>
      </c>
      <c r="AE71" s="376">
        <v>3563</v>
      </c>
      <c r="AF71" s="376">
        <v>3563</v>
      </c>
      <c r="AG71" s="376">
        <v>3563</v>
      </c>
      <c r="AH71" s="376">
        <v>3563</v>
      </c>
      <c r="AI71" s="376">
        <v>3563</v>
      </c>
      <c r="AJ71" s="376">
        <v>3563</v>
      </c>
      <c r="AK71" s="69">
        <v>3563</v>
      </c>
      <c r="AL71" s="377"/>
    </row>
    <row r="72" spans="1:38" ht="13.5" customHeight="1">
      <c r="A72" s="619">
        <v>1</v>
      </c>
      <c r="B72" s="456"/>
      <c r="C72" s="457" t="s">
        <v>267</v>
      </c>
      <c r="D72" s="119" t="s">
        <v>555</v>
      </c>
      <c r="E72" s="120">
        <v>4066.5</v>
      </c>
      <c r="F72" s="120">
        <v>4066.5</v>
      </c>
      <c r="G72" s="120">
        <v>4066.5</v>
      </c>
      <c r="H72" s="120">
        <v>4066.5</v>
      </c>
      <c r="I72" s="120">
        <v>4066.5</v>
      </c>
      <c r="J72" s="120">
        <v>4066.5</v>
      </c>
      <c r="K72" s="120">
        <v>4066.5</v>
      </c>
      <c r="L72" s="120">
        <v>4066.5</v>
      </c>
      <c r="M72" s="120">
        <v>4066.5</v>
      </c>
      <c r="N72" s="120">
        <v>4066.5</v>
      </c>
      <c r="O72" s="120">
        <v>4066.5</v>
      </c>
      <c r="P72" s="120">
        <v>4066.5</v>
      </c>
      <c r="Q72" s="120">
        <v>4066.5</v>
      </c>
      <c r="R72" s="120">
        <v>4066.5</v>
      </c>
      <c r="S72" s="120">
        <v>4066.5</v>
      </c>
      <c r="T72" s="120">
        <v>4066.5</v>
      </c>
      <c r="U72" s="120">
        <v>4066.5</v>
      </c>
      <c r="V72" s="120">
        <v>4066.5</v>
      </c>
      <c r="W72" s="120">
        <v>4066.5</v>
      </c>
      <c r="X72" s="120">
        <v>4066.5</v>
      </c>
      <c r="Y72" s="120">
        <v>4066.5</v>
      </c>
      <c r="Z72" s="120">
        <v>4066.5</v>
      </c>
      <c r="AA72" s="120">
        <v>4066.5</v>
      </c>
      <c r="AB72" s="120">
        <v>4066.5</v>
      </c>
      <c r="AC72" s="120">
        <v>4066.5</v>
      </c>
      <c r="AD72" s="120">
        <v>4066.5</v>
      </c>
      <c r="AE72" s="120">
        <v>4066.5</v>
      </c>
      <c r="AF72" s="120">
        <v>4066.5</v>
      </c>
      <c r="AG72" s="120">
        <v>4066.5</v>
      </c>
      <c r="AH72" s="120">
        <v>4066.5</v>
      </c>
      <c r="AI72" s="120">
        <v>4066.5</v>
      </c>
      <c r="AJ72" s="120">
        <v>4066.5</v>
      </c>
      <c r="AK72" s="121">
        <v>4066.5</v>
      </c>
      <c r="AL72" s="377"/>
    </row>
    <row r="73" spans="1:38" ht="13.5" customHeight="1">
      <c r="A73" s="8"/>
      <c r="B73" s="463"/>
      <c r="C73" s="464" t="s">
        <v>617</v>
      </c>
      <c r="D73" s="259"/>
      <c r="E73" s="376"/>
      <c r="F73" s="376"/>
      <c r="G73" s="376"/>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6"/>
      <c r="AL73" s="377"/>
    </row>
    <row r="74" spans="1:38" ht="13.5" customHeight="1">
      <c r="A74" s="8"/>
      <c r="B74" s="253"/>
      <c r="C74" s="258"/>
      <c r="D74" s="259"/>
      <c r="E74" s="376"/>
      <c r="F74" s="376"/>
      <c r="G74" s="376"/>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6"/>
      <c r="AL74" s="377"/>
    </row>
    <row r="75" spans="1:38" ht="13.5" customHeight="1">
      <c r="A75" s="8"/>
      <c r="B75" s="253"/>
      <c r="C75" s="258"/>
      <c r="D75" s="259"/>
      <c r="E75" s="376"/>
      <c r="F75" s="376"/>
      <c r="G75" s="376"/>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6"/>
      <c r="AL75" s="377"/>
    </row>
    <row r="76" spans="1:38" ht="13.5" customHeight="1">
      <c r="A76" s="8"/>
      <c r="B76" s="253"/>
      <c r="C76" s="258"/>
      <c r="D76" s="259"/>
      <c r="E76" s="376"/>
      <c r="F76" s="376"/>
      <c r="G76" s="376"/>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6"/>
      <c r="AL76" s="377"/>
    </row>
    <row r="77" spans="1:38" ht="13.5" customHeight="1">
      <c r="A77" s="8"/>
      <c r="B77" s="253"/>
      <c r="C77" s="258"/>
      <c r="D77" s="281" t="s">
        <v>559</v>
      </c>
      <c r="E77" s="376"/>
      <c r="F77" s="376"/>
      <c r="G77" s="376"/>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6"/>
      <c r="AL77" s="377"/>
    </row>
    <row r="78" spans="1:38" ht="13.5" customHeight="1">
      <c r="A78" s="8"/>
      <c r="B78" s="253"/>
      <c r="C78" s="258"/>
      <c r="D78" s="281"/>
      <c r="E78" s="376"/>
      <c r="F78" s="376"/>
      <c r="G78" s="376"/>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6"/>
      <c r="AL78" s="377"/>
    </row>
    <row r="79" spans="1:38" ht="13.5" customHeight="1">
      <c r="A79" s="8"/>
      <c r="B79" s="253"/>
      <c r="C79" s="258"/>
      <c r="D79" s="107" t="s">
        <v>131</v>
      </c>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9"/>
      <c r="AL79" s="377"/>
    </row>
    <row r="80" spans="1:38" ht="13.5" customHeight="1">
      <c r="A80" s="8"/>
      <c r="B80" s="253"/>
      <c r="C80" s="258"/>
      <c r="D80" s="110" t="s">
        <v>571</v>
      </c>
      <c r="E80" s="447"/>
      <c r="F80" s="447"/>
      <c r="G80" s="447"/>
      <c r="H80" s="447"/>
      <c r="I80" s="447"/>
      <c r="J80" s="447"/>
      <c r="K80" s="447"/>
      <c r="L80" s="447"/>
      <c r="M80" s="447"/>
      <c r="N80" s="447"/>
      <c r="O80" s="447"/>
      <c r="P80" s="447"/>
      <c r="Q80" s="447"/>
      <c r="R80" s="447"/>
      <c r="S80" s="447"/>
      <c r="T80" s="447"/>
      <c r="U80" s="447"/>
      <c r="V80" s="447"/>
      <c r="W80" s="447"/>
      <c r="X80" s="447"/>
      <c r="Y80" s="447"/>
      <c r="Z80" s="447"/>
      <c r="AA80" s="447"/>
      <c r="AB80" s="447"/>
      <c r="AC80" s="447"/>
      <c r="AD80" s="447"/>
      <c r="AE80" s="447"/>
      <c r="AF80" s="447"/>
      <c r="AG80" s="447"/>
      <c r="AH80" s="447"/>
      <c r="AI80" s="447"/>
      <c r="AJ80" s="447"/>
      <c r="AK80" s="76"/>
      <c r="AL80" s="377"/>
    </row>
    <row r="81" spans="1:38" ht="13.5" customHeight="1">
      <c r="A81" s="8"/>
      <c r="B81" s="253"/>
      <c r="C81" s="258"/>
      <c r="D81" s="77" t="s">
        <v>572</v>
      </c>
      <c r="E81" s="376">
        <v>90</v>
      </c>
      <c r="F81" s="376">
        <v>90</v>
      </c>
      <c r="G81" s="376">
        <v>90</v>
      </c>
      <c r="H81" s="376">
        <v>90</v>
      </c>
      <c r="I81" s="376">
        <v>90</v>
      </c>
      <c r="J81" s="376">
        <v>90</v>
      </c>
      <c r="K81" s="376">
        <v>90</v>
      </c>
      <c r="L81" s="376">
        <v>90</v>
      </c>
      <c r="M81" s="376">
        <v>90</v>
      </c>
      <c r="N81" s="376">
        <v>90</v>
      </c>
      <c r="O81" s="376">
        <v>90</v>
      </c>
      <c r="P81" s="376">
        <v>90</v>
      </c>
      <c r="Q81" s="376">
        <v>90</v>
      </c>
      <c r="R81" s="376">
        <v>90</v>
      </c>
      <c r="S81" s="376">
        <v>90</v>
      </c>
      <c r="T81" s="376">
        <v>90</v>
      </c>
      <c r="U81" s="376">
        <v>90</v>
      </c>
      <c r="V81" s="376">
        <v>90</v>
      </c>
      <c r="W81" s="376">
        <v>90</v>
      </c>
      <c r="X81" s="376">
        <v>90</v>
      </c>
      <c r="Y81" s="376">
        <v>90</v>
      </c>
      <c r="Z81" s="376">
        <v>90</v>
      </c>
      <c r="AA81" s="376">
        <v>90</v>
      </c>
      <c r="AB81" s="376">
        <v>90</v>
      </c>
      <c r="AC81" s="376">
        <v>90</v>
      </c>
      <c r="AD81" s="376">
        <v>90</v>
      </c>
      <c r="AE81" s="376">
        <v>90</v>
      </c>
      <c r="AF81" s="376">
        <v>90</v>
      </c>
      <c r="AG81" s="376">
        <v>90</v>
      </c>
      <c r="AH81" s="376">
        <v>90</v>
      </c>
      <c r="AI81" s="376">
        <v>90</v>
      </c>
      <c r="AJ81" s="376">
        <v>90</v>
      </c>
      <c r="AK81" s="69">
        <v>90</v>
      </c>
      <c r="AL81" s="377"/>
    </row>
    <row r="82" spans="1:38" ht="13.5" customHeight="1">
      <c r="A82" s="8"/>
      <c r="B82" s="253"/>
      <c r="C82" s="258"/>
      <c r="D82" s="77" t="s">
        <v>573</v>
      </c>
      <c r="E82" s="376">
        <v>95</v>
      </c>
      <c r="F82" s="376">
        <v>95</v>
      </c>
      <c r="G82" s="376">
        <v>95</v>
      </c>
      <c r="H82" s="376">
        <v>95</v>
      </c>
      <c r="I82" s="376">
        <v>95</v>
      </c>
      <c r="J82" s="376">
        <v>95</v>
      </c>
      <c r="K82" s="376">
        <v>95</v>
      </c>
      <c r="L82" s="376">
        <v>91</v>
      </c>
      <c r="M82" s="376">
        <v>91</v>
      </c>
      <c r="N82" s="376">
        <v>91</v>
      </c>
      <c r="O82" s="376">
        <v>91</v>
      </c>
      <c r="P82" s="376">
        <v>91</v>
      </c>
      <c r="Q82" s="376">
        <v>88</v>
      </c>
      <c r="R82" s="376">
        <v>88</v>
      </c>
      <c r="S82" s="376">
        <v>88</v>
      </c>
      <c r="T82" s="376">
        <v>88</v>
      </c>
      <c r="U82" s="376">
        <v>88</v>
      </c>
      <c r="V82" s="376">
        <v>87</v>
      </c>
      <c r="W82" s="376">
        <v>87</v>
      </c>
      <c r="X82" s="376">
        <v>87</v>
      </c>
      <c r="Y82" s="376">
        <v>87</v>
      </c>
      <c r="Z82" s="376">
        <v>87</v>
      </c>
      <c r="AA82" s="376">
        <v>86</v>
      </c>
      <c r="AB82" s="376">
        <v>86</v>
      </c>
      <c r="AC82" s="376">
        <v>86</v>
      </c>
      <c r="AD82" s="376">
        <v>86</v>
      </c>
      <c r="AE82" s="376">
        <v>86</v>
      </c>
      <c r="AF82" s="376">
        <v>85</v>
      </c>
      <c r="AG82" s="376">
        <v>85</v>
      </c>
      <c r="AH82" s="376">
        <v>85</v>
      </c>
      <c r="AI82" s="376">
        <v>85</v>
      </c>
      <c r="AJ82" s="376">
        <v>85</v>
      </c>
      <c r="AK82" s="69">
        <v>84</v>
      </c>
      <c r="AL82" s="377"/>
    </row>
    <row r="83" spans="1:38" ht="13.5" customHeight="1">
      <c r="A83" s="8"/>
      <c r="B83" s="253"/>
      <c r="C83" s="258"/>
      <c r="D83" s="110" t="s">
        <v>574</v>
      </c>
      <c r="E83" s="447"/>
      <c r="F83" s="447"/>
      <c r="G83" s="447"/>
      <c r="H83" s="447"/>
      <c r="I83" s="447"/>
      <c r="J83" s="447"/>
      <c r="K83" s="447"/>
      <c r="L83" s="447"/>
      <c r="M83" s="447"/>
      <c r="N83" s="447"/>
      <c r="O83" s="447"/>
      <c r="P83" s="447"/>
      <c r="Q83" s="447"/>
      <c r="R83" s="447"/>
      <c r="S83" s="447"/>
      <c r="T83" s="447"/>
      <c r="U83" s="447"/>
      <c r="V83" s="447"/>
      <c r="W83" s="447"/>
      <c r="X83" s="447"/>
      <c r="Y83" s="447"/>
      <c r="Z83" s="447"/>
      <c r="AA83" s="447"/>
      <c r="AB83" s="447"/>
      <c r="AC83" s="447"/>
      <c r="AD83" s="447"/>
      <c r="AE83" s="447"/>
      <c r="AF83" s="447"/>
      <c r="AG83" s="447"/>
      <c r="AH83" s="447"/>
      <c r="AI83" s="447"/>
      <c r="AJ83" s="447"/>
      <c r="AK83" s="76"/>
      <c r="AL83" s="377"/>
    </row>
    <row r="84" spans="1:38" ht="13.5" customHeight="1">
      <c r="A84" s="8"/>
      <c r="B84" s="253"/>
      <c r="C84" s="258"/>
      <c r="D84" s="111" t="s">
        <v>575</v>
      </c>
      <c r="E84" s="451">
        <v>160</v>
      </c>
      <c r="F84" s="451">
        <v>160</v>
      </c>
      <c r="G84" s="451">
        <v>160</v>
      </c>
      <c r="H84" s="451">
        <v>160</v>
      </c>
      <c r="I84" s="451">
        <v>160</v>
      </c>
      <c r="J84" s="451">
        <v>160</v>
      </c>
      <c r="K84" s="451">
        <v>160</v>
      </c>
      <c r="L84" s="451">
        <v>160</v>
      </c>
      <c r="M84" s="451">
        <v>160</v>
      </c>
      <c r="N84" s="451">
        <v>160</v>
      </c>
      <c r="O84" s="451">
        <v>160</v>
      </c>
      <c r="P84" s="451">
        <v>160</v>
      </c>
      <c r="Q84" s="451">
        <v>160</v>
      </c>
      <c r="R84" s="451">
        <v>160</v>
      </c>
      <c r="S84" s="451">
        <v>160</v>
      </c>
      <c r="T84" s="451">
        <v>160</v>
      </c>
      <c r="U84" s="451">
        <v>160</v>
      </c>
      <c r="V84" s="451">
        <v>160</v>
      </c>
      <c r="W84" s="451">
        <v>160</v>
      </c>
      <c r="X84" s="451">
        <v>160</v>
      </c>
      <c r="Y84" s="451">
        <v>160</v>
      </c>
      <c r="Z84" s="451">
        <v>160</v>
      </c>
      <c r="AA84" s="451">
        <v>160</v>
      </c>
      <c r="AB84" s="451">
        <v>160</v>
      </c>
      <c r="AC84" s="451">
        <v>160</v>
      </c>
      <c r="AD84" s="451">
        <v>160</v>
      </c>
      <c r="AE84" s="451">
        <v>160</v>
      </c>
      <c r="AF84" s="451">
        <v>160</v>
      </c>
      <c r="AG84" s="451">
        <v>160</v>
      </c>
      <c r="AH84" s="451">
        <v>160</v>
      </c>
      <c r="AI84" s="451">
        <v>160</v>
      </c>
      <c r="AJ84" s="451">
        <v>160</v>
      </c>
      <c r="AK84" s="93">
        <v>160</v>
      </c>
      <c r="AL84" s="377"/>
    </row>
    <row r="85" spans="1:38" ht="13.5" customHeight="1">
      <c r="A85" s="8"/>
      <c r="B85" s="253"/>
      <c r="C85" s="258"/>
      <c r="D85" s="111" t="s">
        <v>576</v>
      </c>
      <c r="E85" s="451">
        <v>195</v>
      </c>
      <c r="F85" s="451">
        <v>195</v>
      </c>
      <c r="G85" s="451">
        <v>195</v>
      </c>
      <c r="H85" s="451">
        <v>195</v>
      </c>
      <c r="I85" s="451">
        <v>195</v>
      </c>
      <c r="J85" s="451">
        <v>195</v>
      </c>
      <c r="K85" s="451">
        <v>195</v>
      </c>
      <c r="L85" s="451">
        <v>195</v>
      </c>
      <c r="M85" s="451">
        <v>195</v>
      </c>
      <c r="N85" s="451">
        <v>195</v>
      </c>
      <c r="O85" s="451">
        <v>195</v>
      </c>
      <c r="P85" s="451">
        <v>195</v>
      </c>
      <c r="Q85" s="451">
        <v>195</v>
      </c>
      <c r="R85" s="451">
        <v>195</v>
      </c>
      <c r="S85" s="451">
        <v>195</v>
      </c>
      <c r="T85" s="451">
        <v>195</v>
      </c>
      <c r="U85" s="451">
        <v>195</v>
      </c>
      <c r="V85" s="451">
        <v>195</v>
      </c>
      <c r="W85" s="451">
        <v>195</v>
      </c>
      <c r="X85" s="451">
        <v>195</v>
      </c>
      <c r="Y85" s="451">
        <v>195</v>
      </c>
      <c r="Z85" s="451">
        <v>195</v>
      </c>
      <c r="AA85" s="451">
        <v>195</v>
      </c>
      <c r="AB85" s="451">
        <v>195</v>
      </c>
      <c r="AC85" s="451">
        <v>195</v>
      </c>
      <c r="AD85" s="451">
        <v>195</v>
      </c>
      <c r="AE85" s="451">
        <v>195</v>
      </c>
      <c r="AF85" s="451">
        <v>195</v>
      </c>
      <c r="AG85" s="451">
        <v>195</v>
      </c>
      <c r="AH85" s="451">
        <v>195</v>
      </c>
      <c r="AI85" s="451">
        <v>195</v>
      </c>
      <c r="AJ85" s="451">
        <v>195</v>
      </c>
      <c r="AK85" s="93">
        <v>195</v>
      </c>
      <c r="AL85" s="377"/>
    </row>
    <row r="86" spans="1:38" ht="13.5" customHeight="1">
      <c r="A86" s="8"/>
      <c r="B86" s="253"/>
      <c r="C86" s="258"/>
      <c r="D86" s="112" t="s">
        <v>136</v>
      </c>
      <c r="E86" s="453">
        <v>37.950000000000003</v>
      </c>
      <c r="F86" s="453">
        <v>37.950000000000003</v>
      </c>
      <c r="G86" s="453">
        <v>34.29</v>
      </c>
      <c r="H86" s="453">
        <v>34.29</v>
      </c>
      <c r="I86" s="453">
        <v>34.29</v>
      </c>
      <c r="J86" s="453">
        <v>34.29</v>
      </c>
      <c r="K86" s="453">
        <v>34.29</v>
      </c>
      <c r="L86" s="453">
        <v>30.65</v>
      </c>
      <c r="M86" s="453">
        <v>30.65</v>
      </c>
      <c r="N86" s="453">
        <v>30.65</v>
      </c>
      <c r="O86" s="453">
        <v>30.65</v>
      </c>
      <c r="P86" s="453">
        <v>30.65</v>
      </c>
      <c r="Q86" s="453">
        <v>27</v>
      </c>
      <c r="R86" s="453">
        <v>27</v>
      </c>
      <c r="S86" s="453">
        <v>27</v>
      </c>
      <c r="T86" s="453">
        <v>27</v>
      </c>
      <c r="U86" s="453">
        <v>27</v>
      </c>
      <c r="V86" s="453">
        <v>24.59</v>
      </c>
      <c r="W86" s="453">
        <v>24.59</v>
      </c>
      <c r="X86" s="453">
        <v>24.59</v>
      </c>
      <c r="Y86" s="453">
        <v>24.59</v>
      </c>
      <c r="Z86" s="453">
        <v>24.59</v>
      </c>
      <c r="AA86" s="453">
        <v>22.19</v>
      </c>
      <c r="AB86" s="453">
        <v>22.19</v>
      </c>
      <c r="AC86" s="453">
        <v>22.19</v>
      </c>
      <c r="AD86" s="453">
        <v>22.19</v>
      </c>
      <c r="AE86" s="453">
        <v>22.19</v>
      </c>
      <c r="AF86" s="453">
        <v>19.78</v>
      </c>
      <c r="AG86" s="453">
        <v>19.78</v>
      </c>
      <c r="AH86" s="453">
        <v>19.78</v>
      </c>
      <c r="AI86" s="453">
        <v>19.78</v>
      </c>
      <c r="AJ86" s="453">
        <v>19.78</v>
      </c>
      <c r="AK86" s="98">
        <v>17.37</v>
      </c>
      <c r="AL86" s="377"/>
    </row>
    <row r="87" spans="1:38" ht="13.5" customHeight="1">
      <c r="A87" s="8"/>
      <c r="B87" s="253"/>
      <c r="C87" s="258"/>
      <c r="D87" s="112" t="s">
        <v>137</v>
      </c>
      <c r="E87" s="343"/>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c r="AD87" s="343"/>
      <c r="AE87" s="343"/>
      <c r="AF87" s="343"/>
      <c r="AG87" s="343"/>
      <c r="AH87" s="343"/>
      <c r="AI87" s="343"/>
      <c r="AJ87" s="343"/>
      <c r="AK87" s="113"/>
      <c r="AL87" s="377"/>
    </row>
    <row r="88" spans="1:38" ht="13.5" customHeight="1">
      <c r="A88" s="8"/>
      <c r="B88" s="253"/>
      <c r="C88" s="258"/>
      <c r="D88" s="110" t="s">
        <v>580</v>
      </c>
      <c r="E88" s="447"/>
      <c r="F88" s="447"/>
      <c r="G88" s="447"/>
      <c r="H88" s="447"/>
      <c r="I88" s="447"/>
      <c r="J88" s="447"/>
      <c r="K88" s="447"/>
      <c r="L88" s="447"/>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7"/>
      <c r="AK88" s="76"/>
      <c r="AL88" s="377"/>
    </row>
    <row r="89" spans="1:38" ht="13.5" customHeight="1">
      <c r="A89" s="8"/>
      <c r="B89" s="253"/>
      <c r="C89" s="258"/>
      <c r="D89" s="111" t="s">
        <v>581</v>
      </c>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93"/>
      <c r="AL89" s="377"/>
    </row>
    <row r="90" spans="1:38" ht="13.5" customHeight="1">
      <c r="A90" s="8"/>
      <c r="B90" s="253"/>
      <c r="C90" s="258"/>
      <c r="D90" s="114" t="s">
        <v>582</v>
      </c>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93"/>
      <c r="AL90" s="377"/>
    </row>
    <row r="91" spans="1:38" ht="13.5" customHeight="1">
      <c r="A91" s="8"/>
      <c r="B91" s="253"/>
      <c r="C91" s="258"/>
      <c r="D91" s="77" t="s">
        <v>583</v>
      </c>
      <c r="E91" s="376" t="s">
        <v>186</v>
      </c>
      <c r="F91" s="376" t="s">
        <v>186</v>
      </c>
      <c r="G91" s="376" t="s">
        <v>186</v>
      </c>
      <c r="H91" s="376" t="s">
        <v>186</v>
      </c>
      <c r="I91" s="376" t="s">
        <v>186</v>
      </c>
      <c r="J91" s="376" t="s">
        <v>186</v>
      </c>
      <c r="K91" s="376" t="s">
        <v>186</v>
      </c>
      <c r="L91" s="376" t="s">
        <v>186</v>
      </c>
      <c r="M91" s="376" t="s">
        <v>186</v>
      </c>
      <c r="N91" s="376" t="s">
        <v>186</v>
      </c>
      <c r="O91" s="376" t="s">
        <v>186</v>
      </c>
      <c r="P91" s="376" t="s">
        <v>186</v>
      </c>
      <c r="Q91" s="376" t="s">
        <v>186</v>
      </c>
      <c r="R91" s="376" t="s">
        <v>186</v>
      </c>
      <c r="S91" s="376" t="s">
        <v>186</v>
      </c>
      <c r="T91" s="376" t="s">
        <v>186</v>
      </c>
      <c r="U91" s="376" t="s">
        <v>186</v>
      </c>
      <c r="V91" s="376" t="s">
        <v>186</v>
      </c>
      <c r="W91" s="376" t="s">
        <v>186</v>
      </c>
      <c r="X91" s="376" t="s">
        <v>186</v>
      </c>
      <c r="Y91" s="376" t="s">
        <v>186</v>
      </c>
      <c r="Z91" s="376" t="s">
        <v>186</v>
      </c>
      <c r="AA91" s="376" t="s">
        <v>186</v>
      </c>
      <c r="AB91" s="376" t="s">
        <v>186</v>
      </c>
      <c r="AC91" s="376" t="s">
        <v>186</v>
      </c>
      <c r="AD91" s="376" t="s">
        <v>186</v>
      </c>
      <c r="AE91" s="376" t="s">
        <v>186</v>
      </c>
      <c r="AF91" s="376" t="s">
        <v>186</v>
      </c>
      <c r="AG91" s="376" t="s">
        <v>186</v>
      </c>
      <c r="AH91" s="376" t="s">
        <v>186</v>
      </c>
      <c r="AI91" s="376" t="s">
        <v>186</v>
      </c>
      <c r="AJ91" s="376" t="s">
        <v>186</v>
      </c>
      <c r="AK91" s="69" t="s">
        <v>186</v>
      </c>
      <c r="AL91" s="377"/>
    </row>
    <row r="92" spans="1:38" ht="13.5" customHeight="1">
      <c r="A92" s="8"/>
      <c r="B92" s="253"/>
      <c r="C92" s="258"/>
      <c r="D92" s="77" t="s">
        <v>584</v>
      </c>
      <c r="E92" s="376">
        <v>63.33</v>
      </c>
      <c r="F92" s="376">
        <v>63.33</v>
      </c>
      <c r="G92" s="376">
        <v>63.33</v>
      </c>
      <c r="H92" s="376">
        <v>63.33</v>
      </c>
      <c r="I92" s="376">
        <v>63.33</v>
      </c>
      <c r="J92" s="376">
        <v>63.33</v>
      </c>
      <c r="K92" s="376">
        <v>63.33</v>
      </c>
      <c r="L92" s="376">
        <v>63.33</v>
      </c>
      <c r="M92" s="376">
        <v>63.33</v>
      </c>
      <c r="N92" s="376">
        <v>63.33</v>
      </c>
      <c r="O92" s="376">
        <v>63.33</v>
      </c>
      <c r="P92" s="376">
        <v>63.33</v>
      </c>
      <c r="Q92" s="376">
        <v>63.33</v>
      </c>
      <c r="R92" s="376">
        <v>63.33</v>
      </c>
      <c r="S92" s="376">
        <v>63.33</v>
      </c>
      <c r="T92" s="376">
        <v>63.33</v>
      </c>
      <c r="U92" s="376">
        <v>63.33</v>
      </c>
      <c r="V92" s="376">
        <v>63.33</v>
      </c>
      <c r="W92" s="376">
        <v>63.33</v>
      </c>
      <c r="X92" s="376">
        <v>63.33</v>
      </c>
      <c r="Y92" s="376">
        <v>63.33</v>
      </c>
      <c r="Z92" s="376">
        <v>63.33</v>
      </c>
      <c r="AA92" s="376">
        <v>63.33</v>
      </c>
      <c r="AB92" s="376">
        <v>63.33</v>
      </c>
      <c r="AC92" s="376">
        <v>63.33</v>
      </c>
      <c r="AD92" s="376">
        <v>63.33</v>
      </c>
      <c r="AE92" s="376">
        <v>63.33</v>
      </c>
      <c r="AF92" s="376">
        <v>63.33</v>
      </c>
      <c r="AG92" s="376">
        <v>63.33</v>
      </c>
      <c r="AH92" s="376">
        <v>63.33</v>
      </c>
      <c r="AI92" s="376">
        <v>63.33</v>
      </c>
      <c r="AJ92" s="376">
        <v>63.33</v>
      </c>
      <c r="AK92" s="69">
        <v>63.33</v>
      </c>
      <c r="AL92" s="377"/>
    </row>
    <row r="93" spans="1:38" ht="13.5" customHeight="1">
      <c r="A93" s="8"/>
      <c r="B93" s="253"/>
      <c r="C93" s="258"/>
      <c r="D93" s="77" t="s">
        <v>585</v>
      </c>
      <c r="E93" s="376">
        <v>42</v>
      </c>
      <c r="F93" s="376">
        <v>42</v>
      </c>
      <c r="G93" s="376">
        <v>42</v>
      </c>
      <c r="H93" s="376">
        <v>42</v>
      </c>
      <c r="I93" s="376">
        <v>42</v>
      </c>
      <c r="J93" s="376">
        <v>42</v>
      </c>
      <c r="K93" s="376">
        <v>42</v>
      </c>
      <c r="L93" s="376">
        <v>42</v>
      </c>
      <c r="M93" s="376">
        <v>42</v>
      </c>
      <c r="N93" s="376">
        <v>42</v>
      </c>
      <c r="O93" s="376">
        <v>42</v>
      </c>
      <c r="P93" s="376">
        <v>42</v>
      </c>
      <c r="Q93" s="376">
        <v>42</v>
      </c>
      <c r="R93" s="376">
        <v>42</v>
      </c>
      <c r="S93" s="376">
        <v>42</v>
      </c>
      <c r="T93" s="376">
        <v>42</v>
      </c>
      <c r="U93" s="376">
        <v>42</v>
      </c>
      <c r="V93" s="376">
        <v>42</v>
      </c>
      <c r="W93" s="376">
        <v>42</v>
      </c>
      <c r="X93" s="376">
        <v>42</v>
      </c>
      <c r="Y93" s="376">
        <v>42</v>
      </c>
      <c r="Z93" s="376">
        <v>42</v>
      </c>
      <c r="AA93" s="376">
        <v>42</v>
      </c>
      <c r="AB93" s="376">
        <v>42</v>
      </c>
      <c r="AC93" s="376">
        <v>42</v>
      </c>
      <c r="AD93" s="376">
        <v>42</v>
      </c>
      <c r="AE93" s="376">
        <v>42</v>
      </c>
      <c r="AF93" s="376">
        <v>42</v>
      </c>
      <c r="AG93" s="376">
        <v>42</v>
      </c>
      <c r="AH93" s="376">
        <v>42</v>
      </c>
      <c r="AI93" s="376">
        <v>42</v>
      </c>
      <c r="AJ93" s="376">
        <v>42</v>
      </c>
      <c r="AK93" s="69">
        <v>42</v>
      </c>
      <c r="AL93" s="377"/>
    </row>
    <row r="94" spans="1:38" ht="13.5" customHeight="1">
      <c r="A94" s="8"/>
      <c r="B94" s="253"/>
      <c r="C94" s="258"/>
      <c r="D94" s="77" t="s">
        <v>586</v>
      </c>
      <c r="E94" s="376" t="s">
        <v>186</v>
      </c>
      <c r="F94" s="376" t="s">
        <v>186</v>
      </c>
      <c r="G94" s="376" t="s">
        <v>186</v>
      </c>
      <c r="H94" s="376" t="s">
        <v>186</v>
      </c>
      <c r="I94" s="376" t="s">
        <v>186</v>
      </c>
      <c r="J94" s="376" t="s">
        <v>186</v>
      </c>
      <c r="K94" s="376" t="s">
        <v>186</v>
      </c>
      <c r="L94" s="376" t="s">
        <v>186</v>
      </c>
      <c r="M94" s="376" t="s">
        <v>186</v>
      </c>
      <c r="N94" s="376" t="s">
        <v>186</v>
      </c>
      <c r="O94" s="376" t="s">
        <v>186</v>
      </c>
      <c r="P94" s="376" t="s">
        <v>186</v>
      </c>
      <c r="Q94" s="376" t="s">
        <v>186</v>
      </c>
      <c r="R94" s="376" t="s">
        <v>186</v>
      </c>
      <c r="S94" s="376" t="s">
        <v>186</v>
      </c>
      <c r="T94" s="376" t="s">
        <v>186</v>
      </c>
      <c r="U94" s="376" t="s">
        <v>186</v>
      </c>
      <c r="V94" s="376" t="s">
        <v>186</v>
      </c>
      <c r="W94" s="376" t="s">
        <v>186</v>
      </c>
      <c r="X94" s="376" t="s">
        <v>186</v>
      </c>
      <c r="Y94" s="376" t="s">
        <v>186</v>
      </c>
      <c r="Z94" s="376" t="s">
        <v>186</v>
      </c>
      <c r="AA94" s="376" t="s">
        <v>186</v>
      </c>
      <c r="AB94" s="376" t="s">
        <v>186</v>
      </c>
      <c r="AC94" s="376" t="s">
        <v>186</v>
      </c>
      <c r="AD94" s="376" t="s">
        <v>186</v>
      </c>
      <c r="AE94" s="376" t="s">
        <v>186</v>
      </c>
      <c r="AF94" s="376" t="s">
        <v>186</v>
      </c>
      <c r="AG94" s="376" t="s">
        <v>186</v>
      </c>
      <c r="AH94" s="376" t="s">
        <v>186</v>
      </c>
      <c r="AI94" s="376" t="s">
        <v>186</v>
      </c>
      <c r="AJ94" s="376" t="s">
        <v>186</v>
      </c>
      <c r="AK94" s="69" t="s">
        <v>186</v>
      </c>
      <c r="AL94" s="377"/>
    </row>
    <row r="95" spans="1:38" ht="13.5" customHeight="1">
      <c r="A95" s="8"/>
      <c r="B95" s="253"/>
      <c r="C95" s="258"/>
      <c r="D95" s="77" t="s">
        <v>587</v>
      </c>
      <c r="E95" s="376">
        <v>63.33</v>
      </c>
      <c r="F95" s="376">
        <v>63.33</v>
      </c>
      <c r="G95" s="376">
        <v>63.33</v>
      </c>
      <c r="H95" s="376">
        <v>63.33</v>
      </c>
      <c r="I95" s="376">
        <v>63.33</v>
      </c>
      <c r="J95" s="376">
        <v>63.33</v>
      </c>
      <c r="K95" s="376">
        <v>63.33</v>
      </c>
      <c r="L95" s="376">
        <v>63.33</v>
      </c>
      <c r="M95" s="376">
        <v>63.33</v>
      </c>
      <c r="N95" s="376">
        <v>63.33</v>
      </c>
      <c r="O95" s="376">
        <v>63.33</v>
      </c>
      <c r="P95" s="376">
        <v>63.33</v>
      </c>
      <c r="Q95" s="376">
        <v>63.33</v>
      </c>
      <c r="R95" s="376">
        <v>63.33</v>
      </c>
      <c r="S95" s="376">
        <v>63.33</v>
      </c>
      <c r="T95" s="376">
        <v>63.33</v>
      </c>
      <c r="U95" s="376">
        <v>63.33</v>
      </c>
      <c r="V95" s="376">
        <v>63.33</v>
      </c>
      <c r="W95" s="376">
        <v>63.33</v>
      </c>
      <c r="X95" s="376">
        <v>63.33</v>
      </c>
      <c r="Y95" s="376">
        <v>63.33</v>
      </c>
      <c r="Z95" s="376">
        <v>63.33</v>
      </c>
      <c r="AA95" s="376">
        <v>63.33</v>
      </c>
      <c r="AB95" s="376">
        <v>63.33</v>
      </c>
      <c r="AC95" s="376">
        <v>63.33</v>
      </c>
      <c r="AD95" s="376">
        <v>63.33</v>
      </c>
      <c r="AE95" s="376">
        <v>63.33</v>
      </c>
      <c r="AF95" s="376">
        <v>63.33</v>
      </c>
      <c r="AG95" s="376">
        <v>63.33</v>
      </c>
      <c r="AH95" s="376">
        <v>63.33</v>
      </c>
      <c r="AI95" s="376">
        <v>63.33</v>
      </c>
      <c r="AJ95" s="376">
        <v>63.33</v>
      </c>
      <c r="AK95" s="69">
        <v>63.33</v>
      </c>
      <c r="AL95" s="377"/>
    </row>
    <row r="96" spans="1:38" ht="13.5" customHeight="1">
      <c r="A96" s="8"/>
      <c r="B96" s="253"/>
      <c r="C96" s="258"/>
      <c r="D96" s="77" t="s">
        <v>588</v>
      </c>
      <c r="E96" s="376">
        <v>42</v>
      </c>
      <c r="F96" s="376">
        <v>42</v>
      </c>
      <c r="G96" s="376">
        <v>42</v>
      </c>
      <c r="H96" s="376">
        <v>42</v>
      </c>
      <c r="I96" s="376">
        <v>42</v>
      </c>
      <c r="J96" s="376">
        <v>42</v>
      </c>
      <c r="K96" s="376">
        <v>42</v>
      </c>
      <c r="L96" s="376">
        <v>42</v>
      </c>
      <c r="M96" s="376">
        <v>42</v>
      </c>
      <c r="N96" s="376">
        <v>42</v>
      </c>
      <c r="O96" s="376">
        <v>42</v>
      </c>
      <c r="P96" s="376">
        <v>42</v>
      </c>
      <c r="Q96" s="376">
        <v>42</v>
      </c>
      <c r="R96" s="376">
        <v>42</v>
      </c>
      <c r="S96" s="376">
        <v>42</v>
      </c>
      <c r="T96" s="376">
        <v>42</v>
      </c>
      <c r="U96" s="376">
        <v>42</v>
      </c>
      <c r="V96" s="376">
        <v>42</v>
      </c>
      <c r="W96" s="376">
        <v>42</v>
      </c>
      <c r="X96" s="376">
        <v>42</v>
      </c>
      <c r="Y96" s="376">
        <v>42</v>
      </c>
      <c r="Z96" s="376">
        <v>42</v>
      </c>
      <c r="AA96" s="376">
        <v>42</v>
      </c>
      <c r="AB96" s="376">
        <v>42</v>
      </c>
      <c r="AC96" s="376">
        <v>42</v>
      </c>
      <c r="AD96" s="376">
        <v>42</v>
      </c>
      <c r="AE96" s="376">
        <v>42</v>
      </c>
      <c r="AF96" s="376">
        <v>42</v>
      </c>
      <c r="AG96" s="376">
        <v>42</v>
      </c>
      <c r="AH96" s="376">
        <v>42</v>
      </c>
      <c r="AI96" s="376">
        <v>42</v>
      </c>
      <c r="AJ96" s="376">
        <v>42</v>
      </c>
      <c r="AK96" s="69">
        <v>42</v>
      </c>
      <c r="AL96" s="377"/>
    </row>
    <row r="97" spans="1:38" ht="13.5" customHeight="1">
      <c r="A97" s="8"/>
      <c r="B97" s="253"/>
      <c r="C97" s="258"/>
      <c r="D97" s="111" t="s">
        <v>589</v>
      </c>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93"/>
      <c r="AL97" s="377"/>
    </row>
    <row r="98" spans="1:38" ht="13.5" customHeight="1">
      <c r="A98" s="8"/>
      <c r="B98" s="253"/>
      <c r="C98" s="258"/>
      <c r="D98" s="114" t="s">
        <v>582</v>
      </c>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93"/>
      <c r="AL98" s="377"/>
    </row>
    <row r="99" spans="1:38" ht="13.5" customHeight="1">
      <c r="A99" s="8"/>
      <c r="B99" s="253"/>
      <c r="C99" s="258"/>
      <c r="D99" s="77" t="s">
        <v>583</v>
      </c>
      <c r="E99" s="376">
        <v>65.94</v>
      </c>
      <c r="F99" s="376">
        <v>65.94</v>
      </c>
      <c r="G99" s="376">
        <v>65.94</v>
      </c>
      <c r="H99" s="376">
        <v>65.94</v>
      </c>
      <c r="I99" s="376">
        <v>65.94</v>
      </c>
      <c r="J99" s="376">
        <v>65.94</v>
      </c>
      <c r="K99" s="376">
        <v>65.94</v>
      </c>
      <c r="L99" s="376">
        <v>65.94</v>
      </c>
      <c r="M99" s="376">
        <v>65.94</v>
      </c>
      <c r="N99" s="376">
        <v>65.94</v>
      </c>
      <c r="O99" s="376">
        <v>65.94</v>
      </c>
      <c r="P99" s="376">
        <v>65.94</v>
      </c>
      <c r="Q99" s="376">
        <v>65.94</v>
      </c>
      <c r="R99" s="376">
        <v>65.94</v>
      </c>
      <c r="S99" s="376">
        <v>65.94</v>
      </c>
      <c r="T99" s="376">
        <v>65.94</v>
      </c>
      <c r="U99" s="376">
        <v>65.94</v>
      </c>
      <c r="V99" s="376">
        <v>65.94</v>
      </c>
      <c r="W99" s="376">
        <v>65.94</v>
      </c>
      <c r="X99" s="376">
        <v>65.94</v>
      </c>
      <c r="Y99" s="376">
        <v>65.94</v>
      </c>
      <c r="Z99" s="376">
        <v>65.94</v>
      </c>
      <c r="AA99" s="376">
        <v>65.94</v>
      </c>
      <c r="AB99" s="376">
        <v>65.94</v>
      </c>
      <c r="AC99" s="376">
        <v>65.94</v>
      </c>
      <c r="AD99" s="376">
        <v>65.94</v>
      </c>
      <c r="AE99" s="376">
        <v>65.94</v>
      </c>
      <c r="AF99" s="376">
        <v>65.94</v>
      </c>
      <c r="AG99" s="376">
        <v>65.94</v>
      </c>
      <c r="AH99" s="376">
        <v>65.94</v>
      </c>
      <c r="AI99" s="376">
        <v>65.94</v>
      </c>
      <c r="AJ99" s="376">
        <v>65.94</v>
      </c>
      <c r="AK99" s="69">
        <v>65.94</v>
      </c>
      <c r="AL99" s="377"/>
    </row>
    <row r="100" spans="1:38" ht="13.5" customHeight="1">
      <c r="A100" s="8"/>
      <c r="B100" s="253"/>
      <c r="C100" s="258"/>
      <c r="D100" s="77" t="s">
        <v>584</v>
      </c>
      <c r="E100" s="376">
        <v>50</v>
      </c>
      <c r="F100" s="376">
        <v>50</v>
      </c>
      <c r="G100" s="376">
        <v>50</v>
      </c>
      <c r="H100" s="376">
        <v>50</v>
      </c>
      <c r="I100" s="376">
        <v>50</v>
      </c>
      <c r="J100" s="376">
        <v>50</v>
      </c>
      <c r="K100" s="376">
        <v>50</v>
      </c>
      <c r="L100" s="376">
        <v>50</v>
      </c>
      <c r="M100" s="376">
        <v>50</v>
      </c>
      <c r="N100" s="376">
        <v>50</v>
      </c>
      <c r="O100" s="376">
        <v>50</v>
      </c>
      <c r="P100" s="376">
        <v>50</v>
      </c>
      <c r="Q100" s="376">
        <v>50</v>
      </c>
      <c r="R100" s="376">
        <v>50</v>
      </c>
      <c r="S100" s="376">
        <v>50</v>
      </c>
      <c r="T100" s="376">
        <v>50</v>
      </c>
      <c r="U100" s="376">
        <v>50</v>
      </c>
      <c r="V100" s="376">
        <v>50</v>
      </c>
      <c r="W100" s="376">
        <v>50</v>
      </c>
      <c r="X100" s="376">
        <v>50</v>
      </c>
      <c r="Y100" s="376">
        <v>50</v>
      </c>
      <c r="Z100" s="376">
        <v>50</v>
      </c>
      <c r="AA100" s="376">
        <v>50</v>
      </c>
      <c r="AB100" s="376">
        <v>50</v>
      </c>
      <c r="AC100" s="376">
        <v>50</v>
      </c>
      <c r="AD100" s="376">
        <v>50</v>
      </c>
      <c r="AE100" s="376">
        <v>50</v>
      </c>
      <c r="AF100" s="376">
        <v>50</v>
      </c>
      <c r="AG100" s="376">
        <v>50</v>
      </c>
      <c r="AH100" s="376">
        <v>50</v>
      </c>
      <c r="AI100" s="376">
        <v>50</v>
      </c>
      <c r="AJ100" s="376">
        <v>50</v>
      </c>
      <c r="AK100" s="69">
        <v>50</v>
      </c>
      <c r="AL100" s="377"/>
    </row>
    <row r="101" spans="1:38" ht="13.5" customHeight="1">
      <c r="A101" s="8"/>
      <c r="B101" s="253"/>
      <c r="C101" s="258"/>
      <c r="D101" s="77" t="s">
        <v>585</v>
      </c>
      <c r="E101" s="376">
        <v>42</v>
      </c>
      <c r="F101" s="376">
        <v>42</v>
      </c>
      <c r="G101" s="376">
        <v>42</v>
      </c>
      <c r="H101" s="376">
        <v>42</v>
      </c>
      <c r="I101" s="376">
        <v>42</v>
      </c>
      <c r="J101" s="376">
        <v>42</v>
      </c>
      <c r="K101" s="376">
        <v>42</v>
      </c>
      <c r="L101" s="376">
        <v>42</v>
      </c>
      <c r="M101" s="376">
        <v>42</v>
      </c>
      <c r="N101" s="376">
        <v>42</v>
      </c>
      <c r="O101" s="376">
        <v>42</v>
      </c>
      <c r="P101" s="376">
        <v>42</v>
      </c>
      <c r="Q101" s="376">
        <v>42</v>
      </c>
      <c r="R101" s="376">
        <v>42</v>
      </c>
      <c r="S101" s="376">
        <v>42</v>
      </c>
      <c r="T101" s="376">
        <v>42</v>
      </c>
      <c r="U101" s="376">
        <v>42</v>
      </c>
      <c r="V101" s="376">
        <v>42</v>
      </c>
      <c r="W101" s="376">
        <v>42</v>
      </c>
      <c r="X101" s="376">
        <v>42</v>
      </c>
      <c r="Y101" s="376">
        <v>42</v>
      </c>
      <c r="Z101" s="376">
        <v>42</v>
      </c>
      <c r="AA101" s="376">
        <v>42</v>
      </c>
      <c r="AB101" s="376">
        <v>42</v>
      </c>
      <c r="AC101" s="376">
        <v>42</v>
      </c>
      <c r="AD101" s="376">
        <v>42</v>
      </c>
      <c r="AE101" s="376">
        <v>42</v>
      </c>
      <c r="AF101" s="376">
        <v>42</v>
      </c>
      <c r="AG101" s="376">
        <v>42</v>
      </c>
      <c r="AH101" s="376">
        <v>42</v>
      </c>
      <c r="AI101" s="376">
        <v>42</v>
      </c>
      <c r="AJ101" s="376">
        <v>42</v>
      </c>
      <c r="AK101" s="69">
        <v>42</v>
      </c>
      <c r="AL101" s="377"/>
    </row>
    <row r="102" spans="1:38" ht="13.5" customHeight="1">
      <c r="A102" s="8"/>
      <c r="B102" s="253"/>
      <c r="C102" s="258"/>
      <c r="D102" s="77" t="s">
        <v>586</v>
      </c>
      <c r="E102" s="376">
        <v>65.94</v>
      </c>
      <c r="F102" s="376">
        <v>65.94</v>
      </c>
      <c r="G102" s="376">
        <v>65.94</v>
      </c>
      <c r="H102" s="376">
        <v>65.94</v>
      </c>
      <c r="I102" s="376">
        <v>65.94</v>
      </c>
      <c r="J102" s="376">
        <v>65.94</v>
      </c>
      <c r="K102" s="376">
        <v>65.94</v>
      </c>
      <c r="L102" s="376">
        <v>65.94</v>
      </c>
      <c r="M102" s="376">
        <v>65.94</v>
      </c>
      <c r="N102" s="376">
        <v>65.94</v>
      </c>
      <c r="O102" s="376">
        <v>65.94</v>
      </c>
      <c r="P102" s="376">
        <v>65.94</v>
      </c>
      <c r="Q102" s="376">
        <v>65.94</v>
      </c>
      <c r="R102" s="376">
        <v>65.94</v>
      </c>
      <c r="S102" s="376">
        <v>65.94</v>
      </c>
      <c r="T102" s="376">
        <v>65.94</v>
      </c>
      <c r="U102" s="376">
        <v>65.94</v>
      </c>
      <c r="V102" s="376">
        <v>65.94</v>
      </c>
      <c r="W102" s="376">
        <v>65.94</v>
      </c>
      <c r="X102" s="376">
        <v>65.94</v>
      </c>
      <c r="Y102" s="376">
        <v>65.94</v>
      </c>
      <c r="Z102" s="376">
        <v>65.94</v>
      </c>
      <c r="AA102" s="376">
        <v>65.94</v>
      </c>
      <c r="AB102" s="376">
        <v>65.94</v>
      </c>
      <c r="AC102" s="376">
        <v>65.94</v>
      </c>
      <c r="AD102" s="376">
        <v>65.94</v>
      </c>
      <c r="AE102" s="376">
        <v>65.94</v>
      </c>
      <c r="AF102" s="376">
        <v>65.94</v>
      </c>
      <c r="AG102" s="376">
        <v>65.94</v>
      </c>
      <c r="AH102" s="376">
        <v>65.94</v>
      </c>
      <c r="AI102" s="376">
        <v>65.94</v>
      </c>
      <c r="AJ102" s="376">
        <v>65.94</v>
      </c>
      <c r="AK102" s="69">
        <v>65.94</v>
      </c>
      <c r="AL102" s="377"/>
    </row>
    <row r="103" spans="1:38" ht="13.5" customHeight="1">
      <c r="A103" s="8"/>
      <c r="B103" s="253"/>
      <c r="C103" s="258"/>
      <c r="D103" s="77" t="s">
        <v>587</v>
      </c>
      <c r="E103" s="376">
        <v>50</v>
      </c>
      <c r="F103" s="376">
        <v>50</v>
      </c>
      <c r="G103" s="376">
        <v>50</v>
      </c>
      <c r="H103" s="376">
        <v>50</v>
      </c>
      <c r="I103" s="376">
        <v>50</v>
      </c>
      <c r="J103" s="376">
        <v>50</v>
      </c>
      <c r="K103" s="376">
        <v>50</v>
      </c>
      <c r="L103" s="376">
        <v>50</v>
      </c>
      <c r="M103" s="376">
        <v>50</v>
      </c>
      <c r="N103" s="376">
        <v>50</v>
      </c>
      <c r="O103" s="376">
        <v>50</v>
      </c>
      <c r="P103" s="376">
        <v>50</v>
      </c>
      <c r="Q103" s="376">
        <v>50</v>
      </c>
      <c r="R103" s="376">
        <v>50</v>
      </c>
      <c r="S103" s="376">
        <v>50</v>
      </c>
      <c r="T103" s="376">
        <v>50</v>
      </c>
      <c r="U103" s="376">
        <v>50</v>
      </c>
      <c r="V103" s="376">
        <v>50</v>
      </c>
      <c r="W103" s="376">
        <v>50</v>
      </c>
      <c r="X103" s="376">
        <v>50</v>
      </c>
      <c r="Y103" s="376">
        <v>50</v>
      </c>
      <c r="Z103" s="376">
        <v>50</v>
      </c>
      <c r="AA103" s="376">
        <v>50</v>
      </c>
      <c r="AB103" s="376">
        <v>50</v>
      </c>
      <c r="AC103" s="376">
        <v>50</v>
      </c>
      <c r="AD103" s="376">
        <v>50</v>
      </c>
      <c r="AE103" s="376">
        <v>50</v>
      </c>
      <c r="AF103" s="376">
        <v>50</v>
      </c>
      <c r="AG103" s="376">
        <v>50</v>
      </c>
      <c r="AH103" s="376">
        <v>50</v>
      </c>
      <c r="AI103" s="376">
        <v>50</v>
      </c>
      <c r="AJ103" s="376">
        <v>50</v>
      </c>
      <c r="AK103" s="69">
        <v>50</v>
      </c>
      <c r="AL103" s="377"/>
    </row>
    <row r="104" spans="1:38" ht="13.5" customHeight="1">
      <c r="A104" s="8"/>
      <c r="B104" s="253"/>
      <c r="C104" s="258"/>
      <c r="D104" s="77" t="s">
        <v>588</v>
      </c>
      <c r="E104" s="376">
        <v>42</v>
      </c>
      <c r="F104" s="376">
        <v>42</v>
      </c>
      <c r="G104" s="376">
        <v>42</v>
      </c>
      <c r="H104" s="376">
        <v>42</v>
      </c>
      <c r="I104" s="376">
        <v>42</v>
      </c>
      <c r="J104" s="376">
        <v>42</v>
      </c>
      <c r="K104" s="376">
        <v>42</v>
      </c>
      <c r="L104" s="376">
        <v>42</v>
      </c>
      <c r="M104" s="376">
        <v>42</v>
      </c>
      <c r="N104" s="376">
        <v>42</v>
      </c>
      <c r="O104" s="376">
        <v>42</v>
      </c>
      <c r="P104" s="376">
        <v>42</v>
      </c>
      <c r="Q104" s="376">
        <v>42</v>
      </c>
      <c r="R104" s="376">
        <v>42</v>
      </c>
      <c r="S104" s="376">
        <v>42</v>
      </c>
      <c r="T104" s="376">
        <v>42</v>
      </c>
      <c r="U104" s="376">
        <v>42</v>
      </c>
      <c r="V104" s="376">
        <v>42</v>
      </c>
      <c r="W104" s="376">
        <v>42</v>
      </c>
      <c r="X104" s="376">
        <v>42</v>
      </c>
      <c r="Y104" s="376">
        <v>42</v>
      </c>
      <c r="Z104" s="376">
        <v>42</v>
      </c>
      <c r="AA104" s="376">
        <v>42</v>
      </c>
      <c r="AB104" s="376">
        <v>42</v>
      </c>
      <c r="AC104" s="376">
        <v>42</v>
      </c>
      <c r="AD104" s="376">
        <v>42</v>
      </c>
      <c r="AE104" s="376">
        <v>42</v>
      </c>
      <c r="AF104" s="376">
        <v>42</v>
      </c>
      <c r="AG104" s="376">
        <v>42</v>
      </c>
      <c r="AH104" s="376">
        <v>42</v>
      </c>
      <c r="AI104" s="376">
        <v>42</v>
      </c>
      <c r="AJ104" s="376">
        <v>42</v>
      </c>
      <c r="AK104" s="69">
        <v>42</v>
      </c>
      <c r="AL104" s="377"/>
    </row>
    <row r="105" spans="1:38" ht="13.5" customHeight="1">
      <c r="A105" s="8"/>
      <c r="B105" s="253"/>
      <c r="C105" s="258"/>
      <c r="D105" s="112" t="s">
        <v>143</v>
      </c>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c r="AD105" s="343"/>
      <c r="AE105" s="343"/>
      <c r="AF105" s="343"/>
      <c r="AG105" s="343"/>
      <c r="AH105" s="343"/>
      <c r="AI105" s="343"/>
      <c r="AJ105" s="343"/>
      <c r="AK105" s="113"/>
      <c r="AL105" s="377"/>
    </row>
    <row r="106" spans="1:38" ht="13.5" customHeight="1">
      <c r="A106" s="8"/>
      <c r="B106" s="253"/>
      <c r="C106" s="258"/>
      <c r="D106" s="110" t="s">
        <v>590</v>
      </c>
      <c r="E106" s="447"/>
      <c r="F106" s="447"/>
      <c r="G106" s="447"/>
      <c r="H106" s="447"/>
      <c r="I106" s="447"/>
      <c r="J106" s="447"/>
      <c r="K106" s="447"/>
      <c r="L106" s="447"/>
      <c r="M106" s="447"/>
      <c r="N106" s="447"/>
      <c r="O106" s="447"/>
      <c r="P106" s="447"/>
      <c r="Q106" s="447"/>
      <c r="R106" s="447"/>
      <c r="S106" s="447"/>
      <c r="T106" s="447"/>
      <c r="U106" s="447"/>
      <c r="V106" s="447"/>
      <c r="W106" s="447"/>
      <c r="X106" s="447"/>
      <c r="Y106" s="447"/>
      <c r="Z106" s="447"/>
      <c r="AA106" s="447"/>
      <c r="AB106" s="447"/>
      <c r="AC106" s="447"/>
      <c r="AD106" s="447"/>
      <c r="AE106" s="447"/>
      <c r="AF106" s="447"/>
      <c r="AG106" s="447"/>
      <c r="AH106" s="447"/>
      <c r="AI106" s="447"/>
      <c r="AJ106" s="447"/>
      <c r="AK106" s="76"/>
      <c r="AL106" s="377"/>
    </row>
    <row r="107" spans="1:38" ht="13.5" customHeight="1">
      <c r="A107" s="8"/>
      <c r="B107" s="253"/>
      <c r="C107" s="258"/>
      <c r="D107" s="77" t="s">
        <v>591</v>
      </c>
      <c r="E107" s="376">
        <v>20</v>
      </c>
      <c r="F107" s="376">
        <v>20</v>
      </c>
      <c r="G107" s="376"/>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69"/>
      <c r="AL107" s="377"/>
    </row>
    <row r="108" spans="1:38" ht="13.5" customHeight="1">
      <c r="A108" s="8"/>
      <c r="B108" s="253"/>
      <c r="C108" s="258"/>
      <c r="D108" s="77" t="s">
        <v>592</v>
      </c>
      <c r="E108" s="376">
        <v>19.8</v>
      </c>
      <c r="F108" s="376">
        <v>19.8</v>
      </c>
      <c r="G108" s="376">
        <v>13.6</v>
      </c>
      <c r="H108" s="376">
        <v>13.6</v>
      </c>
      <c r="I108" s="376">
        <v>13.6</v>
      </c>
      <c r="J108" s="376">
        <v>13.6</v>
      </c>
      <c r="K108" s="376">
        <v>13.6</v>
      </c>
      <c r="L108" s="376">
        <v>12.2</v>
      </c>
      <c r="M108" s="376">
        <v>12.2</v>
      </c>
      <c r="N108" s="376">
        <v>12.2</v>
      </c>
      <c r="O108" s="376">
        <v>12.2</v>
      </c>
      <c r="P108" s="376">
        <v>12.2</v>
      </c>
      <c r="Q108" s="376">
        <v>10.8</v>
      </c>
      <c r="R108" s="376">
        <v>10.8</v>
      </c>
      <c r="S108" s="376">
        <v>10.8</v>
      </c>
      <c r="T108" s="376">
        <v>10.8</v>
      </c>
      <c r="U108" s="376">
        <v>10.8</v>
      </c>
      <c r="V108" s="376">
        <v>10.5</v>
      </c>
      <c r="W108" s="376">
        <v>10.5</v>
      </c>
      <c r="X108" s="376">
        <v>10.5</v>
      </c>
      <c r="Y108" s="376">
        <v>10.5</v>
      </c>
      <c r="Z108" s="376">
        <v>10.5</v>
      </c>
      <c r="AA108" s="376">
        <v>10.199999999999999</v>
      </c>
      <c r="AB108" s="376">
        <v>10.199999999999999</v>
      </c>
      <c r="AC108" s="376">
        <v>10.199999999999999</v>
      </c>
      <c r="AD108" s="376">
        <v>10.199999999999999</v>
      </c>
      <c r="AE108" s="376">
        <v>10.199999999999999</v>
      </c>
      <c r="AF108" s="376">
        <v>9.9</v>
      </c>
      <c r="AG108" s="376">
        <v>9.9</v>
      </c>
      <c r="AH108" s="376">
        <v>9.9</v>
      </c>
      <c r="AI108" s="376">
        <v>9.9</v>
      </c>
      <c r="AJ108" s="376">
        <v>9.9</v>
      </c>
      <c r="AK108" s="69">
        <v>9.6</v>
      </c>
      <c r="AL108" s="377"/>
    </row>
    <row r="109" spans="1:38" ht="13.5" customHeight="1">
      <c r="A109" s="8"/>
      <c r="B109" s="253"/>
      <c r="C109" s="258"/>
      <c r="D109" s="110" t="s">
        <v>574</v>
      </c>
      <c r="E109" s="447"/>
      <c r="F109" s="447"/>
      <c r="G109" s="447"/>
      <c r="H109" s="447"/>
      <c r="I109" s="447"/>
      <c r="J109" s="447"/>
      <c r="K109" s="447"/>
      <c r="L109" s="447"/>
      <c r="M109" s="447"/>
      <c r="N109" s="447"/>
      <c r="O109" s="447"/>
      <c r="P109" s="447"/>
      <c r="Q109" s="447"/>
      <c r="R109" s="447"/>
      <c r="S109" s="447"/>
      <c r="T109" s="447"/>
      <c r="U109" s="447"/>
      <c r="V109" s="447"/>
      <c r="W109" s="447"/>
      <c r="X109" s="447"/>
      <c r="Y109" s="447"/>
      <c r="Z109" s="447"/>
      <c r="AA109" s="447"/>
      <c r="AB109" s="447"/>
      <c r="AC109" s="447"/>
      <c r="AD109" s="447"/>
      <c r="AE109" s="447"/>
      <c r="AF109" s="447"/>
      <c r="AG109" s="447"/>
      <c r="AH109" s="447"/>
      <c r="AI109" s="447"/>
      <c r="AJ109" s="447"/>
      <c r="AK109" s="76"/>
      <c r="AL109" s="377"/>
    </row>
    <row r="110" spans="1:38" ht="13.5" customHeight="1">
      <c r="A110" s="8"/>
      <c r="B110" s="253"/>
      <c r="C110" s="258"/>
      <c r="D110" s="111" t="s">
        <v>594</v>
      </c>
      <c r="E110" s="451">
        <v>0</v>
      </c>
      <c r="F110" s="451">
        <v>0</v>
      </c>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93"/>
      <c r="AL110" s="377"/>
    </row>
    <row r="111" spans="1:38" ht="13.5" customHeight="1">
      <c r="A111" s="8"/>
      <c r="B111" s="253"/>
      <c r="C111" s="258"/>
      <c r="D111" s="111" t="s">
        <v>595</v>
      </c>
      <c r="E111" s="451">
        <v>145.08000000000001</v>
      </c>
      <c r="F111" s="451">
        <v>145.08000000000001</v>
      </c>
      <c r="G111" s="451">
        <v>136.99</v>
      </c>
      <c r="H111" s="451">
        <v>136.99</v>
      </c>
      <c r="I111" s="451">
        <v>136.99</v>
      </c>
      <c r="J111" s="451">
        <v>136.99</v>
      </c>
      <c r="K111" s="451">
        <v>136.99</v>
      </c>
      <c r="L111" s="451">
        <v>128.9</v>
      </c>
      <c r="M111" s="451">
        <v>128.9</v>
      </c>
      <c r="N111" s="451">
        <v>128.9</v>
      </c>
      <c r="O111" s="451">
        <v>128.9</v>
      </c>
      <c r="P111" s="451">
        <v>128.9</v>
      </c>
      <c r="Q111" s="451">
        <v>120.81</v>
      </c>
      <c r="R111" s="451">
        <v>120.81</v>
      </c>
      <c r="S111" s="451">
        <v>120.81</v>
      </c>
      <c r="T111" s="451">
        <v>120.81</v>
      </c>
      <c r="U111" s="451">
        <v>120.81</v>
      </c>
      <c r="V111" s="451">
        <v>112.71</v>
      </c>
      <c r="W111" s="451">
        <v>112.71</v>
      </c>
      <c r="X111" s="451">
        <v>112.71</v>
      </c>
      <c r="Y111" s="451">
        <v>112.71</v>
      </c>
      <c r="Z111" s="451">
        <v>112.71</v>
      </c>
      <c r="AA111" s="451">
        <v>104.62</v>
      </c>
      <c r="AB111" s="451">
        <v>104.62</v>
      </c>
      <c r="AC111" s="451">
        <v>104.62</v>
      </c>
      <c r="AD111" s="451">
        <v>104.62</v>
      </c>
      <c r="AE111" s="451">
        <v>104.62</v>
      </c>
      <c r="AF111" s="451">
        <v>96.53</v>
      </c>
      <c r="AG111" s="451">
        <v>96.53</v>
      </c>
      <c r="AH111" s="451">
        <v>96.53</v>
      </c>
      <c r="AI111" s="451">
        <v>96.53</v>
      </c>
      <c r="AJ111" s="451">
        <v>96.53</v>
      </c>
      <c r="AK111" s="93">
        <v>88.44</v>
      </c>
      <c r="AL111" s="377"/>
    </row>
    <row r="112" spans="1:38" ht="13.5" customHeight="1">
      <c r="A112" s="8"/>
      <c r="B112" s="253"/>
      <c r="C112" s="258"/>
      <c r="D112" s="112" t="s">
        <v>144</v>
      </c>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113"/>
      <c r="AL112" s="377"/>
    </row>
    <row r="113" spans="1:38" ht="13.5" customHeight="1">
      <c r="A113" s="8"/>
      <c r="B113" s="253"/>
      <c r="C113" s="258"/>
      <c r="D113" s="110" t="s">
        <v>574</v>
      </c>
      <c r="E113" s="447"/>
      <c r="F113" s="447"/>
      <c r="G113" s="447"/>
      <c r="H113" s="447"/>
      <c r="I113" s="447"/>
      <c r="J113" s="447"/>
      <c r="K113" s="447"/>
      <c r="L113" s="447"/>
      <c r="M113" s="447"/>
      <c r="N113" s="447"/>
      <c r="O113" s="447"/>
      <c r="P113" s="447"/>
      <c r="Q113" s="447"/>
      <c r="R113" s="447"/>
      <c r="S113" s="447"/>
      <c r="T113" s="447"/>
      <c r="U113" s="447"/>
      <c r="V113" s="447"/>
      <c r="W113" s="447"/>
      <c r="X113" s="447"/>
      <c r="Y113" s="447"/>
      <c r="Z113" s="447"/>
      <c r="AA113" s="447"/>
      <c r="AB113" s="447"/>
      <c r="AC113" s="447"/>
      <c r="AD113" s="447"/>
      <c r="AE113" s="447"/>
      <c r="AF113" s="447"/>
      <c r="AG113" s="447"/>
      <c r="AH113" s="447"/>
      <c r="AI113" s="447"/>
      <c r="AJ113" s="447"/>
      <c r="AK113" s="76"/>
      <c r="AL113" s="377"/>
    </row>
    <row r="114" spans="1:38" ht="13.5" customHeight="1">
      <c r="A114" s="8"/>
      <c r="B114" s="253"/>
      <c r="C114" s="258"/>
      <c r="D114" s="111" t="s">
        <v>596</v>
      </c>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93"/>
      <c r="AL114" s="377"/>
    </row>
    <row r="115" spans="1:38" ht="13.5" customHeight="1">
      <c r="A115" s="8"/>
      <c r="B115" s="253"/>
      <c r="C115" s="258"/>
      <c r="D115" s="114" t="s">
        <v>597</v>
      </c>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93"/>
      <c r="AL115" s="377"/>
    </row>
    <row r="116" spans="1:38" ht="13.5" customHeight="1">
      <c r="A116" s="8"/>
      <c r="B116" s="253"/>
      <c r="C116" s="258"/>
      <c r="D116" s="77" t="s">
        <v>598</v>
      </c>
      <c r="E116" s="376">
        <v>94</v>
      </c>
      <c r="F116" s="376">
        <v>94</v>
      </c>
      <c r="G116" s="376">
        <v>94</v>
      </c>
      <c r="H116" s="376">
        <v>94</v>
      </c>
      <c r="I116" s="376">
        <v>94</v>
      </c>
      <c r="J116" s="376">
        <v>94</v>
      </c>
      <c r="K116" s="376">
        <v>94</v>
      </c>
      <c r="L116" s="376">
        <v>93</v>
      </c>
      <c r="M116" s="376">
        <v>93</v>
      </c>
      <c r="N116" s="376">
        <v>93</v>
      </c>
      <c r="O116" s="376">
        <v>93</v>
      </c>
      <c r="P116" s="376">
        <v>93</v>
      </c>
      <c r="Q116" s="376">
        <v>92</v>
      </c>
      <c r="R116" s="376">
        <v>92</v>
      </c>
      <c r="S116" s="376">
        <v>92</v>
      </c>
      <c r="T116" s="376">
        <v>92</v>
      </c>
      <c r="U116" s="376">
        <v>92</v>
      </c>
      <c r="V116" s="376">
        <v>92</v>
      </c>
      <c r="W116" s="376">
        <v>92</v>
      </c>
      <c r="X116" s="376">
        <v>92</v>
      </c>
      <c r="Y116" s="376">
        <v>92</v>
      </c>
      <c r="Z116" s="376">
        <v>92</v>
      </c>
      <c r="AA116" s="376">
        <v>91</v>
      </c>
      <c r="AB116" s="376">
        <v>91</v>
      </c>
      <c r="AC116" s="376">
        <v>91</v>
      </c>
      <c r="AD116" s="376">
        <v>91</v>
      </c>
      <c r="AE116" s="376">
        <v>91</v>
      </c>
      <c r="AF116" s="376">
        <v>91</v>
      </c>
      <c r="AG116" s="376">
        <v>91</v>
      </c>
      <c r="AH116" s="376">
        <v>91</v>
      </c>
      <c r="AI116" s="376">
        <v>91</v>
      </c>
      <c r="AJ116" s="376">
        <v>91</v>
      </c>
      <c r="AK116" s="69">
        <v>90</v>
      </c>
      <c r="AL116" s="377"/>
    </row>
    <row r="117" spans="1:38" ht="13.5" customHeight="1">
      <c r="A117" s="8"/>
      <c r="B117" s="253"/>
      <c r="C117" s="258"/>
      <c r="D117" s="77" t="s">
        <v>599</v>
      </c>
      <c r="E117" s="376">
        <v>20</v>
      </c>
      <c r="F117" s="376">
        <v>20</v>
      </c>
      <c r="G117" s="376">
        <v>20</v>
      </c>
      <c r="H117" s="376">
        <v>20</v>
      </c>
      <c r="I117" s="376">
        <v>20</v>
      </c>
      <c r="J117" s="376">
        <v>20</v>
      </c>
      <c r="K117" s="376">
        <v>20</v>
      </c>
      <c r="L117" s="376">
        <v>20</v>
      </c>
      <c r="M117" s="376">
        <v>20</v>
      </c>
      <c r="N117" s="376">
        <v>20</v>
      </c>
      <c r="O117" s="376">
        <v>20</v>
      </c>
      <c r="P117" s="376">
        <v>20</v>
      </c>
      <c r="Q117" s="376">
        <v>20</v>
      </c>
      <c r="R117" s="376">
        <v>20</v>
      </c>
      <c r="S117" s="376">
        <v>20</v>
      </c>
      <c r="T117" s="376">
        <v>20</v>
      </c>
      <c r="U117" s="376">
        <v>20</v>
      </c>
      <c r="V117" s="376">
        <v>20</v>
      </c>
      <c r="W117" s="376">
        <v>20</v>
      </c>
      <c r="X117" s="376">
        <v>20</v>
      </c>
      <c r="Y117" s="376">
        <v>20</v>
      </c>
      <c r="Z117" s="376">
        <v>20</v>
      </c>
      <c r="AA117" s="376">
        <v>20</v>
      </c>
      <c r="AB117" s="376">
        <v>20</v>
      </c>
      <c r="AC117" s="376">
        <v>20</v>
      </c>
      <c r="AD117" s="376">
        <v>20</v>
      </c>
      <c r="AE117" s="376">
        <v>20</v>
      </c>
      <c r="AF117" s="376">
        <v>20</v>
      </c>
      <c r="AG117" s="376">
        <v>20</v>
      </c>
      <c r="AH117" s="376">
        <v>20</v>
      </c>
      <c r="AI117" s="376">
        <v>20</v>
      </c>
      <c r="AJ117" s="376">
        <v>20</v>
      </c>
      <c r="AK117" s="69">
        <v>20</v>
      </c>
      <c r="AL117" s="377"/>
    </row>
    <row r="118" spans="1:38" ht="13.5" customHeight="1">
      <c r="A118" s="8"/>
      <c r="B118" s="253"/>
      <c r="C118" s="258"/>
      <c r="D118" s="77" t="s">
        <v>600</v>
      </c>
      <c r="E118" s="376">
        <v>20</v>
      </c>
      <c r="F118" s="376">
        <v>20</v>
      </c>
      <c r="G118" s="376">
        <v>20</v>
      </c>
      <c r="H118" s="376">
        <v>20</v>
      </c>
      <c r="I118" s="376">
        <v>20</v>
      </c>
      <c r="J118" s="376">
        <v>20</v>
      </c>
      <c r="K118" s="376">
        <v>20</v>
      </c>
      <c r="L118" s="376">
        <v>20</v>
      </c>
      <c r="M118" s="376">
        <v>20</v>
      </c>
      <c r="N118" s="376">
        <v>20</v>
      </c>
      <c r="O118" s="376">
        <v>20</v>
      </c>
      <c r="P118" s="376">
        <v>20</v>
      </c>
      <c r="Q118" s="376">
        <v>20</v>
      </c>
      <c r="R118" s="376">
        <v>20</v>
      </c>
      <c r="S118" s="376">
        <v>20</v>
      </c>
      <c r="T118" s="376">
        <v>20</v>
      </c>
      <c r="U118" s="376">
        <v>20</v>
      </c>
      <c r="V118" s="376">
        <v>20</v>
      </c>
      <c r="W118" s="376">
        <v>20</v>
      </c>
      <c r="X118" s="376">
        <v>20</v>
      </c>
      <c r="Y118" s="376">
        <v>20</v>
      </c>
      <c r="Z118" s="376">
        <v>20</v>
      </c>
      <c r="AA118" s="376">
        <v>20</v>
      </c>
      <c r="AB118" s="376">
        <v>20</v>
      </c>
      <c r="AC118" s="376">
        <v>20</v>
      </c>
      <c r="AD118" s="376">
        <v>20</v>
      </c>
      <c r="AE118" s="376">
        <v>20</v>
      </c>
      <c r="AF118" s="376">
        <v>20</v>
      </c>
      <c r="AG118" s="376">
        <v>20</v>
      </c>
      <c r="AH118" s="376">
        <v>20</v>
      </c>
      <c r="AI118" s="376">
        <v>20</v>
      </c>
      <c r="AJ118" s="376">
        <v>20</v>
      </c>
      <c r="AK118" s="69">
        <v>20</v>
      </c>
      <c r="AL118" s="377"/>
    </row>
    <row r="119" spans="1:38" ht="13.5" customHeight="1">
      <c r="A119" s="8"/>
      <c r="B119" s="253"/>
      <c r="C119" s="258"/>
      <c r="D119" s="77" t="s">
        <v>601</v>
      </c>
      <c r="E119" s="376" t="s">
        <v>186</v>
      </c>
      <c r="F119" s="376" t="s">
        <v>186</v>
      </c>
      <c r="G119" s="376" t="s">
        <v>186</v>
      </c>
      <c r="H119" s="376" t="s">
        <v>186</v>
      </c>
      <c r="I119" s="376" t="s">
        <v>186</v>
      </c>
      <c r="J119" s="376" t="s">
        <v>186</v>
      </c>
      <c r="K119" s="376" t="s">
        <v>186</v>
      </c>
      <c r="L119" s="376" t="s">
        <v>186</v>
      </c>
      <c r="M119" s="376" t="s">
        <v>186</v>
      </c>
      <c r="N119" s="376" t="s">
        <v>186</v>
      </c>
      <c r="O119" s="376" t="s">
        <v>186</v>
      </c>
      <c r="P119" s="376" t="s">
        <v>186</v>
      </c>
      <c r="Q119" s="376" t="s">
        <v>186</v>
      </c>
      <c r="R119" s="376" t="s">
        <v>186</v>
      </c>
      <c r="S119" s="376" t="s">
        <v>186</v>
      </c>
      <c r="T119" s="376" t="s">
        <v>186</v>
      </c>
      <c r="U119" s="376" t="s">
        <v>186</v>
      </c>
      <c r="V119" s="376" t="s">
        <v>186</v>
      </c>
      <c r="W119" s="376" t="s">
        <v>186</v>
      </c>
      <c r="X119" s="376" t="s">
        <v>186</v>
      </c>
      <c r="Y119" s="376" t="s">
        <v>186</v>
      </c>
      <c r="Z119" s="376" t="s">
        <v>186</v>
      </c>
      <c r="AA119" s="376" t="s">
        <v>186</v>
      </c>
      <c r="AB119" s="376" t="s">
        <v>186</v>
      </c>
      <c r="AC119" s="376" t="s">
        <v>186</v>
      </c>
      <c r="AD119" s="376" t="s">
        <v>186</v>
      </c>
      <c r="AE119" s="376" t="s">
        <v>186</v>
      </c>
      <c r="AF119" s="376" t="s">
        <v>186</v>
      </c>
      <c r="AG119" s="376" t="s">
        <v>186</v>
      </c>
      <c r="AH119" s="376" t="s">
        <v>186</v>
      </c>
      <c r="AI119" s="376" t="s">
        <v>186</v>
      </c>
      <c r="AJ119" s="376" t="s">
        <v>186</v>
      </c>
      <c r="AK119" s="69" t="s">
        <v>186</v>
      </c>
      <c r="AL119" s="377"/>
    </row>
    <row r="120" spans="1:38" ht="13.5" customHeight="1">
      <c r="A120" s="8"/>
      <c r="B120" s="253"/>
      <c r="C120" s="258"/>
      <c r="D120" s="111" t="s">
        <v>602</v>
      </c>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93"/>
      <c r="AL120" s="377"/>
    </row>
    <row r="121" spans="1:38" ht="13.5" customHeight="1">
      <c r="A121" s="8"/>
      <c r="B121" s="253"/>
      <c r="C121" s="258"/>
      <c r="D121" s="114" t="s">
        <v>603</v>
      </c>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93"/>
      <c r="AL121" s="377"/>
    </row>
    <row r="122" spans="1:38" ht="13.5" customHeight="1">
      <c r="A122" s="8"/>
      <c r="B122" s="253"/>
      <c r="C122" s="258"/>
      <c r="D122" s="77" t="s">
        <v>618</v>
      </c>
      <c r="E122" s="376">
        <v>35</v>
      </c>
      <c r="F122" s="376">
        <v>35</v>
      </c>
      <c r="G122" s="376">
        <v>35</v>
      </c>
      <c r="H122" s="376">
        <v>35</v>
      </c>
      <c r="I122" s="376">
        <v>35</v>
      </c>
      <c r="J122" s="376">
        <v>35</v>
      </c>
      <c r="K122" s="376">
        <v>35</v>
      </c>
      <c r="L122" s="376">
        <v>35</v>
      </c>
      <c r="M122" s="376">
        <v>35</v>
      </c>
      <c r="N122" s="376">
        <v>35</v>
      </c>
      <c r="O122" s="376">
        <v>35</v>
      </c>
      <c r="P122" s="376">
        <v>35</v>
      </c>
      <c r="Q122" s="376">
        <v>35</v>
      </c>
      <c r="R122" s="376">
        <v>35</v>
      </c>
      <c r="S122" s="376">
        <v>35</v>
      </c>
      <c r="T122" s="376">
        <v>35</v>
      </c>
      <c r="U122" s="376">
        <v>35</v>
      </c>
      <c r="V122" s="376">
        <v>35</v>
      </c>
      <c r="W122" s="376">
        <v>35</v>
      </c>
      <c r="X122" s="376">
        <v>35</v>
      </c>
      <c r="Y122" s="376">
        <v>35</v>
      </c>
      <c r="Z122" s="376">
        <v>35</v>
      </c>
      <c r="AA122" s="376">
        <v>35</v>
      </c>
      <c r="AB122" s="376">
        <v>35</v>
      </c>
      <c r="AC122" s="376">
        <v>35</v>
      </c>
      <c r="AD122" s="376">
        <v>35</v>
      </c>
      <c r="AE122" s="376">
        <v>35</v>
      </c>
      <c r="AF122" s="376">
        <v>35</v>
      </c>
      <c r="AG122" s="376">
        <v>35</v>
      </c>
      <c r="AH122" s="376">
        <v>35</v>
      </c>
      <c r="AI122" s="376">
        <v>35</v>
      </c>
      <c r="AJ122" s="376">
        <v>35</v>
      </c>
      <c r="AK122" s="69">
        <v>35</v>
      </c>
      <c r="AL122" s="377"/>
    </row>
    <row r="123" spans="1:38" ht="13.5" customHeight="1">
      <c r="A123" s="8"/>
      <c r="B123" s="253"/>
      <c r="C123" s="258"/>
      <c r="D123" s="77" t="s">
        <v>605</v>
      </c>
      <c r="E123" s="376">
        <v>21.7</v>
      </c>
      <c r="F123" s="376">
        <v>21.7</v>
      </c>
      <c r="G123" s="376">
        <v>21.1</v>
      </c>
      <c r="H123" s="376">
        <v>21.1</v>
      </c>
      <c r="I123" s="376">
        <v>21.1</v>
      </c>
      <c r="J123" s="376">
        <v>21.1</v>
      </c>
      <c r="K123" s="376">
        <v>21.1</v>
      </c>
      <c r="L123" s="376">
        <v>20.6</v>
      </c>
      <c r="M123" s="376">
        <v>20.6</v>
      </c>
      <c r="N123" s="376">
        <v>20.6</v>
      </c>
      <c r="O123" s="376">
        <v>20.6</v>
      </c>
      <c r="P123" s="376">
        <v>20.6</v>
      </c>
      <c r="Q123" s="376">
        <v>20.100000000000001</v>
      </c>
      <c r="R123" s="376">
        <v>20.100000000000001</v>
      </c>
      <c r="S123" s="376">
        <v>20.100000000000001</v>
      </c>
      <c r="T123" s="376">
        <v>20.100000000000001</v>
      </c>
      <c r="U123" s="376">
        <v>20.100000000000001</v>
      </c>
      <c r="V123" s="376">
        <v>19.7</v>
      </c>
      <c r="W123" s="376">
        <v>19.7</v>
      </c>
      <c r="X123" s="376">
        <v>19.7</v>
      </c>
      <c r="Y123" s="376">
        <v>19.7</v>
      </c>
      <c r="Z123" s="376">
        <v>19.7</v>
      </c>
      <c r="AA123" s="376">
        <v>19.399999999999999</v>
      </c>
      <c r="AB123" s="376">
        <v>19.399999999999999</v>
      </c>
      <c r="AC123" s="376">
        <v>19.399999999999999</v>
      </c>
      <c r="AD123" s="376">
        <v>19.399999999999999</v>
      </c>
      <c r="AE123" s="376">
        <v>19.399999999999999</v>
      </c>
      <c r="AF123" s="376">
        <v>19</v>
      </c>
      <c r="AG123" s="376">
        <v>19</v>
      </c>
      <c r="AH123" s="376">
        <v>19</v>
      </c>
      <c r="AI123" s="376">
        <v>19</v>
      </c>
      <c r="AJ123" s="376">
        <v>19</v>
      </c>
      <c r="AK123" s="69">
        <v>18.600000000000001</v>
      </c>
      <c r="AL123" s="377"/>
    </row>
    <row r="124" spans="1:38" ht="13.5" customHeight="1">
      <c r="A124" s="8"/>
      <c r="B124" s="253"/>
      <c r="C124" s="258"/>
      <c r="D124" s="77" t="s">
        <v>606</v>
      </c>
      <c r="E124" s="376">
        <v>23.8</v>
      </c>
      <c r="F124" s="376">
        <v>23.8</v>
      </c>
      <c r="G124" s="376">
        <v>20</v>
      </c>
      <c r="H124" s="376">
        <v>20</v>
      </c>
      <c r="I124" s="376">
        <v>20</v>
      </c>
      <c r="J124" s="376">
        <v>20</v>
      </c>
      <c r="K124" s="376">
        <v>20</v>
      </c>
      <c r="L124" s="376">
        <v>19.829999999999998</v>
      </c>
      <c r="M124" s="376">
        <v>19.829999999999998</v>
      </c>
      <c r="N124" s="376">
        <v>19.829999999999998</v>
      </c>
      <c r="O124" s="376">
        <v>19.829999999999998</v>
      </c>
      <c r="P124" s="376">
        <v>19.829999999999998</v>
      </c>
      <c r="Q124" s="376">
        <v>19.66</v>
      </c>
      <c r="R124" s="376">
        <v>19.66</v>
      </c>
      <c r="S124" s="376">
        <v>19.66</v>
      </c>
      <c r="T124" s="376">
        <v>19.66</v>
      </c>
      <c r="U124" s="376">
        <v>19.66</v>
      </c>
      <c r="V124" s="376">
        <v>19.309999999999999</v>
      </c>
      <c r="W124" s="376">
        <v>19.309999999999999</v>
      </c>
      <c r="X124" s="376">
        <v>19.309999999999999</v>
      </c>
      <c r="Y124" s="376">
        <v>19.309999999999999</v>
      </c>
      <c r="Z124" s="376">
        <v>19.309999999999999</v>
      </c>
      <c r="AA124" s="376">
        <v>18.96</v>
      </c>
      <c r="AB124" s="376">
        <v>18.96</v>
      </c>
      <c r="AC124" s="376">
        <v>18.96</v>
      </c>
      <c r="AD124" s="376">
        <v>18.96</v>
      </c>
      <c r="AE124" s="376">
        <v>18.96</v>
      </c>
      <c r="AF124" s="376">
        <v>18.61</v>
      </c>
      <c r="AG124" s="376">
        <v>18.61</v>
      </c>
      <c r="AH124" s="376">
        <v>18.61</v>
      </c>
      <c r="AI124" s="376">
        <v>18.61</v>
      </c>
      <c r="AJ124" s="376">
        <v>18.61</v>
      </c>
      <c r="AK124" s="69">
        <v>18.260000000000002</v>
      </c>
      <c r="AL124" s="377"/>
    </row>
    <row r="125" spans="1:38" ht="13.5" customHeight="1">
      <c r="A125" s="8"/>
      <c r="B125" s="253"/>
      <c r="C125" s="258"/>
      <c r="D125" s="77" t="s">
        <v>607</v>
      </c>
      <c r="E125" s="376">
        <v>85.75</v>
      </c>
      <c r="F125" s="376">
        <v>85.75</v>
      </c>
      <c r="G125" s="376">
        <v>85.75</v>
      </c>
      <c r="H125" s="376">
        <v>85.75</v>
      </c>
      <c r="I125" s="376">
        <v>85.75</v>
      </c>
      <c r="J125" s="376">
        <v>85.75</v>
      </c>
      <c r="K125" s="376">
        <v>85.75</v>
      </c>
      <c r="L125" s="376">
        <v>81.38</v>
      </c>
      <c r="M125" s="376">
        <v>81.38</v>
      </c>
      <c r="N125" s="376">
        <v>81.38</v>
      </c>
      <c r="O125" s="376">
        <v>81.38</v>
      </c>
      <c r="P125" s="376">
        <v>81.38</v>
      </c>
      <c r="Q125" s="376">
        <v>77</v>
      </c>
      <c r="R125" s="376">
        <v>77</v>
      </c>
      <c r="S125" s="376">
        <v>77</v>
      </c>
      <c r="T125" s="376">
        <v>77</v>
      </c>
      <c r="U125" s="376">
        <v>77</v>
      </c>
      <c r="V125" s="376">
        <v>76.13</v>
      </c>
      <c r="W125" s="376">
        <v>76.13</v>
      </c>
      <c r="X125" s="376">
        <v>76.13</v>
      </c>
      <c r="Y125" s="376">
        <v>76.13</v>
      </c>
      <c r="Z125" s="376">
        <v>76.13</v>
      </c>
      <c r="AA125" s="376">
        <v>75.25</v>
      </c>
      <c r="AB125" s="376">
        <v>75.25</v>
      </c>
      <c r="AC125" s="376">
        <v>75.25</v>
      </c>
      <c r="AD125" s="376">
        <v>75.25</v>
      </c>
      <c r="AE125" s="376">
        <v>75.25</v>
      </c>
      <c r="AF125" s="376">
        <v>74.38</v>
      </c>
      <c r="AG125" s="376">
        <v>74.38</v>
      </c>
      <c r="AH125" s="376">
        <v>74.38</v>
      </c>
      <c r="AI125" s="376">
        <v>74.38</v>
      </c>
      <c r="AJ125" s="376">
        <v>74.38</v>
      </c>
      <c r="AK125" s="69">
        <v>73.5</v>
      </c>
      <c r="AL125" s="377"/>
    </row>
    <row r="126" spans="1:38" ht="13.5" customHeight="1">
      <c r="A126" s="8"/>
      <c r="B126" s="253"/>
      <c r="C126" s="258"/>
      <c r="D126" s="77" t="s">
        <v>599</v>
      </c>
      <c r="E126" s="376" t="s">
        <v>186</v>
      </c>
      <c r="F126" s="376" t="s">
        <v>186</v>
      </c>
      <c r="G126" s="376" t="s">
        <v>186</v>
      </c>
      <c r="H126" s="376" t="s">
        <v>186</v>
      </c>
      <c r="I126" s="376" t="s">
        <v>186</v>
      </c>
      <c r="J126" s="376" t="s">
        <v>186</v>
      </c>
      <c r="K126" s="376" t="s">
        <v>186</v>
      </c>
      <c r="L126" s="376" t="s">
        <v>186</v>
      </c>
      <c r="M126" s="376" t="s">
        <v>186</v>
      </c>
      <c r="N126" s="376" t="s">
        <v>186</v>
      </c>
      <c r="O126" s="376" t="s">
        <v>186</v>
      </c>
      <c r="P126" s="376" t="s">
        <v>186</v>
      </c>
      <c r="Q126" s="376" t="s">
        <v>186</v>
      </c>
      <c r="R126" s="376" t="s">
        <v>186</v>
      </c>
      <c r="S126" s="376" t="s">
        <v>186</v>
      </c>
      <c r="T126" s="376" t="s">
        <v>186</v>
      </c>
      <c r="U126" s="376" t="s">
        <v>186</v>
      </c>
      <c r="V126" s="376" t="s">
        <v>186</v>
      </c>
      <c r="W126" s="376" t="s">
        <v>186</v>
      </c>
      <c r="X126" s="376" t="s">
        <v>186</v>
      </c>
      <c r="Y126" s="376" t="s">
        <v>186</v>
      </c>
      <c r="Z126" s="376" t="s">
        <v>186</v>
      </c>
      <c r="AA126" s="376" t="s">
        <v>186</v>
      </c>
      <c r="AB126" s="376" t="s">
        <v>186</v>
      </c>
      <c r="AC126" s="376" t="s">
        <v>186</v>
      </c>
      <c r="AD126" s="376" t="s">
        <v>186</v>
      </c>
      <c r="AE126" s="376" t="s">
        <v>186</v>
      </c>
      <c r="AF126" s="376" t="s">
        <v>186</v>
      </c>
      <c r="AG126" s="376" t="s">
        <v>186</v>
      </c>
      <c r="AH126" s="376" t="s">
        <v>186</v>
      </c>
      <c r="AI126" s="376" t="s">
        <v>186</v>
      </c>
      <c r="AJ126" s="376" t="s">
        <v>186</v>
      </c>
      <c r="AK126" s="69" t="s">
        <v>186</v>
      </c>
      <c r="AL126" s="377"/>
    </row>
    <row r="127" spans="1:38" ht="13.5" customHeight="1">
      <c r="A127" s="8"/>
      <c r="B127" s="253"/>
      <c r="C127" s="258"/>
      <c r="D127" s="111" t="s">
        <v>608</v>
      </c>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93"/>
      <c r="AL127" s="377"/>
    </row>
    <row r="128" spans="1:38" ht="13.5" customHeight="1">
      <c r="A128" s="8"/>
      <c r="B128" s="253"/>
      <c r="C128" s="258"/>
      <c r="D128" s="114" t="s">
        <v>603</v>
      </c>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93"/>
      <c r="AL128" s="377"/>
    </row>
    <row r="129" spans="1:38" ht="13.5" customHeight="1">
      <c r="A129" s="8"/>
      <c r="B129" s="253"/>
      <c r="C129" s="258"/>
      <c r="D129" s="77" t="s">
        <v>609</v>
      </c>
      <c r="E129" s="376">
        <v>117</v>
      </c>
      <c r="F129" s="376">
        <v>117</v>
      </c>
      <c r="G129" s="376">
        <v>102</v>
      </c>
      <c r="H129" s="376">
        <v>102</v>
      </c>
      <c r="I129" s="376">
        <v>102</v>
      </c>
      <c r="J129" s="376">
        <v>102</v>
      </c>
      <c r="K129" s="376">
        <v>102</v>
      </c>
      <c r="L129" s="376">
        <v>95</v>
      </c>
      <c r="M129" s="376">
        <v>95</v>
      </c>
      <c r="N129" s="376">
        <v>95</v>
      </c>
      <c r="O129" s="376">
        <v>95</v>
      </c>
      <c r="P129" s="376">
        <v>95</v>
      </c>
      <c r="Q129" s="376">
        <v>88</v>
      </c>
      <c r="R129" s="376">
        <v>88</v>
      </c>
      <c r="S129" s="376">
        <v>88</v>
      </c>
      <c r="T129" s="376">
        <v>88</v>
      </c>
      <c r="U129" s="376">
        <v>88</v>
      </c>
      <c r="V129" s="376">
        <v>88</v>
      </c>
      <c r="W129" s="376">
        <v>88</v>
      </c>
      <c r="X129" s="376">
        <v>88</v>
      </c>
      <c r="Y129" s="376">
        <v>88</v>
      </c>
      <c r="Z129" s="376">
        <v>88</v>
      </c>
      <c r="AA129" s="376">
        <v>88</v>
      </c>
      <c r="AB129" s="376">
        <v>88</v>
      </c>
      <c r="AC129" s="376">
        <v>88</v>
      </c>
      <c r="AD129" s="376">
        <v>88</v>
      </c>
      <c r="AE129" s="376">
        <v>88</v>
      </c>
      <c r="AF129" s="376">
        <v>88</v>
      </c>
      <c r="AG129" s="376">
        <v>88</v>
      </c>
      <c r="AH129" s="376">
        <v>88</v>
      </c>
      <c r="AI129" s="376">
        <v>88</v>
      </c>
      <c r="AJ129" s="376">
        <v>88</v>
      </c>
      <c r="AK129" s="69">
        <v>88</v>
      </c>
      <c r="AL129" s="377"/>
    </row>
    <row r="130" spans="1:38" ht="13.5" customHeight="1">
      <c r="A130" s="8"/>
      <c r="B130" s="253"/>
      <c r="C130" s="258"/>
      <c r="D130" s="77" t="s">
        <v>610</v>
      </c>
      <c r="E130" s="376">
        <v>44.3</v>
      </c>
      <c r="F130" s="376">
        <v>44.3</v>
      </c>
      <c r="G130" s="376">
        <v>44.3</v>
      </c>
      <c r="H130" s="376">
        <v>44.3</v>
      </c>
      <c r="I130" s="376">
        <v>44.3</v>
      </c>
      <c r="J130" s="376">
        <v>44.3</v>
      </c>
      <c r="K130" s="376">
        <v>44.3</v>
      </c>
      <c r="L130" s="376">
        <v>44.3</v>
      </c>
      <c r="M130" s="376">
        <v>44.3</v>
      </c>
      <c r="N130" s="376">
        <v>44.3</v>
      </c>
      <c r="O130" s="376">
        <v>44.3</v>
      </c>
      <c r="P130" s="376">
        <v>44.3</v>
      </c>
      <c r="Q130" s="376">
        <v>44.3</v>
      </c>
      <c r="R130" s="376">
        <v>44.3</v>
      </c>
      <c r="S130" s="376">
        <v>44.3</v>
      </c>
      <c r="T130" s="376">
        <v>44.3</v>
      </c>
      <c r="U130" s="376">
        <v>44.3</v>
      </c>
      <c r="V130" s="376">
        <v>44.3</v>
      </c>
      <c r="W130" s="376">
        <v>44.3</v>
      </c>
      <c r="X130" s="376">
        <v>44.3</v>
      </c>
      <c r="Y130" s="376">
        <v>44.3</v>
      </c>
      <c r="Z130" s="376">
        <v>44.3</v>
      </c>
      <c r="AA130" s="376">
        <v>44.3</v>
      </c>
      <c r="AB130" s="376">
        <v>44.3</v>
      </c>
      <c r="AC130" s="376">
        <v>44.3</v>
      </c>
      <c r="AD130" s="376">
        <v>44.3</v>
      </c>
      <c r="AE130" s="376">
        <v>44.3</v>
      </c>
      <c r="AF130" s="376">
        <v>44.3</v>
      </c>
      <c r="AG130" s="376">
        <v>44.3</v>
      </c>
      <c r="AH130" s="376">
        <v>44.3</v>
      </c>
      <c r="AI130" s="376">
        <v>44.3</v>
      </c>
      <c r="AJ130" s="376">
        <v>44.3</v>
      </c>
      <c r="AK130" s="69">
        <v>44.3</v>
      </c>
      <c r="AL130" s="377"/>
    </row>
    <row r="131" spans="1:38" ht="13.5" customHeight="1">
      <c r="A131" s="8"/>
      <c r="B131" s="253"/>
      <c r="C131" s="258"/>
      <c r="D131" s="77" t="s">
        <v>611</v>
      </c>
      <c r="E131" s="376">
        <v>180</v>
      </c>
      <c r="F131" s="376">
        <v>180</v>
      </c>
      <c r="G131" s="376">
        <v>180</v>
      </c>
      <c r="H131" s="376">
        <v>180</v>
      </c>
      <c r="I131" s="376">
        <v>180</v>
      </c>
      <c r="J131" s="376">
        <v>180</v>
      </c>
      <c r="K131" s="376">
        <v>180</v>
      </c>
      <c r="L131" s="376">
        <v>180</v>
      </c>
      <c r="M131" s="376">
        <v>180</v>
      </c>
      <c r="N131" s="376">
        <v>180</v>
      </c>
      <c r="O131" s="376">
        <v>180</v>
      </c>
      <c r="P131" s="376">
        <v>180</v>
      </c>
      <c r="Q131" s="376">
        <v>180</v>
      </c>
      <c r="R131" s="376">
        <v>180</v>
      </c>
      <c r="S131" s="376">
        <v>180</v>
      </c>
      <c r="T131" s="376">
        <v>180</v>
      </c>
      <c r="U131" s="376">
        <v>180</v>
      </c>
      <c r="V131" s="376">
        <v>176</v>
      </c>
      <c r="W131" s="376">
        <v>176</v>
      </c>
      <c r="X131" s="376">
        <v>176</v>
      </c>
      <c r="Y131" s="376">
        <v>176</v>
      </c>
      <c r="Z131" s="376">
        <v>176</v>
      </c>
      <c r="AA131" s="376">
        <v>172</v>
      </c>
      <c r="AB131" s="376">
        <v>172</v>
      </c>
      <c r="AC131" s="376">
        <v>172</v>
      </c>
      <c r="AD131" s="376">
        <v>172</v>
      </c>
      <c r="AE131" s="376">
        <v>172</v>
      </c>
      <c r="AF131" s="376">
        <v>168</v>
      </c>
      <c r="AG131" s="376">
        <v>168</v>
      </c>
      <c r="AH131" s="376">
        <v>168</v>
      </c>
      <c r="AI131" s="376">
        <v>168</v>
      </c>
      <c r="AJ131" s="376">
        <v>168</v>
      </c>
      <c r="AK131" s="69">
        <v>164</v>
      </c>
      <c r="AL131" s="377"/>
    </row>
    <row r="132" spans="1:38" ht="13.5" customHeight="1">
      <c r="A132" s="8"/>
      <c r="B132" s="253"/>
      <c r="C132" s="258"/>
      <c r="D132" s="77" t="s">
        <v>599</v>
      </c>
      <c r="E132" s="376">
        <v>20</v>
      </c>
      <c r="F132" s="376">
        <v>20</v>
      </c>
      <c r="G132" s="376">
        <v>20</v>
      </c>
      <c r="H132" s="376">
        <v>20</v>
      </c>
      <c r="I132" s="376">
        <v>20</v>
      </c>
      <c r="J132" s="376">
        <v>20</v>
      </c>
      <c r="K132" s="376">
        <v>20</v>
      </c>
      <c r="L132" s="376">
        <v>20</v>
      </c>
      <c r="M132" s="376">
        <v>20</v>
      </c>
      <c r="N132" s="376">
        <v>20</v>
      </c>
      <c r="O132" s="376">
        <v>20</v>
      </c>
      <c r="P132" s="376">
        <v>20</v>
      </c>
      <c r="Q132" s="376">
        <v>20</v>
      </c>
      <c r="R132" s="376">
        <v>20</v>
      </c>
      <c r="S132" s="376">
        <v>20</v>
      </c>
      <c r="T132" s="376">
        <v>20</v>
      </c>
      <c r="U132" s="376">
        <v>20</v>
      </c>
      <c r="V132" s="376">
        <v>20</v>
      </c>
      <c r="W132" s="376">
        <v>20</v>
      </c>
      <c r="X132" s="376">
        <v>20</v>
      </c>
      <c r="Y132" s="376">
        <v>20</v>
      </c>
      <c r="Z132" s="376">
        <v>20</v>
      </c>
      <c r="AA132" s="376">
        <v>20</v>
      </c>
      <c r="AB132" s="376">
        <v>20</v>
      </c>
      <c r="AC132" s="376">
        <v>20</v>
      </c>
      <c r="AD132" s="376">
        <v>20</v>
      </c>
      <c r="AE132" s="376">
        <v>20</v>
      </c>
      <c r="AF132" s="376">
        <v>20</v>
      </c>
      <c r="AG132" s="376">
        <v>20</v>
      </c>
      <c r="AH132" s="376">
        <v>20</v>
      </c>
      <c r="AI132" s="376">
        <v>20</v>
      </c>
      <c r="AJ132" s="376">
        <v>20</v>
      </c>
      <c r="AK132" s="69">
        <v>20</v>
      </c>
      <c r="AL132" s="377"/>
    </row>
    <row r="133" spans="1:38" ht="13.5" customHeight="1">
      <c r="A133" s="8"/>
      <c r="B133" s="253"/>
      <c r="C133" s="258"/>
      <c r="D133" s="112" t="s">
        <v>253</v>
      </c>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c r="AD133" s="343"/>
      <c r="AE133" s="343"/>
      <c r="AF133" s="343"/>
      <c r="AG133" s="343"/>
      <c r="AH133" s="343"/>
      <c r="AI133" s="343"/>
      <c r="AJ133" s="343"/>
      <c r="AK133" s="113"/>
      <c r="AL133" s="377"/>
    </row>
    <row r="134" spans="1:38" ht="13.5" customHeight="1">
      <c r="A134" s="8"/>
      <c r="B134" s="253"/>
      <c r="C134" s="258"/>
      <c r="D134" s="110" t="s">
        <v>614</v>
      </c>
      <c r="E134" s="447"/>
      <c r="F134" s="447"/>
      <c r="G134" s="447"/>
      <c r="H134" s="447"/>
      <c r="I134" s="447"/>
      <c r="J134" s="447"/>
      <c r="K134" s="447"/>
      <c r="L134" s="447"/>
      <c r="M134" s="447"/>
      <c r="N134" s="447"/>
      <c r="O134" s="447"/>
      <c r="P134" s="447"/>
      <c r="Q134" s="447"/>
      <c r="R134" s="447"/>
      <c r="S134" s="447"/>
      <c r="T134" s="447"/>
      <c r="U134" s="447"/>
      <c r="V134" s="447"/>
      <c r="W134" s="447"/>
      <c r="X134" s="447"/>
      <c r="Y134" s="447"/>
      <c r="Z134" s="447"/>
      <c r="AA134" s="447"/>
      <c r="AB134" s="447"/>
      <c r="AC134" s="447"/>
      <c r="AD134" s="447"/>
      <c r="AE134" s="447"/>
      <c r="AF134" s="447"/>
      <c r="AG134" s="447"/>
      <c r="AH134" s="447"/>
      <c r="AI134" s="447"/>
      <c r="AJ134" s="447"/>
      <c r="AK134" s="76"/>
      <c r="AL134" s="377"/>
    </row>
    <row r="135" spans="1:38" ht="13.5" customHeight="1">
      <c r="A135" s="8"/>
      <c r="B135" s="253"/>
      <c r="C135" s="258"/>
      <c r="D135" s="77" t="s">
        <v>615</v>
      </c>
      <c r="E135" s="376">
        <v>18.2</v>
      </c>
      <c r="F135" s="376">
        <v>18.2</v>
      </c>
      <c r="G135" s="376">
        <v>18.2</v>
      </c>
      <c r="H135" s="376">
        <v>18.2</v>
      </c>
      <c r="I135" s="376">
        <v>18.2</v>
      </c>
      <c r="J135" s="376">
        <v>18.2</v>
      </c>
      <c r="K135" s="376">
        <v>18.2</v>
      </c>
      <c r="L135" s="376">
        <v>18.2</v>
      </c>
      <c r="M135" s="376">
        <v>18.2</v>
      </c>
      <c r="N135" s="376">
        <v>18.2</v>
      </c>
      <c r="O135" s="376">
        <v>18.2</v>
      </c>
      <c r="P135" s="376">
        <v>18.2</v>
      </c>
      <c r="Q135" s="376">
        <v>18.2</v>
      </c>
      <c r="R135" s="376">
        <v>18.2</v>
      </c>
      <c r="S135" s="376">
        <v>18.2</v>
      </c>
      <c r="T135" s="376">
        <v>18.2</v>
      </c>
      <c r="U135" s="376">
        <v>18.2</v>
      </c>
      <c r="V135" s="376">
        <v>16.399999999999999</v>
      </c>
      <c r="W135" s="376">
        <v>16.399999999999999</v>
      </c>
      <c r="X135" s="376">
        <v>16.399999999999999</v>
      </c>
      <c r="Y135" s="376">
        <v>16.399999999999999</v>
      </c>
      <c r="Z135" s="376">
        <v>16.399999999999999</v>
      </c>
      <c r="AA135" s="376">
        <v>13.6</v>
      </c>
      <c r="AB135" s="376">
        <v>13.6</v>
      </c>
      <c r="AC135" s="376">
        <v>13.6</v>
      </c>
      <c r="AD135" s="376">
        <v>13.6</v>
      </c>
      <c r="AE135" s="376">
        <v>13.6</v>
      </c>
      <c r="AF135" s="376">
        <v>13.6</v>
      </c>
      <c r="AG135" s="376">
        <v>13.6</v>
      </c>
      <c r="AH135" s="376">
        <v>13.6</v>
      </c>
      <c r="AI135" s="376">
        <v>13.6</v>
      </c>
      <c r="AJ135" s="376">
        <v>13.6</v>
      </c>
      <c r="AK135" s="69">
        <v>13.6</v>
      </c>
      <c r="AL135" s="377"/>
    </row>
    <row r="136" spans="1:38" ht="13.5" customHeight="1">
      <c r="A136" s="8"/>
      <c r="B136" s="253"/>
      <c r="C136" s="258"/>
      <c r="D136" s="122" t="s">
        <v>616</v>
      </c>
      <c r="E136" s="90">
        <v>29.1</v>
      </c>
      <c r="F136" s="90">
        <v>29.1</v>
      </c>
      <c r="G136" s="90">
        <v>29.1</v>
      </c>
      <c r="H136" s="90">
        <v>29.1</v>
      </c>
      <c r="I136" s="90">
        <v>29.1</v>
      </c>
      <c r="J136" s="90">
        <v>29.1</v>
      </c>
      <c r="K136" s="90">
        <v>29.1</v>
      </c>
      <c r="L136" s="90">
        <v>29.1</v>
      </c>
      <c r="M136" s="90">
        <v>29.1</v>
      </c>
      <c r="N136" s="90">
        <v>29.1</v>
      </c>
      <c r="O136" s="90">
        <v>29.1</v>
      </c>
      <c r="P136" s="90">
        <v>29.1</v>
      </c>
      <c r="Q136" s="90">
        <v>29.1</v>
      </c>
      <c r="R136" s="90">
        <v>29.1</v>
      </c>
      <c r="S136" s="90">
        <v>29.1</v>
      </c>
      <c r="T136" s="90">
        <v>29.1</v>
      </c>
      <c r="U136" s="90">
        <v>29.1</v>
      </c>
      <c r="V136" s="90">
        <v>29.1</v>
      </c>
      <c r="W136" s="90">
        <v>29.1</v>
      </c>
      <c r="X136" s="90">
        <v>29.1</v>
      </c>
      <c r="Y136" s="90">
        <v>29.1</v>
      </c>
      <c r="Z136" s="90">
        <v>29.1</v>
      </c>
      <c r="AA136" s="90">
        <v>24.2</v>
      </c>
      <c r="AB136" s="90">
        <v>24.2</v>
      </c>
      <c r="AC136" s="90">
        <v>24.2</v>
      </c>
      <c r="AD136" s="90">
        <v>24.2</v>
      </c>
      <c r="AE136" s="90">
        <v>24.2</v>
      </c>
      <c r="AF136" s="90">
        <v>24.2</v>
      </c>
      <c r="AG136" s="90">
        <v>24.2</v>
      </c>
      <c r="AH136" s="90">
        <v>24.2</v>
      </c>
      <c r="AI136" s="90">
        <v>24.2</v>
      </c>
      <c r="AJ136" s="90">
        <v>24.2</v>
      </c>
      <c r="AK136" s="91">
        <v>24.2</v>
      </c>
      <c r="AL136" s="377"/>
    </row>
    <row r="137" spans="1:38" ht="13.5" customHeight="1">
      <c r="A137" s="8"/>
      <c r="B137" s="253"/>
      <c r="C137" s="258"/>
      <c r="D137" s="259"/>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76"/>
      <c r="AH137" s="376"/>
      <c r="AI137" s="376"/>
      <c r="AJ137" s="376"/>
      <c r="AK137" s="376"/>
      <c r="AL137" s="377"/>
    </row>
    <row r="138" spans="1:38" ht="13.5" customHeight="1">
      <c r="A138" s="8"/>
      <c r="B138" s="253"/>
      <c r="C138" s="258"/>
      <c r="D138" s="259"/>
      <c r="E138" s="376"/>
      <c r="F138" s="376"/>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76"/>
      <c r="AH138" s="376"/>
      <c r="AI138" s="376"/>
      <c r="AJ138" s="376"/>
      <c r="AK138" s="376"/>
      <c r="AL138" s="377"/>
    </row>
    <row r="139" spans="1:38" ht="13.5" customHeight="1">
      <c r="A139" s="8"/>
      <c r="B139" s="253"/>
      <c r="C139" s="258"/>
      <c r="D139" s="259"/>
      <c r="E139" s="376"/>
      <c r="F139" s="376"/>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376"/>
      <c r="AL139" s="377"/>
    </row>
    <row r="140" spans="1:38" ht="13.5" customHeight="1">
      <c r="A140" s="8"/>
      <c r="B140" s="253"/>
      <c r="C140" s="258"/>
      <c r="D140" s="259"/>
      <c r="E140" s="376"/>
      <c r="F140" s="376"/>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76"/>
      <c r="AH140" s="376"/>
      <c r="AI140" s="376"/>
      <c r="AJ140" s="376"/>
      <c r="AK140" s="376"/>
      <c r="AL140" s="377"/>
    </row>
    <row r="141" spans="1:38" ht="13.5" customHeight="1">
      <c r="A141" s="8"/>
      <c r="B141" s="253"/>
      <c r="C141" s="258"/>
      <c r="D141" s="281" t="s">
        <v>560</v>
      </c>
      <c r="E141" s="376"/>
      <c r="F141" s="376"/>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6"/>
      <c r="AH141" s="376"/>
      <c r="AI141" s="376"/>
      <c r="AJ141" s="376"/>
      <c r="AK141" s="376"/>
      <c r="AL141" s="377"/>
    </row>
    <row r="142" spans="1:38" ht="13.5" customHeight="1">
      <c r="A142" s="8"/>
      <c r="B142" s="253"/>
      <c r="C142" s="258"/>
      <c r="D142" s="281"/>
      <c r="E142" s="376"/>
      <c r="F142" s="376"/>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6"/>
      <c r="AH142" s="376"/>
      <c r="AI142" s="376"/>
      <c r="AJ142" s="376"/>
      <c r="AK142" s="376"/>
      <c r="AL142" s="377"/>
    </row>
    <row r="143" spans="1:38" ht="13.5" customHeight="1">
      <c r="A143" s="8"/>
      <c r="B143" s="253"/>
      <c r="C143" s="258"/>
      <c r="D143" s="107" t="s">
        <v>131</v>
      </c>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c r="AE143" s="108"/>
      <c r="AF143" s="108"/>
      <c r="AG143" s="108"/>
      <c r="AH143" s="108"/>
      <c r="AI143" s="108"/>
      <c r="AJ143" s="108"/>
      <c r="AK143" s="109"/>
      <c r="AL143" s="377"/>
    </row>
    <row r="144" spans="1:38" ht="13.5" customHeight="1">
      <c r="A144" s="8"/>
      <c r="B144" s="253"/>
      <c r="C144" s="258"/>
      <c r="D144" s="110" t="s">
        <v>571</v>
      </c>
      <c r="E144" s="447"/>
      <c r="F144" s="447"/>
      <c r="G144" s="447"/>
      <c r="H144" s="447"/>
      <c r="I144" s="447"/>
      <c r="J144" s="447"/>
      <c r="K144" s="447"/>
      <c r="L144" s="447"/>
      <c r="M144" s="447"/>
      <c r="N144" s="447"/>
      <c r="O144" s="447"/>
      <c r="P144" s="447"/>
      <c r="Q144" s="447"/>
      <c r="R144" s="447"/>
      <c r="S144" s="447"/>
      <c r="T144" s="447"/>
      <c r="U144" s="447"/>
      <c r="V144" s="447"/>
      <c r="W144" s="447"/>
      <c r="X144" s="447"/>
      <c r="Y144" s="447"/>
      <c r="Z144" s="447"/>
      <c r="AA144" s="447"/>
      <c r="AB144" s="447"/>
      <c r="AC144" s="447"/>
      <c r="AD144" s="447"/>
      <c r="AE144" s="447"/>
      <c r="AF144" s="447"/>
      <c r="AG144" s="447"/>
      <c r="AH144" s="447"/>
      <c r="AI144" s="447"/>
      <c r="AJ144" s="447"/>
      <c r="AK144" s="76"/>
      <c r="AL144" s="377"/>
    </row>
    <row r="145" spans="1:38" ht="13.5" customHeight="1">
      <c r="A145" s="8"/>
      <c r="B145" s="253"/>
      <c r="C145" s="258"/>
      <c r="D145" s="77" t="s">
        <v>572</v>
      </c>
      <c r="E145" s="376">
        <v>0</v>
      </c>
      <c r="F145" s="376">
        <v>0</v>
      </c>
      <c r="G145" s="376">
        <v>0</v>
      </c>
      <c r="H145" s="376">
        <v>0</v>
      </c>
      <c r="I145" s="376">
        <v>0</v>
      </c>
      <c r="J145" s="376">
        <v>0</v>
      </c>
      <c r="K145" s="376">
        <v>0</v>
      </c>
      <c r="L145" s="376">
        <v>0</v>
      </c>
      <c r="M145" s="376">
        <v>0</v>
      </c>
      <c r="N145" s="376">
        <v>0</v>
      </c>
      <c r="O145" s="376">
        <v>0</v>
      </c>
      <c r="P145" s="376">
        <v>0</v>
      </c>
      <c r="Q145" s="376">
        <v>0</v>
      </c>
      <c r="R145" s="376">
        <v>0</v>
      </c>
      <c r="S145" s="376">
        <v>0</v>
      </c>
      <c r="T145" s="376">
        <v>0</v>
      </c>
      <c r="U145" s="376">
        <v>0</v>
      </c>
      <c r="V145" s="376">
        <v>0</v>
      </c>
      <c r="W145" s="376">
        <v>0</v>
      </c>
      <c r="X145" s="376">
        <v>0</v>
      </c>
      <c r="Y145" s="376">
        <v>0</v>
      </c>
      <c r="Z145" s="376">
        <v>0</v>
      </c>
      <c r="AA145" s="376">
        <v>0</v>
      </c>
      <c r="AB145" s="376">
        <v>0</v>
      </c>
      <c r="AC145" s="376">
        <v>0</v>
      </c>
      <c r="AD145" s="376">
        <v>0</v>
      </c>
      <c r="AE145" s="376">
        <v>0</v>
      </c>
      <c r="AF145" s="376">
        <v>0</v>
      </c>
      <c r="AG145" s="376">
        <v>0</v>
      </c>
      <c r="AH145" s="376">
        <v>0</v>
      </c>
      <c r="AI145" s="376">
        <v>0</v>
      </c>
      <c r="AJ145" s="376">
        <v>0</v>
      </c>
      <c r="AK145" s="69">
        <v>0</v>
      </c>
      <c r="AL145" s="377"/>
    </row>
    <row r="146" spans="1:38" ht="13.5" customHeight="1">
      <c r="A146" s="8"/>
      <c r="B146" s="253"/>
      <c r="C146" s="457" t="s">
        <v>133</v>
      </c>
      <c r="D146" s="77" t="s">
        <v>573</v>
      </c>
      <c r="E146" s="376">
        <v>0</v>
      </c>
      <c r="F146" s="376">
        <v>0</v>
      </c>
      <c r="G146" s="376">
        <v>0</v>
      </c>
      <c r="H146" s="376">
        <v>0</v>
      </c>
      <c r="I146" s="376">
        <v>0</v>
      </c>
      <c r="J146" s="376">
        <v>0</v>
      </c>
      <c r="K146" s="376">
        <v>0</v>
      </c>
      <c r="L146" s="376">
        <v>0</v>
      </c>
      <c r="M146" s="376">
        <v>0</v>
      </c>
      <c r="N146" s="376">
        <v>0</v>
      </c>
      <c r="O146" s="376">
        <v>0</v>
      </c>
      <c r="P146" s="376">
        <v>0</v>
      </c>
      <c r="Q146" s="376">
        <v>0</v>
      </c>
      <c r="R146" s="376">
        <v>0</v>
      </c>
      <c r="S146" s="376">
        <v>0</v>
      </c>
      <c r="T146" s="376">
        <v>0</v>
      </c>
      <c r="U146" s="376">
        <v>0</v>
      </c>
      <c r="V146" s="376">
        <v>0</v>
      </c>
      <c r="W146" s="376">
        <v>0</v>
      </c>
      <c r="X146" s="376">
        <v>0</v>
      </c>
      <c r="Y146" s="376">
        <v>0</v>
      </c>
      <c r="Z146" s="376">
        <v>0</v>
      </c>
      <c r="AA146" s="376">
        <v>0</v>
      </c>
      <c r="AB146" s="376">
        <v>0</v>
      </c>
      <c r="AC146" s="376">
        <v>0</v>
      </c>
      <c r="AD146" s="376">
        <v>0</v>
      </c>
      <c r="AE146" s="376">
        <v>0</v>
      </c>
      <c r="AF146" s="376">
        <v>0</v>
      </c>
      <c r="AG146" s="376">
        <v>0</v>
      </c>
      <c r="AH146" s="376">
        <v>0</v>
      </c>
      <c r="AI146" s="376">
        <v>0</v>
      </c>
      <c r="AJ146" s="376">
        <v>0</v>
      </c>
      <c r="AK146" s="69">
        <v>0</v>
      </c>
      <c r="AL146" s="377"/>
    </row>
    <row r="147" spans="1:38" ht="13.5" customHeight="1">
      <c r="A147" s="8"/>
      <c r="B147" s="253"/>
      <c r="C147" s="258"/>
      <c r="D147" s="110" t="s">
        <v>574</v>
      </c>
      <c r="E147" s="447"/>
      <c r="F147" s="447"/>
      <c r="G147" s="447"/>
      <c r="H147" s="447"/>
      <c r="I147" s="447"/>
      <c r="J147" s="447"/>
      <c r="K147" s="447"/>
      <c r="L147" s="447"/>
      <c r="M147" s="447"/>
      <c r="N147" s="447"/>
      <c r="O147" s="447"/>
      <c r="P147" s="447"/>
      <c r="Q147" s="447"/>
      <c r="R147" s="447"/>
      <c r="S147" s="447"/>
      <c r="T147" s="447"/>
      <c r="U147" s="447"/>
      <c r="V147" s="447"/>
      <c r="W147" s="447"/>
      <c r="X147" s="447"/>
      <c r="Y147" s="447"/>
      <c r="Z147" s="447"/>
      <c r="AA147" s="447"/>
      <c r="AB147" s="447"/>
      <c r="AC147" s="447"/>
      <c r="AD147" s="447"/>
      <c r="AE147" s="447"/>
      <c r="AF147" s="447"/>
      <c r="AG147" s="447"/>
      <c r="AH147" s="447"/>
      <c r="AI147" s="447"/>
      <c r="AJ147" s="447"/>
      <c r="AK147" s="76"/>
      <c r="AL147" s="377"/>
    </row>
    <row r="148" spans="1:38" ht="13.5" customHeight="1">
      <c r="A148" s="8"/>
      <c r="B148" s="253"/>
      <c r="C148" s="258"/>
      <c r="D148" s="111" t="s">
        <v>575</v>
      </c>
      <c r="E148" s="451">
        <v>0</v>
      </c>
      <c r="F148" s="451">
        <v>0</v>
      </c>
      <c r="G148" s="451">
        <v>0</v>
      </c>
      <c r="H148" s="451">
        <v>0</v>
      </c>
      <c r="I148" s="451">
        <v>0</v>
      </c>
      <c r="J148" s="451">
        <v>0</v>
      </c>
      <c r="K148" s="451">
        <v>0</v>
      </c>
      <c r="L148" s="451">
        <v>0</v>
      </c>
      <c r="M148" s="451">
        <v>0</v>
      </c>
      <c r="N148" s="451">
        <v>0</v>
      </c>
      <c r="O148" s="451">
        <v>0</v>
      </c>
      <c r="P148" s="451">
        <v>0</v>
      </c>
      <c r="Q148" s="451">
        <v>0</v>
      </c>
      <c r="R148" s="451">
        <v>0</v>
      </c>
      <c r="S148" s="451">
        <v>0</v>
      </c>
      <c r="T148" s="451">
        <v>0</v>
      </c>
      <c r="U148" s="451">
        <v>0</v>
      </c>
      <c r="V148" s="451">
        <v>0</v>
      </c>
      <c r="W148" s="451">
        <v>0</v>
      </c>
      <c r="X148" s="451">
        <v>0</v>
      </c>
      <c r="Y148" s="451">
        <v>0</v>
      </c>
      <c r="Z148" s="451">
        <v>0</v>
      </c>
      <c r="AA148" s="451">
        <v>0</v>
      </c>
      <c r="AB148" s="451">
        <v>0</v>
      </c>
      <c r="AC148" s="451">
        <v>0</v>
      </c>
      <c r="AD148" s="451">
        <v>0</v>
      </c>
      <c r="AE148" s="451">
        <v>0</v>
      </c>
      <c r="AF148" s="451">
        <v>0</v>
      </c>
      <c r="AG148" s="451">
        <v>0</v>
      </c>
      <c r="AH148" s="451">
        <v>0</v>
      </c>
      <c r="AI148" s="451">
        <v>0</v>
      </c>
      <c r="AJ148" s="451">
        <v>0</v>
      </c>
      <c r="AK148" s="93">
        <v>0</v>
      </c>
      <c r="AL148" s="377"/>
    </row>
    <row r="149" spans="1:38" ht="13.5" customHeight="1">
      <c r="A149" s="8"/>
      <c r="B149" s="253"/>
      <c r="C149" s="258"/>
      <c r="D149" s="111" t="s">
        <v>576</v>
      </c>
      <c r="E149" s="451">
        <v>0</v>
      </c>
      <c r="F149" s="451">
        <v>0</v>
      </c>
      <c r="G149" s="451">
        <v>0</v>
      </c>
      <c r="H149" s="451">
        <v>0</v>
      </c>
      <c r="I149" s="451">
        <v>0</v>
      </c>
      <c r="J149" s="451">
        <v>0</v>
      </c>
      <c r="K149" s="451">
        <v>0</v>
      </c>
      <c r="L149" s="451">
        <v>0</v>
      </c>
      <c r="M149" s="451">
        <v>0</v>
      </c>
      <c r="N149" s="451">
        <v>0</v>
      </c>
      <c r="O149" s="451">
        <v>0</v>
      </c>
      <c r="P149" s="451">
        <v>0</v>
      </c>
      <c r="Q149" s="451">
        <v>0</v>
      </c>
      <c r="R149" s="451">
        <v>0</v>
      </c>
      <c r="S149" s="451">
        <v>0</v>
      </c>
      <c r="T149" s="451">
        <v>0</v>
      </c>
      <c r="U149" s="451">
        <v>0</v>
      </c>
      <c r="V149" s="451">
        <v>0</v>
      </c>
      <c r="W149" s="451">
        <v>0</v>
      </c>
      <c r="X149" s="451">
        <v>0</v>
      </c>
      <c r="Y149" s="451">
        <v>0</v>
      </c>
      <c r="Z149" s="451">
        <v>0</v>
      </c>
      <c r="AA149" s="451">
        <v>0</v>
      </c>
      <c r="AB149" s="451">
        <v>0</v>
      </c>
      <c r="AC149" s="451">
        <v>0</v>
      </c>
      <c r="AD149" s="451">
        <v>0</v>
      </c>
      <c r="AE149" s="451">
        <v>0</v>
      </c>
      <c r="AF149" s="451">
        <v>0</v>
      </c>
      <c r="AG149" s="451">
        <v>0</v>
      </c>
      <c r="AH149" s="451">
        <v>0</v>
      </c>
      <c r="AI149" s="451">
        <v>0</v>
      </c>
      <c r="AJ149" s="451">
        <v>0</v>
      </c>
      <c r="AK149" s="93">
        <v>0</v>
      </c>
      <c r="AL149" s="377"/>
    </row>
    <row r="150" spans="1:38" ht="13.5" customHeight="1">
      <c r="A150" s="8"/>
      <c r="B150" s="253"/>
      <c r="C150" s="457" t="s">
        <v>135</v>
      </c>
      <c r="D150" s="112" t="s">
        <v>136</v>
      </c>
      <c r="E150" s="453" t="s">
        <v>186</v>
      </c>
      <c r="F150" s="453" t="s">
        <v>186</v>
      </c>
      <c r="G150" s="453" t="s">
        <v>186</v>
      </c>
      <c r="H150" s="453" t="s">
        <v>186</v>
      </c>
      <c r="I150" s="453" t="s">
        <v>186</v>
      </c>
      <c r="J150" s="453" t="s">
        <v>186</v>
      </c>
      <c r="K150" s="453" t="s">
        <v>186</v>
      </c>
      <c r="L150" s="453" t="s">
        <v>186</v>
      </c>
      <c r="M150" s="453" t="s">
        <v>186</v>
      </c>
      <c r="N150" s="453" t="s">
        <v>186</v>
      </c>
      <c r="O150" s="453" t="s">
        <v>186</v>
      </c>
      <c r="P150" s="453" t="s">
        <v>186</v>
      </c>
      <c r="Q150" s="453" t="s">
        <v>186</v>
      </c>
      <c r="R150" s="453" t="s">
        <v>186</v>
      </c>
      <c r="S150" s="453" t="s">
        <v>186</v>
      </c>
      <c r="T150" s="453" t="s">
        <v>186</v>
      </c>
      <c r="U150" s="453" t="s">
        <v>186</v>
      </c>
      <c r="V150" s="453" t="s">
        <v>186</v>
      </c>
      <c r="W150" s="453" t="s">
        <v>186</v>
      </c>
      <c r="X150" s="453" t="s">
        <v>186</v>
      </c>
      <c r="Y150" s="453" t="s">
        <v>186</v>
      </c>
      <c r="Z150" s="453" t="s">
        <v>186</v>
      </c>
      <c r="AA150" s="453" t="s">
        <v>186</v>
      </c>
      <c r="AB150" s="453" t="s">
        <v>186</v>
      </c>
      <c r="AC150" s="453" t="s">
        <v>186</v>
      </c>
      <c r="AD150" s="453" t="s">
        <v>186</v>
      </c>
      <c r="AE150" s="453" t="s">
        <v>186</v>
      </c>
      <c r="AF150" s="453" t="s">
        <v>186</v>
      </c>
      <c r="AG150" s="453" t="s">
        <v>186</v>
      </c>
      <c r="AH150" s="453" t="s">
        <v>186</v>
      </c>
      <c r="AI150" s="453" t="s">
        <v>186</v>
      </c>
      <c r="AJ150" s="453" t="s">
        <v>186</v>
      </c>
      <c r="AK150" s="453" t="s">
        <v>186</v>
      </c>
      <c r="AL150" s="377"/>
    </row>
    <row r="151" spans="1:38" ht="13.5" customHeight="1">
      <c r="A151" s="8"/>
      <c r="B151" s="253"/>
      <c r="C151" s="258"/>
      <c r="D151" s="112" t="s">
        <v>137</v>
      </c>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113"/>
      <c r="AL151" s="377"/>
    </row>
    <row r="152" spans="1:38" ht="13.5" customHeight="1">
      <c r="A152" s="8"/>
      <c r="B152" s="253"/>
      <c r="C152" s="258"/>
      <c r="D152" s="110" t="s">
        <v>580</v>
      </c>
      <c r="E152" s="447"/>
      <c r="F152" s="447"/>
      <c r="G152" s="447"/>
      <c r="H152" s="447"/>
      <c r="I152" s="447"/>
      <c r="J152" s="447"/>
      <c r="K152" s="447"/>
      <c r="L152" s="447"/>
      <c r="M152" s="447"/>
      <c r="N152" s="447"/>
      <c r="O152" s="447"/>
      <c r="P152" s="447"/>
      <c r="Q152" s="447"/>
      <c r="R152" s="447"/>
      <c r="S152" s="447"/>
      <c r="T152" s="447"/>
      <c r="U152" s="447"/>
      <c r="V152" s="447"/>
      <c r="W152" s="447"/>
      <c r="X152" s="447"/>
      <c r="Y152" s="447"/>
      <c r="Z152" s="447"/>
      <c r="AA152" s="447"/>
      <c r="AB152" s="447"/>
      <c r="AC152" s="447"/>
      <c r="AD152" s="447"/>
      <c r="AE152" s="447"/>
      <c r="AF152" s="447"/>
      <c r="AG152" s="447"/>
      <c r="AH152" s="447"/>
      <c r="AI152" s="447"/>
      <c r="AJ152" s="447"/>
      <c r="AK152" s="76"/>
      <c r="AL152" s="377"/>
    </row>
    <row r="153" spans="1:38" ht="13.5" customHeight="1">
      <c r="A153" s="8"/>
      <c r="B153" s="253"/>
      <c r="C153" s="258"/>
      <c r="D153" s="111" t="s">
        <v>581</v>
      </c>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93"/>
      <c r="AL153" s="377"/>
    </row>
    <row r="154" spans="1:38" ht="13.5" customHeight="1">
      <c r="A154" s="8"/>
      <c r="B154" s="253"/>
      <c r="C154" s="258"/>
      <c r="D154" s="114" t="s">
        <v>582</v>
      </c>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93"/>
      <c r="AL154" s="377"/>
    </row>
    <row r="155" spans="1:38" ht="13.5" customHeight="1">
      <c r="A155" s="619">
        <v>2</v>
      </c>
      <c r="B155" s="456"/>
      <c r="C155" s="457" t="s">
        <v>171</v>
      </c>
      <c r="D155" s="77" t="s">
        <v>583</v>
      </c>
      <c r="E155" s="459">
        <v>0.5559042748852957</v>
      </c>
      <c r="F155" s="459">
        <v>0.5559042748852957</v>
      </c>
      <c r="G155" s="459">
        <v>0.5559042748852957</v>
      </c>
      <c r="H155" s="459">
        <v>0.5559042748852957</v>
      </c>
      <c r="I155" s="459">
        <v>0.5559042748852957</v>
      </c>
      <c r="J155" s="459">
        <v>0.5559042748852957</v>
      </c>
      <c r="K155" s="459">
        <v>0.5559042748852957</v>
      </c>
      <c r="L155" s="459">
        <v>0.5559042748852957</v>
      </c>
      <c r="M155" s="459">
        <v>0.5559042748852957</v>
      </c>
      <c r="N155" s="459">
        <v>0.5559042748852957</v>
      </c>
      <c r="O155" s="459">
        <v>0.5559042748852957</v>
      </c>
      <c r="P155" s="459">
        <v>0.5559042748852957</v>
      </c>
      <c r="Q155" s="459">
        <v>0.5559042748852957</v>
      </c>
      <c r="R155" s="459">
        <v>0.5559042748852957</v>
      </c>
      <c r="S155" s="459">
        <v>0.5559042748852957</v>
      </c>
      <c r="T155" s="459">
        <v>0.5559042748852957</v>
      </c>
      <c r="U155" s="459">
        <v>0.5559042748852957</v>
      </c>
      <c r="V155" s="459">
        <v>0.5559042748852957</v>
      </c>
      <c r="W155" s="459">
        <v>0.5559042748852957</v>
      </c>
      <c r="X155" s="459">
        <v>0.5559042748852957</v>
      </c>
      <c r="Y155" s="459">
        <v>0.5559042748852957</v>
      </c>
      <c r="Z155" s="459">
        <v>0.5559042748852957</v>
      </c>
      <c r="AA155" s="459">
        <v>0.5559042748852957</v>
      </c>
      <c r="AB155" s="459">
        <v>0.5559042748852957</v>
      </c>
      <c r="AC155" s="459">
        <v>0.5559042748852957</v>
      </c>
      <c r="AD155" s="459">
        <v>0.5559042748852957</v>
      </c>
      <c r="AE155" s="459">
        <v>0.5559042748852957</v>
      </c>
      <c r="AF155" s="459">
        <v>0.5559042748852957</v>
      </c>
      <c r="AG155" s="459">
        <v>0.5559042748852957</v>
      </c>
      <c r="AH155" s="459">
        <v>0.5559042748852957</v>
      </c>
      <c r="AI155" s="459">
        <v>0.5559042748852957</v>
      </c>
      <c r="AJ155" s="459">
        <v>0.5559042748852957</v>
      </c>
      <c r="AK155" s="115">
        <v>0.5559042748852957</v>
      </c>
      <c r="AL155" s="377"/>
    </row>
    <row r="156" spans="1:38" ht="13.5" customHeight="1">
      <c r="A156" s="619">
        <v>2</v>
      </c>
      <c r="B156" s="456"/>
      <c r="C156" s="457" t="s">
        <v>173</v>
      </c>
      <c r="D156" s="77" t="s">
        <v>584</v>
      </c>
      <c r="E156" s="459">
        <v>0.5559042748852957</v>
      </c>
      <c r="F156" s="459">
        <v>0.5559042748852957</v>
      </c>
      <c r="G156" s="459">
        <v>0.5559042748852957</v>
      </c>
      <c r="H156" s="459">
        <v>0.5559042748852957</v>
      </c>
      <c r="I156" s="459">
        <v>0.5559042748852957</v>
      </c>
      <c r="J156" s="459">
        <v>0.5559042748852957</v>
      </c>
      <c r="K156" s="459">
        <v>0.5559042748852957</v>
      </c>
      <c r="L156" s="459">
        <v>0.5559042748852957</v>
      </c>
      <c r="M156" s="459">
        <v>0.5559042748852957</v>
      </c>
      <c r="N156" s="459">
        <v>0.5559042748852957</v>
      </c>
      <c r="O156" s="459">
        <v>0.5559042748852957</v>
      </c>
      <c r="P156" s="459">
        <v>0.5559042748852957</v>
      </c>
      <c r="Q156" s="459">
        <v>0.5559042748852957</v>
      </c>
      <c r="R156" s="459">
        <v>0.5559042748852957</v>
      </c>
      <c r="S156" s="459">
        <v>0.5559042748852957</v>
      </c>
      <c r="T156" s="459">
        <v>0.5559042748852957</v>
      </c>
      <c r="U156" s="459">
        <v>0.5559042748852957</v>
      </c>
      <c r="V156" s="459">
        <v>0.5559042748852957</v>
      </c>
      <c r="W156" s="459">
        <v>0.5559042748852957</v>
      </c>
      <c r="X156" s="459">
        <v>0.5559042748852957</v>
      </c>
      <c r="Y156" s="459">
        <v>0.5559042748852957</v>
      </c>
      <c r="Z156" s="459">
        <v>0.5559042748852957</v>
      </c>
      <c r="AA156" s="459">
        <v>0.5559042748852957</v>
      </c>
      <c r="AB156" s="459">
        <v>0.5559042748852957</v>
      </c>
      <c r="AC156" s="459">
        <v>0.5559042748852957</v>
      </c>
      <c r="AD156" s="459">
        <v>0.5559042748852957</v>
      </c>
      <c r="AE156" s="459">
        <v>0.5559042748852957</v>
      </c>
      <c r="AF156" s="459">
        <v>0.5559042748852957</v>
      </c>
      <c r="AG156" s="459">
        <v>0.5559042748852957</v>
      </c>
      <c r="AH156" s="459">
        <v>0.5559042748852957</v>
      </c>
      <c r="AI156" s="459">
        <v>0.5559042748852957</v>
      </c>
      <c r="AJ156" s="459">
        <v>0.5559042748852957</v>
      </c>
      <c r="AK156" s="115">
        <v>0.5559042748852957</v>
      </c>
      <c r="AL156" s="377"/>
    </row>
    <row r="157" spans="1:38" ht="13.5" customHeight="1">
      <c r="A157" s="619">
        <v>2</v>
      </c>
      <c r="B157" s="456"/>
      <c r="C157" s="457" t="s">
        <v>175</v>
      </c>
      <c r="D157" s="77" t="s">
        <v>585</v>
      </c>
      <c r="E157" s="459">
        <v>0.5559042748852957</v>
      </c>
      <c r="F157" s="459">
        <v>0.5559042748852957</v>
      </c>
      <c r="G157" s="459">
        <v>0.5559042748852957</v>
      </c>
      <c r="H157" s="459">
        <v>0.5559042748852957</v>
      </c>
      <c r="I157" s="459">
        <v>0.5559042748852957</v>
      </c>
      <c r="J157" s="459">
        <v>0.5559042748852957</v>
      </c>
      <c r="K157" s="459">
        <v>0.5559042748852957</v>
      </c>
      <c r="L157" s="459">
        <v>0.5559042748852957</v>
      </c>
      <c r="M157" s="459">
        <v>0.5559042748852957</v>
      </c>
      <c r="N157" s="459">
        <v>0.5559042748852957</v>
      </c>
      <c r="O157" s="459">
        <v>0.5559042748852957</v>
      </c>
      <c r="P157" s="459">
        <v>0.5559042748852957</v>
      </c>
      <c r="Q157" s="459">
        <v>0.5559042748852957</v>
      </c>
      <c r="R157" s="459">
        <v>0.5559042748852957</v>
      </c>
      <c r="S157" s="459">
        <v>0.5559042748852957</v>
      </c>
      <c r="T157" s="459">
        <v>0.5559042748852957</v>
      </c>
      <c r="U157" s="459">
        <v>0.5559042748852957</v>
      </c>
      <c r="V157" s="459">
        <v>0.5559042748852957</v>
      </c>
      <c r="W157" s="459">
        <v>0.5559042748852957</v>
      </c>
      <c r="X157" s="459">
        <v>0.5559042748852957</v>
      </c>
      <c r="Y157" s="459">
        <v>0.5559042748852957</v>
      </c>
      <c r="Z157" s="459">
        <v>0.5559042748852957</v>
      </c>
      <c r="AA157" s="459">
        <v>0.5559042748852957</v>
      </c>
      <c r="AB157" s="459">
        <v>0.5559042748852957</v>
      </c>
      <c r="AC157" s="459">
        <v>0.5559042748852957</v>
      </c>
      <c r="AD157" s="459">
        <v>0.5559042748852957</v>
      </c>
      <c r="AE157" s="459">
        <v>0.5559042748852957</v>
      </c>
      <c r="AF157" s="459">
        <v>0.5559042748852957</v>
      </c>
      <c r="AG157" s="459">
        <v>0.5559042748852957</v>
      </c>
      <c r="AH157" s="459">
        <v>0.5559042748852957</v>
      </c>
      <c r="AI157" s="459">
        <v>0.5559042748852957</v>
      </c>
      <c r="AJ157" s="459">
        <v>0.5559042748852957</v>
      </c>
      <c r="AK157" s="115">
        <v>0.5559042748852957</v>
      </c>
      <c r="AL157" s="377"/>
    </row>
    <row r="158" spans="1:38" ht="13.5" customHeight="1">
      <c r="A158" s="619">
        <v>2</v>
      </c>
      <c r="B158" s="456"/>
      <c r="C158" s="457" t="s">
        <v>165</v>
      </c>
      <c r="D158" s="77" t="s">
        <v>586</v>
      </c>
      <c r="E158" s="459">
        <v>0.5559042748852957</v>
      </c>
      <c r="F158" s="459">
        <v>0.5559042748852957</v>
      </c>
      <c r="G158" s="459">
        <v>0.5559042748852957</v>
      </c>
      <c r="H158" s="459">
        <v>0.5559042748852957</v>
      </c>
      <c r="I158" s="459">
        <v>0.5559042748852957</v>
      </c>
      <c r="J158" s="459">
        <v>0.5559042748852957</v>
      </c>
      <c r="K158" s="459">
        <v>0.5559042748852957</v>
      </c>
      <c r="L158" s="459">
        <v>0.5559042748852957</v>
      </c>
      <c r="M158" s="459">
        <v>0.5559042748852957</v>
      </c>
      <c r="N158" s="459">
        <v>0.5559042748852957</v>
      </c>
      <c r="O158" s="459">
        <v>0.5559042748852957</v>
      </c>
      <c r="P158" s="459">
        <v>0.5559042748852957</v>
      </c>
      <c r="Q158" s="459">
        <v>0.5559042748852957</v>
      </c>
      <c r="R158" s="459">
        <v>0.5559042748852957</v>
      </c>
      <c r="S158" s="459">
        <v>0.5559042748852957</v>
      </c>
      <c r="T158" s="459">
        <v>0.5559042748852957</v>
      </c>
      <c r="U158" s="459">
        <v>0.5559042748852957</v>
      </c>
      <c r="V158" s="459">
        <v>0.5559042748852957</v>
      </c>
      <c r="W158" s="459">
        <v>0.5559042748852957</v>
      </c>
      <c r="X158" s="459">
        <v>0.5559042748852957</v>
      </c>
      <c r="Y158" s="459">
        <v>0.5559042748852957</v>
      </c>
      <c r="Z158" s="459">
        <v>0.5559042748852957</v>
      </c>
      <c r="AA158" s="459">
        <v>0.5559042748852957</v>
      </c>
      <c r="AB158" s="459">
        <v>0.5559042748852957</v>
      </c>
      <c r="AC158" s="459">
        <v>0.5559042748852957</v>
      </c>
      <c r="AD158" s="459">
        <v>0.5559042748852957</v>
      </c>
      <c r="AE158" s="459">
        <v>0.5559042748852957</v>
      </c>
      <c r="AF158" s="459">
        <v>0.5559042748852957</v>
      </c>
      <c r="AG158" s="459">
        <v>0.5559042748852957</v>
      </c>
      <c r="AH158" s="459">
        <v>0.5559042748852957</v>
      </c>
      <c r="AI158" s="459">
        <v>0.5559042748852957</v>
      </c>
      <c r="AJ158" s="459">
        <v>0.5559042748852957</v>
      </c>
      <c r="AK158" s="115">
        <v>0.5559042748852957</v>
      </c>
      <c r="AL158" s="377"/>
    </row>
    <row r="159" spans="1:38" ht="13.5" customHeight="1">
      <c r="A159" s="619">
        <v>2</v>
      </c>
      <c r="B159" s="456"/>
      <c r="C159" s="457" t="s">
        <v>167</v>
      </c>
      <c r="D159" s="77" t="s">
        <v>587</v>
      </c>
      <c r="E159" s="459">
        <v>0.5559042748852957</v>
      </c>
      <c r="F159" s="459">
        <v>0.5559042748852957</v>
      </c>
      <c r="G159" s="459">
        <v>0.5559042748852957</v>
      </c>
      <c r="H159" s="459">
        <v>0.5559042748852957</v>
      </c>
      <c r="I159" s="459">
        <v>0.5559042748852957</v>
      </c>
      <c r="J159" s="459">
        <v>0.5559042748852957</v>
      </c>
      <c r="K159" s="459">
        <v>0.5559042748852957</v>
      </c>
      <c r="L159" s="459">
        <v>0.5559042748852957</v>
      </c>
      <c r="M159" s="459">
        <v>0.5559042748852957</v>
      </c>
      <c r="N159" s="459">
        <v>0.5559042748852957</v>
      </c>
      <c r="O159" s="459">
        <v>0.5559042748852957</v>
      </c>
      <c r="P159" s="459">
        <v>0.5559042748852957</v>
      </c>
      <c r="Q159" s="459">
        <v>0.5559042748852957</v>
      </c>
      <c r="R159" s="459">
        <v>0.5559042748852957</v>
      </c>
      <c r="S159" s="459">
        <v>0.5559042748852957</v>
      </c>
      <c r="T159" s="459">
        <v>0.5559042748852957</v>
      </c>
      <c r="U159" s="459">
        <v>0.5559042748852957</v>
      </c>
      <c r="V159" s="459">
        <v>0.5559042748852957</v>
      </c>
      <c r="W159" s="459">
        <v>0.5559042748852957</v>
      </c>
      <c r="X159" s="459">
        <v>0.5559042748852957</v>
      </c>
      <c r="Y159" s="459">
        <v>0.5559042748852957</v>
      </c>
      <c r="Z159" s="459">
        <v>0.5559042748852957</v>
      </c>
      <c r="AA159" s="459">
        <v>0.5559042748852957</v>
      </c>
      <c r="AB159" s="459">
        <v>0.5559042748852957</v>
      </c>
      <c r="AC159" s="459">
        <v>0.5559042748852957</v>
      </c>
      <c r="AD159" s="459">
        <v>0.5559042748852957</v>
      </c>
      <c r="AE159" s="459">
        <v>0.5559042748852957</v>
      </c>
      <c r="AF159" s="459">
        <v>0.5559042748852957</v>
      </c>
      <c r="AG159" s="459">
        <v>0.5559042748852957</v>
      </c>
      <c r="AH159" s="459">
        <v>0.5559042748852957</v>
      </c>
      <c r="AI159" s="459">
        <v>0.5559042748852957</v>
      </c>
      <c r="AJ159" s="459">
        <v>0.5559042748852957</v>
      </c>
      <c r="AK159" s="115">
        <v>0.5559042748852957</v>
      </c>
      <c r="AL159" s="377"/>
    </row>
    <row r="160" spans="1:38" ht="13.5" customHeight="1">
      <c r="A160" s="619">
        <v>2</v>
      </c>
      <c r="B160" s="456"/>
      <c r="C160" s="457" t="s">
        <v>169</v>
      </c>
      <c r="D160" s="77" t="s">
        <v>588</v>
      </c>
      <c r="E160" s="459">
        <v>0.5559042748852957</v>
      </c>
      <c r="F160" s="459">
        <v>0.5559042748852957</v>
      </c>
      <c r="G160" s="459">
        <v>0.5559042748852957</v>
      </c>
      <c r="H160" s="459">
        <v>0.5559042748852957</v>
      </c>
      <c r="I160" s="459">
        <v>0.5559042748852957</v>
      </c>
      <c r="J160" s="459">
        <v>0.5559042748852957</v>
      </c>
      <c r="K160" s="459">
        <v>0.5559042748852957</v>
      </c>
      <c r="L160" s="459">
        <v>0.5559042748852957</v>
      </c>
      <c r="M160" s="459">
        <v>0.5559042748852957</v>
      </c>
      <c r="N160" s="459">
        <v>0.5559042748852957</v>
      </c>
      <c r="O160" s="459">
        <v>0.5559042748852957</v>
      </c>
      <c r="P160" s="459">
        <v>0.5559042748852957</v>
      </c>
      <c r="Q160" s="459">
        <v>0.5559042748852957</v>
      </c>
      <c r="R160" s="459">
        <v>0.5559042748852957</v>
      </c>
      <c r="S160" s="459">
        <v>0.5559042748852957</v>
      </c>
      <c r="T160" s="459">
        <v>0.5559042748852957</v>
      </c>
      <c r="U160" s="459">
        <v>0.5559042748852957</v>
      </c>
      <c r="V160" s="459">
        <v>0.5559042748852957</v>
      </c>
      <c r="W160" s="459">
        <v>0.5559042748852957</v>
      </c>
      <c r="X160" s="459">
        <v>0.5559042748852957</v>
      </c>
      <c r="Y160" s="459">
        <v>0.5559042748852957</v>
      </c>
      <c r="Z160" s="459">
        <v>0.5559042748852957</v>
      </c>
      <c r="AA160" s="459">
        <v>0.5559042748852957</v>
      </c>
      <c r="AB160" s="459">
        <v>0.5559042748852957</v>
      </c>
      <c r="AC160" s="459">
        <v>0.5559042748852957</v>
      </c>
      <c r="AD160" s="459">
        <v>0.5559042748852957</v>
      </c>
      <c r="AE160" s="459">
        <v>0.5559042748852957</v>
      </c>
      <c r="AF160" s="459">
        <v>0.5559042748852957</v>
      </c>
      <c r="AG160" s="459">
        <v>0.5559042748852957</v>
      </c>
      <c r="AH160" s="459">
        <v>0.5559042748852957</v>
      </c>
      <c r="AI160" s="459">
        <v>0.5559042748852957</v>
      </c>
      <c r="AJ160" s="459">
        <v>0.5559042748852957</v>
      </c>
      <c r="AK160" s="115">
        <v>0.5559042748852957</v>
      </c>
      <c r="AL160" s="377"/>
    </row>
    <row r="161" spans="1:38" ht="13.5" customHeight="1">
      <c r="A161" s="8"/>
      <c r="B161" s="456"/>
      <c r="C161" s="258"/>
      <c r="D161" s="111" t="s">
        <v>589</v>
      </c>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93"/>
      <c r="AL161" s="377"/>
    </row>
    <row r="162" spans="1:38" ht="13.5" customHeight="1">
      <c r="A162" s="8"/>
      <c r="B162" s="456"/>
      <c r="C162" s="258"/>
      <c r="D162" s="114" t="s">
        <v>582</v>
      </c>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93"/>
      <c r="AL162" s="377"/>
    </row>
    <row r="163" spans="1:38" ht="13.5" customHeight="1">
      <c r="A163" s="619">
        <v>2</v>
      </c>
      <c r="B163" s="456"/>
      <c r="C163" s="457" t="s">
        <v>181</v>
      </c>
      <c r="D163" s="77" t="s">
        <v>583</v>
      </c>
      <c r="E163" s="459">
        <v>0.5559042748852957</v>
      </c>
      <c r="F163" s="459">
        <v>0.5559042748852957</v>
      </c>
      <c r="G163" s="459">
        <v>0.5559042748852957</v>
      </c>
      <c r="H163" s="459">
        <v>0.5559042748852957</v>
      </c>
      <c r="I163" s="459">
        <v>0.5559042748852957</v>
      </c>
      <c r="J163" s="459">
        <v>0.5559042748852957</v>
      </c>
      <c r="K163" s="459">
        <v>0.5559042748852957</v>
      </c>
      <c r="L163" s="459">
        <v>0.5559042748852957</v>
      </c>
      <c r="M163" s="459">
        <v>0.5559042748852957</v>
      </c>
      <c r="N163" s="459">
        <v>0.5559042748852957</v>
      </c>
      <c r="O163" s="459">
        <v>0.5559042748852957</v>
      </c>
      <c r="P163" s="459">
        <v>0.5559042748852957</v>
      </c>
      <c r="Q163" s="459">
        <v>0.5559042748852957</v>
      </c>
      <c r="R163" s="459">
        <v>0.5559042748852957</v>
      </c>
      <c r="S163" s="459">
        <v>0.5559042748852957</v>
      </c>
      <c r="T163" s="459">
        <v>0.5559042748852957</v>
      </c>
      <c r="U163" s="459">
        <v>0.5559042748852957</v>
      </c>
      <c r="V163" s="459">
        <v>0.5559042748852957</v>
      </c>
      <c r="W163" s="459">
        <v>0.5559042748852957</v>
      </c>
      <c r="X163" s="459">
        <v>0.5559042748852957</v>
      </c>
      <c r="Y163" s="459">
        <v>0.5559042748852957</v>
      </c>
      <c r="Z163" s="459">
        <v>0.5559042748852957</v>
      </c>
      <c r="AA163" s="459">
        <v>0.5559042748852957</v>
      </c>
      <c r="AB163" s="459">
        <v>0.5559042748852957</v>
      </c>
      <c r="AC163" s="459">
        <v>0.5559042748852957</v>
      </c>
      <c r="AD163" s="459">
        <v>0.5559042748852957</v>
      </c>
      <c r="AE163" s="459">
        <v>0.5559042748852957</v>
      </c>
      <c r="AF163" s="459">
        <v>0.5559042748852957</v>
      </c>
      <c r="AG163" s="459">
        <v>0.5559042748852957</v>
      </c>
      <c r="AH163" s="459">
        <v>0.5559042748852957</v>
      </c>
      <c r="AI163" s="459">
        <v>0.5559042748852957</v>
      </c>
      <c r="AJ163" s="459">
        <v>0.5559042748852957</v>
      </c>
      <c r="AK163" s="115">
        <v>0.5559042748852957</v>
      </c>
      <c r="AL163" s="377"/>
    </row>
    <row r="164" spans="1:38" ht="13.5" customHeight="1">
      <c r="A164" s="619">
        <v>2</v>
      </c>
      <c r="B164" s="456"/>
      <c r="C164" s="457" t="s">
        <v>182</v>
      </c>
      <c r="D164" s="77" t="s">
        <v>584</v>
      </c>
      <c r="E164" s="459">
        <v>0.5559042748852957</v>
      </c>
      <c r="F164" s="459">
        <v>0.5559042748852957</v>
      </c>
      <c r="G164" s="459">
        <v>0.5559042748852957</v>
      </c>
      <c r="H164" s="459">
        <v>0.5559042748852957</v>
      </c>
      <c r="I164" s="459">
        <v>0.5559042748852957</v>
      </c>
      <c r="J164" s="459">
        <v>0.5559042748852957</v>
      </c>
      <c r="K164" s="459">
        <v>0.5559042748852957</v>
      </c>
      <c r="L164" s="459">
        <v>0.5559042748852957</v>
      </c>
      <c r="M164" s="459">
        <v>0.5559042748852957</v>
      </c>
      <c r="N164" s="459">
        <v>0.5559042748852957</v>
      </c>
      <c r="O164" s="459">
        <v>0.5559042748852957</v>
      </c>
      <c r="P164" s="459">
        <v>0.5559042748852957</v>
      </c>
      <c r="Q164" s="459">
        <v>0.5559042748852957</v>
      </c>
      <c r="R164" s="459">
        <v>0.5559042748852957</v>
      </c>
      <c r="S164" s="459">
        <v>0.5559042748852957</v>
      </c>
      <c r="T164" s="459">
        <v>0.5559042748852957</v>
      </c>
      <c r="U164" s="459">
        <v>0.5559042748852957</v>
      </c>
      <c r="V164" s="459">
        <v>0.5559042748852957</v>
      </c>
      <c r="W164" s="459">
        <v>0.5559042748852957</v>
      </c>
      <c r="X164" s="459">
        <v>0.5559042748852957</v>
      </c>
      <c r="Y164" s="459">
        <v>0.5559042748852957</v>
      </c>
      <c r="Z164" s="459">
        <v>0.5559042748852957</v>
      </c>
      <c r="AA164" s="459">
        <v>0.5559042748852957</v>
      </c>
      <c r="AB164" s="459">
        <v>0.5559042748852957</v>
      </c>
      <c r="AC164" s="459">
        <v>0.5559042748852957</v>
      </c>
      <c r="AD164" s="459">
        <v>0.5559042748852957</v>
      </c>
      <c r="AE164" s="459">
        <v>0.5559042748852957</v>
      </c>
      <c r="AF164" s="459">
        <v>0.5559042748852957</v>
      </c>
      <c r="AG164" s="459">
        <v>0.5559042748852957</v>
      </c>
      <c r="AH164" s="459">
        <v>0.5559042748852957</v>
      </c>
      <c r="AI164" s="459">
        <v>0.5559042748852957</v>
      </c>
      <c r="AJ164" s="459">
        <v>0.5559042748852957</v>
      </c>
      <c r="AK164" s="115">
        <v>0.5559042748852957</v>
      </c>
      <c r="AL164" s="377"/>
    </row>
    <row r="165" spans="1:38" ht="13.5" customHeight="1">
      <c r="A165" s="619">
        <v>2</v>
      </c>
      <c r="B165" s="456"/>
      <c r="C165" s="457" t="s">
        <v>183</v>
      </c>
      <c r="D165" s="77" t="s">
        <v>585</v>
      </c>
      <c r="E165" s="459">
        <v>0.5559042748852957</v>
      </c>
      <c r="F165" s="459">
        <v>0.5559042748852957</v>
      </c>
      <c r="G165" s="459">
        <v>0.5559042748852957</v>
      </c>
      <c r="H165" s="459">
        <v>0.5559042748852957</v>
      </c>
      <c r="I165" s="459">
        <v>0.5559042748852957</v>
      </c>
      <c r="J165" s="459">
        <v>0.5559042748852957</v>
      </c>
      <c r="K165" s="459">
        <v>0.5559042748852957</v>
      </c>
      <c r="L165" s="459">
        <v>0.5559042748852957</v>
      </c>
      <c r="M165" s="459">
        <v>0.5559042748852957</v>
      </c>
      <c r="N165" s="459">
        <v>0.5559042748852957</v>
      </c>
      <c r="O165" s="459">
        <v>0.5559042748852957</v>
      </c>
      <c r="P165" s="459">
        <v>0.5559042748852957</v>
      </c>
      <c r="Q165" s="459">
        <v>0.5559042748852957</v>
      </c>
      <c r="R165" s="459">
        <v>0.5559042748852957</v>
      </c>
      <c r="S165" s="459">
        <v>0.5559042748852957</v>
      </c>
      <c r="T165" s="459">
        <v>0.5559042748852957</v>
      </c>
      <c r="U165" s="459">
        <v>0.5559042748852957</v>
      </c>
      <c r="V165" s="459">
        <v>0.5559042748852957</v>
      </c>
      <c r="W165" s="459">
        <v>0.5559042748852957</v>
      </c>
      <c r="X165" s="459">
        <v>0.5559042748852957</v>
      </c>
      <c r="Y165" s="459">
        <v>0.5559042748852957</v>
      </c>
      <c r="Z165" s="459">
        <v>0.5559042748852957</v>
      </c>
      <c r="AA165" s="459">
        <v>0.5559042748852957</v>
      </c>
      <c r="AB165" s="459">
        <v>0.5559042748852957</v>
      </c>
      <c r="AC165" s="459">
        <v>0.5559042748852957</v>
      </c>
      <c r="AD165" s="459">
        <v>0.5559042748852957</v>
      </c>
      <c r="AE165" s="459">
        <v>0.5559042748852957</v>
      </c>
      <c r="AF165" s="459">
        <v>0.5559042748852957</v>
      </c>
      <c r="AG165" s="459">
        <v>0.5559042748852957</v>
      </c>
      <c r="AH165" s="459">
        <v>0.5559042748852957</v>
      </c>
      <c r="AI165" s="459">
        <v>0.5559042748852957</v>
      </c>
      <c r="AJ165" s="459">
        <v>0.5559042748852957</v>
      </c>
      <c r="AK165" s="115">
        <v>0.5559042748852957</v>
      </c>
      <c r="AL165" s="377"/>
    </row>
    <row r="166" spans="1:38" ht="13.5" customHeight="1">
      <c r="A166" s="619">
        <v>2</v>
      </c>
      <c r="B166" s="456"/>
      <c r="C166" s="457" t="s">
        <v>178</v>
      </c>
      <c r="D166" s="77" t="s">
        <v>586</v>
      </c>
      <c r="E166" s="459">
        <v>0.5559042748852957</v>
      </c>
      <c r="F166" s="459">
        <v>0.5559042748852957</v>
      </c>
      <c r="G166" s="459">
        <v>0.5559042748852957</v>
      </c>
      <c r="H166" s="459">
        <v>0.5559042748852957</v>
      </c>
      <c r="I166" s="459">
        <v>0.5559042748852957</v>
      </c>
      <c r="J166" s="459">
        <v>0.5559042748852957</v>
      </c>
      <c r="K166" s="459">
        <v>0.5559042748852957</v>
      </c>
      <c r="L166" s="459">
        <v>0.5559042748852957</v>
      </c>
      <c r="M166" s="459">
        <v>0.5559042748852957</v>
      </c>
      <c r="N166" s="459">
        <v>0.5559042748852957</v>
      </c>
      <c r="O166" s="459">
        <v>0.5559042748852957</v>
      </c>
      <c r="P166" s="459">
        <v>0.5559042748852957</v>
      </c>
      <c r="Q166" s="459">
        <v>0.5559042748852957</v>
      </c>
      <c r="R166" s="459">
        <v>0.5559042748852957</v>
      </c>
      <c r="S166" s="459">
        <v>0.5559042748852957</v>
      </c>
      <c r="T166" s="459">
        <v>0.5559042748852957</v>
      </c>
      <c r="U166" s="459">
        <v>0.5559042748852957</v>
      </c>
      <c r="V166" s="459">
        <v>0.5559042748852957</v>
      </c>
      <c r="W166" s="459">
        <v>0.5559042748852957</v>
      </c>
      <c r="X166" s="459">
        <v>0.5559042748852957</v>
      </c>
      <c r="Y166" s="459">
        <v>0.5559042748852957</v>
      </c>
      <c r="Z166" s="459">
        <v>0.5559042748852957</v>
      </c>
      <c r="AA166" s="459">
        <v>0.5559042748852957</v>
      </c>
      <c r="AB166" s="459">
        <v>0.5559042748852957</v>
      </c>
      <c r="AC166" s="459">
        <v>0.5559042748852957</v>
      </c>
      <c r="AD166" s="459">
        <v>0.5559042748852957</v>
      </c>
      <c r="AE166" s="459">
        <v>0.5559042748852957</v>
      </c>
      <c r="AF166" s="459">
        <v>0.5559042748852957</v>
      </c>
      <c r="AG166" s="459">
        <v>0.5559042748852957</v>
      </c>
      <c r="AH166" s="459">
        <v>0.5559042748852957</v>
      </c>
      <c r="AI166" s="459">
        <v>0.5559042748852957</v>
      </c>
      <c r="AJ166" s="459">
        <v>0.5559042748852957</v>
      </c>
      <c r="AK166" s="115">
        <v>0.5559042748852957</v>
      </c>
      <c r="AL166" s="377"/>
    </row>
    <row r="167" spans="1:38" ht="13.5" customHeight="1">
      <c r="A167" s="619">
        <v>2</v>
      </c>
      <c r="B167" s="456"/>
      <c r="C167" s="457" t="s">
        <v>179</v>
      </c>
      <c r="D167" s="77" t="s">
        <v>587</v>
      </c>
      <c r="E167" s="459">
        <v>0.5559042748852957</v>
      </c>
      <c r="F167" s="459">
        <v>0.5559042748852957</v>
      </c>
      <c r="G167" s="459">
        <v>0.5559042748852957</v>
      </c>
      <c r="H167" s="459">
        <v>0.5559042748852957</v>
      </c>
      <c r="I167" s="459">
        <v>0.5559042748852957</v>
      </c>
      <c r="J167" s="459">
        <v>0.5559042748852957</v>
      </c>
      <c r="K167" s="459">
        <v>0.5559042748852957</v>
      </c>
      <c r="L167" s="459">
        <v>0.5559042748852957</v>
      </c>
      <c r="M167" s="459">
        <v>0.5559042748852957</v>
      </c>
      <c r="N167" s="459">
        <v>0.5559042748852957</v>
      </c>
      <c r="O167" s="459">
        <v>0.5559042748852957</v>
      </c>
      <c r="P167" s="459">
        <v>0.5559042748852957</v>
      </c>
      <c r="Q167" s="459">
        <v>0.5559042748852957</v>
      </c>
      <c r="R167" s="459">
        <v>0.5559042748852957</v>
      </c>
      <c r="S167" s="459">
        <v>0.5559042748852957</v>
      </c>
      <c r="T167" s="459">
        <v>0.5559042748852957</v>
      </c>
      <c r="U167" s="459">
        <v>0.5559042748852957</v>
      </c>
      <c r="V167" s="459">
        <v>0.5559042748852957</v>
      </c>
      <c r="W167" s="459">
        <v>0.5559042748852957</v>
      </c>
      <c r="X167" s="459">
        <v>0.5559042748852957</v>
      </c>
      <c r="Y167" s="459">
        <v>0.5559042748852957</v>
      </c>
      <c r="Z167" s="459">
        <v>0.5559042748852957</v>
      </c>
      <c r="AA167" s="459">
        <v>0.5559042748852957</v>
      </c>
      <c r="AB167" s="459">
        <v>0.5559042748852957</v>
      </c>
      <c r="AC167" s="459">
        <v>0.5559042748852957</v>
      </c>
      <c r="AD167" s="459">
        <v>0.5559042748852957</v>
      </c>
      <c r="AE167" s="459">
        <v>0.5559042748852957</v>
      </c>
      <c r="AF167" s="459">
        <v>0.5559042748852957</v>
      </c>
      <c r="AG167" s="459">
        <v>0.5559042748852957</v>
      </c>
      <c r="AH167" s="459">
        <v>0.5559042748852957</v>
      </c>
      <c r="AI167" s="459">
        <v>0.5559042748852957</v>
      </c>
      <c r="AJ167" s="459">
        <v>0.5559042748852957</v>
      </c>
      <c r="AK167" s="115">
        <v>0.5559042748852957</v>
      </c>
      <c r="AL167" s="377"/>
    </row>
    <row r="168" spans="1:38" ht="13.5" customHeight="1">
      <c r="A168" s="619">
        <v>2</v>
      </c>
      <c r="B168" s="456"/>
      <c r="C168" s="457" t="s">
        <v>180</v>
      </c>
      <c r="D168" s="77" t="s">
        <v>588</v>
      </c>
      <c r="E168" s="459">
        <v>0.5559042748852957</v>
      </c>
      <c r="F168" s="459">
        <v>0.5559042748852957</v>
      </c>
      <c r="G168" s="459">
        <v>0.5559042748852957</v>
      </c>
      <c r="H168" s="459">
        <v>0.5559042748852957</v>
      </c>
      <c r="I168" s="459">
        <v>0.5559042748852957</v>
      </c>
      <c r="J168" s="459">
        <v>0.5559042748852957</v>
      </c>
      <c r="K168" s="459">
        <v>0.5559042748852957</v>
      </c>
      <c r="L168" s="459">
        <v>0.5559042748852957</v>
      </c>
      <c r="M168" s="459">
        <v>0.5559042748852957</v>
      </c>
      <c r="N168" s="459">
        <v>0.5559042748852957</v>
      </c>
      <c r="O168" s="459">
        <v>0.5559042748852957</v>
      </c>
      <c r="P168" s="459">
        <v>0.5559042748852957</v>
      </c>
      <c r="Q168" s="459">
        <v>0.5559042748852957</v>
      </c>
      <c r="R168" s="459">
        <v>0.5559042748852957</v>
      </c>
      <c r="S168" s="459">
        <v>0.5559042748852957</v>
      </c>
      <c r="T168" s="459">
        <v>0.5559042748852957</v>
      </c>
      <c r="U168" s="459">
        <v>0.5559042748852957</v>
      </c>
      <c r="V168" s="459">
        <v>0.5559042748852957</v>
      </c>
      <c r="W168" s="459">
        <v>0.5559042748852957</v>
      </c>
      <c r="X168" s="459">
        <v>0.5559042748852957</v>
      </c>
      <c r="Y168" s="459">
        <v>0.5559042748852957</v>
      </c>
      <c r="Z168" s="459">
        <v>0.5559042748852957</v>
      </c>
      <c r="AA168" s="459">
        <v>0.5559042748852957</v>
      </c>
      <c r="AB168" s="459">
        <v>0.5559042748852957</v>
      </c>
      <c r="AC168" s="459">
        <v>0.5559042748852957</v>
      </c>
      <c r="AD168" s="459">
        <v>0.5559042748852957</v>
      </c>
      <c r="AE168" s="459">
        <v>0.5559042748852957</v>
      </c>
      <c r="AF168" s="459">
        <v>0.5559042748852957</v>
      </c>
      <c r="AG168" s="459">
        <v>0.5559042748852957</v>
      </c>
      <c r="AH168" s="459">
        <v>0.5559042748852957</v>
      </c>
      <c r="AI168" s="459">
        <v>0.5559042748852957</v>
      </c>
      <c r="AJ168" s="459">
        <v>0.5559042748852957</v>
      </c>
      <c r="AK168" s="115">
        <v>0.5559042748852957</v>
      </c>
      <c r="AL168" s="377"/>
    </row>
    <row r="169" spans="1:38" ht="13.5" customHeight="1">
      <c r="A169" s="8"/>
      <c r="B169" s="253"/>
      <c r="C169" s="258"/>
      <c r="D169" s="112" t="s">
        <v>143</v>
      </c>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c r="AD169" s="343"/>
      <c r="AE169" s="343"/>
      <c r="AF169" s="343"/>
      <c r="AG169" s="343"/>
      <c r="AH169" s="343"/>
      <c r="AI169" s="343"/>
      <c r="AJ169" s="343"/>
      <c r="AK169" s="113"/>
      <c r="AL169" s="377"/>
    </row>
    <row r="170" spans="1:38" ht="13.5" customHeight="1">
      <c r="A170" s="8"/>
      <c r="B170" s="253"/>
      <c r="C170" s="258"/>
      <c r="D170" s="110" t="s">
        <v>590</v>
      </c>
      <c r="E170" s="447"/>
      <c r="F170" s="447"/>
      <c r="G170" s="447"/>
      <c r="H170" s="447"/>
      <c r="I170" s="447"/>
      <c r="J170" s="447"/>
      <c r="K170" s="447"/>
      <c r="L170" s="447"/>
      <c r="M170" s="447"/>
      <c r="N170" s="447"/>
      <c r="O170" s="447"/>
      <c r="P170" s="447"/>
      <c r="Q170" s="447"/>
      <c r="R170" s="447"/>
      <c r="S170" s="447"/>
      <c r="T170" s="447"/>
      <c r="U170" s="447"/>
      <c r="V170" s="447"/>
      <c r="W170" s="447"/>
      <c r="X170" s="447"/>
      <c r="Y170" s="447"/>
      <c r="Z170" s="447"/>
      <c r="AA170" s="447"/>
      <c r="AB170" s="447"/>
      <c r="AC170" s="447"/>
      <c r="AD170" s="447"/>
      <c r="AE170" s="447"/>
      <c r="AF170" s="447"/>
      <c r="AG170" s="447"/>
      <c r="AH170" s="447"/>
      <c r="AI170" s="447"/>
      <c r="AJ170" s="447"/>
      <c r="AK170" s="76"/>
      <c r="AL170" s="377"/>
    </row>
    <row r="171" spans="1:38" ht="13.5" customHeight="1">
      <c r="A171" s="8"/>
      <c r="B171" s="253"/>
      <c r="C171" s="258"/>
      <c r="D171" s="77" t="s">
        <v>591</v>
      </c>
      <c r="E171" s="376" t="s">
        <v>186</v>
      </c>
      <c r="F171" s="376" t="s">
        <v>186</v>
      </c>
      <c r="G171" s="376" t="s">
        <v>186</v>
      </c>
      <c r="H171" s="376" t="s">
        <v>186</v>
      </c>
      <c r="I171" s="376" t="s">
        <v>186</v>
      </c>
      <c r="J171" s="376" t="s">
        <v>186</v>
      </c>
      <c r="K171" s="376" t="s">
        <v>186</v>
      </c>
      <c r="L171" s="376" t="s">
        <v>186</v>
      </c>
      <c r="M171" s="376" t="s">
        <v>186</v>
      </c>
      <c r="N171" s="376" t="s">
        <v>186</v>
      </c>
      <c r="O171" s="376" t="s">
        <v>186</v>
      </c>
      <c r="P171" s="376" t="s">
        <v>186</v>
      </c>
      <c r="Q171" s="376" t="s">
        <v>186</v>
      </c>
      <c r="R171" s="376" t="s">
        <v>186</v>
      </c>
      <c r="S171" s="376" t="s">
        <v>186</v>
      </c>
      <c r="T171" s="376" t="s">
        <v>186</v>
      </c>
      <c r="U171" s="376" t="s">
        <v>186</v>
      </c>
      <c r="V171" s="376" t="s">
        <v>186</v>
      </c>
      <c r="W171" s="376" t="s">
        <v>186</v>
      </c>
      <c r="X171" s="376" t="s">
        <v>186</v>
      </c>
      <c r="Y171" s="376" t="s">
        <v>186</v>
      </c>
      <c r="Z171" s="376" t="s">
        <v>186</v>
      </c>
      <c r="AA171" s="376" t="s">
        <v>186</v>
      </c>
      <c r="AB171" s="376" t="s">
        <v>186</v>
      </c>
      <c r="AC171" s="376" t="s">
        <v>186</v>
      </c>
      <c r="AD171" s="376" t="s">
        <v>186</v>
      </c>
      <c r="AE171" s="376" t="s">
        <v>186</v>
      </c>
      <c r="AF171" s="376" t="s">
        <v>186</v>
      </c>
      <c r="AG171" s="376" t="s">
        <v>186</v>
      </c>
      <c r="AH171" s="376" t="s">
        <v>186</v>
      </c>
      <c r="AI171" s="376" t="s">
        <v>186</v>
      </c>
      <c r="AJ171" s="376" t="s">
        <v>186</v>
      </c>
      <c r="AK171" s="69" t="s">
        <v>186</v>
      </c>
      <c r="AL171" s="377"/>
    </row>
    <row r="172" spans="1:38" ht="13.5" customHeight="1">
      <c r="A172" s="8"/>
      <c r="B172" s="253"/>
      <c r="C172" s="258" t="s">
        <v>142</v>
      </c>
      <c r="D172" s="77" t="s">
        <v>592</v>
      </c>
      <c r="E172" s="376" t="s">
        <v>186</v>
      </c>
      <c r="F172" s="376" t="s">
        <v>186</v>
      </c>
      <c r="G172" s="376" t="s">
        <v>186</v>
      </c>
      <c r="H172" s="376" t="s">
        <v>186</v>
      </c>
      <c r="I172" s="376" t="s">
        <v>186</v>
      </c>
      <c r="J172" s="376" t="s">
        <v>186</v>
      </c>
      <c r="K172" s="376" t="s">
        <v>186</v>
      </c>
      <c r="L172" s="376" t="s">
        <v>186</v>
      </c>
      <c r="M172" s="376" t="s">
        <v>186</v>
      </c>
      <c r="N172" s="376" t="s">
        <v>186</v>
      </c>
      <c r="O172" s="376" t="s">
        <v>186</v>
      </c>
      <c r="P172" s="376" t="s">
        <v>186</v>
      </c>
      <c r="Q172" s="376" t="s">
        <v>186</v>
      </c>
      <c r="R172" s="376" t="s">
        <v>186</v>
      </c>
      <c r="S172" s="376" t="s">
        <v>186</v>
      </c>
      <c r="T172" s="376" t="s">
        <v>186</v>
      </c>
      <c r="U172" s="376" t="s">
        <v>186</v>
      </c>
      <c r="V172" s="376" t="s">
        <v>186</v>
      </c>
      <c r="W172" s="376" t="s">
        <v>186</v>
      </c>
      <c r="X172" s="376" t="s">
        <v>186</v>
      </c>
      <c r="Y172" s="376" t="s">
        <v>186</v>
      </c>
      <c r="Z172" s="376" t="s">
        <v>186</v>
      </c>
      <c r="AA172" s="376" t="s">
        <v>186</v>
      </c>
      <c r="AB172" s="376" t="s">
        <v>186</v>
      </c>
      <c r="AC172" s="376" t="s">
        <v>186</v>
      </c>
      <c r="AD172" s="376" t="s">
        <v>186</v>
      </c>
      <c r="AE172" s="376" t="s">
        <v>186</v>
      </c>
      <c r="AF172" s="376" t="s">
        <v>186</v>
      </c>
      <c r="AG172" s="376" t="s">
        <v>186</v>
      </c>
      <c r="AH172" s="376" t="s">
        <v>186</v>
      </c>
      <c r="AI172" s="376" t="s">
        <v>186</v>
      </c>
      <c r="AJ172" s="376" t="s">
        <v>186</v>
      </c>
      <c r="AK172" s="69" t="s">
        <v>186</v>
      </c>
      <c r="AL172" s="377"/>
    </row>
    <row r="173" spans="1:38" ht="13.5" customHeight="1">
      <c r="A173" s="8"/>
      <c r="B173" s="253"/>
      <c r="C173" s="258"/>
      <c r="D173" s="110" t="s">
        <v>574</v>
      </c>
      <c r="E173" s="447"/>
      <c r="F173" s="447"/>
      <c r="G173" s="447"/>
      <c r="H173" s="447"/>
      <c r="I173" s="447"/>
      <c r="J173" s="447"/>
      <c r="K173" s="447"/>
      <c r="L173" s="447"/>
      <c r="M173" s="447"/>
      <c r="N173" s="447"/>
      <c r="O173" s="447"/>
      <c r="P173" s="447"/>
      <c r="Q173" s="447"/>
      <c r="R173" s="447"/>
      <c r="S173" s="447"/>
      <c r="T173" s="447"/>
      <c r="U173" s="447"/>
      <c r="V173" s="447"/>
      <c r="W173" s="447"/>
      <c r="X173" s="447"/>
      <c r="Y173" s="447"/>
      <c r="Z173" s="447"/>
      <c r="AA173" s="447"/>
      <c r="AB173" s="447"/>
      <c r="AC173" s="447"/>
      <c r="AD173" s="447"/>
      <c r="AE173" s="447"/>
      <c r="AF173" s="447"/>
      <c r="AG173" s="447"/>
      <c r="AH173" s="447"/>
      <c r="AI173" s="447"/>
      <c r="AJ173" s="447"/>
      <c r="AK173" s="76"/>
      <c r="AL173" s="377"/>
    </row>
    <row r="174" spans="1:38" ht="13.5" customHeight="1">
      <c r="A174" s="8"/>
      <c r="B174" s="253"/>
      <c r="C174" s="457" t="s">
        <v>593</v>
      </c>
      <c r="D174" s="111" t="s">
        <v>594</v>
      </c>
      <c r="E174" s="451" t="s">
        <v>186</v>
      </c>
      <c r="F174" s="451" t="s">
        <v>186</v>
      </c>
      <c r="G174" s="451" t="s">
        <v>186</v>
      </c>
      <c r="H174" s="451" t="s">
        <v>186</v>
      </c>
      <c r="I174" s="451" t="s">
        <v>186</v>
      </c>
      <c r="J174" s="451" t="s">
        <v>186</v>
      </c>
      <c r="K174" s="451" t="s">
        <v>186</v>
      </c>
      <c r="L174" s="451" t="s">
        <v>186</v>
      </c>
      <c r="M174" s="451" t="s">
        <v>186</v>
      </c>
      <c r="N174" s="451" t="s">
        <v>186</v>
      </c>
      <c r="O174" s="451" t="s">
        <v>186</v>
      </c>
      <c r="P174" s="451" t="s">
        <v>186</v>
      </c>
      <c r="Q174" s="451" t="s">
        <v>186</v>
      </c>
      <c r="R174" s="451" t="s">
        <v>186</v>
      </c>
      <c r="S174" s="451" t="s">
        <v>186</v>
      </c>
      <c r="T174" s="451" t="s">
        <v>186</v>
      </c>
      <c r="U174" s="451" t="s">
        <v>186</v>
      </c>
      <c r="V174" s="451" t="s">
        <v>186</v>
      </c>
      <c r="W174" s="451" t="s">
        <v>186</v>
      </c>
      <c r="X174" s="451" t="s">
        <v>186</v>
      </c>
      <c r="Y174" s="451" t="s">
        <v>186</v>
      </c>
      <c r="Z174" s="451" t="s">
        <v>186</v>
      </c>
      <c r="AA174" s="451" t="s">
        <v>186</v>
      </c>
      <c r="AB174" s="451" t="s">
        <v>186</v>
      </c>
      <c r="AC174" s="451" t="s">
        <v>186</v>
      </c>
      <c r="AD174" s="451" t="s">
        <v>186</v>
      </c>
      <c r="AE174" s="451" t="s">
        <v>186</v>
      </c>
      <c r="AF174" s="451" t="s">
        <v>186</v>
      </c>
      <c r="AG174" s="451" t="s">
        <v>186</v>
      </c>
      <c r="AH174" s="451" t="s">
        <v>186</v>
      </c>
      <c r="AI174" s="451" t="s">
        <v>186</v>
      </c>
      <c r="AJ174" s="451" t="s">
        <v>186</v>
      </c>
      <c r="AK174" s="93" t="s">
        <v>186</v>
      </c>
      <c r="AL174" s="377"/>
    </row>
    <row r="175" spans="1:38" ht="13.5" customHeight="1">
      <c r="A175" s="8"/>
      <c r="B175" s="253"/>
      <c r="C175" s="258"/>
      <c r="D175" s="111" t="s">
        <v>595</v>
      </c>
      <c r="E175" s="451" t="s">
        <v>186</v>
      </c>
      <c r="F175" s="451" t="s">
        <v>186</v>
      </c>
      <c r="G175" s="451" t="s">
        <v>186</v>
      </c>
      <c r="H175" s="451" t="s">
        <v>186</v>
      </c>
      <c r="I175" s="451" t="s">
        <v>186</v>
      </c>
      <c r="J175" s="451" t="s">
        <v>186</v>
      </c>
      <c r="K175" s="451" t="s">
        <v>186</v>
      </c>
      <c r="L175" s="451" t="s">
        <v>186</v>
      </c>
      <c r="M175" s="451" t="s">
        <v>186</v>
      </c>
      <c r="N175" s="451" t="s">
        <v>186</v>
      </c>
      <c r="O175" s="451" t="s">
        <v>186</v>
      </c>
      <c r="P175" s="451" t="s">
        <v>186</v>
      </c>
      <c r="Q175" s="451" t="s">
        <v>186</v>
      </c>
      <c r="R175" s="451" t="s">
        <v>186</v>
      </c>
      <c r="S175" s="451" t="s">
        <v>186</v>
      </c>
      <c r="T175" s="451" t="s">
        <v>186</v>
      </c>
      <c r="U175" s="451" t="s">
        <v>186</v>
      </c>
      <c r="V175" s="451" t="s">
        <v>186</v>
      </c>
      <c r="W175" s="451" t="s">
        <v>186</v>
      </c>
      <c r="X175" s="451" t="s">
        <v>186</v>
      </c>
      <c r="Y175" s="451" t="s">
        <v>186</v>
      </c>
      <c r="Z175" s="451" t="s">
        <v>186</v>
      </c>
      <c r="AA175" s="451" t="s">
        <v>186</v>
      </c>
      <c r="AB175" s="451" t="s">
        <v>186</v>
      </c>
      <c r="AC175" s="451" t="s">
        <v>186</v>
      </c>
      <c r="AD175" s="451" t="s">
        <v>186</v>
      </c>
      <c r="AE175" s="451" t="s">
        <v>186</v>
      </c>
      <c r="AF175" s="451" t="s">
        <v>186</v>
      </c>
      <c r="AG175" s="451" t="s">
        <v>186</v>
      </c>
      <c r="AH175" s="451" t="s">
        <v>186</v>
      </c>
      <c r="AI175" s="451" t="s">
        <v>186</v>
      </c>
      <c r="AJ175" s="451" t="s">
        <v>186</v>
      </c>
      <c r="AK175" s="93" t="s">
        <v>186</v>
      </c>
      <c r="AL175" s="377"/>
    </row>
    <row r="176" spans="1:38" ht="13.5" customHeight="1">
      <c r="A176" s="8"/>
      <c r="B176" s="253"/>
      <c r="C176" s="258"/>
      <c r="D176" s="112" t="s">
        <v>144</v>
      </c>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c r="AD176" s="343"/>
      <c r="AE176" s="343"/>
      <c r="AF176" s="343"/>
      <c r="AG176" s="343"/>
      <c r="AH176" s="343"/>
      <c r="AI176" s="343"/>
      <c r="AJ176" s="343"/>
      <c r="AK176" s="113"/>
      <c r="AL176" s="377"/>
    </row>
    <row r="177" spans="1:38" ht="13.5" customHeight="1">
      <c r="A177" s="8"/>
      <c r="B177" s="253"/>
      <c r="C177" s="258"/>
      <c r="D177" s="110" t="s">
        <v>574</v>
      </c>
      <c r="E177" s="447"/>
      <c r="F177" s="447"/>
      <c r="G177" s="447"/>
      <c r="H177" s="447"/>
      <c r="I177" s="447"/>
      <c r="J177" s="447"/>
      <c r="K177" s="447"/>
      <c r="L177" s="447"/>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76"/>
      <c r="AL177" s="377"/>
    </row>
    <row r="178" spans="1:38" ht="13.5" customHeight="1">
      <c r="A178" s="8"/>
      <c r="B178" s="253"/>
      <c r="C178" s="258"/>
      <c r="D178" s="111" t="s">
        <v>596</v>
      </c>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93"/>
      <c r="AL178" s="377"/>
    </row>
    <row r="179" spans="1:38" ht="13.5" customHeight="1">
      <c r="A179" s="8"/>
      <c r="B179" s="253"/>
      <c r="C179" s="258"/>
      <c r="D179" s="114" t="s">
        <v>597</v>
      </c>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93"/>
      <c r="AL179" s="377"/>
    </row>
    <row r="180" spans="1:38" ht="13.5" customHeight="1">
      <c r="A180" s="8"/>
      <c r="B180" s="253"/>
      <c r="C180" s="457" t="s">
        <v>163</v>
      </c>
      <c r="D180" s="77" t="s">
        <v>598</v>
      </c>
      <c r="E180" s="376" t="s">
        <v>186</v>
      </c>
      <c r="F180" s="376" t="s">
        <v>186</v>
      </c>
      <c r="G180" s="376" t="s">
        <v>186</v>
      </c>
      <c r="H180" s="376" t="s">
        <v>186</v>
      </c>
      <c r="I180" s="376" t="s">
        <v>186</v>
      </c>
      <c r="J180" s="376" t="s">
        <v>186</v>
      </c>
      <c r="K180" s="376" t="s">
        <v>186</v>
      </c>
      <c r="L180" s="376" t="s">
        <v>186</v>
      </c>
      <c r="M180" s="376" t="s">
        <v>186</v>
      </c>
      <c r="N180" s="376" t="s">
        <v>186</v>
      </c>
      <c r="O180" s="376" t="s">
        <v>186</v>
      </c>
      <c r="P180" s="376" t="s">
        <v>186</v>
      </c>
      <c r="Q180" s="376" t="s">
        <v>186</v>
      </c>
      <c r="R180" s="376" t="s">
        <v>186</v>
      </c>
      <c r="S180" s="376" t="s">
        <v>186</v>
      </c>
      <c r="T180" s="376" t="s">
        <v>186</v>
      </c>
      <c r="U180" s="376" t="s">
        <v>186</v>
      </c>
      <c r="V180" s="376" t="s">
        <v>186</v>
      </c>
      <c r="W180" s="376" t="s">
        <v>186</v>
      </c>
      <c r="X180" s="376" t="s">
        <v>186</v>
      </c>
      <c r="Y180" s="376" t="s">
        <v>186</v>
      </c>
      <c r="Z180" s="376" t="s">
        <v>186</v>
      </c>
      <c r="AA180" s="376" t="s">
        <v>186</v>
      </c>
      <c r="AB180" s="376" t="s">
        <v>186</v>
      </c>
      <c r="AC180" s="376" t="s">
        <v>186</v>
      </c>
      <c r="AD180" s="376" t="s">
        <v>186</v>
      </c>
      <c r="AE180" s="376" t="s">
        <v>186</v>
      </c>
      <c r="AF180" s="376" t="s">
        <v>186</v>
      </c>
      <c r="AG180" s="376" t="s">
        <v>186</v>
      </c>
      <c r="AH180" s="376" t="s">
        <v>186</v>
      </c>
      <c r="AI180" s="376" t="s">
        <v>186</v>
      </c>
      <c r="AJ180" s="376" t="s">
        <v>186</v>
      </c>
      <c r="AK180" s="69" t="s">
        <v>186</v>
      </c>
      <c r="AL180" s="377"/>
    </row>
    <row r="181" spans="1:38" ht="13.5" customHeight="1">
      <c r="A181" s="619">
        <v>2</v>
      </c>
      <c r="B181" s="456"/>
      <c r="C181" s="457" t="s">
        <v>146</v>
      </c>
      <c r="D181" s="77" t="s">
        <v>599</v>
      </c>
      <c r="E181" s="376">
        <v>9.15</v>
      </c>
      <c r="F181" s="376">
        <v>9.15</v>
      </c>
      <c r="G181" s="459">
        <v>9.3416661019839626</v>
      </c>
      <c r="H181" s="459">
        <v>9.1931324707271678</v>
      </c>
      <c r="I181" s="459">
        <v>9.7501083246926452</v>
      </c>
      <c r="J181" s="459">
        <v>10.123027896557147</v>
      </c>
      <c r="K181" s="459">
        <v>10.156021624309759</v>
      </c>
      <c r="L181" s="459">
        <v>10.155952188763287</v>
      </c>
      <c r="M181" s="459">
        <v>10.155974996864924</v>
      </c>
      <c r="N181" s="459">
        <v>10.155961426055864</v>
      </c>
      <c r="O181" s="459">
        <v>10.156003850967588</v>
      </c>
      <c r="P181" s="459">
        <v>10.156011256076212</v>
      </c>
      <c r="Q181" s="459">
        <v>10.155997181924398</v>
      </c>
      <c r="R181" s="459">
        <v>10.155919341184861</v>
      </c>
      <c r="S181" s="459">
        <v>10.155995670580921</v>
      </c>
      <c r="T181" s="459">
        <v>10.155972105037648</v>
      </c>
      <c r="U181" s="459">
        <v>10.155992685805129</v>
      </c>
      <c r="V181" s="459">
        <v>10.156000323161717</v>
      </c>
      <c r="W181" s="459">
        <v>10.155982312962255</v>
      </c>
      <c r="X181" s="459">
        <v>10.155982312962255</v>
      </c>
      <c r="Y181" s="459">
        <v>10.155982312962255</v>
      </c>
      <c r="Z181" s="459">
        <v>10.155982312962255</v>
      </c>
      <c r="AA181" s="459">
        <v>10.155982312962255</v>
      </c>
      <c r="AB181" s="459">
        <v>10.155982312962255</v>
      </c>
      <c r="AC181" s="459">
        <v>10.155982312962255</v>
      </c>
      <c r="AD181" s="459">
        <v>10.155982312962255</v>
      </c>
      <c r="AE181" s="459">
        <v>10.155982312962255</v>
      </c>
      <c r="AF181" s="459">
        <v>10.155982312962255</v>
      </c>
      <c r="AG181" s="459">
        <v>10.155982312962255</v>
      </c>
      <c r="AH181" s="459">
        <v>10.155982312962255</v>
      </c>
      <c r="AI181" s="459">
        <v>10.155982312962255</v>
      </c>
      <c r="AJ181" s="459">
        <v>10.155982312962255</v>
      </c>
      <c r="AK181" s="115">
        <v>10.155982312962255</v>
      </c>
      <c r="AL181" s="377"/>
    </row>
    <row r="182" spans="1:38" ht="13.5" customHeight="1">
      <c r="A182" s="619">
        <v>2</v>
      </c>
      <c r="B182" s="456"/>
      <c r="C182" s="457" t="s">
        <v>148</v>
      </c>
      <c r="D182" s="77" t="s">
        <v>600</v>
      </c>
      <c r="E182" s="376">
        <v>9.09</v>
      </c>
      <c r="F182" s="376">
        <v>9.09</v>
      </c>
      <c r="G182" s="459">
        <v>5.6841862884691281</v>
      </c>
      <c r="H182" s="459">
        <v>5.5648829122732453</v>
      </c>
      <c r="I182" s="459">
        <v>5.674309977103098</v>
      </c>
      <c r="J182" s="459">
        <v>5.5648937610992757</v>
      </c>
      <c r="K182" s="459">
        <v>5.5648885140799118</v>
      </c>
      <c r="L182" s="459">
        <v>5.56489843505714</v>
      </c>
      <c r="M182" s="459">
        <v>5.5648890517176079</v>
      </c>
      <c r="N182" s="459">
        <v>5.5648948523983286</v>
      </c>
      <c r="O182" s="459">
        <v>5.5648973305218465</v>
      </c>
      <c r="P182" s="459">
        <v>5.5648916622058282</v>
      </c>
      <c r="Q182" s="459">
        <v>5.5648965433336341</v>
      </c>
      <c r="R182" s="459">
        <v>5.5649015745012305</v>
      </c>
      <c r="S182" s="459">
        <v>5.5648971974512937</v>
      </c>
      <c r="T182" s="459">
        <v>5.5648922379657835</v>
      </c>
      <c r="U182" s="459">
        <v>5.5648844202172336</v>
      </c>
      <c r="V182" s="459">
        <v>5.5648951361044956</v>
      </c>
      <c r="W182" s="459">
        <v>5.5648955289885773</v>
      </c>
      <c r="X182" s="459">
        <v>5.5648955289885773</v>
      </c>
      <c r="Y182" s="459">
        <v>5.5648955289885773</v>
      </c>
      <c r="Z182" s="459">
        <v>5.5648955289885773</v>
      </c>
      <c r="AA182" s="459">
        <v>5.5648955289885773</v>
      </c>
      <c r="AB182" s="459">
        <v>5.5648955289885773</v>
      </c>
      <c r="AC182" s="459">
        <v>5.5648955289885773</v>
      </c>
      <c r="AD182" s="459">
        <v>5.5648955289885773</v>
      </c>
      <c r="AE182" s="459">
        <v>5.5648955289885773</v>
      </c>
      <c r="AF182" s="459">
        <v>5.5648955289885773</v>
      </c>
      <c r="AG182" s="459">
        <v>5.5648955289885773</v>
      </c>
      <c r="AH182" s="459">
        <v>5.5648955289885773</v>
      </c>
      <c r="AI182" s="459">
        <v>5.5648955289885773</v>
      </c>
      <c r="AJ182" s="459">
        <v>5.5648955289885773</v>
      </c>
      <c r="AK182" s="115">
        <v>5.5648955289885773</v>
      </c>
      <c r="AL182" s="377"/>
    </row>
    <row r="183" spans="1:38" ht="13.5" customHeight="1">
      <c r="A183" s="8"/>
      <c r="B183" s="253"/>
      <c r="C183" s="462" t="s">
        <v>151</v>
      </c>
      <c r="D183" s="77" t="s">
        <v>601</v>
      </c>
      <c r="E183" s="376" t="s">
        <v>186</v>
      </c>
      <c r="F183" s="376" t="s">
        <v>186</v>
      </c>
      <c r="G183" s="376" t="s">
        <v>186</v>
      </c>
      <c r="H183" s="376" t="s">
        <v>186</v>
      </c>
      <c r="I183" s="376" t="s">
        <v>186</v>
      </c>
      <c r="J183" s="376" t="s">
        <v>186</v>
      </c>
      <c r="K183" s="376" t="s">
        <v>186</v>
      </c>
      <c r="L183" s="376" t="s">
        <v>186</v>
      </c>
      <c r="M183" s="376" t="s">
        <v>186</v>
      </c>
      <c r="N183" s="376" t="s">
        <v>186</v>
      </c>
      <c r="O183" s="376" t="s">
        <v>186</v>
      </c>
      <c r="P183" s="376" t="s">
        <v>186</v>
      </c>
      <c r="Q183" s="376" t="s">
        <v>186</v>
      </c>
      <c r="R183" s="376" t="s">
        <v>186</v>
      </c>
      <c r="S183" s="376" t="s">
        <v>186</v>
      </c>
      <c r="T183" s="376" t="s">
        <v>186</v>
      </c>
      <c r="U183" s="376" t="s">
        <v>186</v>
      </c>
      <c r="V183" s="376" t="s">
        <v>186</v>
      </c>
      <c r="W183" s="376" t="s">
        <v>186</v>
      </c>
      <c r="X183" s="376" t="s">
        <v>186</v>
      </c>
      <c r="Y183" s="376" t="s">
        <v>186</v>
      </c>
      <c r="Z183" s="376" t="s">
        <v>186</v>
      </c>
      <c r="AA183" s="376" t="s">
        <v>186</v>
      </c>
      <c r="AB183" s="376" t="s">
        <v>186</v>
      </c>
      <c r="AC183" s="376" t="s">
        <v>186</v>
      </c>
      <c r="AD183" s="376" t="s">
        <v>186</v>
      </c>
      <c r="AE183" s="376" t="s">
        <v>186</v>
      </c>
      <c r="AF183" s="376" t="s">
        <v>186</v>
      </c>
      <c r="AG183" s="376" t="s">
        <v>186</v>
      </c>
      <c r="AH183" s="376" t="s">
        <v>186</v>
      </c>
      <c r="AI183" s="376" t="s">
        <v>186</v>
      </c>
      <c r="AJ183" s="376" t="s">
        <v>186</v>
      </c>
      <c r="AK183" s="69" t="s">
        <v>186</v>
      </c>
      <c r="AL183" s="377"/>
    </row>
    <row r="184" spans="1:38" ht="13.5" customHeight="1">
      <c r="A184" s="8"/>
      <c r="B184" s="253"/>
      <c r="C184" s="258"/>
      <c r="D184" s="111" t="s">
        <v>602</v>
      </c>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93"/>
      <c r="AL184" s="377"/>
    </row>
    <row r="185" spans="1:38" ht="13.5" customHeight="1">
      <c r="A185" s="8"/>
      <c r="B185" s="253"/>
      <c r="C185" s="258"/>
      <c r="D185" s="114" t="s">
        <v>603</v>
      </c>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93"/>
      <c r="AL185" s="377"/>
    </row>
    <row r="186" spans="1:38" ht="13.5" customHeight="1">
      <c r="A186" s="8"/>
      <c r="B186" s="253"/>
      <c r="C186" s="258"/>
      <c r="D186" s="77" t="s">
        <v>618</v>
      </c>
      <c r="E186" s="376">
        <v>12.61</v>
      </c>
      <c r="F186" s="376">
        <v>12.61</v>
      </c>
      <c r="G186" s="376">
        <v>12.61</v>
      </c>
      <c r="H186" s="376">
        <v>12.61</v>
      </c>
      <c r="I186" s="376">
        <v>12.61</v>
      </c>
      <c r="J186" s="376">
        <v>12.61</v>
      </c>
      <c r="K186" s="376">
        <v>12.61</v>
      </c>
      <c r="L186" s="376">
        <v>12.61</v>
      </c>
      <c r="M186" s="376">
        <v>12.61</v>
      </c>
      <c r="N186" s="376">
        <v>12.61</v>
      </c>
      <c r="O186" s="376">
        <v>12.61</v>
      </c>
      <c r="P186" s="376">
        <v>12.61</v>
      </c>
      <c r="Q186" s="376">
        <v>12.61</v>
      </c>
      <c r="R186" s="376">
        <v>12.61</v>
      </c>
      <c r="S186" s="376">
        <v>12.61</v>
      </c>
      <c r="T186" s="376">
        <v>12.61</v>
      </c>
      <c r="U186" s="376">
        <v>12.61</v>
      </c>
      <c r="V186" s="376">
        <v>12.61</v>
      </c>
      <c r="W186" s="376">
        <v>12.61</v>
      </c>
      <c r="X186" s="376">
        <v>12.61</v>
      </c>
      <c r="Y186" s="376">
        <v>12.61</v>
      </c>
      <c r="Z186" s="376">
        <v>12.61</v>
      </c>
      <c r="AA186" s="376">
        <v>12.61</v>
      </c>
      <c r="AB186" s="376">
        <v>12.61</v>
      </c>
      <c r="AC186" s="376">
        <v>12.61</v>
      </c>
      <c r="AD186" s="376">
        <v>12.61</v>
      </c>
      <c r="AE186" s="376">
        <v>12.61</v>
      </c>
      <c r="AF186" s="376">
        <v>12.61</v>
      </c>
      <c r="AG186" s="376">
        <v>12.61</v>
      </c>
      <c r="AH186" s="376">
        <v>12.61</v>
      </c>
      <c r="AI186" s="376">
        <v>12.61</v>
      </c>
      <c r="AJ186" s="376">
        <v>12.61</v>
      </c>
      <c r="AK186" s="69">
        <v>12.61</v>
      </c>
      <c r="AL186" s="377"/>
    </row>
    <row r="187" spans="1:38" ht="13.5" customHeight="1">
      <c r="A187" s="8"/>
      <c r="B187" s="253"/>
      <c r="C187" s="258"/>
      <c r="D187" s="77" t="s">
        <v>605</v>
      </c>
      <c r="E187" s="376">
        <v>18.899999999999999</v>
      </c>
      <c r="F187" s="376">
        <v>18.899999999999999</v>
      </c>
      <c r="G187" s="376">
        <v>18.899999999999999</v>
      </c>
      <c r="H187" s="376">
        <v>18.899999999999999</v>
      </c>
      <c r="I187" s="376">
        <v>18.899999999999999</v>
      </c>
      <c r="J187" s="376">
        <v>18.899999999999999</v>
      </c>
      <c r="K187" s="376">
        <v>18.899999999999999</v>
      </c>
      <c r="L187" s="376">
        <v>18.899999999999999</v>
      </c>
      <c r="M187" s="376">
        <v>18.899999999999999</v>
      </c>
      <c r="N187" s="376">
        <v>18.899999999999999</v>
      </c>
      <c r="O187" s="376">
        <v>18.899999999999999</v>
      </c>
      <c r="P187" s="376">
        <v>18.899999999999999</v>
      </c>
      <c r="Q187" s="376">
        <v>18.899999999999999</v>
      </c>
      <c r="R187" s="376">
        <v>18.899999999999999</v>
      </c>
      <c r="S187" s="376">
        <v>18.899999999999999</v>
      </c>
      <c r="T187" s="376">
        <v>18.899999999999999</v>
      </c>
      <c r="U187" s="376">
        <v>18.899999999999999</v>
      </c>
      <c r="V187" s="376">
        <v>18.899999999999999</v>
      </c>
      <c r="W187" s="376">
        <v>18.899999999999999</v>
      </c>
      <c r="X187" s="376">
        <v>18.899999999999999</v>
      </c>
      <c r="Y187" s="376">
        <v>18.899999999999999</v>
      </c>
      <c r="Z187" s="376">
        <v>18.899999999999999</v>
      </c>
      <c r="AA187" s="376">
        <v>18.899999999999999</v>
      </c>
      <c r="AB187" s="376">
        <v>18.899999999999999</v>
      </c>
      <c r="AC187" s="376">
        <v>18.899999999999999</v>
      </c>
      <c r="AD187" s="376">
        <v>18.899999999999999</v>
      </c>
      <c r="AE187" s="376">
        <v>18.899999999999999</v>
      </c>
      <c r="AF187" s="376">
        <v>18.899999999999999</v>
      </c>
      <c r="AG187" s="376">
        <v>18.899999999999999</v>
      </c>
      <c r="AH187" s="376">
        <v>18.899999999999999</v>
      </c>
      <c r="AI187" s="376">
        <v>18.899999999999999</v>
      </c>
      <c r="AJ187" s="376">
        <v>18.899999999999999</v>
      </c>
      <c r="AK187" s="69">
        <v>18.899999999999999</v>
      </c>
      <c r="AL187" s="377"/>
    </row>
    <row r="188" spans="1:38" ht="13.5" customHeight="1">
      <c r="A188" s="8"/>
      <c r="B188" s="253"/>
      <c r="C188" s="457" t="s">
        <v>156</v>
      </c>
      <c r="D188" s="77" t="s">
        <v>606</v>
      </c>
      <c r="E188" s="376">
        <v>18.920000000000002</v>
      </c>
      <c r="F188" s="376">
        <v>18.920000000000002</v>
      </c>
      <c r="G188" s="376">
        <v>18.920000000000002</v>
      </c>
      <c r="H188" s="376">
        <v>18.920000000000002</v>
      </c>
      <c r="I188" s="376">
        <v>18.920000000000002</v>
      </c>
      <c r="J188" s="376">
        <v>18.920000000000002</v>
      </c>
      <c r="K188" s="376">
        <v>18.920000000000002</v>
      </c>
      <c r="L188" s="376">
        <v>18.920000000000002</v>
      </c>
      <c r="M188" s="376">
        <v>18.920000000000002</v>
      </c>
      <c r="N188" s="376">
        <v>18.920000000000002</v>
      </c>
      <c r="O188" s="376">
        <v>18.920000000000002</v>
      </c>
      <c r="P188" s="376">
        <v>18.920000000000002</v>
      </c>
      <c r="Q188" s="376">
        <v>18.920000000000002</v>
      </c>
      <c r="R188" s="376">
        <v>18.920000000000002</v>
      </c>
      <c r="S188" s="376">
        <v>18.920000000000002</v>
      </c>
      <c r="T188" s="376">
        <v>18.920000000000002</v>
      </c>
      <c r="U188" s="376">
        <v>18.920000000000002</v>
      </c>
      <c r="V188" s="376">
        <v>18.920000000000002</v>
      </c>
      <c r="W188" s="376">
        <v>18.920000000000002</v>
      </c>
      <c r="X188" s="376">
        <v>18.920000000000002</v>
      </c>
      <c r="Y188" s="376">
        <v>18.920000000000002</v>
      </c>
      <c r="Z188" s="376">
        <v>18.920000000000002</v>
      </c>
      <c r="AA188" s="376">
        <v>18.920000000000002</v>
      </c>
      <c r="AB188" s="376">
        <v>18.920000000000002</v>
      </c>
      <c r="AC188" s="376">
        <v>18.920000000000002</v>
      </c>
      <c r="AD188" s="376">
        <v>18.920000000000002</v>
      </c>
      <c r="AE188" s="376">
        <v>18.920000000000002</v>
      </c>
      <c r="AF188" s="376">
        <v>18.920000000000002</v>
      </c>
      <c r="AG188" s="376">
        <v>18.920000000000002</v>
      </c>
      <c r="AH188" s="376">
        <v>18.920000000000002</v>
      </c>
      <c r="AI188" s="376">
        <v>18.920000000000002</v>
      </c>
      <c r="AJ188" s="376">
        <v>18.920000000000002</v>
      </c>
      <c r="AK188" s="69">
        <v>18.920000000000002</v>
      </c>
      <c r="AL188" s="377"/>
    </row>
    <row r="189" spans="1:38" ht="13.5" customHeight="1">
      <c r="A189" s="8"/>
      <c r="B189" s="253"/>
      <c r="C189" s="258"/>
      <c r="D189" s="77" t="s">
        <v>607</v>
      </c>
      <c r="E189" s="376">
        <v>25.23</v>
      </c>
      <c r="F189" s="376">
        <v>25.23</v>
      </c>
      <c r="G189" s="376">
        <v>25.23</v>
      </c>
      <c r="H189" s="376">
        <v>25.23</v>
      </c>
      <c r="I189" s="376">
        <v>25.23</v>
      </c>
      <c r="J189" s="376">
        <v>25.23</v>
      </c>
      <c r="K189" s="376">
        <v>25.23</v>
      </c>
      <c r="L189" s="376">
        <v>25.23</v>
      </c>
      <c r="M189" s="376">
        <v>25.23</v>
      </c>
      <c r="N189" s="376">
        <v>25.23</v>
      </c>
      <c r="O189" s="376">
        <v>25.23</v>
      </c>
      <c r="P189" s="376">
        <v>25.23</v>
      </c>
      <c r="Q189" s="376">
        <v>25.23</v>
      </c>
      <c r="R189" s="376">
        <v>25.23</v>
      </c>
      <c r="S189" s="376">
        <v>25.23</v>
      </c>
      <c r="T189" s="376">
        <v>25.23</v>
      </c>
      <c r="U189" s="376">
        <v>25.23</v>
      </c>
      <c r="V189" s="376">
        <v>25.23</v>
      </c>
      <c r="W189" s="376">
        <v>25.23</v>
      </c>
      <c r="X189" s="376">
        <v>25.23</v>
      </c>
      <c r="Y189" s="376">
        <v>25.23</v>
      </c>
      <c r="Z189" s="376">
        <v>25.23</v>
      </c>
      <c r="AA189" s="376">
        <v>25.23</v>
      </c>
      <c r="AB189" s="376">
        <v>25.23</v>
      </c>
      <c r="AC189" s="376">
        <v>25.23</v>
      </c>
      <c r="AD189" s="376">
        <v>25.23</v>
      </c>
      <c r="AE189" s="376">
        <v>25.23</v>
      </c>
      <c r="AF189" s="376">
        <v>25.23</v>
      </c>
      <c r="AG189" s="376">
        <v>25.23</v>
      </c>
      <c r="AH189" s="376">
        <v>25.23</v>
      </c>
      <c r="AI189" s="376">
        <v>25.23</v>
      </c>
      <c r="AJ189" s="376">
        <v>25.23</v>
      </c>
      <c r="AK189" s="69">
        <v>25.23</v>
      </c>
      <c r="AL189" s="377"/>
    </row>
    <row r="190" spans="1:38" ht="13.5" customHeight="1">
      <c r="A190" s="619">
        <v>2</v>
      </c>
      <c r="B190" s="253"/>
      <c r="C190" s="258"/>
      <c r="D190" s="118" t="s">
        <v>619</v>
      </c>
      <c r="E190" s="376"/>
      <c r="F190" s="376"/>
      <c r="G190" s="459">
        <v>2.8017215506200919</v>
      </c>
      <c r="H190" s="459">
        <v>2.8017426988070064</v>
      </c>
      <c r="I190" s="459">
        <v>2.8017515312325165</v>
      </c>
      <c r="J190" s="459">
        <v>2.8017498906200262</v>
      </c>
      <c r="K190" s="459">
        <v>2.8017522581545653</v>
      </c>
      <c r="L190" s="459">
        <v>2.8017344630410546</v>
      </c>
      <c r="M190" s="459">
        <v>2.8017200774737634</v>
      </c>
      <c r="N190" s="459">
        <v>2.8017446546194269</v>
      </c>
      <c r="O190" s="459">
        <v>2.8017557109377837</v>
      </c>
      <c r="P190" s="459">
        <v>2.8017802819067326</v>
      </c>
      <c r="Q190" s="459">
        <v>2.8017675192710887</v>
      </c>
      <c r="R190" s="459">
        <v>2.8017200496785493</v>
      </c>
      <c r="S190" s="459">
        <v>2.801735614998246</v>
      </c>
      <c r="T190" s="459">
        <v>2.8017551828287219</v>
      </c>
      <c r="U190" s="459">
        <v>2.8017258310830084</v>
      </c>
      <c r="V190" s="459">
        <v>2.8017568306878227</v>
      </c>
      <c r="W190" s="459">
        <v>2.8017525700786305</v>
      </c>
      <c r="X190" s="459">
        <v>2.8017525700786305</v>
      </c>
      <c r="Y190" s="459">
        <v>2.8017525700786305</v>
      </c>
      <c r="Z190" s="459">
        <v>2.8017525700786305</v>
      </c>
      <c r="AA190" s="459">
        <v>2.8017525700786305</v>
      </c>
      <c r="AB190" s="459">
        <v>2.8017525700786305</v>
      </c>
      <c r="AC190" s="459">
        <v>2.8017525700786305</v>
      </c>
      <c r="AD190" s="459">
        <v>2.8017525700786305</v>
      </c>
      <c r="AE190" s="459">
        <v>2.8017525700786305</v>
      </c>
      <c r="AF190" s="459">
        <v>2.8017525700786305</v>
      </c>
      <c r="AG190" s="459">
        <v>2.8017525700786305</v>
      </c>
      <c r="AH190" s="459">
        <v>2.8017525700786305</v>
      </c>
      <c r="AI190" s="459">
        <v>2.8017525700786305</v>
      </c>
      <c r="AJ190" s="459">
        <v>2.8017525700786305</v>
      </c>
      <c r="AK190" s="115">
        <v>2.8017525700786305</v>
      </c>
      <c r="AL190" s="377"/>
    </row>
    <row r="191" spans="1:38" ht="13.5" customHeight="1">
      <c r="A191" s="619">
        <v>2</v>
      </c>
      <c r="B191" s="253"/>
      <c r="C191" s="465" t="s">
        <v>154</v>
      </c>
      <c r="D191" s="77" t="s">
        <v>599</v>
      </c>
      <c r="E191" s="376" t="s">
        <v>186</v>
      </c>
      <c r="F191" s="376" t="s">
        <v>186</v>
      </c>
      <c r="G191" s="459">
        <v>4.2435047193308151</v>
      </c>
      <c r="H191" s="459">
        <v>4.0697021722530868</v>
      </c>
      <c r="I191" s="459">
        <v>4.4998103693629741</v>
      </c>
      <c r="J191" s="459">
        <v>4.4998210238219087</v>
      </c>
      <c r="K191" s="459">
        <v>4.4998168469017781</v>
      </c>
      <c r="L191" s="459">
        <v>4.499811008535147</v>
      </c>
      <c r="M191" s="459">
        <v>4.4998034943175025</v>
      </c>
      <c r="N191" s="459">
        <v>4.4998210164582835</v>
      </c>
      <c r="O191" s="459">
        <v>4.4998096854150482</v>
      </c>
      <c r="P191" s="459">
        <v>4.4998137680371819</v>
      </c>
      <c r="Q191" s="459">
        <v>4.4998220691561546</v>
      </c>
      <c r="R191" s="459">
        <v>4.499795016077651</v>
      </c>
      <c r="S191" s="459">
        <v>4.4998305987690808</v>
      </c>
      <c r="T191" s="459">
        <v>4.4998483535756693</v>
      </c>
      <c r="U191" s="459">
        <v>4.4998030063368617</v>
      </c>
      <c r="V191" s="459">
        <v>4.4998238295279638</v>
      </c>
      <c r="W191" s="459">
        <v>4.4998263250652526</v>
      </c>
      <c r="X191" s="459">
        <v>4.4998263250652526</v>
      </c>
      <c r="Y191" s="459">
        <v>4.4998263250652526</v>
      </c>
      <c r="Z191" s="459">
        <v>4.4998263250652526</v>
      </c>
      <c r="AA191" s="459">
        <v>4.4998263250652526</v>
      </c>
      <c r="AB191" s="459">
        <v>4.4998263250652526</v>
      </c>
      <c r="AC191" s="459">
        <v>4.4998263250652526</v>
      </c>
      <c r="AD191" s="459">
        <v>4.4998263250652526</v>
      </c>
      <c r="AE191" s="459">
        <v>4.4998263250652526</v>
      </c>
      <c r="AF191" s="459">
        <v>4.4998263250652526</v>
      </c>
      <c r="AG191" s="459">
        <v>4.4998263250652526</v>
      </c>
      <c r="AH191" s="459">
        <v>4.4998263250652526</v>
      </c>
      <c r="AI191" s="459">
        <v>4.4998263250652526</v>
      </c>
      <c r="AJ191" s="459">
        <v>4.4998263250652526</v>
      </c>
      <c r="AK191" s="115">
        <v>4.4998263250652526</v>
      </c>
      <c r="AL191" s="377"/>
    </row>
    <row r="192" spans="1:38" ht="13.5" customHeight="1">
      <c r="A192" s="8"/>
      <c r="B192" s="253"/>
      <c r="C192" s="258"/>
      <c r="D192" s="111" t="s">
        <v>608</v>
      </c>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93"/>
      <c r="AL192" s="377"/>
    </row>
    <row r="193" spans="1:38" ht="13.5" customHeight="1">
      <c r="A193" s="8"/>
      <c r="B193" s="253"/>
      <c r="C193" s="258"/>
      <c r="D193" s="114" t="s">
        <v>603</v>
      </c>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93"/>
      <c r="AL193" s="377"/>
    </row>
    <row r="194" spans="1:38" ht="13.5" customHeight="1">
      <c r="A194" s="8"/>
      <c r="B194" s="253"/>
      <c r="C194" s="258"/>
      <c r="D194" s="77" t="s">
        <v>609</v>
      </c>
      <c r="E194" s="376" t="s">
        <v>186</v>
      </c>
      <c r="F194" s="376" t="s">
        <v>186</v>
      </c>
      <c r="G194" s="376" t="s">
        <v>186</v>
      </c>
      <c r="H194" s="376" t="s">
        <v>186</v>
      </c>
      <c r="I194" s="376" t="s">
        <v>186</v>
      </c>
      <c r="J194" s="376" t="s">
        <v>186</v>
      </c>
      <c r="K194" s="376" t="s">
        <v>186</v>
      </c>
      <c r="L194" s="376" t="s">
        <v>186</v>
      </c>
      <c r="M194" s="376" t="s">
        <v>186</v>
      </c>
      <c r="N194" s="376" t="s">
        <v>186</v>
      </c>
      <c r="O194" s="376" t="s">
        <v>186</v>
      </c>
      <c r="P194" s="376" t="s">
        <v>186</v>
      </c>
      <c r="Q194" s="376" t="s">
        <v>186</v>
      </c>
      <c r="R194" s="376" t="s">
        <v>186</v>
      </c>
      <c r="S194" s="376" t="s">
        <v>186</v>
      </c>
      <c r="T194" s="376" t="s">
        <v>186</v>
      </c>
      <c r="U194" s="376" t="s">
        <v>186</v>
      </c>
      <c r="V194" s="376" t="s">
        <v>186</v>
      </c>
      <c r="W194" s="376" t="s">
        <v>186</v>
      </c>
      <c r="X194" s="376" t="s">
        <v>186</v>
      </c>
      <c r="Y194" s="376" t="s">
        <v>186</v>
      </c>
      <c r="Z194" s="376" t="s">
        <v>186</v>
      </c>
      <c r="AA194" s="376" t="s">
        <v>186</v>
      </c>
      <c r="AB194" s="376" t="s">
        <v>186</v>
      </c>
      <c r="AC194" s="376" t="s">
        <v>186</v>
      </c>
      <c r="AD194" s="376" t="s">
        <v>186</v>
      </c>
      <c r="AE194" s="376" t="s">
        <v>186</v>
      </c>
      <c r="AF194" s="376" t="s">
        <v>186</v>
      </c>
      <c r="AG194" s="376" t="s">
        <v>186</v>
      </c>
      <c r="AH194" s="376" t="s">
        <v>186</v>
      </c>
      <c r="AI194" s="376" t="s">
        <v>186</v>
      </c>
      <c r="AJ194" s="376" t="s">
        <v>186</v>
      </c>
      <c r="AK194" s="69" t="s">
        <v>186</v>
      </c>
      <c r="AL194" s="377"/>
    </row>
    <row r="195" spans="1:38" ht="13.5" customHeight="1">
      <c r="A195" s="8"/>
      <c r="B195" s="253"/>
      <c r="C195" s="457" t="s">
        <v>159</v>
      </c>
      <c r="D195" s="77" t="s">
        <v>610</v>
      </c>
      <c r="E195" s="376">
        <v>12.61</v>
      </c>
      <c r="F195" s="376">
        <v>12.61</v>
      </c>
      <c r="G195" s="376">
        <v>12.61</v>
      </c>
      <c r="H195" s="376">
        <v>12.61</v>
      </c>
      <c r="I195" s="376">
        <v>12.61</v>
      </c>
      <c r="J195" s="376">
        <v>12.61</v>
      </c>
      <c r="K195" s="376">
        <v>12.61</v>
      </c>
      <c r="L195" s="376">
        <v>12.61</v>
      </c>
      <c r="M195" s="376">
        <v>12.61</v>
      </c>
      <c r="N195" s="376">
        <v>12.61</v>
      </c>
      <c r="O195" s="376">
        <v>12.61</v>
      </c>
      <c r="P195" s="376">
        <v>12.61</v>
      </c>
      <c r="Q195" s="376">
        <v>12.61</v>
      </c>
      <c r="R195" s="376">
        <v>12.61</v>
      </c>
      <c r="S195" s="376">
        <v>12.61</v>
      </c>
      <c r="T195" s="376">
        <v>12.61</v>
      </c>
      <c r="U195" s="376">
        <v>12.61</v>
      </c>
      <c r="V195" s="376">
        <v>12.61</v>
      </c>
      <c r="W195" s="376">
        <v>12.61</v>
      </c>
      <c r="X195" s="376">
        <v>12.61</v>
      </c>
      <c r="Y195" s="376">
        <v>12.61</v>
      </c>
      <c r="Z195" s="376">
        <v>12.61</v>
      </c>
      <c r="AA195" s="376">
        <v>12.61</v>
      </c>
      <c r="AB195" s="376">
        <v>12.61</v>
      </c>
      <c r="AC195" s="376">
        <v>12.61</v>
      </c>
      <c r="AD195" s="376">
        <v>12.61</v>
      </c>
      <c r="AE195" s="376">
        <v>12.61</v>
      </c>
      <c r="AF195" s="376">
        <v>12.61</v>
      </c>
      <c r="AG195" s="376">
        <v>12.61</v>
      </c>
      <c r="AH195" s="376">
        <v>12.61</v>
      </c>
      <c r="AI195" s="376">
        <v>12.61</v>
      </c>
      <c r="AJ195" s="376">
        <v>12.61</v>
      </c>
      <c r="AK195" s="69">
        <v>12.61</v>
      </c>
      <c r="AL195" s="377"/>
    </row>
    <row r="196" spans="1:38" ht="13.5" customHeight="1">
      <c r="A196" s="8"/>
      <c r="B196" s="253"/>
      <c r="C196" s="258"/>
      <c r="D196" s="77" t="s">
        <v>611</v>
      </c>
      <c r="E196" s="376">
        <v>180</v>
      </c>
      <c r="F196" s="376">
        <v>180</v>
      </c>
      <c r="G196" s="376">
        <v>180</v>
      </c>
      <c r="H196" s="376">
        <v>180</v>
      </c>
      <c r="I196" s="376">
        <v>180</v>
      </c>
      <c r="J196" s="376">
        <v>180</v>
      </c>
      <c r="K196" s="376">
        <v>180</v>
      </c>
      <c r="L196" s="376">
        <v>180</v>
      </c>
      <c r="M196" s="376">
        <v>180</v>
      </c>
      <c r="N196" s="376">
        <v>180</v>
      </c>
      <c r="O196" s="376">
        <v>180</v>
      </c>
      <c r="P196" s="376">
        <v>180</v>
      </c>
      <c r="Q196" s="376">
        <v>180</v>
      </c>
      <c r="R196" s="376">
        <v>180</v>
      </c>
      <c r="S196" s="376">
        <v>180</v>
      </c>
      <c r="T196" s="376">
        <v>180</v>
      </c>
      <c r="U196" s="376">
        <v>180</v>
      </c>
      <c r="V196" s="376">
        <v>176</v>
      </c>
      <c r="W196" s="376">
        <v>176</v>
      </c>
      <c r="X196" s="376">
        <v>176</v>
      </c>
      <c r="Y196" s="376">
        <v>176</v>
      </c>
      <c r="Z196" s="376">
        <v>176</v>
      </c>
      <c r="AA196" s="376">
        <v>172</v>
      </c>
      <c r="AB196" s="376">
        <v>172</v>
      </c>
      <c r="AC196" s="376">
        <v>172</v>
      </c>
      <c r="AD196" s="376">
        <v>172</v>
      </c>
      <c r="AE196" s="376">
        <v>172</v>
      </c>
      <c r="AF196" s="376">
        <v>168</v>
      </c>
      <c r="AG196" s="376">
        <v>168</v>
      </c>
      <c r="AH196" s="376">
        <v>168</v>
      </c>
      <c r="AI196" s="376">
        <v>168</v>
      </c>
      <c r="AJ196" s="376">
        <v>168</v>
      </c>
      <c r="AK196" s="69">
        <v>164</v>
      </c>
      <c r="AL196" s="377"/>
    </row>
    <row r="197" spans="1:38" ht="13.5" customHeight="1">
      <c r="A197" s="8"/>
      <c r="B197" s="253"/>
      <c r="C197" s="258"/>
      <c r="D197" s="77" t="s">
        <v>599</v>
      </c>
      <c r="E197" s="376">
        <v>9.4600000000000009</v>
      </c>
      <c r="F197" s="376">
        <v>9.4600000000000009</v>
      </c>
      <c r="G197" s="376">
        <v>9.4600000000000009</v>
      </c>
      <c r="H197" s="376">
        <v>9.4600000000000009</v>
      </c>
      <c r="I197" s="376">
        <v>9.4600000000000009</v>
      </c>
      <c r="J197" s="376">
        <v>9.4600000000000009</v>
      </c>
      <c r="K197" s="376">
        <v>9.4600000000000009</v>
      </c>
      <c r="L197" s="376">
        <v>9.4600000000000009</v>
      </c>
      <c r="M197" s="376">
        <v>9.4600000000000009</v>
      </c>
      <c r="N197" s="376">
        <v>9.4600000000000009</v>
      </c>
      <c r="O197" s="376">
        <v>9.4600000000000009</v>
      </c>
      <c r="P197" s="376">
        <v>9.4600000000000009</v>
      </c>
      <c r="Q197" s="376">
        <v>9.4600000000000009</v>
      </c>
      <c r="R197" s="376">
        <v>9.4600000000000009</v>
      </c>
      <c r="S197" s="376">
        <v>9.4600000000000009</v>
      </c>
      <c r="T197" s="376">
        <v>9.4600000000000009</v>
      </c>
      <c r="U197" s="376">
        <v>9.4600000000000009</v>
      </c>
      <c r="V197" s="376">
        <v>9.4600000000000009</v>
      </c>
      <c r="W197" s="376">
        <v>9.4600000000000009</v>
      </c>
      <c r="X197" s="376">
        <v>9.4600000000000009</v>
      </c>
      <c r="Y197" s="376">
        <v>9.4600000000000009</v>
      </c>
      <c r="Z197" s="376">
        <v>9.4600000000000009</v>
      </c>
      <c r="AA197" s="376">
        <v>9.4600000000000009</v>
      </c>
      <c r="AB197" s="376">
        <v>9.4600000000000009</v>
      </c>
      <c r="AC197" s="376">
        <v>9.4600000000000009</v>
      </c>
      <c r="AD197" s="376">
        <v>9.4600000000000009</v>
      </c>
      <c r="AE197" s="376">
        <v>9.4600000000000009</v>
      </c>
      <c r="AF197" s="376">
        <v>9.4600000000000009</v>
      </c>
      <c r="AG197" s="376">
        <v>9.4600000000000009</v>
      </c>
      <c r="AH197" s="376">
        <v>9.4600000000000009</v>
      </c>
      <c r="AI197" s="376">
        <v>9.4600000000000009</v>
      </c>
      <c r="AJ197" s="376">
        <v>9.4600000000000009</v>
      </c>
      <c r="AK197" s="69">
        <v>9.4600000000000009</v>
      </c>
      <c r="AL197" s="377"/>
    </row>
    <row r="198" spans="1:38" ht="13.5" customHeight="1">
      <c r="A198" s="8"/>
      <c r="B198" s="253"/>
      <c r="C198" s="258"/>
      <c r="D198" s="111" t="s">
        <v>612</v>
      </c>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93"/>
      <c r="AL198" s="377"/>
    </row>
    <row r="199" spans="1:38" ht="13.5" customHeight="1">
      <c r="A199" s="8"/>
      <c r="B199" s="253"/>
      <c r="C199" s="258"/>
      <c r="D199" s="114" t="s">
        <v>603</v>
      </c>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93"/>
      <c r="AL199" s="377"/>
    </row>
    <row r="200" spans="1:38" ht="13.5" customHeight="1">
      <c r="A200" s="619">
        <v>2</v>
      </c>
      <c r="B200" s="253"/>
      <c r="C200" s="258"/>
      <c r="D200" s="118" t="s">
        <v>613</v>
      </c>
      <c r="E200" s="376" t="s">
        <v>186</v>
      </c>
      <c r="F200" s="376" t="s">
        <v>186</v>
      </c>
      <c r="G200" s="376" t="s">
        <v>186</v>
      </c>
      <c r="H200" s="376" t="s">
        <v>186</v>
      </c>
      <c r="I200" s="376" t="s">
        <v>186</v>
      </c>
      <c r="J200" s="376" t="s">
        <v>186</v>
      </c>
      <c r="K200" s="459">
        <v>1.2702328747524989</v>
      </c>
      <c r="L200" s="459">
        <v>1.2702502973880856</v>
      </c>
      <c r="M200" s="459">
        <v>1.277655507112859</v>
      </c>
      <c r="N200" s="459">
        <v>1.2776546019926072</v>
      </c>
      <c r="O200" s="459">
        <v>1.2776628229675344</v>
      </c>
      <c r="P200" s="459">
        <v>1.2776515754026665</v>
      </c>
      <c r="Q200" s="459">
        <v>1.2776477081619271</v>
      </c>
      <c r="R200" s="459">
        <v>1.2776578809013219</v>
      </c>
      <c r="S200" s="459">
        <v>1.2776540808477914</v>
      </c>
      <c r="T200" s="459">
        <v>1.2776475220420875</v>
      </c>
      <c r="U200" s="459">
        <v>1.2776536363559983</v>
      </c>
      <c r="V200" s="459">
        <v>1.2776560952904656</v>
      </c>
      <c r="W200" s="459">
        <v>1.2776542710260128</v>
      </c>
      <c r="X200" s="459">
        <v>1.2776542710260128</v>
      </c>
      <c r="Y200" s="459">
        <v>1.2776542710260128</v>
      </c>
      <c r="Z200" s="459">
        <v>1.2776542710260128</v>
      </c>
      <c r="AA200" s="459">
        <v>1.2776542710260128</v>
      </c>
      <c r="AB200" s="459">
        <v>1.2776542710260128</v>
      </c>
      <c r="AC200" s="459">
        <v>1.2776542710260128</v>
      </c>
      <c r="AD200" s="459">
        <v>1.2776542710260128</v>
      </c>
      <c r="AE200" s="459">
        <v>1.2776542710260128</v>
      </c>
      <c r="AF200" s="459">
        <v>1.2776542710260128</v>
      </c>
      <c r="AG200" s="459">
        <v>1.2776542710260128</v>
      </c>
      <c r="AH200" s="459">
        <v>1.2776542710260128</v>
      </c>
      <c r="AI200" s="459">
        <v>1.2776542710260128</v>
      </c>
      <c r="AJ200" s="459">
        <v>1.2776542710260128</v>
      </c>
      <c r="AK200" s="115">
        <v>1.2776542710260128</v>
      </c>
      <c r="AL200" s="377"/>
    </row>
    <row r="201" spans="1:38" ht="13.5" customHeight="1">
      <c r="A201" s="8"/>
      <c r="B201" s="253"/>
      <c r="C201" s="258"/>
      <c r="D201" s="110" t="s">
        <v>614</v>
      </c>
      <c r="E201" s="447"/>
      <c r="F201" s="447"/>
      <c r="G201" s="447"/>
      <c r="H201" s="447"/>
      <c r="I201" s="447"/>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76"/>
      <c r="AL201" s="377"/>
    </row>
    <row r="202" spans="1:38" ht="13.5" customHeight="1">
      <c r="A202" s="8"/>
      <c r="B202" s="253"/>
      <c r="C202" s="258"/>
      <c r="D202" s="77" t="s">
        <v>615</v>
      </c>
      <c r="E202" s="376">
        <v>19.100000000000001</v>
      </c>
      <c r="F202" s="376">
        <v>19.100000000000001</v>
      </c>
      <c r="G202" s="376">
        <v>19.100000000000001</v>
      </c>
      <c r="H202" s="376">
        <v>19.100000000000001</v>
      </c>
      <c r="I202" s="376">
        <v>19.100000000000001</v>
      </c>
      <c r="J202" s="376">
        <v>19.100000000000001</v>
      </c>
      <c r="K202" s="376">
        <v>19.100000000000001</v>
      </c>
      <c r="L202" s="376">
        <v>19.100000000000001</v>
      </c>
      <c r="M202" s="376">
        <v>19.100000000000001</v>
      </c>
      <c r="N202" s="376">
        <v>19.100000000000001</v>
      </c>
      <c r="O202" s="376">
        <v>19.100000000000001</v>
      </c>
      <c r="P202" s="376">
        <v>19.100000000000001</v>
      </c>
      <c r="Q202" s="376">
        <v>19.100000000000001</v>
      </c>
      <c r="R202" s="376">
        <v>19.100000000000001</v>
      </c>
      <c r="S202" s="376">
        <v>19.100000000000001</v>
      </c>
      <c r="T202" s="376">
        <v>19.100000000000001</v>
      </c>
      <c r="U202" s="376">
        <v>19.100000000000001</v>
      </c>
      <c r="V202" s="376">
        <v>17.2</v>
      </c>
      <c r="W202" s="376">
        <v>17.2</v>
      </c>
      <c r="X202" s="376">
        <v>17.2</v>
      </c>
      <c r="Y202" s="376">
        <v>17.2</v>
      </c>
      <c r="Z202" s="376">
        <v>17.2</v>
      </c>
      <c r="AA202" s="376">
        <v>14.3</v>
      </c>
      <c r="AB202" s="376">
        <v>14.3</v>
      </c>
      <c r="AC202" s="376">
        <v>14.3</v>
      </c>
      <c r="AD202" s="376">
        <v>14.3</v>
      </c>
      <c r="AE202" s="376">
        <v>14.3</v>
      </c>
      <c r="AF202" s="376">
        <v>14.3</v>
      </c>
      <c r="AG202" s="376">
        <v>14.3</v>
      </c>
      <c r="AH202" s="376">
        <v>14.3</v>
      </c>
      <c r="AI202" s="376">
        <v>14.3</v>
      </c>
      <c r="AJ202" s="376">
        <v>14.3</v>
      </c>
      <c r="AK202" s="69">
        <v>14.3</v>
      </c>
      <c r="AL202" s="377"/>
    </row>
    <row r="203" spans="1:38" ht="13.5" customHeight="1">
      <c r="A203" s="8"/>
      <c r="B203" s="253"/>
      <c r="C203" s="258"/>
      <c r="D203" s="77" t="s">
        <v>616</v>
      </c>
      <c r="E203" s="376">
        <v>28.6</v>
      </c>
      <c r="F203" s="376">
        <v>28.6</v>
      </c>
      <c r="G203" s="376">
        <v>28.6</v>
      </c>
      <c r="H203" s="376">
        <v>28.6</v>
      </c>
      <c r="I203" s="376">
        <v>28.6</v>
      </c>
      <c r="J203" s="376">
        <v>28.6</v>
      </c>
      <c r="K203" s="376">
        <v>28.6</v>
      </c>
      <c r="L203" s="376">
        <v>28.6</v>
      </c>
      <c r="M203" s="376">
        <v>28.6</v>
      </c>
      <c r="N203" s="376">
        <v>28.6</v>
      </c>
      <c r="O203" s="376">
        <v>28.6</v>
      </c>
      <c r="P203" s="376">
        <v>28.6</v>
      </c>
      <c r="Q203" s="376">
        <v>28.6</v>
      </c>
      <c r="R203" s="376">
        <v>28.6</v>
      </c>
      <c r="S203" s="376">
        <v>28.6</v>
      </c>
      <c r="T203" s="376">
        <v>28.6</v>
      </c>
      <c r="U203" s="376">
        <v>28.6</v>
      </c>
      <c r="V203" s="376">
        <v>28.6</v>
      </c>
      <c r="W203" s="376">
        <v>28.6</v>
      </c>
      <c r="X203" s="376">
        <v>28.6</v>
      </c>
      <c r="Y203" s="376">
        <v>28.6</v>
      </c>
      <c r="Z203" s="376">
        <v>28.6</v>
      </c>
      <c r="AA203" s="376">
        <v>23.9</v>
      </c>
      <c r="AB203" s="376">
        <v>23.9</v>
      </c>
      <c r="AC203" s="376">
        <v>23.9</v>
      </c>
      <c r="AD203" s="376">
        <v>23.9</v>
      </c>
      <c r="AE203" s="376">
        <v>23.9</v>
      </c>
      <c r="AF203" s="376">
        <v>23.9</v>
      </c>
      <c r="AG203" s="376">
        <v>23.9</v>
      </c>
      <c r="AH203" s="376">
        <v>23.9</v>
      </c>
      <c r="AI203" s="376">
        <v>23.9</v>
      </c>
      <c r="AJ203" s="376">
        <v>23.9</v>
      </c>
      <c r="AK203" s="69">
        <v>23.9</v>
      </c>
      <c r="AL203" s="377"/>
    </row>
    <row r="204" spans="1:38" ht="13.5" customHeight="1">
      <c r="A204" s="8"/>
      <c r="B204" s="253"/>
      <c r="C204" s="258"/>
      <c r="D204" s="119" t="s">
        <v>555</v>
      </c>
      <c r="E204" s="123"/>
      <c r="F204" s="123"/>
      <c r="G204" s="123"/>
      <c r="H204" s="123"/>
      <c r="I204" s="123"/>
      <c r="J204" s="123"/>
      <c r="K204" s="123"/>
      <c r="L204" s="123"/>
      <c r="M204" s="123"/>
      <c r="N204" s="123"/>
      <c r="O204" s="123">
        <v>2.4700000000000002</v>
      </c>
      <c r="P204" s="123">
        <v>2.4700000000000002</v>
      </c>
      <c r="Q204" s="123">
        <v>2.4700000000000002</v>
      </c>
      <c r="R204" s="123">
        <v>2.4700000000000002</v>
      </c>
      <c r="S204" s="123">
        <v>2.4700000000000002</v>
      </c>
      <c r="T204" s="123">
        <v>2.4700000000000002</v>
      </c>
      <c r="U204" s="123">
        <v>2.4700000000000002</v>
      </c>
      <c r="V204" s="123">
        <v>2.4700000000000002</v>
      </c>
      <c r="W204" s="123">
        <v>2.4700000000000002</v>
      </c>
      <c r="X204" s="123">
        <v>2.4700000000000002</v>
      </c>
      <c r="Y204" s="123">
        <v>2.4700000000000002</v>
      </c>
      <c r="Z204" s="123">
        <v>2.4700000000000002</v>
      </c>
      <c r="AA204" s="123">
        <v>2.4700000000000002</v>
      </c>
      <c r="AB204" s="123">
        <v>2.4700000000000002</v>
      </c>
      <c r="AC204" s="123">
        <v>2.4700000000000002</v>
      </c>
      <c r="AD204" s="123">
        <v>2.4700000000000002</v>
      </c>
      <c r="AE204" s="123">
        <v>2.4700000000000002</v>
      </c>
      <c r="AF204" s="123">
        <v>2.4700000000000002</v>
      </c>
      <c r="AG204" s="123">
        <v>2.4700000000000002</v>
      </c>
      <c r="AH204" s="123">
        <v>2.4700000000000002</v>
      </c>
      <c r="AI204" s="123">
        <v>2.4700000000000002</v>
      </c>
      <c r="AJ204" s="123">
        <v>2.4700000000000002</v>
      </c>
      <c r="AK204" s="124">
        <v>2.4700000000000002</v>
      </c>
      <c r="AL204" s="377"/>
    </row>
    <row r="205" spans="1:38" ht="13.5" customHeight="1">
      <c r="A205" s="8"/>
      <c r="B205" s="294"/>
      <c r="C205" s="295"/>
      <c r="D205" s="295"/>
      <c r="E205" s="295"/>
      <c r="F205" s="295"/>
      <c r="G205" s="295"/>
      <c r="H205" s="295"/>
      <c r="I205" s="295"/>
      <c r="J205" s="295"/>
      <c r="K205" s="295"/>
      <c r="L205" s="295"/>
      <c r="M205" s="295"/>
      <c r="N205" s="295"/>
      <c r="O205" s="295"/>
      <c r="P205" s="295"/>
      <c r="Q205" s="295"/>
      <c r="R205" s="295"/>
      <c r="S205" s="295"/>
      <c r="T205" s="295"/>
      <c r="U205" s="295"/>
      <c r="V205" s="295"/>
      <c r="W205" s="295"/>
      <c r="X205" s="295"/>
      <c r="Y205" s="295"/>
      <c r="Z205" s="295"/>
      <c r="AA205" s="295"/>
      <c r="AB205" s="295"/>
      <c r="AC205" s="295"/>
      <c r="AD205" s="295"/>
      <c r="AE205" s="295"/>
      <c r="AF205" s="295"/>
      <c r="AG205" s="295"/>
      <c r="AH205" s="295"/>
      <c r="AI205" s="295"/>
      <c r="AJ205" s="295"/>
      <c r="AK205" s="295"/>
      <c r="AL205" s="466"/>
    </row>
    <row r="206" spans="1:38" ht="13.5" customHeight="1">
      <c r="A206" s="1"/>
      <c r="B206" s="1"/>
      <c r="C206" s="1"/>
      <c r="D206" s="125" t="s">
        <v>620</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3.5" customHeight="1">
      <c r="A207" s="1"/>
      <c r="B207" s="1"/>
      <c r="C207" s="1"/>
      <c r="D207" s="15"/>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3.5" customHeight="1">
      <c r="A208" s="1"/>
      <c r="B208" s="1"/>
      <c r="C208" s="1"/>
      <c r="D208" s="125" t="s">
        <v>561</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3.5" customHeight="1">
      <c r="A209" s="1"/>
      <c r="B209" s="126">
        <v>1</v>
      </c>
      <c r="C209" s="126"/>
      <c r="D209" s="127" t="s">
        <v>621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3.5" customHeight="1">
      <c r="A210" s="1"/>
      <c r="B210" s="126">
        <v>2</v>
      </c>
      <c r="C210" s="126"/>
      <c r="D210" s="128" t="s">
        <v>622</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3.5" customHeight="1">
      <c r="A211" s="1"/>
      <c r="B211" s="126">
        <v>3</v>
      </c>
      <c r="C211" s="126"/>
      <c r="D211" s="128" t="s">
        <v>564</v>
      </c>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3.5" customHeight="1">
      <c r="A214" s="1"/>
      <c r="B214" s="1"/>
      <c r="C214" s="1"/>
      <c r="D214" s="442"/>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3.5" customHeight="1">
      <c r="A215" s="1"/>
      <c r="B215" s="1"/>
      <c r="C215" s="1"/>
      <c r="D215" s="467" t="s">
        <v>623</v>
      </c>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3.5" customHeight="1">
      <c r="A216" s="1"/>
      <c r="B216" s="1">
        <v>1</v>
      </c>
      <c r="C216" s="1"/>
      <c r="D216" s="1" t="s">
        <v>624</v>
      </c>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3.5" customHeight="1">
      <c r="A217" s="1"/>
      <c r="B217" s="1">
        <v>2</v>
      </c>
      <c r="C217" s="1"/>
      <c r="D217" s="1" t="s">
        <v>625</v>
      </c>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3.5" customHeight="1">
      <c r="A218" s="1"/>
      <c r="B218" s="1">
        <v>3</v>
      </c>
      <c r="C218" s="1"/>
      <c r="D218" s="1" t="s">
        <v>626</v>
      </c>
      <c r="E218" s="1"/>
      <c r="F218" s="1"/>
      <c r="G218" s="128" t="s">
        <v>627</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3.5" customHeight="1">
      <c r="A219" s="1"/>
      <c r="B219" s="1">
        <v>4</v>
      </c>
      <c r="C219" s="1"/>
      <c r="D219" s="1" t="s">
        <v>628</v>
      </c>
      <c r="E219" s="1"/>
      <c r="F219" s="1"/>
      <c r="G219" s="128"/>
      <c r="H219" s="1"/>
      <c r="I219" s="1"/>
      <c r="J219" s="1"/>
      <c r="K219" s="128" t="s">
        <v>627</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3.5" customHeight="1">
      <c r="A220" s="1"/>
      <c r="B220" s="1">
        <v>5</v>
      </c>
      <c r="C220" s="1"/>
      <c r="D220" s="1" t="s">
        <v>629</v>
      </c>
      <c r="E220" s="1"/>
      <c r="F220" s="1"/>
      <c r="G220" s="128"/>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row>
    <row r="408" spans="1:3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row>
    <row r="409" spans="1:3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row>
    <row r="410" spans="1:3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row>
    <row r="411" spans="1:3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row>
    <row r="412" spans="1:3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row>
    <row r="413" spans="1:3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row>
    <row r="414" spans="1:3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row>
    <row r="415" spans="1:3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row>
    <row r="416" spans="1:3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row>
    <row r="417" spans="1:3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row>
    <row r="418" spans="1:3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row>
    <row r="419" spans="1:3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row>
    <row r="420" spans="1:3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row>
    <row r="421" spans="1:3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row>
    <row r="422" spans="1:3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row>
    <row r="423" spans="1:3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row>
    <row r="424" spans="1:3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row>
    <row r="425" spans="1:3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row>
    <row r="426" spans="1:3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row>
    <row r="427" spans="1:3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row>
    <row r="428" spans="1:3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row>
    <row r="429" spans="1:3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row>
    <row r="430" spans="1:3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row>
    <row r="431" spans="1:3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row>
    <row r="432" spans="1:3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row>
    <row r="433" spans="1:3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row>
    <row r="434" spans="1:3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row>
    <row r="435" spans="1:3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row>
    <row r="436" spans="1:3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row>
    <row r="437" spans="1:3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row>
    <row r="438" spans="1: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row>
    <row r="439" spans="1:3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row>
    <row r="440" spans="1:3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row>
    <row r="441" spans="1:3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row>
    <row r="442" spans="1:3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row>
    <row r="443" spans="1:3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row>
    <row r="444" spans="1:3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row>
    <row r="445" spans="1:3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row>
    <row r="446" spans="1:3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row>
    <row r="447" spans="1:3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row>
    <row r="448" spans="1:3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row>
    <row r="449" spans="1:3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row>
    <row r="450" spans="1:3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row>
    <row r="451" spans="1:3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row>
    <row r="452" spans="1:3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row>
    <row r="453" spans="1:3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row>
    <row r="454" spans="1:3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row>
    <row r="455" spans="1:3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row>
    <row r="456" spans="1:3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row>
    <row r="457" spans="1:3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row>
    <row r="458" spans="1:3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row>
    <row r="459" spans="1:3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row>
    <row r="460" spans="1:3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row>
    <row r="461" spans="1:3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row>
    <row r="462" spans="1:3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row>
    <row r="463" spans="1:3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row>
    <row r="464" spans="1:3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row>
    <row r="465" spans="1:3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row>
    <row r="466" spans="1:3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row>
    <row r="467" spans="1:3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row>
    <row r="468" spans="1:3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row>
    <row r="469" spans="1:3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row>
    <row r="470" spans="1:3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row>
    <row r="471" spans="1:3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row>
    <row r="472" spans="1:3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row>
    <row r="473" spans="1:3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row>
    <row r="474" spans="1:3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row>
    <row r="475" spans="1:3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row>
    <row r="476" spans="1:3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row>
    <row r="477" spans="1:3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row>
    <row r="478" spans="1:3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row>
    <row r="479" spans="1:3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row>
    <row r="480" spans="1:3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row>
    <row r="481" spans="1:3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row>
    <row r="482" spans="1:3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row>
    <row r="483" spans="1:3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row>
    <row r="484" spans="1:3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row>
    <row r="485" spans="1:3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row>
    <row r="486" spans="1:3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row>
    <row r="487" spans="1:3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row>
    <row r="488" spans="1:3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row>
    <row r="489" spans="1:3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row>
    <row r="490" spans="1:3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row>
    <row r="491" spans="1:3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row>
    <row r="492" spans="1:3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row>
    <row r="493" spans="1:3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row>
    <row r="494" spans="1:3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row>
    <row r="495" spans="1:3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row>
    <row r="496" spans="1:3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row>
    <row r="497" spans="1:3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row>
    <row r="498" spans="1:3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row>
    <row r="499" spans="1:3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row>
    <row r="500" spans="1:3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row>
    <row r="501" spans="1:3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row>
    <row r="502" spans="1:3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row>
    <row r="503" spans="1:3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row>
    <row r="504" spans="1:3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row>
    <row r="505" spans="1:3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row>
    <row r="506" spans="1:3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row>
    <row r="507" spans="1:3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row>
    <row r="508" spans="1:3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row>
    <row r="509" spans="1:3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row>
    <row r="510" spans="1:3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row>
    <row r="511" spans="1:3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row>
    <row r="512" spans="1:3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row>
    <row r="513" spans="1:3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row>
    <row r="514" spans="1:3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row>
    <row r="515" spans="1:3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row>
    <row r="516" spans="1:3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row>
    <row r="517" spans="1:3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row>
    <row r="518" spans="1:3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row>
    <row r="519" spans="1:3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row>
    <row r="520" spans="1:3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row>
    <row r="521" spans="1:3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row>
    <row r="522" spans="1:3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row>
    <row r="523" spans="1:3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row>
    <row r="524" spans="1:3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row>
    <row r="525" spans="1:3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row>
    <row r="526" spans="1:3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row>
    <row r="527" spans="1:3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row>
    <row r="528" spans="1:3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row>
    <row r="529" spans="1:3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row>
    <row r="530" spans="1:3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row>
    <row r="531" spans="1:3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row>
    <row r="532" spans="1:3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row>
    <row r="533" spans="1:3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row>
    <row r="534" spans="1:3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row>
    <row r="535" spans="1:3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row>
    <row r="536" spans="1:3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row>
    <row r="537" spans="1:3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row>
    <row r="538" spans="1: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row>
    <row r="539" spans="1:3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row>
    <row r="540" spans="1:3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row>
    <row r="541" spans="1:3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row>
    <row r="542" spans="1:3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row>
    <row r="543" spans="1:3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row>
    <row r="544" spans="1:3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row>
    <row r="545" spans="1:3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row>
    <row r="546" spans="1:3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row>
    <row r="547" spans="1:3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row>
    <row r="548" spans="1:3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row>
    <row r="549" spans="1:3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row>
    <row r="550" spans="1:3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row>
    <row r="551" spans="1:3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row>
    <row r="552" spans="1:3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row>
    <row r="553" spans="1:3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row>
    <row r="554" spans="1:3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row>
    <row r="555" spans="1:3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row>
    <row r="556" spans="1:3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row>
    <row r="557" spans="1:3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row>
    <row r="558" spans="1:3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row>
    <row r="559" spans="1:3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row>
    <row r="560" spans="1:3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row>
    <row r="561" spans="1:3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row>
    <row r="562" spans="1:3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row>
    <row r="563" spans="1:3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row>
    <row r="564" spans="1:3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row>
    <row r="565" spans="1:3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row>
    <row r="566" spans="1:3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row>
    <row r="567" spans="1:3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row>
    <row r="568" spans="1:3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row>
    <row r="569" spans="1:3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row>
    <row r="570" spans="1:3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row>
    <row r="571" spans="1:3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row>
    <row r="572" spans="1:3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row>
    <row r="573" spans="1:3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row>
    <row r="574" spans="1:3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row>
    <row r="575" spans="1:3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row>
    <row r="576" spans="1:3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row>
    <row r="577" spans="1:3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row>
    <row r="578" spans="1:3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row>
    <row r="579" spans="1:3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row>
    <row r="580" spans="1:3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row>
    <row r="581" spans="1:3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row>
    <row r="582" spans="1:3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row>
    <row r="583" spans="1:3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1:3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1:3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1:3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1:3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row>
    <row r="588" spans="1:3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row>
    <row r="589" spans="1:3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row>
    <row r="590" spans="1:3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row>
    <row r="591" spans="1:3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row>
    <row r="592" spans="1:3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row>
    <row r="593" spans="1:3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row>
    <row r="594" spans="1:3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row>
    <row r="595" spans="1:3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row>
    <row r="596" spans="1:3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row>
    <row r="597" spans="1:3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row>
    <row r="598" spans="1:3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row>
    <row r="599" spans="1:3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row>
    <row r="600" spans="1:3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row>
    <row r="601" spans="1:3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row>
    <row r="602" spans="1:3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row>
    <row r="603" spans="1:3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row>
    <row r="604" spans="1:3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row>
    <row r="605" spans="1:3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row>
    <row r="606" spans="1:3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row>
    <row r="607" spans="1:3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row>
    <row r="608" spans="1:3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row>
    <row r="609" spans="1:3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row>
    <row r="610" spans="1:3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row>
    <row r="611" spans="1:3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row>
    <row r="612" spans="1:3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row>
    <row r="613" spans="1:3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row>
    <row r="614" spans="1:3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row>
    <row r="615" spans="1:3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row>
    <row r="616" spans="1:3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row>
    <row r="617" spans="1:3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row>
    <row r="618" spans="1:3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row>
    <row r="619" spans="1:3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row>
    <row r="620" spans="1:3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row>
    <row r="621" spans="1:3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row>
    <row r="622" spans="1:3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row>
    <row r="623" spans="1:3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row>
    <row r="624" spans="1:3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row>
    <row r="625" spans="1:3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row>
    <row r="626" spans="1:3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row>
    <row r="627" spans="1:3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row>
    <row r="628" spans="1:3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row>
    <row r="629" spans="1:3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row>
    <row r="630" spans="1:3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row>
    <row r="631" spans="1:3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row>
    <row r="632" spans="1:3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row>
    <row r="633" spans="1:3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row>
    <row r="634" spans="1:3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row>
    <row r="635" spans="1:3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row>
    <row r="636" spans="1:3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row>
    <row r="637" spans="1:3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row>
    <row r="638" spans="1: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row>
    <row r="639" spans="1:3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row>
    <row r="640" spans="1:3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row>
    <row r="641" spans="1:3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row>
    <row r="642" spans="1:3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row>
    <row r="643" spans="1:3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row>
    <row r="644" spans="1:3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row>
    <row r="645" spans="1:3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row>
    <row r="646" spans="1:3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row>
    <row r="647" spans="1:3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row>
    <row r="648" spans="1:3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row>
    <row r="649" spans="1:3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row>
    <row r="650" spans="1:3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row>
    <row r="651" spans="1:3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row>
    <row r="652" spans="1:3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row>
    <row r="653" spans="1:3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row>
    <row r="654" spans="1:3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row>
    <row r="655" spans="1:3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row>
    <row r="656" spans="1:3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row>
    <row r="657" spans="1:3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row>
    <row r="658" spans="1:3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row>
    <row r="659" spans="1:3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row>
    <row r="660" spans="1:3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row>
    <row r="661" spans="1:3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row>
    <row r="662" spans="1:3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row>
    <row r="663" spans="1:3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row>
    <row r="664" spans="1:3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row>
    <row r="665" spans="1:3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row>
    <row r="666" spans="1:3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row>
    <row r="667" spans="1:3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row>
    <row r="668" spans="1:3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row>
    <row r="669" spans="1:3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row>
    <row r="670" spans="1:3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row>
    <row r="671" spans="1:3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row>
    <row r="672" spans="1:3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row>
    <row r="673" spans="1:3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row>
    <row r="674" spans="1:3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row>
    <row r="675" spans="1:3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row>
    <row r="676" spans="1:3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row>
    <row r="677" spans="1:3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row>
    <row r="678" spans="1:3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row>
    <row r="679" spans="1:3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row>
    <row r="680" spans="1:3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row>
    <row r="681" spans="1:3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row>
    <row r="682" spans="1:3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row>
    <row r="683" spans="1:3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row>
    <row r="684" spans="1:3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row>
    <row r="685" spans="1:3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row>
    <row r="686" spans="1:3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row>
    <row r="687" spans="1:3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row>
    <row r="688" spans="1:3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row>
    <row r="689" spans="1:3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row>
    <row r="690" spans="1:3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row>
    <row r="691" spans="1:3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row>
    <row r="692" spans="1:3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row>
    <row r="693" spans="1:3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row>
    <row r="694" spans="1:3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row>
    <row r="695" spans="1:3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row>
    <row r="696" spans="1:3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row>
    <row r="697" spans="1:3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row>
    <row r="698" spans="1:3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row>
    <row r="699" spans="1:3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row>
    <row r="700" spans="1:3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row>
    <row r="701" spans="1:3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row>
    <row r="702" spans="1:3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row>
    <row r="703" spans="1:3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row>
    <row r="704" spans="1:3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row>
    <row r="705" spans="1:3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row>
    <row r="706" spans="1:3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row>
    <row r="707" spans="1:3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row>
    <row r="708" spans="1:3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row>
    <row r="709" spans="1:3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row>
    <row r="710" spans="1:3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row>
    <row r="711" spans="1:3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row>
    <row r="712" spans="1:3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row>
    <row r="713" spans="1:3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row>
    <row r="714" spans="1:3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row>
    <row r="715" spans="1:3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row>
    <row r="716" spans="1:3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row>
    <row r="717" spans="1:3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row>
    <row r="718" spans="1:3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row>
    <row r="719" spans="1:3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row>
    <row r="720" spans="1:3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row>
    <row r="721" spans="1:3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row>
    <row r="722" spans="1:3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row>
    <row r="723" spans="1:3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row>
    <row r="724" spans="1:3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row>
    <row r="725" spans="1:3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row>
    <row r="726" spans="1:3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row>
    <row r="727" spans="1:3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row>
    <row r="728" spans="1:3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row>
    <row r="729" spans="1:3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row>
    <row r="730" spans="1:3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row>
    <row r="731" spans="1:3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row>
    <row r="732" spans="1:3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row>
    <row r="733" spans="1:3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row>
    <row r="734" spans="1:3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row>
    <row r="735" spans="1:3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row>
    <row r="736" spans="1:3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row>
    <row r="737" spans="1:3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row>
    <row r="738" spans="1: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row>
    <row r="739" spans="1:3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row>
    <row r="740" spans="1:3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row>
    <row r="741" spans="1:3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row>
    <row r="742" spans="1:3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row>
    <row r="743" spans="1:3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row>
    <row r="744" spans="1:3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row>
    <row r="745" spans="1:3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row>
    <row r="746" spans="1:3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row>
    <row r="747" spans="1:3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row>
    <row r="748" spans="1:3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row>
    <row r="749" spans="1:3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row>
    <row r="750" spans="1:3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row>
    <row r="751" spans="1:3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row>
    <row r="752" spans="1:3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row>
    <row r="753" spans="1:3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row>
    <row r="754" spans="1:3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row>
    <row r="755" spans="1:3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row>
    <row r="756" spans="1:3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row>
    <row r="757" spans="1:3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row>
    <row r="758" spans="1:3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row>
    <row r="759" spans="1:3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row>
    <row r="760" spans="1:3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row>
    <row r="761" spans="1:3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row>
    <row r="762" spans="1:3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row>
    <row r="763" spans="1:3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row>
    <row r="764" spans="1:3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row>
    <row r="765" spans="1:3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row>
    <row r="766" spans="1:3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row>
    <row r="767" spans="1:3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row>
    <row r="768" spans="1:3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row>
    <row r="769" spans="1:3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row>
    <row r="770" spans="1:3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row>
    <row r="771" spans="1:3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row>
    <row r="772" spans="1:3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row>
    <row r="773" spans="1:3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row>
    <row r="774" spans="1:3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row>
    <row r="775" spans="1:3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row>
    <row r="776" spans="1:3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row>
    <row r="777" spans="1:3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row>
    <row r="778" spans="1:3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row>
    <row r="779" spans="1:3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row>
    <row r="780" spans="1:3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row>
    <row r="781" spans="1:3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row>
    <row r="782" spans="1:3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row>
    <row r="783" spans="1:3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row>
    <row r="784" spans="1:3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row>
    <row r="785" spans="1:3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row>
    <row r="786" spans="1:3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row>
    <row r="787" spans="1:3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row>
    <row r="788" spans="1:3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row>
    <row r="789" spans="1:3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row>
    <row r="790" spans="1:3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row>
    <row r="791" spans="1:3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row>
    <row r="792" spans="1:3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row>
    <row r="793" spans="1:3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row>
    <row r="794" spans="1:3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row>
    <row r="795" spans="1:3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row>
    <row r="796" spans="1:3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row>
    <row r="797" spans="1:3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row>
    <row r="798" spans="1:3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row>
    <row r="799" spans="1:3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row>
    <row r="800" spans="1:3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row>
    <row r="801" spans="1:3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row>
    <row r="802" spans="1:3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row>
    <row r="803" spans="1:3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row>
    <row r="804" spans="1:3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row>
    <row r="805" spans="1:3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row>
    <row r="806" spans="1:3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row>
    <row r="807" spans="1:3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row>
    <row r="808" spans="1:3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row>
    <row r="809" spans="1:3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row>
    <row r="810" spans="1:3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row>
    <row r="811" spans="1:3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row>
    <row r="812" spans="1:3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row>
    <row r="813" spans="1:3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row>
    <row r="814" spans="1:3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row>
    <row r="815" spans="1:3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row>
    <row r="816" spans="1:3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row>
    <row r="817" spans="1:3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row>
    <row r="818" spans="1:3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row>
    <row r="819" spans="1:3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row>
    <row r="820" spans="1:3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row>
    <row r="821" spans="1:3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row>
    <row r="822" spans="1:3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row>
    <row r="823" spans="1:3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row>
    <row r="824" spans="1:3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row>
    <row r="825" spans="1:3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row>
    <row r="826" spans="1:3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row>
    <row r="827" spans="1:3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row>
    <row r="828" spans="1:3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row>
    <row r="829" spans="1:3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row>
    <row r="830" spans="1:3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row>
    <row r="831" spans="1:3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row>
    <row r="832" spans="1:3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row>
    <row r="833" spans="1:3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row>
    <row r="834" spans="1:3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row>
    <row r="835" spans="1:3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row>
    <row r="836" spans="1:3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row>
    <row r="837" spans="1:3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row>
    <row r="838" spans="1: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row>
    <row r="839" spans="1:3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row>
    <row r="840" spans="1:3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row>
    <row r="841" spans="1:3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row>
    <row r="842" spans="1:3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row>
    <row r="843" spans="1:3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row>
    <row r="844" spans="1:3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row>
    <row r="845" spans="1:3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row>
    <row r="846" spans="1:3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row>
    <row r="847" spans="1:3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row>
    <row r="848" spans="1:3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row>
    <row r="849" spans="1:3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row>
    <row r="850" spans="1:3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row>
    <row r="851" spans="1:3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row>
    <row r="852" spans="1:3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row>
    <row r="853" spans="1:3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row>
    <row r="854" spans="1:3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row>
    <row r="855" spans="1:3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row>
    <row r="856" spans="1:3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row>
    <row r="857" spans="1:3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row>
  </sheetData>
  <hyperlinks>
    <hyperlink ref="D209" r:id="rId1" xr:uid="{00000000-0004-0000-0700-000000000000}"/>
    <hyperlink ref="D210" r:id="rId2" xr:uid="{00000000-0004-0000-0700-000001000000}"/>
    <hyperlink ref="D211" r:id="rId3" xr:uid="{00000000-0004-0000-0700-000002000000}"/>
    <hyperlink ref="G218" r:id="rId4" xr:uid="{00000000-0004-0000-0700-000003000000}"/>
    <hyperlink ref="K219" r:id="rId5" xr:uid="{00000000-0004-0000-0700-000004000000}"/>
  </hyperlinks>
  <pageMargins left="0.7" right="0.7" top="0.75" bottom="0.75" header="0" footer="0"/>
  <pageSetup orientation="landscape"/>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2.6640625" defaultRowHeight="15" customHeight="1"/>
  <cols>
    <col min="1" max="1" width="12.44140625" customWidth="1"/>
    <col min="2" max="2" width="2.77734375" customWidth="1"/>
    <col min="3" max="3" width="41" customWidth="1"/>
    <col min="4" max="4" width="31.44140625" customWidth="1"/>
    <col min="5" max="5" width="21.44140625" customWidth="1"/>
    <col min="6" max="6" width="20.77734375" customWidth="1"/>
    <col min="7" max="26" width="12.44140625" customWidth="1"/>
  </cols>
  <sheetData>
    <row r="1" spans="1:26" ht="13.5" customHeight="1">
      <c r="A1" s="619"/>
      <c r="B1" s="619"/>
      <c r="C1" s="10"/>
      <c r="D1" s="4"/>
      <c r="E1" s="619"/>
      <c r="F1" s="619"/>
      <c r="G1" s="619"/>
      <c r="H1" s="619"/>
      <c r="I1" s="619"/>
      <c r="J1" s="619"/>
      <c r="K1" s="619"/>
      <c r="L1" s="619"/>
      <c r="M1" s="619"/>
      <c r="N1" s="619"/>
      <c r="O1" s="619"/>
      <c r="P1" s="619"/>
      <c r="Q1" s="619"/>
      <c r="R1" s="619"/>
      <c r="S1" s="619"/>
      <c r="T1" s="619"/>
      <c r="U1" s="619"/>
      <c r="V1" s="619"/>
      <c r="W1" s="619"/>
      <c r="X1" s="619"/>
      <c r="Y1" s="619"/>
      <c r="Z1" s="619"/>
    </row>
    <row r="2" spans="1:26" ht="13.5" customHeight="1">
      <c r="A2" s="619"/>
      <c r="B2" s="6"/>
      <c r="C2" s="152"/>
      <c r="D2" s="199"/>
      <c r="E2" s="200"/>
      <c r="F2" s="200"/>
      <c r="G2" s="200"/>
      <c r="H2" s="200"/>
      <c r="I2" s="200"/>
      <c r="J2" s="200"/>
      <c r="K2" s="200"/>
      <c r="L2" s="200"/>
      <c r="M2" s="200"/>
      <c r="N2" s="200"/>
      <c r="O2" s="200"/>
      <c r="P2" s="200"/>
      <c r="Q2" s="200"/>
      <c r="R2" s="200"/>
      <c r="S2" s="200"/>
      <c r="T2" s="200"/>
      <c r="U2" s="200"/>
      <c r="V2" s="200"/>
      <c r="W2" s="200"/>
      <c r="X2" s="200"/>
      <c r="Y2" s="200"/>
      <c r="Z2" s="200"/>
    </row>
    <row r="3" spans="1:26" ht="18">
      <c r="A3" s="619"/>
      <c r="B3" s="155"/>
      <c r="C3" s="156" t="s">
        <v>630</v>
      </c>
      <c r="D3" s="355"/>
      <c r="E3" s="143"/>
      <c r="F3" s="143"/>
      <c r="G3" s="143"/>
      <c r="H3" s="143"/>
      <c r="I3" s="143"/>
      <c r="J3" s="143"/>
      <c r="K3" s="143"/>
      <c r="L3" s="143"/>
      <c r="M3" s="143"/>
      <c r="N3" s="143"/>
      <c r="O3" s="143"/>
      <c r="P3" s="143"/>
      <c r="Q3" s="143"/>
      <c r="R3" s="143"/>
      <c r="S3" s="143"/>
      <c r="T3" s="143"/>
      <c r="U3" s="143"/>
      <c r="V3" s="143"/>
      <c r="W3" s="143"/>
      <c r="X3" s="143"/>
      <c r="Y3" s="143"/>
      <c r="Z3" s="143"/>
    </row>
    <row r="4" spans="1:26" ht="13.5" customHeight="1">
      <c r="A4" s="619"/>
      <c r="B4" s="155"/>
      <c r="C4" s="160"/>
      <c r="D4" s="468"/>
      <c r="E4" s="204"/>
      <c r="F4" s="204"/>
      <c r="G4" s="204"/>
      <c r="H4" s="204"/>
      <c r="I4" s="204"/>
      <c r="J4" s="204"/>
      <c r="K4" s="204"/>
      <c r="L4" s="204"/>
      <c r="M4" s="204"/>
      <c r="N4" s="204"/>
      <c r="O4" s="204"/>
      <c r="P4" s="204"/>
      <c r="Q4" s="204"/>
      <c r="R4" s="204"/>
      <c r="S4" s="204"/>
      <c r="T4" s="204"/>
      <c r="U4" s="204"/>
      <c r="V4" s="204"/>
      <c r="W4" s="204"/>
      <c r="X4" s="204"/>
      <c r="Y4" s="204"/>
      <c r="Z4" s="204"/>
    </row>
    <row r="5" spans="1:26" ht="13.5" customHeight="1">
      <c r="A5" s="619">
        <v>1</v>
      </c>
      <c r="B5" s="155"/>
      <c r="C5" s="160" t="s">
        <v>631</v>
      </c>
      <c r="D5" s="468"/>
      <c r="E5" s="204"/>
      <c r="F5" s="204"/>
      <c r="G5" s="204"/>
      <c r="H5" s="204"/>
      <c r="I5" s="204"/>
      <c r="J5" s="204"/>
      <c r="K5" s="204"/>
      <c r="L5" s="204"/>
      <c r="M5" s="204"/>
      <c r="N5" s="204"/>
      <c r="O5" s="204"/>
      <c r="P5" s="204"/>
      <c r="Q5" s="204"/>
      <c r="R5" s="204"/>
      <c r="S5" s="204"/>
      <c r="T5" s="204"/>
      <c r="U5" s="204"/>
      <c r="V5" s="204"/>
      <c r="W5" s="204"/>
      <c r="X5" s="204"/>
      <c r="Y5" s="204"/>
      <c r="Z5" s="204"/>
    </row>
    <row r="6" spans="1:26" ht="13.5" customHeight="1">
      <c r="A6" s="619"/>
      <c r="B6" s="155"/>
      <c r="C6" s="164"/>
      <c r="D6" s="468"/>
      <c r="E6" s="204"/>
      <c r="F6" s="204"/>
      <c r="G6" s="204"/>
      <c r="H6" s="204"/>
      <c r="I6" s="204"/>
      <c r="J6" s="204"/>
      <c r="K6" s="204"/>
      <c r="L6" s="204"/>
      <c r="M6" s="204"/>
      <c r="N6" s="204"/>
      <c r="O6" s="204"/>
      <c r="P6" s="204"/>
      <c r="Q6" s="204"/>
      <c r="R6" s="204"/>
      <c r="S6" s="204"/>
      <c r="T6" s="204"/>
      <c r="U6" s="204"/>
      <c r="V6" s="204"/>
      <c r="W6" s="204"/>
      <c r="X6" s="204"/>
      <c r="Y6" s="204"/>
      <c r="Z6" s="204"/>
    </row>
    <row r="7" spans="1:26" ht="28.9">
      <c r="A7" s="619"/>
      <c r="B7" s="155"/>
      <c r="C7" s="469" t="s">
        <v>632</v>
      </c>
      <c r="D7" s="470" t="s">
        <v>633</v>
      </c>
      <c r="E7" s="471" t="s">
        <v>634</v>
      </c>
      <c r="F7" s="471" t="s">
        <v>635</v>
      </c>
      <c r="G7" s="204"/>
      <c r="H7" s="204"/>
      <c r="I7" s="204"/>
      <c r="J7" s="204"/>
      <c r="K7" s="204"/>
      <c r="L7" s="204"/>
      <c r="M7" s="204"/>
      <c r="N7" s="204"/>
      <c r="O7" s="204"/>
      <c r="P7" s="204"/>
      <c r="Q7" s="204"/>
      <c r="R7" s="204"/>
      <c r="S7" s="204"/>
      <c r="T7" s="204"/>
      <c r="U7" s="204"/>
      <c r="V7" s="204"/>
      <c r="W7" s="204"/>
      <c r="X7" s="204"/>
      <c r="Y7" s="204"/>
      <c r="Z7" s="204"/>
    </row>
    <row r="8" spans="1:26" ht="13.5" customHeight="1">
      <c r="A8" s="619"/>
      <c r="B8" s="155"/>
      <c r="C8" s="164"/>
      <c r="D8" s="468"/>
      <c r="E8" s="204"/>
      <c r="F8" s="204"/>
      <c r="G8" s="204"/>
      <c r="H8" s="204"/>
      <c r="I8" s="204"/>
      <c r="J8" s="204"/>
      <c r="K8" s="204"/>
      <c r="L8" s="204"/>
      <c r="M8" s="204"/>
      <c r="N8" s="204"/>
      <c r="O8" s="204"/>
      <c r="P8" s="204"/>
      <c r="Q8" s="204"/>
      <c r="R8" s="204"/>
      <c r="S8" s="204"/>
      <c r="T8" s="204"/>
      <c r="U8" s="204"/>
      <c r="V8" s="204"/>
      <c r="W8" s="204"/>
      <c r="X8" s="204"/>
      <c r="Y8" s="204"/>
      <c r="Z8" s="204"/>
    </row>
    <row r="9" spans="1:26" ht="13.5" customHeight="1">
      <c r="A9" s="619"/>
      <c r="B9" s="155"/>
      <c r="C9" s="164" t="s">
        <v>636</v>
      </c>
      <c r="D9" s="468" t="s">
        <v>637</v>
      </c>
      <c r="E9" s="472">
        <v>319.98339999999996</v>
      </c>
      <c r="F9" s="472">
        <v>218.17049999999998</v>
      </c>
      <c r="G9" s="204"/>
      <c r="H9" s="204"/>
      <c r="I9" s="204"/>
      <c r="J9" s="204"/>
      <c r="K9" s="204"/>
      <c r="L9" s="204"/>
      <c r="M9" s="204"/>
      <c r="N9" s="204"/>
      <c r="O9" s="204"/>
      <c r="P9" s="204"/>
      <c r="Q9" s="204"/>
      <c r="R9" s="204"/>
      <c r="S9" s="204"/>
      <c r="T9" s="204"/>
      <c r="U9" s="204"/>
      <c r="V9" s="204"/>
      <c r="W9" s="204"/>
      <c r="X9" s="204"/>
      <c r="Y9" s="204"/>
      <c r="Z9" s="204"/>
    </row>
    <row r="10" spans="1:26" ht="13.5" customHeight="1">
      <c r="A10" s="619"/>
      <c r="B10" s="155"/>
      <c r="C10" s="164" t="s">
        <v>638</v>
      </c>
      <c r="D10" s="468" t="s">
        <v>637</v>
      </c>
      <c r="E10" s="472">
        <v>319.98339999999996</v>
      </c>
      <c r="F10" s="472">
        <v>218.17049999999998</v>
      </c>
      <c r="G10" s="204"/>
      <c r="H10" s="204"/>
      <c r="I10" s="204"/>
      <c r="J10" s="204"/>
      <c r="K10" s="204"/>
      <c r="L10" s="204"/>
      <c r="M10" s="204"/>
      <c r="N10" s="204"/>
      <c r="O10" s="204"/>
      <c r="P10" s="204"/>
      <c r="Q10" s="204"/>
      <c r="R10" s="204"/>
      <c r="S10" s="204"/>
      <c r="T10" s="204"/>
      <c r="U10" s="204"/>
      <c r="V10" s="204"/>
      <c r="W10" s="204"/>
      <c r="X10" s="204"/>
      <c r="Y10" s="204"/>
      <c r="Z10" s="204"/>
    </row>
    <row r="11" spans="1:26" ht="13.5" customHeight="1">
      <c r="A11" s="619"/>
      <c r="B11" s="155"/>
      <c r="C11" s="164" t="s">
        <v>639</v>
      </c>
      <c r="D11" s="468" t="s">
        <v>640</v>
      </c>
      <c r="E11" s="472">
        <v>1163.576</v>
      </c>
      <c r="F11" s="472">
        <v>538.15390000000002</v>
      </c>
      <c r="G11" s="204"/>
      <c r="H11" s="204"/>
      <c r="I11" s="204"/>
      <c r="J11" s="204"/>
      <c r="K11" s="204"/>
      <c r="L11" s="204"/>
      <c r="M11" s="204"/>
      <c r="N11" s="204"/>
      <c r="O11" s="204"/>
      <c r="P11" s="204"/>
      <c r="Q11" s="204"/>
      <c r="R11" s="204"/>
      <c r="S11" s="204"/>
      <c r="T11" s="204"/>
      <c r="U11" s="204"/>
      <c r="V11" s="204"/>
      <c r="W11" s="204"/>
      <c r="X11" s="204"/>
      <c r="Y11" s="204"/>
      <c r="Z11" s="204"/>
    </row>
    <row r="12" spans="1:26" ht="13.5" customHeight="1">
      <c r="A12" s="619"/>
      <c r="B12" s="155"/>
      <c r="C12" s="164" t="s">
        <v>641</v>
      </c>
      <c r="D12" s="468" t="s">
        <v>642</v>
      </c>
      <c r="E12" s="472">
        <v>1599.9169999999999</v>
      </c>
      <c r="F12" s="472">
        <v>872.6819999999999</v>
      </c>
      <c r="G12" s="204"/>
      <c r="H12" s="204"/>
      <c r="I12" s="204"/>
      <c r="J12" s="204"/>
      <c r="K12" s="204"/>
      <c r="L12" s="204"/>
      <c r="M12" s="204"/>
      <c r="N12" s="204"/>
      <c r="O12" s="204"/>
      <c r="P12" s="204"/>
      <c r="Q12" s="204"/>
      <c r="R12" s="204"/>
      <c r="S12" s="204"/>
      <c r="T12" s="204"/>
      <c r="U12" s="204"/>
      <c r="V12" s="204"/>
      <c r="W12" s="204"/>
      <c r="X12" s="204"/>
      <c r="Y12" s="204"/>
      <c r="Z12" s="204"/>
    </row>
    <row r="13" spans="1:26" ht="13.5" customHeight="1">
      <c r="A13" s="619"/>
      <c r="B13" s="155"/>
      <c r="C13" s="164" t="s">
        <v>643</v>
      </c>
      <c r="D13" s="468" t="s">
        <v>644</v>
      </c>
      <c r="E13" s="472">
        <v>116.35759999999999</v>
      </c>
      <c r="F13" s="472">
        <v>72.723500000000001</v>
      </c>
      <c r="G13" s="204"/>
      <c r="H13" s="204"/>
      <c r="I13" s="204"/>
      <c r="J13" s="204"/>
      <c r="K13" s="204"/>
      <c r="L13" s="204"/>
      <c r="M13" s="204"/>
      <c r="N13" s="204"/>
      <c r="O13" s="204"/>
      <c r="P13" s="204"/>
      <c r="Q13" s="204"/>
      <c r="R13" s="204"/>
      <c r="S13" s="204"/>
      <c r="T13" s="204"/>
      <c r="U13" s="204"/>
      <c r="V13" s="204"/>
      <c r="W13" s="204"/>
      <c r="X13" s="204"/>
      <c r="Y13" s="204"/>
      <c r="Z13" s="204"/>
    </row>
    <row r="14" spans="1:26" ht="13.5" customHeight="1">
      <c r="A14" s="619"/>
      <c r="B14" s="155"/>
      <c r="C14" s="164" t="s">
        <v>645</v>
      </c>
      <c r="D14" s="468" t="s">
        <v>646</v>
      </c>
      <c r="E14" s="472">
        <v>654.51149999999996</v>
      </c>
      <c r="F14" s="472">
        <v>552.69859999999994</v>
      </c>
      <c r="G14" s="204"/>
      <c r="H14" s="204"/>
      <c r="I14" s="204"/>
      <c r="J14" s="204"/>
      <c r="K14" s="204"/>
      <c r="L14" s="204"/>
      <c r="M14" s="204"/>
      <c r="N14" s="204"/>
      <c r="O14" s="204"/>
      <c r="P14" s="204"/>
      <c r="Q14" s="204"/>
      <c r="R14" s="204"/>
      <c r="S14" s="204"/>
      <c r="T14" s="204"/>
      <c r="U14" s="204"/>
      <c r="V14" s="204"/>
      <c r="W14" s="204"/>
      <c r="X14" s="204"/>
      <c r="Y14" s="204"/>
      <c r="Z14" s="204"/>
    </row>
    <row r="15" spans="1:26" ht="13.5" customHeight="1">
      <c r="A15" s="619"/>
      <c r="B15" s="155"/>
      <c r="C15" s="164" t="s">
        <v>647</v>
      </c>
      <c r="D15" s="468" t="s">
        <v>648</v>
      </c>
      <c r="E15" s="472">
        <v>648.69362000000001</v>
      </c>
      <c r="F15" s="472">
        <v>557.49835099999996</v>
      </c>
      <c r="G15" s="204"/>
      <c r="H15" s="204"/>
      <c r="I15" s="204"/>
      <c r="J15" s="204"/>
      <c r="K15" s="204"/>
      <c r="L15" s="204"/>
      <c r="M15" s="204"/>
      <c r="N15" s="204"/>
      <c r="O15" s="204"/>
      <c r="P15" s="204"/>
      <c r="Q15" s="204"/>
      <c r="R15" s="204"/>
      <c r="S15" s="204"/>
      <c r="T15" s="204"/>
      <c r="U15" s="204"/>
      <c r="V15" s="204"/>
      <c r="W15" s="204"/>
      <c r="X15" s="204"/>
      <c r="Y15" s="204"/>
      <c r="Z15" s="204"/>
    </row>
    <row r="16" spans="1:26" ht="13.5" customHeight="1">
      <c r="A16" s="619"/>
      <c r="B16" s="155"/>
      <c r="C16" s="164" t="s">
        <v>649</v>
      </c>
      <c r="D16" s="468" t="s">
        <v>650</v>
      </c>
      <c r="E16" s="472">
        <v>1018.1289999999999</v>
      </c>
      <c r="F16" s="472">
        <v>683.60089999999991</v>
      </c>
      <c r="G16" s="204"/>
      <c r="H16" s="204"/>
      <c r="I16" s="204"/>
      <c r="J16" s="204"/>
      <c r="K16" s="204"/>
      <c r="L16" s="204"/>
      <c r="M16" s="204"/>
      <c r="N16" s="204"/>
      <c r="O16" s="204"/>
      <c r="P16" s="204"/>
      <c r="Q16" s="204"/>
      <c r="R16" s="204"/>
      <c r="S16" s="204"/>
      <c r="T16" s="204"/>
      <c r="U16" s="204"/>
      <c r="V16" s="204"/>
      <c r="W16" s="204"/>
      <c r="X16" s="204"/>
      <c r="Y16" s="204"/>
      <c r="Z16" s="204"/>
    </row>
    <row r="17" spans="1:26" ht="13.5" customHeight="1">
      <c r="A17" s="619"/>
      <c r="B17" s="155"/>
      <c r="C17" s="164" t="s">
        <v>651</v>
      </c>
      <c r="D17" s="468" t="s">
        <v>652</v>
      </c>
      <c r="E17" s="472">
        <v>504.70108999999997</v>
      </c>
      <c r="F17" s="472">
        <v>381.07113999999996</v>
      </c>
      <c r="G17" s="204"/>
      <c r="H17" s="204"/>
      <c r="I17" s="204"/>
      <c r="J17" s="204"/>
      <c r="K17" s="204"/>
      <c r="L17" s="204"/>
      <c r="M17" s="204"/>
      <c r="N17" s="204"/>
      <c r="O17" s="204"/>
      <c r="P17" s="204"/>
      <c r="Q17" s="204"/>
      <c r="R17" s="204"/>
      <c r="S17" s="204"/>
      <c r="T17" s="204"/>
      <c r="U17" s="204"/>
      <c r="V17" s="204"/>
      <c r="W17" s="204"/>
      <c r="X17" s="204"/>
      <c r="Y17" s="204"/>
      <c r="Z17" s="204"/>
    </row>
    <row r="18" spans="1:26" ht="13.5" customHeight="1">
      <c r="A18" s="619"/>
      <c r="B18" s="155"/>
      <c r="C18" s="164" t="s">
        <v>653</v>
      </c>
      <c r="D18" s="468" t="s">
        <v>654</v>
      </c>
      <c r="E18" s="472">
        <v>509.06449999999995</v>
      </c>
      <c r="F18" s="472">
        <v>407.2516</v>
      </c>
      <c r="G18" s="204"/>
      <c r="H18" s="204"/>
      <c r="I18" s="204"/>
      <c r="J18" s="204"/>
      <c r="K18" s="204"/>
      <c r="L18" s="204"/>
      <c r="M18" s="204"/>
      <c r="N18" s="204"/>
      <c r="O18" s="204"/>
      <c r="P18" s="204"/>
      <c r="Q18" s="204"/>
      <c r="R18" s="204"/>
      <c r="S18" s="204"/>
      <c r="T18" s="204"/>
      <c r="U18" s="204"/>
      <c r="V18" s="204"/>
      <c r="W18" s="204"/>
      <c r="X18" s="204"/>
      <c r="Y18" s="204"/>
      <c r="Z18" s="204"/>
    </row>
    <row r="19" spans="1:26" ht="13.5" customHeight="1">
      <c r="A19" s="619"/>
      <c r="B19" s="155"/>
      <c r="C19" s="164" t="s">
        <v>655</v>
      </c>
      <c r="D19" s="468" t="s">
        <v>656</v>
      </c>
      <c r="E19" s="472">
        <v>1018.1289999999999</v>
      </c>
      <c r="F19" s="472">
        <v>799.95849999999996</v>
      </c>
      <c r="G19" s="204"/>
      <c r="H19" s="204"/>
      <c r="I19" s="204"/>
      <c r="J19" s="204"/>
      <c r="K19" s="204"/>
      <c r="L19" s="204"/>
      <c r="M19" s="204"/>
      <c r="N19" s="204"/>
      <c r="O19" s="204"/>
      <c r="P19" s="204"/>
      <c r="Q19" s="204"/>
      <c r="R19" s="204"/>
      <c r="S19" s="204"/>
      <c r="T19" s="204"/>
      <c r="U19" s="204"/>
      <c r="V19" s="204"/>
      <c r="W19" s="204"/>
      <c r="X19" s="204"/>
      <c r="Y19" s="204"/>
      <c r="Z19" s="204"/>
    </row>
    <row r="20" spans="1:26" ht="13.5" customHeight="1">
      <c r="A20" s="619"/>
      <c r="B20" s="155"/>
      <c r="C20" s="164"/>
      <c r="D20" s="468"/>
      <c r="E20" s="204"/>
      <c r="F20" s="204"/>
      <c r="G20" s="204"/>
      <c r="H20" s="204"/>
      <c r="I20" s="204"/>
      <c r="J20" s="204"/>
      <c r="K20" s="204"/>
      <c r="L20" s="204"/>
      <c r="M20" s="204"/>
      <c r="N20" s="204"/>
      <c r="O20" s="204"/>
      <c r="P20" s="204"/>
      <c r="Q20" s="204"/>
      <c r="R20" s="204"/>
      <c r="S20" s="204"/>
      <c r="T20" s="204"/>
      <c r="U20" s="204"/>
      <c r="V20" s="204"/>
      <c r="W20" s="204"/>
      <c r="X20" s="204"/>
      <c r="Y20" s="204"/>
      <c r="Z20" s="204"/>
    </row>
    <row r="21" spans="1:26" ht="13.5" customHeight="1">
      <c r="A21" s="619"/>
      <c r="B21" s="167"/>
      <c r="C21" s="222"/>
      <c r="D21" s="222"/>
      <c r="E21" s="230"/>
      <c r="F21" s="230"/>
      <c r="G21" s="230"/>
      <c r="H21" s="230"/>
      <c r="I21" s="230"/>
      <c r="J21" s="230"/>
      <c r="K21" s="230"/>
      <c r="L21" s="230"/>
      <c r="M21" s="230"/>
      <c r="N21" s="230"/>
      <c r="O21" s="230"/>
      <c r="P21" s="230"/>
      <c r="Q21" s="230"/>
      <c r="R21" s="230"/>
      <c r="S21" s="230"/>
      <c r="T21" s="230"/>
      <c r="U21" s="230"/>
      <c r="V21" s="230"/>
      <c r="W21" s="230"/>
      <c r="X21" s="230"/>
      <c r="Y21" s="230"/>
      <c r="Z21" s="230"/>
    </row>
    <row r="22" spans="1:26" ht="15.75" customHeight="1">
      <c r="A22" s="1"/>
      <c r="B22" s="1"/>
      <c r="C22" s="1"/>
      <c r="D22" s="54"/>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54"/>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5" t="s">
        <v>561</v>
      </c>
      <c r="D24" s="54"/>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v>1</v>
      </c>
      <c r="C25" s="129" t="s">
        <v>657</v>
      </c>
      <c r="D25" s="54"/>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29" t="s">
        <v>658</v>
      </c>
      <c r="D26" s="54"/>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29" t="s">
        <v>659</v>
      </c>
      <c r="D27" s="54"/>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5"/>
      <c r="C28" s="1"/>
      <c r="D28" s="54"/>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54"/>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54"/>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54"/>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54"/>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54"/>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54"/>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54"/>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54"/>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54"/>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54"/>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54"/>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54"/>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54"/>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54"/>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54"/>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54"/>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54"/>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54"/>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54"/>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54"/>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54"/>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54"/>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54"/>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54"/>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54"/>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54"/>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54"/>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54"/>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54"/>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54"/>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54"/>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54"/>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54"/>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54"/>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54"/>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54"/>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54"/>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54"/>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54"/>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54"/>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54"/>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54"/>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54"/>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54"/>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54"/>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54"/>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54"/>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54"/>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54"/>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54"/>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54"/>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54"/>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54"/>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54"/>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54"/>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54"/>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54"/>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54"/>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54"/>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54"/>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54"/>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54"/>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54"/>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54"/>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54"/>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54"/>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54"/>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54"/>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54"/>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54"/>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54"/>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54"/>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54"/>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54"/>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54"/>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54"/>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54"/>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54"/>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54"/>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54"/>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54"/>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54"/>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54"/>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54"/>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54"/>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54"/>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54"/>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54"/>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54"/>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54"/>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54"/>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54"/>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54"/>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54"/>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54"/>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54"/>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54"/>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54"/>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54"/>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54"/>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54"/>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54"/>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54"/>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54"/>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54"/>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54"/>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54"/>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54"/>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54"/>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54"/>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54"/>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54"/>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54"/>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54"/>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54"/>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54"/>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54"/>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54"/>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54"/>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54"/>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54"/>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54"/>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54"/>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54"/>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54"/>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54"/>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54"/>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54"/>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54"/>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54"/>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54"/>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54"/>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54"/>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54"/>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54"/>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54"/>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54"/>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54"/>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54"/>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54"/>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54"/>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54"/>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54"/>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54"/>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54"/>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54"/>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54"/>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54"/>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54"/>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54"/>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54"/>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54"/>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54"/>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54"/>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54"/>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54"/>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54"/>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54"/>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54"/>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54"/>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54"/>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54"/>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54"/>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54"/>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54"/>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54"/>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54"/>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54"/>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54"/>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54"/>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54"/>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54"/>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54"/>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54"/>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54"/>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54"/>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54"/>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54"/>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54"/>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54"/>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54"/>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54"/>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54"/>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54"/>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54"/>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54"/>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54"/>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54"/>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54"/>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54"/>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54"/>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54"/>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54"/>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54"/>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54"/>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54"/>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54"/>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54"/>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54"/>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C25" r:id="rId1" xr:uid="{00000000-0004-0000-0800-000000000000}"/>
    <hyperlink ref="C26" r:id="rId2" xr:uid="{00000000-0004-0000-0800-000001000000}"/>
    <hyperlink ref="C27" r:id="rId3" xr:uid="{00000000-0004-0000-0800-000002000000}"/>
  </hyperlinks>
  <pageMargins left="0" right="0" top="0" bottom="0"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6D7A8"/>
  </sheetPr>
  <dimension ref="A1:AK998"/>
  <sheetViews>
    <sheetView workbookViewId="0"/>
  </sheetViews>
  <sheetFormatPr defaultColWidth="12.6640625" defaultRowHeight="15" customHeight="1"/>
  <cols>
    <col min="1" max="1" width="8.44140625" customWidth="1"/>
    <col min="2" max="2" width="1.44140625" customWidth="1"/>
    <col min="3" max="3" width="47.21875" customWidth="1"/>
    <col min="4" max="4" width="16.44140625" customWidth="1"/>
    <col min="5" max="5" width="20" customWidth="1"/>
    <col min="6" max="6" width="19.44140625" customWidth="1"/>
    <col min="7" max="7" width="28.33203125" customWidth="1"/>
    <col min="8" max="8" width="15.21875" customWidth="1"/>
    <col min="9" max="10" width="25.21875" customWidth="1"/>
    <col min="11" max="11" width="8.44140625" customWidth="1"/>
    <col min="12" max="12" width="10.77734375" customWidth="1"/>
    <col min="13" max="13" width="29" customWidth="1"/>
    <col min="14" max="14" width="20.77734375" customWidth="1"/>
    <col min="15" max="18" width="8.44140625" customWidth="1"/>
    <col min="19" max="19" width="19.21875" customWidth="1"/>
    <col min="20"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row>
    <row r="4" spans="1:37" ht="13.5" customHeight="1">
      <c r="A4" s="619"/>
      <c r="B4" s="155"/>
      <c r="C4" s="156" t="s">
        <v>660</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row>
    <row r="5" spans="1:37" ht="13.5" customHeight="1">
      <c r="A5" s="3"/>
      <c r="B5" s="202"/>
      <c r="C5" s="160" t="s">
        <v>661</v>
      </c>
      <c r="D5" s="204" t="s">
        <v>186</v>
      </c>
      <c r="E5" s="204" t="s">
        <v>186</v>
      </c>
      <c r="F5" s="634" t="s">
        <v>662</v>
      </c>
      <c r="G5" s="652"/>
      <c r="H5" s="652"/>
      <c r="I5" s="652"/>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473"/>
    </row>
    <row r="6" spans="1:37" ht="13.5" customHeight="1">
      <c r="A6" s="3">
        <v>1</v>
      </c>
      <c r="B6" s="202"/>
      <c r="C6" s="160" t="s">
        <v>663</v>
      </c>
      <c r="D6" s="204" t="s">
        <v>186</v>
      </c>
      <c r="E6" s="204" t="s">
        <v>186</v>
      </c>
      <c r="F6" s="620"/>
      <c r="G6" s="620"/>
      <c r="H6" s="620"/>
      <c r="I6" s="620"/>
      <c r="J6" s="620"/>
      <c r="K6" s="620"/>
      <c r="L6" s="620"/>
      <c r="M6" s="620"/>
      <c r="N6" s="620"/>
      <c r="O6" s="620"/>
      <c r="P6" s="620"/>
      <c r="Q6" s="620"/>
      <c r="R6" s="620"/>
      <c r="S6" s="620"/>
      <c r="T6" s="620"/>
      <c r="U6" s="620"/>
      <c r="V6" s="620"/>
      <c r="W6" s="620"/>
      <c r="X6" s="620"/>
      <c r="Y6" s="620"/>
      <c r="Z6" s="620"/>
      <c r="AA6" s="620"/>
      <c r="AB6" s="620"/>
      <c r="AC6" s="620"/>
      <c r="AD6" s="620"/>
      <c r="AE6" s="620"/>
      <c r="AF6" s="620"/>
      <c r="AG6" s="620"/>
      <c r="AH6" s="620"/>
      <c r="AI6" s="620"/>
      <c r="AJ6" s="620"/>
      <c r="AK6" s="473"/>
    </row>
    <row r="7" spans="1:37" ht="13.5" customHeight="1">
      <c r="A7" s="619"/>
      <c r="B7" s="202"/>
      <c r="C7" s="164" t="s">
        <v>664</v>
      </c>
      <c r="D7" s="474">
        <f>'Copia de Emisiones Energía'!D7*$D$130</f>
        <v>2.6011667643087447E-6</v>
      </c>
      <c r="E7" s="475">
        <f>SUM(D7:D8,D10:D11)</f>
        <v>1.1252264092560678E-3</v>
      </c>
      <c r="F7" s="620"/>
      <c r="G7" s="476" t="s">
        <v>665</v>
      </c>
      <c r="H7" s="620"/>
      <c r="I7" s="620"/>
      <c r="J7" s="620" t="s">
        <v>157</v>
      </c>
      <c r="K7" s="620"/>
      <c r="L7" s="620"/>
      <c r="M7" s="620"/>
      <c r="N7" s="620"/>
      <c r="O7" s="620"/>
      <c r="P7" s="620"/>
      <c r="Q7" s="620"/>
      <c r="R7" s="620"/>
      <c r="S7" s="620"/>
      <c r="T7" s="620"/>
      <c r="U7" s="620"/>
      <c r="V7" s="620"/>
      <c r="W7" s="620"/>
      <c r="X7" s="620"/>
      <c r="Y7" s="620"/>
      <c r="Z7" s="620"/>
      <c r="AA7" s="620"/>
      <c r="AB7" s="620"/>
      <c r="AC7" s="620"/>
      <c r="AD7" s="620"/>
      <c r="AE7" s="620"/>
      <c r="AF7" s="620"/>
      <c r="AG7" s="620"/>
      <c r="AH7" s="620"/>
      <c r="AI7" s="620"/>
      <c r="AJ7" s="620"/>
      <c r="AK7" s="473"/>
    </row>
    <row r="8" spans="1:37" ht="13.5" customHeight="1">
      <c r="A8" s="619"/>
      <c r="B8" s="202"/>
      <c r="C8" s="164" t="s">
        <v>666</v>
      </c>
      <c r="D8" s="474">
        <f>'Copia de Emisiones Energía'!D8*$D$130</f>
        <v>1.1226088140700897E-3</v>
      </c>
      <c r="E8" s="204"/>
      <c r="F8" s="620" t="s">
        <v>667</v>
      </c>
      <c r="G8" s="468" t="s">
        <v>668</v>
      </c>
      <c r="H8" s="477">
        <f>D9</f>
        <v>2.738070278219731E-6</v>
      </c>
      <c r="I8" s="620" t="s">
        <v>669</v>
      </c>
      <c r="J8" s="478" t="s">
        <v>668</v>
      </c>
      <c r="K8" s="620"/>
      <c r="L8" s="479">
        <f>D14</f>
        <v>2.8796298759232288E-3</v>
      </c>
      <c r="M8" s="480" t="s">
        <v>670</v>
      </c>
      <c r="N8" s="620" t="s">
        <v>671</v>
      </c>
      <c r="O8" s="620"/>
      <c r="P8" s="620"/>
      <c r="Q8" s="620"/>
      <c r="R8" s="620"/>
      <c r="S8" s="620"/>
      <c r="T8" s="620"/>
      <c r="U8" s="620"/>
      <c r="V8" s="620"/>
      <c r="W8" s="620"/>
      <c r="X8" s="620"/>
      <c r="Y8" s="620"/>
      <c r="Z8" s="620"/>
      <c r="AA8" s="620"/>
      <c r="AB8" s="620"/>
      <c r="AC8" s="620"/>
      <c r="AD8" s="620"/>
      <c r="AE8" s="620"/>
      <c r="AF8" s="620"/>
      <c r="AG8" s="620"/>
      <c r="AH8" s="620"/>
      <c r="AI8" s="620"/>
      <c r="AJ8" s="620"/>
      <c r="AK8" s="473"/>
    </row>
    <row r="9" spans="1:37" ht="13.5" customHeight="1">
      <c r="A9" s="619"/>
      <c r="B9" s="175"/>
      <c r="C9" s="481" t="s">
        <v>668</v>
      </c>
      <c r="D9" s="482">
        <f>'Copia de Emisiones Energía'!D9*$D$130</f>
        <v>2.738070278219731E-6</v>
      </c>
      <c r="E9" s="204"/>
      <c r="F9" s="620"/>
      <c r="G9" s="620"/>
      <c r="H9" s="620"/>
      <c r="I9" s="620"/>
      <c r="J9" s="164" t="s">
        <v>666</v>
      </c>
      <c r="K9" s="620"/>
      <c r="L9" s="483">
        <f>D13</f>
        <v>3.4555558511078742E-2</v>
      </c>
      <c r="M9" s="480"/>
      <c r="N9" s="620" t="s">
        <v>672</v>
      </c>
      <c r="O9" s="620"/>
      <c r="P9" s="620"/>
      <c r="Q9" s="620"/>
      <c r="R9" s="620"/>
      <c r="S9" s="620"/>
      <c r="T9" s="620"/>
      <c r="U9" s="620"/>
      <c r="V9" s="620"/>
      <c r="W9" s="620"/>
      <c r="X9" s="620"/>
      <c r="Y9" s="620"/>
      <c r="Z9" s="620"/>
      <c r="AA9" s="620"/>
      <c r="AB9" s="620"/>
      <c r="AC9" s="620"/>
      <c r="AD9" s="620"/>
      <c r="AE9" s="620"/>
      <c r="AF9" s="620"/>
      <c r="AG9" s="620"/>
      <c r="AH9" s="620"/>
      <c r="AI9" s="620"/>
      <c r="AJ9" s="620"/>
      <c r="AK9" s="473"/>
    </row>
    <row r="10" spans="1:37" ht="13.5" customHeight="1">
      <c r="A10" s="619"/>
      <c r="B10" s="202"/>
      <c r="C10" s="164" t="s">
        <v>673</v>
      </c>
      <c r="D10" s="474">
        <f>'Copia de Emisiones Energía'!D10*$D$130</f>
        <v>3.0118773060417041E-9</v>
      </c>
      <c r="E10" s="204"/>
      <c r="F10" s="620" t="s">
        <v>674</v>
      </c>
      <c r="G10" s="468" t="s">
        <v>673</v>
      </c>
      <c r="H10" s="477">
        <f>D10</f>
        <v>3.0118773060417041E-9</v>
      </c>
      <c r="I10" s="620"/>
      <c r="J10" s="164" t="s">
        <v>675</v>
      </c>
      <c r="K10" s="620"/>
      <c r="L10" s="483">
        <f>D15</f>
        <v>4.0314818262925198E-4</v>
      </c>
      <c r="M10" s="620">
        <v>1</v>
      </c>
      <c r="N10" s="620">
        <v>0.25991878461951096</v>
      </c>
      <c r="O10" s="620"/>
      <c r="P10" s="620"/>
      <c r="Q10" s="620"/>
      <c r="R10" s="620"/>
      <c r="S10" s="620"/>
      <c r="T10" s="620"/>
      <c r="U10" s="620"/>
      <c r="V10" s="620"/>
      <c r="W10" s="620"/>
      <c r="X10" s="620"/>
      <c r="Y10" s="620"/>
      <c r="Z10" s="620"/>
      <c r="AA10" s="620"/>
      <c r="AB10" s="620"/>
      <c r="AC10" s="620"/>
      <c r="AD10" s="620"/>
      <c r="AE10" s="620"/>
      <c r="AF10" s="620"/>
      <c r="AG10" s="620"/>
      <c r="AH10" s="620"/>
      <c r="AI10" s="620"/>
      <c r="AJ10" s="620"/>
      <c r="AK10" s="473"/>
    </row>
    <row r="11" spans="1:37" ht="13.5" customHeight="1">
      <c r="A11" s="619"/>
      <c r="B11" s="202"/>
      <c r="C11" s="164" t="s">
        <v>676</v>
      </c>
      <c r="D11" s="474">
        <f>'Copia de Emisiones Energía'!D11*$D$130</f>
        <v>1.341654436327668E-8</v>
      </c>
      <c r="E11" s="204"/>
      <c r="F11" s="620"/>
      <c r="G11" s="468" t="s">
        <v>664</v>
      </c>
      <c r="H11" s="484">
        <f t="shared" ref="H11:H12" si="0">D7</f>
        <v>2.6011667643087447E-6</v>
      </c>
      <c r="I11" s="620" t="s">
        <v>677</v>
      </c>
      <c r="J11" s="620"/>
      <c r="K11" s="620"/>
      <c r="L11" s="485">
        <f>SUM(L8:L10)*M10</f>
        <v>3.7838336569631224E-2</v>
      </c>
      <c r="M11" s="620"/>
      <c r="N11" s="620"/>
      <c r="O11" s="620"/>
      <c r="P11" s="620"/>
      <c r="Q11" s="620"/>
      <c r="R11" s="620"/>
      <c r="S11" s="620"/>
      <c r="T11" s="620"/>
      <c r="U11" s="620"/>
      <c r="V11" s="620"/>
      <c r="W11" s="620"/>
      <c r="X11" s="620"/>
      <c r="Y11" s="620"/>
      <c r="Z11" s="620"/>
      <c r="AA11" s="620"/>
      <c r="AB11" s="620"/>
      <c r="AC11" s="620"/>
      <c r="AD11" s="620"/>
      <c r="AE11" s="620"/>
      <c r="AF11" s="620"/>
      <c r="AG11" s="620"/>
      <c r="AH11" s="620"/>
      <c r="AI11" s="620"/>
      <c r="AJ11" s="620"/>
      <c r="AK11" s="473"/>
    </row>
    <row r="12" spans="1:37" ht="13.5" customHeight="1">
      <c r="A12" s="3">
        <v>2</v>
      </c>
      <c r="B12" s="202"/>
      <c r="C12" s="160" t="s">
        <v>678</v>
      </c>
      <c r="D12" s="474" t="s">
        <v>186</v>
      </c>
      <c r="E12" s="204" t="s">
        <v>186</v>
      </c>
      <c r="F12" s="620"/>
      <c r="G12" s="468" t="s">
        <v>666</v>
      </c>
      <c r="H12" s="484">
        <f t="shared" si="0"/>
        <v>1.1226088140700897E-3</v>
      </c>
      <c r="I12" s="620"/>
      <c r="J12" s="620"/>
      <c r="K12" s="620"/>
      <c r="L12" s="620"/>
      <c r="M12" s="620"/>
      <c r="N12" s="620"/>
      <c r="O12" s="620"/>
      <c r="P12" s="620"/>
      <c r="Q12" s="620"/>
      <c r="R12" s="620"/>
      <c r="S12" s="620"/>
      <c r="T12" s="620"/>
      <c r="U12" s="620"/>
      <c r="V12" s="620"/>
      <c r="W12" s="620"/>
      <c r="X12" s="620"/>
      <c r="Y12" s="620"/>
      <c r="Z12" s="620"/>
      <c r="AA12" s="620"/>
      <c r="AB12" s="620"/>
      <c r="AC12" s="620"/>
      <c r="AD12" s="620"/>
      <c r="AE12" s="620"/>
      <c r="AF12" s="620"/>
      <c r="AG12" s="620"/>
      <c r="AH12" s="620"/>
      <c r="AI12" s="620"/>
      <c r="AJ12" s="620"/>
      <c r="AK12" s="473"/>
    </row>
    <row r="13" spans="1:37" ht="13.5" customHeight="1">
      <c r="A13" s="619"/>
      <c r="B13" s="202"/>
      <c r="C13" s="164" t="s">
        <v>666</v>
      </c>
      <c r="D13" s="474">
        <f>'Copia de Emisiones Energía'!D13*$D$136</f>
        <v>3.4555558511078742E-2</v>
      </c>
      <c r="E13" s="204"/>
      <c r="F13" s="620"/>
      <c r="G13" s="468" t="s">
        <v>676</v>
      </c>
      <c r="H13" s="484">
        <f>D11</f>
        <v>1.341654436327668E-8</v>
      </c>
      <c r="I13" s="620"/>
      <c r="J13" s="164" t="s">
        <v>679</v>
      </c>
      <c r="K13" s="620"/>
      <c r="L13" s="483">
        <f>D16</f>
        <v>3.4555558511078745E-4</v>
      </c>
      <c r="M13" s="620"/>
      <c r="N13" s="620"/>
      <c r="O13" s="620"/>
      <c r="P13" s="620"/>
      <c r="Q13" s="620"/>
      <c r="R13" s="620"/>
      <c r="S13" s="620"/>
      <c r="T13" s="620"/>
      <c r="U13" s="620"/>
      <c r="V13" s="620"/>
      <c r="W13" s="620"/>
      <c r="X13" s="620"/>
      <c r="Y13" s="620"/>
      <c r="Z13" s="620"/>
      <c r="AA13" s="620"/>
      <c r="AB13" s="620"/>
      <c r="AC13" s="620"/>
      <c r="AD13" s="620"/>
      <c r="AE13" s="620"/>
      <c r="AF13" s="620"/>
      <c r="AG13" s="620"/>
      <c r="AH13" s="620"/>
      <c r="AI13" s="620"/>
      <c r="AJ13" s="620"/>
      <c r="AK13" s="473"/>
    </row>
    <row r="14" spans="1:37" ht="13.5" customHeight="1">
      <c r="A14" s="619"/>
      <c r="B14" s="202"/>
      <c r="C14" s="486" t="s">
        <v>668</v>
      </c>
      <c r="D14" s="482">
        <f>'Copia de Emisiones Energía'!D14*$D$136</f>
        <v>2.8796298759232288E-3</v>
      </c>
      <c r="E14" s="487">
        <f>SUM(D14:D16,D13)</f>
        <v>3.8183892154742008E-2</v>
      </c>
      <c r="F14" s="620"/>
      <c r="G14" s="620"/>
      <c r="H14" s="477">
        <f>SUM(H10:H13)</f>
        <v>1.1252264092560678E-3</v>
      </c>
      <c r="I14" s="620"/>
      <c r="J14" s="620"/>
      <c r="K14" s="620"/>
      <c r="L14" s="620"/>
      <c r="M14" s="488">
        <f>6/52</f>
        <v>0.11538461538461539</v>
      </c>
      <c r="N14" s="620"/>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473"/>
    </row>
    <row r="15" spans="1:37" ht="13.5" customHeight="1">
      <c r="A15" s="619"/>
      <c r="B15" s="202"/>
      <c r="C15" s="164" t="s">
        <v>675</v>
      </c>
      <c r="D15" s="474">
        <f>'Copia de Emisiones Energía'!D15*$D$136</f>
        <v>4.0314818262925198E-4</v>
      </c>
      <c r="E15" s="204"/>
      <c r="F15" s="620"/>
      <c r="G15" s="620"/>
      <c r="H15" s="489"/>
      <c r="I15" s="620" t="s">
        <v>680</v>
      </c>
      <c r="J15" s="164" t="s">
        <v>681</v>
      </c>
      <c r="K15" s="620"/>
      <c r="L15" s="483">
        <f t="shared" ref="L15:L16" si="1">D17</f>
        <v>2.5340742908124414E-5</v>
      </c>
      <c r="M15" s="488"/>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473"/>
    </row>
    <row r="16" spans="1:37" ht="13.5" customHeight="1">
      <c r="A16" s="619"/>
      <c r="B16" s="202"/>
      <c r="C16" s="164" t="s">
        <v>679</v>
      </c>
      <c r="D16" s="474">
        <f>'Copia de Emisiones Energía'!D16*$D$136</f>
        <v>3.4555558511078745E-4</v>
      </c>
      <c r="E16" s="204"/>
      <c r="F16" s="620"/>
      <c r="G16" s="620"/>
      <c r="H16" s="620"/>
      <c r="I16" s="620"/>
      <c r="J16" s="164" t="s">
        <v>284</v>
      </c>
      <c r="K16" s="620"/>
      <c r="L16" s="483">
        <f t="shared" si="1"/>
        <v>1.4686112367208466E-3</v>
      </c>
      <c r="M16" s="477"/>
      <c r="N16" s="620"/>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473"/>
    </row>
    <row r="17" spans="1:37" ht="13.5" customHeight="1">
      <c r="A17" s="619"/>
      <c r="B17" s="202"/>
      <c r="C17" s="164" t="s">
        <v>681</v>
      </c>
      <c r="D17" s="474">
        <f>'Copia de Emisiones Energía'!D17*$D$136</f>
        <v>2.5340742908124414E-5</v>
      </c>
      <c r="E17" s="487">
        <f>SUM(D17:D18)</f>
        <v>1.4939519796289709E-3</v>
      </c>
      <c r="F17" s="204"/>
      <c r="G17" s="204"/>
      <c r="H17" s="204"/>
      <c r="I17" s="620"/>
      <c r="J17" s="620"/>
      <c r="K17" s="620"/>
      <c r="L17" s="479">
        <f>SUM(L15:L16)</f>
        <v>1.4939519796289709E-3</v>
      </c>
      <c r="M17" s="620"/>
      <c r="N17" s="620"/>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473"/>
    </row>
    <row r="18" spans="1:37" ht="13.5" customHeight="1">
      <c r="A18" s="619"/>
      <c r="B18" s="202"/>
      <c r="C18" s="164" t="s">
        <v>284</v>
      </c>
      <c r="D18" s="474">
        <f>'Copia de Emisiones Energía'!D18*$D$136</f>
        <v>1.4686112367208466E-3</v>
      </c>
      <c r="E18" s="204"/>
      <c r="F18" s="204"/>
      <c r="G18" s="204"/>
      <c r="H18" s="204"/>
      <c r="I18" s="620"/>
      <c r="J18" s="620"/>
      <c r="K18" s="620"/>
      <c r="L18" s="620"/>
      <c r="M18" s="620"/>
      <c r="N18" s="620"/>
      <c r="O18" s="620"/>
      <c r="P18" s="620"/>
      <c r="Q18" s="620"/>
      <c r="R18" s="620"/>
      <c r="S18" s="620"/>
      <c r="T18" s="620"/>
      <c r="U18" s="620"/>
      <c r="V18" s="620"/>
      <c r="W18" s="620"/>
      <c r="X18" s="620"/>
      <c r="Y18" s="620"/>
      <c r="Z18" s="620"/>
      <c r="AA18" s="620"/>
      <c r="AB18" s="620"/>
      <c r="AC18" s="620"/>
      <c r="AD18" s="620"/>
      <c r="AE18" s="620"/>
      <c r="AF18" s="620"/>
      <c r="AG18" s="620"/>
      <c r="AH18" s="620"/>
      <c r="AI18" s="620"/>
      <c r="AJ18" s="620"/>
      <c r="AK18" s="473"/>
    </row>
    <row r="19" spans="1:37" ht="13.5" customHeight="1">
      <c r="A19" s="3"/>
      <c r="B19" s="202"/>
      <c r="C19" s="164" t="s">
        <v>682</v>
      </c>
      <c r="D19" s="204" t="s">
        <v>186</v>
      </c>
      <c r="E19" s="204" t="s">
        <v>186</v>
      </c>
      <c r="F19" s="204" t="s">
        <v>186</v>
      </c>
      <c r="G19" s="204" t="s">
        <v>186</v>
      </c>
      <c r="H19" s="204" t="s">
        <v>186</v>
      </c>
      <c r="I19" s="620"/>
      <c r="J19" s="620"/>
      <c r="K19" s="620"/>
      <c r="L19" s="620">
        <f>1.91*(L11+L13+L17)</f>
        <v>7.5784682296648573E-2</v>
      </c>
      <c r="M19" s="620"/>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473"/>
    </row>
    <row r="20" spans="1:37" ht="13.5" customHeight="1">
      <c r="A20" s="619"/>
      <c r="B20" s="155"/>
      <c r="C20" s="355"/>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2"/>
    </row>
    <row r="21" spans="1:37" ht="13.5" customHeight="1">
      <c r="A21" s="3">
        <v>3</v>
      </c>
      <c r="B21" s="202"/>
      <c r="C21" s="160" t="s">
        <v>683</v>
      </c>
      <c r="D21" s="620"/>
      <c r="E21" s="620"/>
      <c r="F21" s="620"/>
      <c r="G21" s="620"/>
      <c r="H21" s="620"/>
      <c r="I21" s="620"/>
      <c r="J21" s="620"/>
      <c r="K21" s="620"/>
      <c r="L21" s="620"/>
      <c r="M21" s="620"/>
      <c r="N21" s="620"/>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473"/>
    </row>
    <row r="22" spans="1:37" ht="13.5" customHeight="1">
      <c r="A22" s="3"/>
      <c r="B22" s="202"/>
      <c r="C22" s="160"/>
      <c r="D22" s="620"/>
      <c r="E22" s="620"/>
      <c r="F22" s="620"/>
      <c r="G22" s="620" t="s">
        <v>43</v>
      </c>
      <c r="H22" s="620">
        <v>2.3406025561488502</v>
      </c>
      <c r="I22" s="620">
        <v>2.2529303538088472</v>
      </c>
      <c r="J22" s="620">
        <v>1.8116964666554052</v>
      </c>
      <c r="K22" s="620">
        <v>2.0050208547727952</v>
      </c>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473"/>
    </row>
    <row r="23" spans="1:37" ht="13.5" customHeight="1">
      <c r="A23" s="3"/>
      <c r="B23" s="202"/>
      <c r="C23" s="160" t="s">
        <v>684</v>
      </c>
      <c r="D23" s="620"/>
      <c r="E23" s="620"/>
      <c r="F23" s="620"/>
      <c r="G23" s="620" t="s">
        <v>43</v>
      </c>
      <c r="H23" s="620">
        <v>5.6913783192343512E-2</v>
      </c>
      <c r="I23" s="620">
        <v>5.49481542564772E-2</v>
      </c>
      <c r="J23" s="620">
        <v>3.894748759275532E-2</v>
      </c>
      <c r="K23" s="620">
        <v>4.1105793246438961E-2</v>
      </c>
      <c r="L23" s="620"/>
      <c r="M23" s="620"/>
      <c r="N23" s="620"/>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473"/>
    </row>
    <row r="24" spans="1:37" ht="13.5" customHeight="1">
      <c r="A24" s="619"/>
      <c r="B24" s="202"/>
      <c r="C24" s="164" t="s">
        <v>685</v>
      </c>
      <c r="D24" s="620"/>
      <c r="E24" s="620"/>
      <c r="F24" s="620"/>
      <c r="G24" s="620"/>
      <c r="H24" s="620">
        <f>H22*H12*1000</f>
        <v>2.6275810597676812</v>
      </c>
      <c r="I24" s="620"/>
      <c r="J24" s="620"/>
      <c r="K24" s="620"/>
      <c r="L24" s="620"/>
      <c r="M24" s="620"/>
      <c r="N24" s="620"/>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473"/>
    </row>
    <row r="25" spans="1:37" ht="13.5" customHeight="1">
      <c r="A25" s="3"/>
      <c r="B25" s="202"/>
      <c r="C25" s="164" t="s">
        <v>686</v>
      </c>
      <c r="D25" s="204">
        <f>'Copia de Emisiones Energía'!D25*$D$139</f>
        <v>7.4099999999999999E-2</v>
      </c>
      <c r="E25" s="620"/>
      <c r="F25" s="620"/>
      <c r="G25" s="620"/>
      <c r="H25" s="620"/>
      <c r="I25" s="620"/>
      <c r="J25" s="620"/>
      <c r="K25" s="620"/>
      <c r="L25" s="620"/>
      <c r="M25" s="620"/>
      <c r="N25" s="620"/>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473"/>
    </row>
    <row r="26" spans="1:37" ht="13.5" customHeight="1">
      <c r="A26" s="3"/>
      <c r="B26" s="202"/>
      <c r="C26" s="164" t="s">
        <v>687</v>
      </c>
      <c r="D26" s="204">
        <f>'Copia de Emisiones Energía'!D26*$D$139</f>
        <v>7.7399999999999997E-2</v>
      </c>
      <c r="E26" s="620"/>
      <c r="F26" s="620"/>
      <c r="G26" s="620"/>
      <c r="H26" s="620"/>
      <c r="I26" s="620"/>
      <c r="J26" s="620"/>
      <c r="K26" s="620"/>
      <c r="L26" s="620"/>
      <c r="M26" s="620"/>
      <c r="N26" s="620"/>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473"/>
    </row>
    <row r="27" spans="1:37" ht="13.5" customHeight="1">
      <c r="A27" s="3"/>
      <c r="B27" s="202"/>
      <c r="C27" s="164" t="s">
        <v>688</v>
      </c>
      <c r="D27" s="204">
        <f>'Copia de Emisiones Energía'!D27*$D$139</f>
        <v>5.6099999999999997E-2</v>
      </c>
      <c r="E27" s="620"/>
      <c r="F27" s="620"/>
      <c r="G27" s="620"/>
      <c r="H27" s="620"/>
      <c r="I27" s="620"/>
      <c r="J27" s="620"/>
      <c r="K27" s="620"/>
      <c r="L27" s="620"/>
      <c r="M27" s="620"/>
      <c r="N27" s="620"/>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473"/>
    </row>
    <row r="28" spans="1:37" ht="13.5" customHeight="1">
      <c r="A28" s="3"/>
      <c r="B28" s="202"/>
      <c r="C28" s="164" t="s">
        <v>689</v>
      </c>
      <c r="D28" s="204">
        <f>'Copia de Emisiones Energía'!D28*$D$139</f>
        <v>9.9999999999999992E-2</v>
      </c>
      <c r="E28" s="620"/>
      <c r="F28" s="620"/>
      <c r="G28" s="620"/>
      <c r="H28" s="620"/>
      <c r="I28" s="620"/>
      <c r="J28" s="620"/>
      <c r="K28" s="620"/>
      <c r="L28" s="620"/>
      <c r="M28" s="620"/>
      <c r="N28" s="620"/>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473"/>
    </row>
    <row r="29" spans="1:37" ht="13.5" customHeight="1">
      <c r="A29" s="3"/>
      <c r="B29" s="202"/>
      <c r="C29" s="164"/>
      <c r="D29" s="204"/>
      <c r="E29" s="620"/>
      <c r="F29" s="620"/>
      <c r="G29" s="620"/>
      <c r="H29" s="620"/>
      <c r="I29" s="620"/>
      <c r="J29" s="620"/>
      <c r="K29" s="620"/>
      <c r="L29" s="620"/>
      <c r="M29" s="620"/>
      <c r="N29" s="620"/>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473"/>
    </row>
    <row r="30" spans="1:37" ht="13.5" customHeight="1">
      <c r="A30" s="3"/>
      <c r="B30" s="202"/>
      <c r="C30" s="490" t="s">
        <v>690</v>
      </c>
      <c r="D30" s="315"/>
      <c r="E30" s="635" t="s">
        <v>123</v>
      </c>
      <c r="F30" s="635" t="s">
        <v>691</v>
      </c>
      <c r="G30" s="620"/>
      <c r="H30" s="620"/>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473"/>
    </row>
    <row r="31" spans="1:37" ht="13.5" customHeight="1">
      <c r="A31" s="3"/>
      <c r="B31" s="202"/>
      <c r="C31" s="491" t="s">
        <v>685</v>
      </c>
      <c r="D31" s="315"/>
      <c r="E31" s="652"/>
      <c r="F31" s="652"/>
      <c r="G31" s="620"/>
      <c r="H31" s="620"/>
      <c r="I31" s="620"/>
      <c r="J31" s="620"/>
      <c r="K31" s="620"/>
      <c r="L31" s="620"/>
      <c r="M31" s="620"/>
      <c r="N31" s="620"/>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473"/>
    </row>
    <row r="32" spans="1:37" ht="13.5" customHeight="1">
      <c r="A32" s="3">
        <v>65.400000000000006</v>
      </c>
      <c r="B32" s="202"/>
      <c r="C32" s="491" t="s">
        <v>692</v>
      </c>
      <c r="D32" s="315">
        <f>'Copia de Emisiones Energía'!D32*$D$139</f>
        <v>6.93E-2</v>
      </c>
      <c r="E32" s="492">
        <f>Combustibles!G313</f>
        <v>9.9975970875353509E-3</v>
      </c>
      <c r="F32" s="480">
        <f t="shared" ref="F32:F36" si="2">E32*D32</f>
        <v>6.9283347816619979E-4</v>
      </c>
      <c r="G32" s="620">
        <f t="shared" ref="G32:G36" si="3">F32*(A32)</f>
        <v>4.5311309472069468E-2</v>
      </c>
      <c r="H32" s="620">
        <f t="shared" ref="H32:H36" si="4">G32*1000</f>
        <v>45.311309472069468</v>
      </c>
      <c r="I32" s="620"/>
      <c r="J32" s="620"/>
      <c r="K32" s="620"/>
      <c r="L32" s="620"/>
      <c r="M32" s="620"/>
      <c r="N32" s="620"/>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473"/>
    </row>
    <row r="33" spans="1:37" ht="13.5" customHeight="1">
      <c r="A33" s="3">
        <v>5.3</v>
      </c>
      <c r="B33" s="202"/>
      <c r="C33" s="491" t="s">
        <v>693</v>
      </c>
      <c r="D33" s="315">
        <f>'Copia de Emisiones Energía'!D33*$D$139</f>
        <v>7.1499999999999994E-2</v>
      </c>
      <c r="E33" s="492">
        <f>Combustibles!G314</f>
        <v>7.5431796647050684E-3</v>
      </c>
      <c r="F33" s="480">
        <f t="shared" si="2"/>
        <v>5.3933734602641236E-4</v>
      </c>
      <c r="G33" s="620">
        <f t="shared" si="3"/>
        <v>2.8584879339399855E-3</v>
      </c>
      <c r="H33" s="620">
        <f t="shared" si="4"/>
        <v>2.8584879339399856</v>
      </c>
      <c r="I33" s="620"/>
      <c r="J33" s="620"/>
      <c r="K33" s="620"/>
      <c r="L33" s="620"/>
      <c r="M33" s="620"/>
      <c r="N33" s="620"/>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473"/>
    </row>
    <row r="34" spans="1:37" ht="13.5" customHeight="1">
      <c r="A34" s="3">
        <v>79.7</v>
      </c>
      <c r="B34" s="202"/>
      <c r="C34" s="491" t="s">
        <v>686</v>
      </c>
      <c r="D34" s="315">
        <f>'Copia de Emisiones Energía'!D34*$D$139</f>
        <v>7.4099999999999999E-2</v>
      </c>
      <c r="E34" s="492">
        <f>Combustibles!G315</f>
        <v>6.0104769173959946E-2</v>
      </c>
      <c r="F34" s="480">
        <f t="shared" si="2"/>
        <v>4.453763395790432E-3</v>
      </c>
      <c r="G34" s="620">
        <f t="shared" si="3"/>
        <v>0.35496494264449746</v>
      </c>
      <c r="H34" s="620">
        <f t="shared" si="4"/>
        <v>354.96494264449746</v>
      </c>
      <c r="I34" s="620"/>
      <c r="J34" s="620"/>
      <c r="K34" s="620"/>
      <c r="L34" s="620"/>
      <c r="M34" s="620"/>
      <c r="N34" s="620"/>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473"/>
    </row>
    <row r="35" spans="1:37" ht="13.5" customHeight="1">
      <c r="A35" s="3">
        <v>134</v>
      </c>
      <c r="B35" s="202"/>
      <c r="C35" s="491" t="s">
        <v>687</v>
      </c>
      <c r="D35" s="315">
        <f>'Copia de Emisiones Energía'!D35*$D$139</f>
        <v>7.7399999999999997E-2</v>
      </c>
      <c r="E35" s="492">
        <f>Combustibles!G316</f>
        <v>6.0173770415515075E-2</v>
      </c>
      <c r="F35" s="480">
        <f t="shared" si="2"/>
        <v>4.6574498301608664E-3</v>
      </c>
      <c r="G35" s="620">
        <f t="shared" si="3"/>
        <v>0.62409827724155609</v>
      </c>
      <c r="H35" s="620">
        <f t="shared" si="4"/>
        <v>624.09827724155605</v>
      </c>
      <c r="I35" s="620"/>
      <c r="J35" s="620"/>
      <c r="K35" s="620"/>
      <c r="L35" s="620"/>
      <c r="M35" s="620"/>
      <c r="N35" s="620"/>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473"/>
    </row>
    <row r="36" spans="1:37" ht="13.5" customHeight="1">
      <c r="A36" s="3">
        <v>2.85</v>
      </c>
      <c r="B36" s="202"/>
      <c r="C36" s="491" t="s">
        <v>694</v>
      </c>
      <c r="D36" s="315">
        <f>'Copia de Emisiones Energía'!D36*$D$139</f>
        <v>6.3100000000000003E-2</v>
      </c>
      <c r="E36" s="492">
        <f>Combustibles!G317</f>
        <v>0.11902008487165905</v>
      </c>
      <c r="F36" s="480">
        <f t="shared" si="2"/>
        <v>7.5101673554016863E-3</v>
      </c>
      <c r="G36" s="620">
        <f t="shared" si="3"/>
        <v>2.1403976962894807E-2</v>
      </c>
      <c r="H36" s="620">
        <f t="shared" si="4"/>
        <v>21.403976962894806</v>
      </c>
      <c r="I36" s="620"/>
      <c r="J36" s="620"/>
      <c r="K36" s="620"/>
      <c r="L36" s="620"/>
      <c r="M36" s="620"/>
      <c r="N36" s="620"/>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473"/>
    </row>
    <row r="37" spans="1:37" ht="13.5" customHeight="1">
      <c r="A37" s="3"/>
      <c r="B37" s="202"/>
      <c r="C37" s="491" t="s">
        <v>695</v>
      </c>
      <c r="D37" s="315">
        <f>'Copia de Emisiones Energía'!D37*$D$139</f>
        <v>5.7599999999999998E-2</v>
      </c>
      <c r="E37" s="620"/>
      <c r="F37" s="620"/>
      <c r="G37" s="620"/>
      <c r="H37" s="620"/>
      <c r="I37" s="620"/>
      <c r="J37" s="620"/>
      <c r="K37" s="620"/>
      <c r="L37" s="620"/>
      <c r="M37" s="620"/>
      <c r="N37" s="620"/>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473"/>
    </row>
    <row r="38" spans="1:37" ht="13.5" customHeight="1">
      <c r="A38" s="3"/>
      <c r="B38" s="202"/>
      <c r="C38" s="164"/>
      <c r="D38" s="204"/>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473"/>
    </row>
    <row r="39" spans="1:37" ht="13.5" customHeight="1">
      <c r="A39" s="3"/>
      <c r="B39" s="202"/>
      <c r="C39" s="160" t="s">
        <v>696</v>
      </c>
      <c r="D39" s="204"/>
      <c r="E39" s="620"/>
      <c r="F39" s="620"/>
      <c r="G39" s="620"/>
      <c r="H39" s="620"/>
      <c r="I39" s="620"/>
      <c r="J39" s="620"/>
      <c r="K39" s="620"/>
      <c r="L39" s="620"/>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473"/>
    </row>
    <row r="40" spans="1:37" ht="13.5" customHeight="1">
      <c r="A40" s="3"/>
      <c r="B40" s="202"/>
      <c r="C40" s="164" t="s">
        <v>685</v>
      </c>
      <c r="D40" s="204"/>
      <c r="E40" s="620"/>
      <c r="F40" s="620"/>
      <c r="G40" s="620"/>
      <c r="H40" s="620"/>
      <c r="I40" s="620"/>
      <c r="J40" s="620"/>
      <c r="K40" s="620"/>
      <c r="L40" s="620"/>
      <c r="M40" s="620"/>
      <c r="N40" s="620"/>
      <c r="O40" s="620"/>
      <c r="P40" s="620"/>
      <c r="Q40" s="620"/>
      <c r="R40" s="620"/>
      <c r="S40" s="620"/>
      <c r="T40" s="620"/>
      <c r="U40" s="620"/>
      <c r="V40" s="620"/>
      <c r="W40" s="620"/>
      <c r="X40" s="620"/>
      <c r="Y40" s="620"/>
      <c r="Z40" s="620"/>
      <c r="AA40" s="620"/>
      <c r="AB40" s="620"/>
      <c r="AC40" s="620"/>
      <c r="AD40" s="620"/>
      <c r="AE40" s="620"/>
      <c r="AF40" s="620"/>
      <c r="AG40" s="620"/>
      <c r="AH40" s="620"/>
      <c r="AI40" s="620"/>
      <c r="AJ40" s="620"/>
      <c r="AK40" s="473"/>
    </row>
    <row r="41" spans="1:37" ht="13.5" customHeight="1">
      <c r="A41" s="3"/>
      <c r="B41" s="202"/>
      <c r="C41" s="164" t="s">
        <v>697</v>
      </c>
      <c r="D41" s="204">
        <f>'Copia de Emisiones Energía'!D41*$D$139</f>
        <v>5.6099999999999997E-2</v>
      </c>
      <c r="E41" s="620"/>
      <c r="F41" s="620"/>
      <c r="G41" s="620"/>
      <c r="H41" s="620"/>
      <c r="I41" s="620"/>
      <c r="J41" s="620"/>
      <c r="K41" s="620"/>
      <c r="L41" s="620"/>
      <c r="M41" s="620"/>
      <c r="N41" s="620"/>
      <c r="O41" s="620"/>
      <c r="P41" s="620"/>
      <c r="Q41" s="620"/>
      <c r="R41" s="620"/>
      <c r="S41" s="620"/>
      <c r="T41" s="620"/>
      <c r="U41" s="620"/>
      <c r="V41" s="620"/>
      <c r="W41" s="620"/>
      <c r="X41" s="620"/>
      <c r="Y41" s="620"/>
      <c r="Z41" s="620"/>
      <c r="AA41" s="620"/>
      <c r="AB41" s="620"/>
      <c r="AC41" s="620"/>
      <c r="AD41" s="620"/>
      <c r="AE41" s="620"/>
      <c r="AF41" s="620"/>
      <c r="AG41" s="620"/>
      <c r="AH41" s="620"/>
      <c r="AI41" s="620"/>
      <c r="AJ41" s="620"/>
      <c r="AK41" s="473"/>
    </row>
    <row r="42" spans="1:37" ht="13.5" customHeight="1">
      <c r="A42" s="3"/>
      <c r="B42" s="202"/>
      <c r="C42" s="164" t="s">
        <v>698</v>
      </c>
      <c r="D42" s="204">
        <f>'Copia de Emisiones Energía'!D42*$D$139</f>
        <v>1.12E-2</v>
      </c>
      <c r="E42" s="620">
        <v>1713</v>
      </c>
      <c r="F42" s="620">
        <v>1629</v>
      </c>
      <c r="G42" s="620"/>
      <c r="H42" s="620"/>
      <c r="I42" s="620"/>
      <c r="J42" s="620"/>
      <c r="K42" s="620"/>
      <c r="L42" s="620"/>
      <c r="M42" s="620"/>
      <c r="N42" s="620"/>
      <c r="O42" s="620"/>
      <c r="P42" s="620"/>
      <c r="Q42" s="620"/>
      <c r="R42" s="620"/>
      <c r="S42" s="620"/>
      <c r="T42" s="620"/>
      <c r="U42" s="620"/>
      <c r="V42" s="620"/>
      <c r="W42" s="620"/>
      <c r="X42" s="620"/>
      <c r="Y42" s="620"/>
      <c r="Z42" s="620"/>
      <c r="AA42" s="620"/>
      <c r="AB42" s="620"/>
      <c r="AC42" s="620"/>
      <c r="AD42" s="620"/>
      <c r="AE42" s="620"/>
      <c r="AF42" s="620"/>
      <c r="AG42" s="620"/>
      <c r="AH42" s="620"/>
      <c r="AI42" s="620"/>
      <c r="AJ42" s="620"/>
      <c r="AK42" s="473"/>
    </row>
    <row r="43" spans="1:37" ht="13.5" customHeight="1">
      <c r="A43" s="3"/>
      <c r="B43" s="202"/>
      <c r="C43" s="164" t="s">
        <v>694</v>
      </c>
      <c r="D43" s="204">
        <f>'Copia de Emisiones Energía'!D43*$D$139</f>
        <v>6.3100000000000003E-2</v>
      </c>
      <c r="E43" s="620">
        <f>E42-F42</f>
        <v>84</v>
      </c>
      <c r="F43" s="620"/>
      <c r="G43" s="620"/>
      <c r="H43" s="620"/>
      <c r="I43" s="620"/>
      <c r="J43" s="620"/>
      <c r="K43" s="620"/>
      <c r="L43" s="620"/>
      <c r="M43" s="620"/>
      <c r="N43" s="620"/>
      <c r="O43" s="620"/>
      <c r="P43" s="620"/>
      <c r="Q43" s="620"/>
      <c r="R43" s="620"/>
      <c r="S43" s="620"/>
      <c r="T43" s="620"/>
      <c r="U43" s="620"/>
      <c r="V43" s="620"/>
      <c r="W43" s="620"/>
      <c r="X43" s="620"/>
      <c r="Y43" s="620"/>
      <c r="Z43" s="620"/>
      <c r="AA43" s="620"/>
      <c r="AB43" s="620"/>
      <c r="AC43" s="620"/>
      <c r="AD43" s="620"/>
      <c r="AE43" s="620"/>
      <c r="AF43" s="620"/>
      <c r="AG43" s="620"/>
      <c r="AH43" s="620"/>
      <c r="AI43" s="620"/>
      <c r="AJ43" s="620"/>
      <c r="AK43" s="473"/>
    </row>
    <row r="44" spans="1:37" ht="13.5" customHeight="1">
      <c r="A44" s="3"/>
      <c r="B44" s="202"/>
      <c r="C44" s="164" t="s">
        <v>124</v>
      </c>
      <c r="D44" s="204">
        <f>'Copia de Emisiones Energía'!D44*$D$139</f>
        <v>6.93E-2</v>
      </c>
      <c r="E44" s="620">
        <f>E43*F35*1000</f>
        <v>391.22578573351279</v>
      </c>
      <c r="F44" s="620"/>
      <c r="G44" s="620"/>
      <c r="H44" s="620"/>
      <c r="I44" s="620"/>
      <c r="J44" s="620"/>
      <c r="K44" s="620"/>
      <c r="L44" s="620"/>
      <c r="M44" s="620"/>
      <c r="N44" s="620"/>
      <c r="O44" s="620"/>
      <c r="P44" s="620"/>
      <c r="Q44" s="620"/>
      <c r="R44" s="620"/>
      <c r="S44" s="620"/>
      <c r="T44" s="620"/>
      <c r="U44" s="620"/>
      <c r="V44" s="620"/>
      <c r="W44" s="620"/>
      <c r="X44" s="620"/>
      <c r="Y44" s="620"/>
      <c r="Z44" s="620"/>
      <c r="AA44" s="620"/>
      <c r="AB44" s="620"/>
      <c r="AC44" s="620"/>
      <c r="AD44" s="620"/>
      <c r="AE44" s="620"/>
      <c r="AF44" s="620"/>
      <c r="AG44" s="620"/>
      <c r="AH44" s="620"/>
      <c r="AI44" s="620"/>
      <c r="AJ44" s="620"/>
      <c r="AK44" s="473"/>
    </row>
    <row r="45" spans="1:37" ht="13.5" customHeight="1">
      <c r="A45" s="3"/>
      <c r="B45" s="202"/>
      <c r="C45" s="164" t="s">
        <v>699</v>
      </c>
      <c r="D45" s="204">
        <f>'Copia de Emisiones Energía'!D45*$D$139</f>
        <v>6.9999999999999993E-2</v>
      </c>
      <c r="E45" s="620">
        <v>3054</v>
      </c>
      <c r="F45" s="620">
        <f>E45-E44</f>
        <v>2662.7742142664874</v>
      </c>
      <c r="G45" s="620"/>
      <c r="H45" s="620"/>
      <c r="I45" s="620"/>
      <c r="J45" s="620"/>
      <c r="K45" s="620"/>
      <c r="L45" s="620"/>
      <c r="M45" s="620"/>
      <c r="N45" s="620"/>
      <c r="O45" s="620"/>
      <c r="P45" s="620"/>
      <c r="Q45" s="620"/>
      <c r="R45" s="620"/>
      <c r="S45" s="620"/>
      <c r="T45" s="620"/>
      <c r="U45" s="620"/>
      <c r="V45" s="620"/>
      <c r="W45" s="620"/>
      <c r="X45" s="620"/>
      <c r="Y45" s="620"/>
      <c r="Z45" s="620"/>
      <c r="AA45" s="620"/>
      <c r="AB45" s="620"/>
      <c r="AC45" s="620"/>
      <c r="AD45" s="620"/>
      <c r="AE45" s="620"/>
      <c r="AF45" s="620"/>
      <c r="AG45" s="620"/>
      <c r="AH45" s="620"/>
      <c r="AI45" s="620"/>
      <c r="AJ45" s="620"/>
      <c r="AK45" s="473"/>
    </row>
    <row r="46" spans="1:37" ht="13.5" customHeight="1">
      <c r="A46" s="3"/>
      <c r="B46" s="202"/>
      <c r="C46" s="164" t="s">
        <v>693</v>
      </c>
      <c r="D46" s="204">
        <f>'Copia de Emisiones Energía'!D46*$D$139</f>
        <v>7.1499999999999994E-2</v>
      </c>
      <c r="E46" s="620"/>
      <c r="F46" s="620"/>
      <c r="G46" s="620"/>
      <c r="H46" s="620"/>
      <c r="I46" s="620"/>
      <c r="J46" s="620"/>
      <c r="K46" s="620"/>
      <c r="L46" s="620"/>
      <c r="M46" s="620"/>
      <c r="N46" s="620"/>
      <c r="O46" s="620"/>
      <c r="P46" s="620"/>
      <c r="Q46" s="620"/>
      <c r="R46" s="620"/>
      <c r="S46" s="620"/>
      <c r="T46" s="620"/>
      <c r="U46" s="620"/>
      <c r="V46" s="620"/>
      <c r="W46" s="620"/>
      <c r="X46" s="620"/>
      <c r="Y46" s="620"/>
      <c r="Z46" s="620"/>
      <c r="AA46" s="620"/>
      <c r="AB46" s="620"/>
      <c r="AC46" s="620"/>
      <c r="AD46" s="620"/>
      <c r="AE46" s="620"/>
      <c r="AF46" s="620"/>
      <c r="AG46" s="620"/>
      <c r="AH46" s="620"/>
      <c r="AI46" s="620"/>
      <c r="AJ46" s="620"/>
      <c r="AK46" s="473"/>
    </row>
    <row r="47" spans="1:37" ht="13.5" customHeight="1">
      <c r="A47" s="3"/>
      <c r="B47" s="202"/>
      <c r="C47" s="164" t="s">
        <v>686</v>
      </c>
      <c r="D47" s="204">
        <f>'Copia de Emisiones Energía'!D47*$D$139</f>
        <v>7.4099999999999999E-2</v>
      </c>
      <c r="E47" s="620"/>
      <c r="F47" s="620"/>
      <c r="G47" s="620"/>
      <c r="H47" s="620"/>
      <c r="I47" s="620"/>
      <c r="J47" s="620"/>
      <c r="K47" s="620"/>
      <c r="L47" s="620"/>
      <c r="M47" s="620"/>
      <c r="N47" s="620"/>
      <c r="O47" s="620"/>
      <c r="P47" s="620"/>
      <c r="Q47" s="620"/>
      <c r="R47" s="620"/>
      <c r="S47" s="620"/>
      <c r="T47" s="620"/>
      <c r="U47" s="620"/>
      <c r="V47" s="620"/>
      <c r="W47" s="620"/>
      <c r="X47" s="620"/>
      <c r="Y47" s="620"/>
      <c r="Z47" s="620"/>
      <c r="AA47" s="620"/>
      <c r="AB47" s="620"/>
      <c r="AC47" s="620"/>
      <c r="AD47" s="620"/>
      <c r="AE47" s="620"/>
      <c r="AF47" s="620"/>
      <c r="AG47" s="620"/>
      <c r="AH47" s="620"/>
      <c r="AI47" s="620"/>
      <c r="AJ47" s="620"/>
      <c r="AK47" s="473"/>
    </row>
    <row r="48" spans="1:37" ht="13.5" customHeight="1">
      <c r="A48" s="3"/>
      <c r="B48" s="202"/>
      <c r="C48" s="164" t="s">
        <v>687</v>
      </c>
      <c r="D48" s="204">
        <f>'Copia de Emisiones Energía'!D48*$D$139</f>
        <v>7.7399999999999997E-2</v>
      </c>
      <c r="E48" s="620"/>
      <c r="F48" s="620"/>
      <c r="G48" s="620"/>
      <c r="H48" s="620"/>
      <c r="I48" s="620"/>
      <c r="J48" s="620"/>
      <c r="K48" s="620"/>
      <c r="L48" s="620"/>
      <c r="M48" s="620"/>
      <c r="N48" s="620"/>
      <c r="O48" s="620"/>
      <c r="P48" s="620"/>
      <c r="Q48" s="620"/>
      <c r="R48" s="620"/>
      <c r="S48" s="620"/>
      <c r="T48" s="620"/>
      <c r="U48" s="620"/>
      <c r="V48" s="620"/>
      <c r="W48" s="620"/>
      <c r="X48" s="620"/>
      <c r="Y48" s="620"/>
      <c r="Z48" s="620"/>
      <c r="AA48" s="620"/>
      <c r="AB48" s="620"/>
      <c r="AC48" s="620"/>
      <c r="AD48" s="620"/>
      <c r="AE48" s="620"/>
      <c r="AF48" s="620"/>
      <c r="AG48" s="620"/>
      <c r="AH48" s="620"/>
      <c r="AI48" s="620"/>
      <c r="AJ48" s="620"/>
      <c r="AK48" s="473"/>
    </row>
    <row r="49" spans="1:37" ht="13.5" customHeight="1">
      <c r="A49" s="3"/>
      <c r="B49" s="202"/>
      <c r="C49" s="164" t="s">
        <v>700</v>
      </c>
      <c r="D49" s="204">
        <f>'Copia de Emisiones Energía'!D49*$D$139</f>
        <v>9.7499999999999989E-2</v>
      </c>
      <c r="E49" s="620"/>
      <c r="F49" s="620"/>
      <c r="G49" s="620"/>
      <c r="H49" s="620"/>
      <c r="I49" s="620"/>
      <c r="J49" s="620"/>
      <c r="K49" s="620"/>
      <c r="L49" s="620"/>
      <c r="M49" s="620"/>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473"/>
    </row>
    <row r="50" spans="1:37" ht="13.5" customHeight="1">
      <c r="A50" s="619"/>
      <c r="B50" s="155"/>
      <c r="C50" s="355"/>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2"/>
    </row>
    <row r="51" spans="1:37" ht="13.5" customHeight="1">
      <c r="A51" s="3"/>
      <c r="B51" s="202"/>
      <c r="C51" s="160" t="s">
        <v>701</v>
      </c>
      <c r="D51" s="620"/>
      <c r="E51" s="620"/>
      <c r="F51" s="620"/>
      <c r="G51" s="620"/>
      <c r="H51" s="620"/>
      <c r="I51" s="620"/>
      <c r="J51" s="620"/>
      <c r="K51" s="620"/>
      <c r="L51" s="620"/>
      <c r="M51" s="620"/>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473"/>
    </row>
    <row r="52" spans="1:37" ht="13.5" customHeight="1">
      <c r="A52" s="619"/>
      <c r="B52" s="202"/>
      <c r="C52" s="164" t="s">
        <v>702</v>
      </c>
      <c r="D52" s="165">
        <f>'Copia de Emisiones Energía'!D52*0.001</f>
        <v>0.1522</v>
      </c>
      <c r="E52" s="165">
        <f>'Copia de Emisiones Energía'!E52*0.001</f>
        <v>0.1641</v>
      </c>
      <c r="F52" s="165">
        <f>'Copia de Emisiones Energía'!F52*0.001</f>
        <v>0.14860000000000001</v>
      </c>
      <c r="G52" s="165">
        <f>'Copia de Emisiones Energía'!G52*0.001</f>
        <v>0.14610000000000001</v>
      </c>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473"/>
    </row>
    <row r="53" spans="1:37" ht="13.5" customHeight="1">
      <c r="A53" s="619"/>
      <c r="B53" s="202"/>
      <c r="C53" s="164" t="s">
        <v>703</v>
      </c>
      <c r="D53" s="165">
        <f>'Copia de Emisiones Energía'!D53*0.001</f>
        <v>4.0000000000000001E-3</v>
      </c>
      <c r="E53" s="165">
        <f>'Copia de Emisiones Energía'!E53*0.001</f>
        <v>4.4000000000000003E-3</v>
      </c>
      <c r="F53" s="165">
        <f>'Copia de Emisiones Energía'!F53*0.001</f>
        <v>3.8999999999999998E-3</v>
      </c>
      <c r="G53" s="165">
        <f>'Copia de Emisiones Energía'!G53*0.001</f>
        <v>4.5999999999999999E-3</v>
      </c>
      <c r="H53" s="620"/>
      <c r="I53" s="620"/>
      <c r="J53" s="620"/>
      <c r="K53" s="620"/>
      <c r="L53" s="620"/>
      <c r="M53" s="620"/>
      <c r="N53" s="620"/>
      <c r="O53" s="620"/>
      <c r="P53" s="620"/>
      <c r="Q53" s="620"/>
      <c r="R53" s="620"/>
      <c r="S53" s="620"/>
      <c r="T53" s="620"/>
      <c r="U53" s="620"/>
      <c r="V53" s="620"/>
      <c r="W53" s="620"/>
      <c r="X53" s="620"/>
      <c r="Y53" s="620"/>
      <c r="Z53" s="620"/>
      <c r="AA53" s="620"/>
      <c r="AB53" s="620"/>
      <c r="AC53" s="620"/>
      <c r="AD53" s="620"/>
      <c r="AE53" s="620"/>
      <c r="AF53" s="620"/>
      <c r="AG53" s="620"/>
      <c r="AH53" s="620"/>
      <c r="AI53" s="620"/>
      <c r="AJ53" s="620"/>
      <c r="AK53" s="473"/>
    </row>
    <row r="54" spans="1:37" ht="13.5" customHeight="1">
      <c r="A54" s="619"/>
      <c r="B54" s="202"/>
      <c r="C54" s="164" t="s">
        <v>704</v>
      </c>
      <c r="D54" s="165">
        <f>'Copia de Emisiones Energía'!D54*0.001</f>
        <v>3.7600000000000001E-2</v>
      </c>
      <c r="E54" s="165">
        <f>'Copia de Emisiones Energía'!E54*0.001</f>
        <v>3.6200000000000003E-2</v>
      </c>
      <c r="F54" s="165">
        <f>'Copia de Emisiones Energía'!F54*0.001</f>
        <v>3.2299999999999995E-2</v>
      </c>
      <c r="G54" s="165">
        <f>'Copia de Emisiones Energía'!G54*0.001</f>
        <v>3.2600000000000004E-2</v>
      </c>
      <c r="H54" s="620"/>
      <c r="I54" s="620"/>
      <c r="J54" s="620"/>
      <c r="K54" s="620"/>
      <c r="L54" s="620"/>
      <c r="M54" s="620"/>
      <c r="N54" s="620"/>
      <c r="O54" s="620"/>
      <c r="P54" s="620"/>
      <c r="Q54" s="620"/>
      <c r="R54" s="620"/>
      <c r="S54" s="620"/>
      <c r="T54" s="620"/>
      <c r="U54" s="620"/>
      <c r="V54" s="620"/>
      <c r="W54" s="620"/>
      <c r="X54" s="620"/>
      <c r="Y54" s="620"/>
      <c r="Z54" s="620"/>
      <c r="AA54" s="620"/>
      <c r="AB54" s="620"/>
      <c r="AC54" s="620"/>
      <c r="AD54" s="620"/>
      <c r="AE54" s="620"/>
      <c r="AF54" s="620"/>
      <c r="AG54" s="620"/>
      <c r="AH54" s="620"/>
      <c r="AI54" s="620"/>
      <c r="AJ54" s="620"/>
      <c r="AK54" s="473"/>
    </row>
    <row r="55" spans="1:37" ht="13.5" customHeight="1">
      <c r="A55" s="3"/>
      <c r="B55" s="202"/>
      <c r="C55" s="160"/>
      <c r="D55" s="488"/>
      <c r="E55" s="488"/>
      <c r="F55" s="488"/>
      <c r="G55" s="488"/>
      <c r="H55" s="620"/>
      <c r="I55" s="620"/>
      <c r="J55" s="620"/>
      <c r="K55" s="620"/>
      <c r="L55" s="620"/>
      <c r="M55" s="620"/>
      <c r="N55" s="620"/>
      <c r="O55" s="620"/>
      <c r="P55" s="620"/>
      <c r="Q55" s="620"/>
      <c r="R55" s="620"/>
      <c r="S55" s="620"/>
      <c r="T55" s="620"/>
      <c r="U55" s="620"/>
      <c r="V55" s="620"/>
      <c r="W55" s="620"/>
      <c r="X55" s="620"/>
      <c r="Y55" s="620"/>
      <c r="Z55" s="620"/>
      <c r="AA55" s="620"/>
      <c r="AB55" s="620"/>
      <c r="AC55" s="620"/>
      <c r="AD55" s="620"/>
      <c r="AE55" s="620"/>
      <c r="AF55" s="620"/>
      <c r="AG55" s="620"/>
      <c r="AH55" s="620"/>
      <c r="AI55" s="620"/>
      <c r="AJ55" s="620"/>
      <c r="AK55" s="473"/>
    </row>
    <row r="56" spans="1:37" ht="13.5" customHeight="1">
      <c r="A56" s="3"/>
      <c r="B56" s="202"/>
      <c r="C56" s="164" t="s">
        <v>705</v>
      </c>
      <c r="D56" s="488">
        <f t="shared" ref="D56:G56" si="5">SUM(D52:D54)</f>
        <v>0.1938</v>
      </c>
      <c r="E56" s="488">
        <f t="shared" si="5"/>
        <v>0.20469999999999999</v>
      </c>
      <c r="F56" s="488">
        <f t="shared" si="5"/>
        <v>0.18479999999999999</v>
      </c>
      <c r="G56" s="488">
        <f t="shared" si="5"/>
        <v>0.18330000000000002</v>
      </c>
      <c r="H56" s="620"/>
      <c r="I56" s="620"/>
      <c r="J56" s="620"/>
      <c r="K56" s="620"/>
      <c r="L56" s="620"/>
      <c r="M56" s="620"/>
      <c r="N56" s="620"/>
      <c r="O56" s="620"/>
      <c r="P56" s="620"/>
      <c r="Q56" s="620"/>
      <c r="R56" s="620"/>
      <c r="S56" s="620"/>
      <c r="T56" s="620"/>
      <c r="U56" s="620"/>
      <c r="V56" s="620"/>
      <c r="W56" s="620"/>
      <c r="X56" s="620"/>
      <c r="Y56" s="620"/>
      <c r="Z56" s="620"/>
      <c r="AA56" s="620"/>
      <c r="AB56" s="620"/>
      <c r="AC56" s="620"/>
      <c r="AD56" s="620"/>
      <c r="AE56" s="620"/>
      <c r="AF56" s="620"/>
      <c r="AG56" s="620"/>
      <c r="AH56" s="620"/>
      <c r="AI56" s="620"/>
      <c r="AJ56" s="620"/>
      <c r="AK56" s="473"/>
    </row>
    <row r="57" spans="1:37" ht="13.5" customHeight="1">
      <c r="A57" s="619"/>
      <c r="B57" s="167"/>
      <c r="C57" s="222"/>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c r="AB57" s="230"/>
      <c r="AC57" s="230"/>
      <c r="AD57" s="230"/>
      <c r="AE57" s="230"/>
      <c r="AF57" s="230"/>
      <c r="AG57" s="230"/>
      <c r="AH57" s="230"/>
      <c r="AI57" s="230"/>
      <c r="AJ57" s="230"/>
      <c r="AK57" s="231"/>
    </row>
    <row r="58" spans="1:37"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c r="A59" s="619"/>
      <c r="B59" s="23"/>
      <c r="C59" s="250"/>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375"/>
    </row>
    <row r="60" spans="1:37" ht="13.5" customHeight="1">
      <c r="A60" s="619"/>
      <c r="B60" s="253"/>
      <c r="C60" s="493" t="s">
        <v>706</v>
      </c>
      <c r="D60" s="258"/>
      <c r="E60" s="258"/>
      <c r="F60" s="258"/>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377"/>
    </row>
    <row r="61" spans="1:37" ht="13.5" customHeight="1">
      <c r="A61" s="619"/>
      <c r="B61" s="253"/>
      <c r="C61" s="281" t="s">
        <v>707</v>
      </c>
      <c r="D61" s="376"/>
      <c r="E61" s="376"/>
      <c r="F61" s="376"/>
      <c r="G61" s="376"/>
      <c r="H61" s="376"/>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7"/>
    </row>
    <row r="62" spans="1:37" ht="13.5" customHeight="1">
      <c r="A62" s="619"/>
      <c r="B62" s="253"/>
      <c r="C62" s="259" t="s">
        <v>702</v>
      </c>
      <c r="D62" s="376" t="s">
        <v>186</v>
      </c>
      <c r="E62" s="376" t="s">
        <v>186</v>
      </c>
      <c r="F62" s="376" t="s">
        <v>186</v>
      </c>
      <c r="G62" s="376">
        <f>'Copia de Emisiones Energía'!G62*0.001</f>
        <v>1.4E-2</v>
      </c>
      <c r="H62" s="376"/>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7"/>
    </row>
    <row r="63" spans="1:37" ht="13.5" customHeight="1">
      <c r="A63" s="619"/>
      <c r="B63" s="253"/>
      <c r="C63" s="259" t="s">
        <v>704</v>
      </c>
      <c r="D63" s="376">
        <f>'Copia de Emisiones Energía'!D63*0.001</f>
        <v>0.56950000000000001</v>
      </c>
      <c r="E63" s="376">
        <f>'Copia de Emisiones Energía'!E63*0.001</f>
        <v>0.51839999999999997</v>
      </c>
      <c r="F63" s="376">
        <f>'Copia de Emisiones Energía'!F63*0.001</f>
        <v>0.44310000000000005</v>
      </c>
      <c r="G63" s="376">
        <f>'Copia de Emisiones Energía'!G63*0.001</f>
        <v>0.39200000000000002</v>
      </c>
      <c r="H63" s="376"/>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7"/>
    </row>
    <row r="64" spans="1:37" ht="13.5" customHeight="1">
      <c r="A64" s="619"/>
      <c r="B64" s="253"/>
      <c r="C64" s="259" t="s">
        <v>708</v>
      </c>
      <c r="D64" s="376" t="s">
        <v>186</v>
      </c>
      <c r="E64" s="376" t="s">
        <v>186</v>
      </c>
      <c r="F64" s="376" t="s">
        <v>186</v>
      </c>
      <c r="G64" s="376">
        <f>'Copia de Emisiones Energía'!G64*0.001</f>
        <v>3.8100000000000002E-2</v>
      </c>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7"/>
    </row>
    <row r="65" spans="1:37" ht="13.5" customHeight="1">
      <c r="A65" s="619"/>
      <c r="B65" s="253"/>
      <c r="C65" s="259" t="s">
        <v>709</v>
      </c>
      <c r="D65" s="376">
        <f>'Copia de Emisiones Energía'!D65*0.001</f>
        <v>0.2185</v>
      </c>
      <c r="E65" s="376">
        <f>'Copia de Emisiones Energía'!E65*0.001</f>
        <v>0.26819999999999999</v>
      </c>
      <c r="F65" s="376">
        <f>'Copia de Emisiones Energía'!F65*0.001</f>
        <v>0.23550000000000001</v>
      </c>
      <c r="G65" s="376">
        <f>'Copia de Emisiones Energía'!G65*0.001</f>
        <v>9.8599999999999993E-2</v>
      </c>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7"/>
    </row>
    <row r="66" spans="1:37" ht="13.5" customHeight="1">
      <c r="A66" s="619"/>
      <c r="B66" s="253"/>
      <c r="C66" s="259" t="s">
        <v>710</v>
      </c>
      <c r="D66" s="376">
        <f>'Copia de Emisiones Energía'!D66*0.001</f>
        <v>1.9875</v>
      </c>
      <c r="E66" s="376">
        <f>'Copia de Emisiones Energía'!E66*0.001</f>
        <v>1.1075999999999999</v>
      </c>
      <c r="F66" s="376">
        <f>'Copia de Emisiones Energía'!F66*0.001</f>
        <v>1.0869000000000002</v>
      </c>
      <c r="G66" s="376">
        <f>'Copia de Emisiones Energía'!G66*0.001</f>
        <v>0.96279999999999999</v>
      </c>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7"/>
    </row>
    <row r="67" spans="1:37" ht="13.5" customHeight="1">
      <c r="A67" s="619"/>
      <c r="B67" s="253"/>
      <c r="C67" s="259" t="s">
        <v>711</v>
      </c>
      <c r="D67" s="376">
        <f>'Copia de Emisiones Energía'!D67*0.001</f>
        <v>5.0000000000000001E-4</v>
      </c>
      <c r="E67" s="376">
        <f>'Copia de Emisiones Energía'!E67*0.001</f>
        <v>2.0000000000000001E-4</v>
      </c>
      <c r="F67" s="376" t="s">
        <v>186</v>
      </c>
      <c r="G67" s="376" t="s">
        <v>186</v>
      </c>
      <c r="H67" s="376"/>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7"/>
    </row>
    <row r="68" spans="1:37" ht="13.5" customHeight="1">
      <c r="A68" s="619"/>
      <c r="B68" s="253"/>
      <c r="C68" s="130" t="s">
        <v>705</v>
      </c>
      <c r="D68" s="494">
        <f t="shared" ref="D68:G68" si="6">SUM(D62:D67)</f>
        <v>2.7760000000000002</v>
      </c>
      <c r="E68" s="494">
        <f t="shared" si="6"/>
        <v>1.8943999999999999</v>
      </c>
      <c r="F68" s="494">
        <f t="shared" si="6"/>
        <v>1.7655000000000003</v>
      </c>
      <c r="G68" s="494">
        <f t="shared" si="6"/>
        <v>1.5055000000000001</v>
      </c>
      <c r="H68" s="376"/>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7"/>
    </row>
    <row r="69" spans="1:37" ht="13.5" customHeight="1">
      <c r="A69" s="619"/>
      <c r="B69" s="253"/>
      <c r="C69" s="281"/>
      <c r="D69" s="376"/>
      <c r="E69" s="376"/>
      <c r="F69" s="376"/>
      <c r="G69" s="376"/>
      <c r="H69" s="376"/>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7"/>
    </row>
    <row r="70" spans="1:37" ht="13.5" customHeight="1">
      <c r="A70" s="619"/>
      <c r="B70" s="253"/>
      <c r="C70" s="281" t="s">
        <v>712</v>
      </c>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7"/>
    </row>
    <row r="71" spans="1:37" ht="13.5" customHeight="1">
      <c r="A71" s="619"/>
      <c r="B71" s="253"/>
      <c r="C71" s="495" t="s">
        <v>702</v>
      </c>
      <c r="D71" s="496">
        <f>'Copia de Emisiones Energía'!D71*0.001</f>
        <v>1.1393</v>
      </c>
      <c r="E71" s="496">
        <f>'Copia de Emisiones Energía'!E71*0.001</f>
        <v>1.2007000000000001</v>
      </c>
      <c r="F71" s="496">
        <f>'Copia de Emisiones Energía'!F71*0.001</f>
        <v>1.2099000000000002</v>
      </c>
      <c r="G71" s="496">
        <f>'Copia de Emisiones Energía'!G71*0.001</f>
        <v>1.1555</v>
      </c>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7"/>
    </row>
    <row r="72" spans="1:37" ht="13.5" customHeight="1">
      <c r="A72" s="619"/>
      <c r="B72" s="253"/>
      <c r="C72" s="259" t="s">
        <v>704</v>
      </c>
      <c r="D72" s="387">
        <f>'Copia de Emisiones Energía'!D72*0.001</f>
        <v>0.54660000000000009</v>
      </c>
      <c r="E72" s="387">
        <f>'Copia de Emisiones Energía'!E72*0.001</f>
        <v>0.47910000000000003</v>
      </c>
      <c r="F72" s="387">
        <f>'Copia de Emisiones Energía'!F72*0.001</f>
        <v>0.41830000000000001</v>
      </c>
      <c r="G72" s="387">
        <f>'Copia de Emisiones Energía'!G72*0.001</f>
        <v>0.4662</v>
      </c>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7"/>
    </row>
    <row r="73" spans="1:37" ht="13.5" customHeight="1">
      <c r="A73" s="619"/>
      <c r="B73" s="253"/>
      <c r="C73" s="259" t="s">
        <v>708</v>
      </c>
      <c r="D73" s="387">
        <f>'Copia de Emisiones Energía'!D73*0.001</f>
        <v>0.27789999999999998</v>
      </c>
      <c r="E73" s="387">
        <f>'Copia de Emisiones Energía'!E73*0.001</f>
        <v>0.30060000000000003</v>
      </c>
      <c r="F73" s="387">
        <f>'Copia de Emisiones Energía'!F73*0.001</f>
        <v>0.31010000000000004</v>
      </c>
      <c r="G73" s="387">
        <f>'Copia de Emisiones Energía'!G73*0.001</f>
        <v>0.23290000000000002</v>
      </c>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7"/>
    </row>
    <row r="74" spans="1:37" ht="13.5" customHeight="1">
      <c r="A74" s="619"/>
      <c r="B74" s="253"/>
      <c r="C74" s="259" t="s">
        <v>713</v>
      </c>
      <c r="D74" s="387">
        <f>'Copia de Emisiones Energía'!D74*0.001</f>
        <v>4.6200000000000005E-2</v>
      </c>
      <c r="E74" s="387">
        <f>'Copia de Emisiones Energía'!E74*0.001</f>
        <v>3.6900000000000002E-2</v>
      </c>
      <c r="F74" s="387">
        <f>'Copia de Emisiones Energía'!F74*0.001</f>
        <v>3.8899999999999997E-2</v>
      </c>
      <c r="G74" s="387">
        <f>'Copia de Emisiones Energía'!G74*0.001</f>
        <v>3.6299999999999999E-2</v>
      </c>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7"/>
    </row>
    <row r="75" spans="1:37" ht="13.5" customHeight="1">
      <c r="A75" s="619"/>
      <c r="B75" s="253"/>
      <c r="C75" s="259" t="s">
        <v>709</v>
      </c>
      <c r="D75" s="387">
        <f>'Copia de Emisiones Energía'!D75*0.001</f>
        <v>0.95829999999999993</v>
      </c>
      <c r="E75" s="387">
        <f>'Copia de Emisiones Energía'!E75*0.001</f>
        <v>1.0486</v>
      </c>
      <c r="F75" s="387">
        <f>'Copia de Emisiones Energía'!F75*0.001</f>
        <v>1.0057</v>
      </c>
      <c r="G75" s="387">
        <f>'Copia de Emisiones Energía'!G75*0.001</f>
        <v>1.1934</v>
      </c>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7"/>
    </row>
    <row r="76" spans="1:37" ht="13.5" customHeight="1">
      <c r="A76" s="619"/>
      <c r="B76" s="253"/>
      <c r="C76" s="259" t="s">
        <v>710</v>
      </c>
      <c r="D76" s="387">
        <f>'Copia de Emisiones Energía'!D76*0.001</f>
        <v>7.0000000000000007E-2</v>
      </c>
      <c r="E76" s="387">
        <f>'Copia de Emisiones Energía'!E76*0.001</f>
        <v>6.720000000000001E-2</v>
      </c>
      <c r="F76" s="387">
        <f>'Copia de Emisiones Energía'!F76*0.001</f>
        <v>6.720000000000001E-2</v>
      </c>
      <c r="G76" s="387">
        <f>'Copia de Emisiones Energía'!G76*0.001</f>
        <v>7.0400000000000004E-2</v>
      </c>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7"/>
    </row>
    <row r="77" spans="1:37" ht="13.5" customHeight="1">
      <c r="A77" s="619"/>
      <c r="B77" s="253"/>
      <c r="C77" s="259" t="s">
        <v>711</v>
      </c>
      <c r="D77" s="387">
        <f>'Copia de Emisiones Energía'!D77*0.001</f>
        <v>2.9999999999999997E-4</v>
      </c>
      <c r="E77" s="387">
        <f>'Copia de Emisiones Energía'!E77*0.001</f>
        <v>2.0000000000000001E-4</v>
      </c>
      <c r="F77" s="387">
        <f>'Copia de Emisiones Energía'!F77*0.001</f>
        <v>2.0000000000000001E-4</v>
      </c>
      <c r="G77" s="387">
        <f>'Copia de Emisiones Energía'!G77*0.001</f>
        <v>2.0000000000000001E-4</v>
      </c>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7"/>
    </row>
    <row r="78" spans="1:37" ht="13.5" customHeight="1">
      <c r="A78" s="619"/>
      <c r="B78" s="253"/>
      <c r="C78" s="130" t="s">
        <v>705</v>
      </c>
      <c r="D78" s="497">
        <f t="shared" ref="D78:G78" si="7">SUM(D71:D77)</f>
        <v>3.0386000000000002</v>
      </c>
      <c r="E78" s="497">
        <f t="shared" si="7"/>
        <v>3.1333000000000002</v>
      </c>
      <c r="F78" s="497">
        <f t="shared" si="7"/>
        <v>3.0503</v>
      </c>
      <c r="G78" s="497">
        <f t="shared" si="7"/>
        <v>3.1548999999999996</v>
      </c>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7"/>
    </row>
    <row r="79" spans="1:37" ht="13.5" customHeight="1">
      <c r="A79" s="619"/>
      <c r="B79" s="294"/>
      <c r="C79" s="358"/>
      <c r="D79" s="295"/>
      <c r="E79" s="295"/>
      <c r="F79" s="295"/>
      <c r="G79" s="295"/>
      <c r="H79" s="295"/>
      <c r="I79" s="295"/>
      <c r="J79" s="295"/>
      <c r="K79" s="295"/>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466"/>
    </row>
    <row r="80" spans="1:37"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c r="A81" s="619"/>
      <c r="B81" s="61"/>
      <c r="C81" s="424"/>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98"/>
    </row>
    <row r="82" spans="1:37" ht="13.5" customHeight="1">
      <c r="A82" s="619"/>
      <c r="B82" s="426"/>
      <c r="C82" s="427" t="s">
        <v>411</v>
      </c>
      <c r="D82" s="428"/>
      <c r="E82" s="428"/>
      <c r="F82" s="428"/>
      <c r="G82" s="428"/>
      <c r="H82" s="428"/>
      <c r="I82" s="428"/>
      <c r="J82" s="428"/>
      <c r="K82" s="428"/>
      <c r="L82" s="428"/>
      <c r="M82" s="428"/>
      <c r="N82" s="42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99"/>
    </row>
    <row r="83" spans="1:37" ht="13.5" customHeight="1">
      <c r="A83" s="619"/>
      <c r="B83" s="426"/>
      <c r="C83" s="429" t="s">
        <v>714</v>
      </c>
      <c r="D83" s="428"/>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99"/>
    </row>
    <row r="84" spans="1:37" ht="13.5" customHeight="1">
      <c r="A84" s="619"/>
      <c r="B84" s="426"/>
      <c r="C84" s="430" t="s">
        <v>704</v>
      </c>
      <c r="D84" s="431">
        <f>'Copia de Emisiones Energía'!D84*0.001</f>
        <v>0.1115</v>
      </c>
      <c r="E84" s="431">
        <f>'Copia de Emisiones Energía'!E84*0.001</f>
        <v>8.9800000000000005E-2</v>
      </c>
      <c r="F84" s="431">
        <f>'Copia de Emisiones Energía'!F84*0.001</f>
        <v>5.4100000000000002E-2</v>
      </c>
      <c r="G84" s="431">
        <f>'Copia de Emisiones Energía'!G84*0.001</f>
        <v>9.4200000000000006E-2</v>
      </c>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99"/>
    </row>
    <row r="85" spans="1:37" ht="13.5" customHeight="1">
      <c r="A85" s="619"/>
      <c r="B85" s="426"/>
      <c r="C85" s="430" t="s">
        <v>715</v>
      </c>
      <c r="D85" s="431">
        <f>'Copia de Emisiones Energía'!D85*0.001</f>
        <v>1.1982999999999999</v>
      </c>
      <c r="E85" s="431">
        <f>'Copia de Emisiones Energía'!E85*0.001</f>
        <v>1.1757</v>
      </c>
      <c r="F85" s="431">
        <f>'Copia de Emisiones Energía'!F85*0.001</f>
        <v>1.1331</v>
      </c>
      <c r="G85" s="431">
        <f>'Copia de Emisiones Energía'!G85*0.001</f>
        <v>1.0877000000000001</v>
      </c>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99"/>
    </row>
    <row r="86" spans="1:37" ht="13.5" customHeight="1">
      <c r="A86" s="619"/>
      <c r="B86" s="426"/>
      <c r="C86" s="430" t="s">
        <v>708</v>
      </c>
      <c r="D86" s="431">
        <f>'Copia de Emisiones Energía'!D86*0.001</f>
        <v>0.83679999999999999</v>
      </c>
      <c r="E86" s="431">
        <f>'Copia de Emisiones Energía'!E86*0.001</f>
        <v>0.91279999999999994</v>
      </c>
      <c r="F86" s="431">
        <f>'Copia de Emisiones Energía'!F86*0.001</f>
        <v>0.9264</v>
      </c>
      <c r="G86" s="431">
        <f>'Copia de Emisiones Energía'!G86*0.001</f>
        <v>0.78160000000000007</v>
      </c>
      <c r="H86" s="428"/>
      <c r="I86" s="428"/>
      <c r="J86" s="42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99"/>
    </row>
    <row r="87" spans="1:37" ht="13.5" customHeight="1">
      <c r="A87" s="619"/>
      <c r="B87" s="426"/>
      <c r="C87" s="430" t="s">
        <v>713</v>
      </c>
      <c r="D87" s="431">
        <f>'Copia de Emisiones Energía'!D87*0.001</f>
        <v>3.2013000000000003</v>
      </c>
      <c r="E87" s="431">
        <f>'Copia de Emisiones Energía'!E87*0.001</f>
        <v>3.4309000000000003</v>
      </c>
      <c r="F87" s="431">
        <f>'Copia de Emisiones Energía'!F87*0.001</f>
        <v>3.4660000000000002</v>
      </c>
      <c r="G87" s="431">
        <f>'Copia de Emisiones Energía'!G87*0.001</f>
        <v>3.5874000000000001</v>
      </c>
      <c r="H87" s="428"/>
      <c r="I87" s="428"/>
      <c r="J87" s="42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99"/>
    </row>
    <row r="88" spans="1:37" ht="13.5" customHeight="1">
      <c r="A88" s="619"/>
      <c r="B88" s="426"/>
      <c r="C88" s="430" t="s">
        <v>716</v>
      </c>
      <c r="D88" s="431">
        <f>'Copia de Emisiones Energía'!D88*0.001</f>
        <v>11.328899999999999</v>
      </c>
      <c r="E88" s="431">
        <f>'Copia de Emisiones Energía'!E88*0.001</f>
        <v>11.376100000000001</v>
      </c>
      <c r="F88" s="431">
        <f>'Copia de Emisiones Energía'!F88*0.001</f>
        <v>8.934899999999999</v>
      </c>
      <c r="G88" s="431">
        <f>'Copia de Emisiones Energía'!G88*0.001</f>
        <v>10.724299999999999</v>
      </c>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99"/>
    </row>
    <row r="89" spans="1:37" ht="13.5" customHeight="1">
      <c r="A89" s="619"/>
      <c r="B89" s="426"/>
      <c r="C89" s="430" t="s">
        <v>717</v>
      </c>
      <c r="D89" s="431">
        <f>'Copia de Emisiones Energía'!D89*0.001</f>
        <v>0.37540000000000001</v>
      </c>
      <c r="E89" s="431">
        <f>'Copia de Emisiones Energía'!E89*0.001</f>
        <v>0.35370000000000001</v>
      </c>
      <c r="F89" s="431">
        <f>'Copia de Emisiones Energía'!F89*0.001</f>
        <v>0.24110000000000001</v>
      </c>
      <c r="G89" s="431">
        <f>'Copia de Emisiones Energía'!G89*0.001</f>
        <v>0.3029</v>
      </c>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99"/>
    </row>
    <row r="90" spans="1:37" ht="13.5" customHeight="1">
      <c r="A90" s="619"/>
      <c r="B90" s="426"/>
      <c r="C90" s="430" t="s">
        <v>709</v>
      </c>
      <c r="D90" s="431">
        <f>'Copia de Emisiones Energía'!D90*0.001</f>
        <v>12.933400000000001</v>
      </c>
      <c r="E90" s="431">
        <f>'Copia de Emisiones Energía'!E90*0.001</f>
        <v>12.778</v>
      </c>
      <c r="F90" s="431">
        <f>'Copia de Emisiones Energía'!F90*0.001</f>
        <v>10.964</v>
      </c>
      <c r="G90" s="431">
        <f>'Copia de Emisiones Energía'!G90*0.001</f>
        <v>12.293900000000001</v>
      </c>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99"/>
    </row>
    <row r="91" spans="1:37" ht="13.5" customHeight="1">
      <c r="A91" s="619"/>
      <c r="B91" s="426"/>
      <c r="C91" s="430" t="s">
        <v>710</v>
      </c>
      <c r="D91" s="431">
        <f>'Copia de Emisiones Energía'!D91*0.001</f>
        <v>0.78439999999999999</v>
      </c>
      <c r="E91" s="431">
        <f>'Copia de Emisiones Energía'!E91*0.001</f>
        <v>0.80630000000000002</v>
      </c>
      <c r="F91" s="431">
        <f>'Copia de Emisiones Energía'!F91*0.001</f>
        <v>0.75729999999999997</v>
      </c>
      <c r="G91" s="431">
        <f>'Copia de Emisiones Energía'!G91*0.001</f>
        <v>0.86699999999999999</v>
      </c>
      <c r="H91" s="428"/>
      <c r="I91" s="428"/>
      <c r="J91" s="428"/>
      <c r="K91" s="428"/>
      <c r="L91" s="428"/>
      <c r="M91" s="428"/>
      <c r="N91" s="42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99"/>
    </row>
    <row r="92" spans="1:37" ht="13.5" customHeight="1">
      <c r="A92" s="619"/>
      <c r="B92" s="426"/>
      <c r="C92" s="430" t="s">
        <v>718</v>
      </c>
      <c r="D92" s="431" t="s">
        <v>186</v>
      </c>
      <c r="E92" s="431" t="s">
        <v>186</v>
      </c>
      <c r="F92" s="431" t="s">
        <v>186</v>
      </c>
      <c r="G92" s="431">
        <f>'Copia de Emisiones Energía'!G92*0.001</f>
        <v>0.5544</v>
      </c>
      <c r="H92" s="428"/>
      <c r="I92" s="428"/>
      <c r="J92" s="428"/>
      <c r="K92" s="428"/>
      <c r="L92" s="428"/>
      <c r="M92" s="428"/>
      <c r="N92" s="42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99"/>
    </row>
    <row r="93" spans="1:37" ht="13.5" customHeight="1">
      <c r="A93" s="619"/>
      <c r="B93" s="426"/>
      <c r="C93" s="430" t="s">
        <v>719</v>
      </c>
      <c r="D93" s="431">
        <f>'Copia de Emisiones Energía'!D93*0.001</f>
        <v>0.65910000000000002</v>
      </c>
      <c r="E93" s="431">
        <f>'Copia de Emisiones Energía'!E93*0.001</f>
        <v>0.63060000000000005</v>
      </c>
      <c r="F93" s="431">
        <f>'Copia de Emisiones Energía'!F93*0.001</f>
        <v>0.48710000000000003</v>
      </c>
      <c r="G93" s="431">
        <f>'Copia de Emisiones Energía'!G93*0.001</f>
        <v>0.58610000000000007</v>
      </c>
      <c r="H93" s="428"/>
      <c r="I93" s="428"/>
      <c r="J93" s="428"/>
      <c r="K93" s="428"/>
      <c r="L93" s="428"/>
      <c r="M93" s="428"/>
      <c r="N93" s="42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99"/>
    </row>
    <row r="94" spans="1:37" ht="13.5" customHeight="1">
      <c r="A94" s="619"/>
      <c r="B94" s="426"/>
      <c r="C94" s="430"/>
      <c r="D94" s="428"/>
      <c r="E94" s="428"/>
      <c r="F94" s="428"/>
      <c r="G94" s="428"/>
      <c r="H94" s="428"/>
      <c r="I94" s="428"/>
      <c r="J94" s="428"/>
      <c r="K94" s="428"/>
      <c r="L94" s="428"/>
      <c r="M94" s="428"/>
      <c r="N94" s="42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99"/>
    </row>
    <row r="95" spans="1:37" ht="13.5" customHeight="1">
      <c r="A95" s="619"/>
      <c r="B95" s="426"/>
      <c r="C95" s="131" t="s">
        <v>705</v>
      </c>
      <c r="D95" s="431">
        <f t="shared" ref="D95:G95" si="8">SUM(D84:D93)</f>
        <v>31.429099999999998</v>
      </c>
      <c r="E95" s="431">
        <f t="shared" si="8"/>
        <v>31.553900000000006</v>
      </c>
      <c r="F95" s="431">
        <f t="shared" si="8"/>
        <v>26.964000000000002</v>
      </c>
      <c r="G95" s="431">
        <f t="shared" si="8"/>
        <v>30.8795</v>
      </c>
      <c r="H95" s="428"/>
      <c r="I95" s="428"/>
      <c r="J95" s="428"/>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99"/>
    </row>
    <row r="96" spans="1:37" ht="13.5" customHeight="1">
      <c r="A96" s="619"/>
      <c r="B96" s="500"/>
      <c r="C96" s="501"/>
      <c r="D96" s="502"/>
      <c r="E96" s="502"/>
      <c r="F96" s="502"/>
      <c r="G96" s="502"/>
      <c r="H96" s="502"/>
      <c r="I96" s="502"/>
      <c r="J96" s="502"/>
      <c r="K96" s="502"/>
      <c r="L96" s="502"/>
      <c r="M96" s="502"/>
      <c r="N96" s="502"/>
      <c r="O96" s="502"/>
      <c r="P96" s="502"/>
      <c r="Q96" s="502"/>
      <c r="R96" s="502"/>
      <c r="S96" s="502"/>
      <c r="T96" s="502"/>
      <c r="U96" s="502"/>
      <c r="V96" s="502"/>
      <c r="W96" s="502"/>
      <c r="X96" s="502"/>
      <c r="Y96" s="502"/>
      <c r="Z96" s="502"/>
      <c r="AA96" s="502"/>
      <c r="AB96" s="502"/>
      <c r="AC96" s="502"/>
      <c r="AD96" s="502"/>
      <c r="AE96" s="502"/>
      <c r="AF96" s="502"/>
      <c r="AG96" s="502"/>
      <c r="AH96" s="502"/>
      <c r="AI96" s="502"/>
      <c r="AJ96" s="502"/>
      <c r="AK96" s="503"/>
    </row>
    <row r="97" spans="1:37"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c r="A98" s="619"/>
      <c r="B98" s="23"/>
      <c r="C98" s="250"/>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375"/>
    </row>
    <row r="99" spans="1:37" ht="13.5" customHeight="1">
      <c r="A99" s="619"/>
      <c r="B99" s="253"/>
      <c r="C99" s="281" t="s">
        <v>720</v>
      </c>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7"/>
    </row>
    <row r="100" spans="1:37" ht="13.5" customHeight="1">
      <c r="A100" s="619"/>
      <c r="B100" s="253"/>
      <c r="C100" s="259" t="s">
        <v>703</v>
      </c>
      <c r="D100" s="323">
        <f>'Copia de Emisiones Energía'!D100*0.001</f>
        <v>0.31280000000000002</v>
      </c>
      <c r="E100" s="323">
        <f>'Copia de Emisiones Energía'!E100*0.001</f>
        <v>0.34489999999999998</v>
      </c>
      <c r="F100" s="323">
        <f>'Copia de Emisiones Energía'!F100*0.001</f>
        <v>0.30449999999999999</v>
      </c>
      <c r="G100" s="323">
        <f>'Copia de Emisiones Energía'!G100*0.001</f>
        <v>0.32930000000000004</v>
      </c>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7"/>
    </row>
    <row r="101" spans="1:37" ht="13.5" customHeight="1">
      <c r="A101" s="619"/>
      <c r="B101" s="253"/>
      <c r="C101" s="259" t="s">
        <v>704</v>
      </c>
      <c r="D101" s="323">
        <f>'Copia de Emisiones Energía'!D101*0.001</f>
        <v>0.32269999999999999</v>
      </c>
      <c r="E101" s="323">
        <f>'Copia de Emisiones Energía'!E101*0.001</f>
        <v>0.29699999999999999</v>
      </c>
      <c r="F101" s="323">
        <f>'Copia de Emisiones Energía'!F101*0.001</f>
        <v>0.26050000000000001</v>
      </c>
      <c r="G101" s="323">
        <f>'Copia de Emisiones Energía'!G101*0.001</f>
        <v>0.28810000000000002</v>
      </c>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7"/>
    </row>
    <row r="102" spans="1:37" ht="13.5" customHeight="1">
      <c r="A102" s="619"/>
      <c r="B102" s="253"/>
      <c r="C102" s="130" t="s">
        <v>705</v>
      </c>
      <c r="D102" s="504">
        <f t="shared" ref="D102:G102" si="9">SUM(D100:D101)</f>
        <v>0.63549999999999995</v>
      </c>
      <c r="E102" s="504">
        <f t="shared" si="9"/>
        <v>0.64189999999999992</v>
      </c>
      <c r="F102" s="504">
        <f t="shared" si="9"/>
        <v>0.56499999999999995</v>
      </c>
      <c r="G102" s="504">
        <f t="shared" si="9"/>
        <v>0.61740000000000006</v>
      </c>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377"/>
    </row>
    <row r="103" spans="1:37" ht="13.5" customHeight="1">
      <c r="A103" s="619"/>
      <c r="B103" s="253"/>
      <c r="C103" s="281"/>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76"/>
      <c r="AH103" s="376"/>
      <c r="AI103" s="376"/>
      <c r="AJ103" s="376"/>
      <c r="AK103" s="377"/>
    </row>
    <row r="104" spans="1:37" ht="13.5" customHeight="1">
      <c r="A104" s="619"/>
      <c r="B104" s="253"/>
      <c r="C104" s="281" t="s">
        <v>721</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7"/>
    </row>
    <row r="105" spans="1:37" ht="13.5" customHeight="1">
      <c r="A105" s="619"/>
      <c r="B105" s="253"/>
      <c r="C105" s="259" t="s">
        <v>702</v>
      </c>
      <c r="D105" s="323">
        <f>'Copia de Emisiones Energía'!D105*0.001</f>
        <v>0.44900000000000001</v>
      </c>
      <c r="E105" s="323">
        <f>'Copia de Emisiones Energía'!E105*0.001</f>
        <v>0.4854</v>
      </c>
      <c r="F105" s="323">
        <f>'Copia de Emisiones Energía'!F105*0.001</f>
        <v>0.45460000000000006</v>
      </c>
      <c r="G105" s="323">
        <f>'Copia de Emisiones Energía'!G105*0.001</f>
        <v>0.4375</v>
      </c>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377"/>
    </row>
    <row r="106" spans="1:37" ht="13.5" customHeight="1">
      <c r="A106" s="619"/>
      <c r="B106" s="253"/>
      <c r="C106" s="259" t="s">
        <v>713</v>
      </c>
      <c r="D106" s="323">
        <f>'Copia de Emisiones Energía'!D106*0.001</f>
        <v>4.9399999999999999E-2</v>
      </c>
      <c r="E106" s="323">
        <f>'Copia de Emisiones Energía'!E106*0.001</f>
        <v>4.0700000000000007E-2</v>
      </c>
      <c r="F106" s="323">
        <f>'Copia de Emisiones Energía'!F106*0.001</f>
        <v>4.1700000000000001E-2</v>
      </c>
      <c r="G106" s="323">
        <f>'Copia de Emisiones Energía'!G106*0.001</f>
        <v>3.9700000000000006E-2</v>
      </c>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377"/>
    </row>
    <row r="107" spans="1:37" ht="13.5" customHeight="1">
      <c r="A107" s="619"/>
      <c r="B107" s="253"/>
      <c r="C107" s="259" t="s">
        <v>716</v>
      </c>
      <c r="D107" s="323">
        <f>'Copia de Emisiones Energía'!D107*0.001</f>
        <v>4.6300000000000001E-2</v>
      </c>
      <c r="E107" s="323">
        <f>'Copia de Emisiones Energía'!E107*0.001</f>
        <v>5.1400000000000001E-2</v>
      </c>
      <c r="F107" s="323">
        <f>'Copia de Emisiones Energía'!F107*0.001</f>
        <v>4.3700000000000003E-2</v>
      </c>
      <c r="G107" s="323">
        <f>'Copia de Emisiones Energía'!G107*0.001</f>
        <v>4.9100000000000005E-2</v>
      </c>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377"/>
    </row>
    <row r="108" spans="1:37" ht="13.5" customHeight="1">
      <c r="A108" s="619"/>
      <c r="B108" s="253"/>
      <c r="C108" s="259" t="s">
        <v>717</v>
      </c>
      <c r="D108" s="323">
        <f>'Copia de Emisiones Energía'!D108*0.001</f>
        <v>8.8999999999999999E-3</v>
      </c>
      <c r="E108" s="323">
        <f>'Copia de Emisiones Energía'!E108*0.001</f>
        <v>1.0199999999999999E-2</v>
      </c>
      <c r="F108" s="323">
        <f>'Copia de Emisiones Energía'!F108*0.001</f>
        <v>9.300000000000001E-3</v>
      </c>
      <c r="G108" s="323">
        <f>'Copia de Emisiones Energía'!G108*0.001</f>
        <v>1.01E-2</v>
      </c>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7"/>
    </row>
    <row r="109" spans="1:37" ht="13.5" customHeight="1">
      <c r="A109" s="619"/>
      <c r="B109" s="253"/>
      <c r="C109" s="259" t="s">
        <v>709</v>
      </c>
      <c r="D109" s="323">
        <f>'Copia de Emisiones Energía'!D109*0.001</f>
        <v>0.35399999999999998</v>
      </c>
      <c r="E109" s="323">
        <f>'Copia de Emisiones Energía'!E109*0.001</f>
        <v>0.36249999999999999</v>
      </c>
      <c r="F109" s="323">
        <f>'Copia de Emisiones Energía'!F109*0.001</f>
        <v>0.31290000000000001</v>
      </c>
      <c r="G109" s="323">
        <f>'Copia de Emisiones Energía'!G109*0.001</f>
        <v>0.32739999999999997</v>
      </c>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377"/>
    </row>
    <row r="110" spans="1:37" ht="13.5" customHeight="1">
      <c r="A110" s="619"/>
      <c r="B110" s="253"/>
      <c r="C110" s="259" t="s">
        <v>710</v>
      </c>
      <c r="D110" s="323">
        <f>'Copia de Emisiones Energía'!D110*0.001</f>
        <v>0.6431</v>
      </c>
      <c r="E110" s="323">
        <f>'Copia de Emisiones Energía'!E110*0.001</f>
        <v>0.58550000000000002</v>
      </c>
      <c r="F110" s="323">
        <f>'Copia de Emisiones Energía'!F110*0.001</f>
        <v>0.49180000000000001</v>
      </c>
      <c r="G110" s="323">
        <f>'Copia de Emisiones Energía'!G110*0.001</f>
        <v>0.58389999999999997</v>
      </c>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377"/>
    </row>
    <row r="111" spans="1:37" ht="13.5" customHeight="1">
      <c r="A111" s="619"/>
      <c r="B111" s="253"/>
      <c r="C111" s="259" t="s">
        <v>722</v>
      </c>
      <c r="D111" s="323">
        <f>'Copia de Emisiones Energía'!D111*0.001</f>
        <v>9.6500000000000002E-2</v>
      </c>
      <c r="E111" s="323">
        <f>'Copia de Emisiones Energía'!E111*0.001</f>
        <v>9.35E-2</v>
      </c>
      <c r="F111" s="323">
        <f>'Copia de Emisiones Energía'!F111*0.001</f>
        <v>0.192</v>
      </c>
      <c r="G111" s="323">
        <f>'Copia de Emisiones Energía'!G111*0.001</f>
        <v>0.2049</v>
      </c>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7"/>
    </row>
    <row r="112" spans="1:37" ht="13.5" customHeight="1">
      <c r="A112" s="619"/>
      <c r="B112" s="253"/>
      <c r="C112" s="130" t="s">
        <v>705</v>
      </c>
      <c r="D112" s="504">
        <f t="shared" ref="D112:G112" si="10">SUM(D105:D111)</f>
        <v>1.6472</v>
      </c>
      <c r="E112" s="504">
        <f t="shared" si="10"/>
        <v>1.6291999999999998</v>
      </c>
      <c r="F112" s="504">
        <f t="shared" si="10"/>
        <v>1.546</v>
      </c>
      <c r="G112" s="504">
        <f t="shared" si="10"/>
        <v>1.6525999999999998</v>
      </c>
      <c r="H112" s="376"/>
      <c r="I112" s="376"/>
      <c r="J112" s="376"/>
      <c r="K112" s="376"/>
      <c r="L112" s="376"/>
      <c r="M112" s="376"/>
      <c r="N112" s="376"/>
      <c r="O112" s="376"/>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7"/>
    </row>
    <row r="113" spans="1:37" ht="13.5" customHeight="1">
      <c r="A113" s="619"/>
      <c r="B113" s="294"/>
      <c r="C113" s="358"/>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466"/>
    </row>
    <row r="114" spans="1:37"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c r="A115" s="1"/>
      <c r="B115" s="1"/>
      <c r="C115" s="15" t="s">
        <v>723</v>
      </c>
      <c r="D115" s="132">
        <f t="shared" ref="D115:G115" si="11">SUM(D112,D102,D95,D78,D68,D56)</f>
        <v>39.720200000000006</v>
      </c>
      <c r="E115" s="132">
        <f t="shared" si="11"/>
        <v>39.057400000000001</v>
      </c>
      <c r="F115" s="132">
        <f t="shared" si="11"/>
        <v>34.075600000000009</v>
      </c>
      <c r="G115" s="132">
        <f t="shared" si="11"/>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c r="A117" s="619"/>
      <c r="B117" s="23"/>
      <c r="C117" s="250"/>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375"/>
    </row>
    <row r="118" spans="1:37" ht="20.25" customHeight="1">
      <c r="A118" s="619"/>
      <c r="B118" s="253"/>
      <c r="C118" s="493" t="s">
        <v>724</v>
      </c>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c r="AD118" s="258"/>
      <c r="AE118" s="258"/>
      <c r="AF118" s="258"/>
      <c r="AG118" s="258"/>
      <c r="AH118" s="258"/>
      <c r="AI118" s="258"/>
      <c r="AJ118" s="258"/>
      <c r="AK118" s="377"/>
    </row>
    <row r="119" spans="1:37" ht="14.45">
      <c r="A119" s="619"/>
      <c r="B119" s="253"/>
      <c r="C119" s="505" t="s">
        <v>725</v>
      </c>
      <c r="D119" s="323">
        <f>'Copia de Emisiones Energía'!D120*$D$133</f>
        <v>15.490147799316896</v>
      </c>
      <c r="E119" s="323">
        <f>'Copia de Emisiones Energía'!E120*$D$133</f>
        <v>16.326872430228008</v>
      </c>
      <c r="F119" s="323">
        <f>'Copia de Emisiones Energía'!F120*$D$133</f>
        <v>16.451713370995453</v>
      </c>
      <c r="G119" s="323">
        <f>'Copia de Emisiones Energía'!G120*$D$133</f>
        <v>15.71137755946758</v>
      </c>
      <c r="H119" s="376"/>
      <c r="I119" s="376"/>
      <c r="J119" s="376"/>
      <c r="K119" s="376"/>
      <c r="L119" s="376"/>
      <c r="M119" s="376"/>
      <c r="N119" s="376"/>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377"/>
    </row>
    <row r="120" spans="1:37" ht="14.45">
      <c r="A120" s="619"/>
      <c r="B120" s="253"/>
      <c r="C120" s="506"/>
      <c r="D120" s="323"/>
      <c r="E120" s="323"/>
      <c r="F120" s="323"/>
      <c r="G120" s="323"/>
      <c r="H120" s="376"/>
      <c r="I120" s="376"/>
      <c r="J120" s="376"/>
      <c r="K120" s="376"/>
      <c r="L120" s="376"/>
      <c r="M120" s="376"/>
      <c r="N120" s="376"/>
      <c r="O120" s="376"/>
      <c r="P120" s="376"/>
      <c r="Q120" s="376"/>
      <c r="R120" s="376"/>
      <c r="S120" s="376"/>
      <c r="T120" s="376"/>
      <c r="U120" s="376"/>
      <c r="V120" s="376"/>
      <c r="W120" s="376"/>
      <c r="X120" s="376"/>
      <c r="Y120" s="376"/>
      <c r="Z120" s="376"/>
      <c r="AA120" s="376"/>
      <c r="AB120" s="376"/>
      <c r="AC120" s="376"/>
      <c r="AD120" s="376"/>
      <c r="AE120" s="376"/>
      <c r="AF120" s="376"/>
      <c r="AG120" s="376"/>
      <c r="AH120" s="376"/>
      <c r="AI120" s="376"/>
      <c r="AJ120" s="376"/>
      <c r="AK120" s="377"/>
    </row>
    <row r="121" spans="1:37" ht="28.9">
      <c r="A121" s="619"/>
      <c r="B121" s="253"/>
      <c r="C121" s="506" t="s">
        <v>726</v>
      </c>
      <c r="D121" s="323">
        <f t="shared" ref="D121:G121" si="12">D71/D119</f>
        <v>7.3549976072548665E-2</v>
      </c>
      <c r="E121" s="323">
        <f t="shared" si="12"/>
        <v>7.3541335312756653E-2</v>
      </c>
      <c r="F121" s="323">
        <f t="shared" si="12"/>
        <v>7.3542492062441775E-2</v>
      </c>
      <c r="G121" s="323">
        <f t="shared" si="12"/>
        <v>7.3545428822293354E-2</v>
      </c>
      <c r="H121" s="376"/>
      <c r="I121" s="376"/>
      <c r="J121" s="376"/>
      <c r="K121" s="376"/>
      <c r="L121" s="376"/>
      <c r="M121" s="376"/>
      <c r="N121" s="376"/>
      <c r="O121" s="376"/>
      <c r="P121" s="376"/>
      <c r="Q121" s="376"/>
      <c r="R121" s="376"/>
      <c r="S121" s="376"/>
      <c r="T121" s="376"/>
      <c r="U121" s="376"/>
      <c r="V121" s="376"/>
      <c r="W121" s="376"/>
      <c r="X121" s="376"/>
      <c r="Y121" s="376"/>
      <c r="Z121" s="376"/>
      <c r="AA121" s="376"/>
      <c r="AB121" s="376"/>
      <c r="AC121" s="376"/>
      <c r="AD121" s="376"/>
      <c r="AE121" s="376"/>
      <c r="AF121" s="376"/>
      <c r="AG121" s="376"/>
      <c r="AH121" s="376"/>
      <c r="AI121" s="376"/>
      <c r="AJ121" s="376"/>
      <c r="AK121" s="377"/>
    </row>
    <row r="122" spans="1:37" ht="14.45">
      <c r="A122" s="619"/>
      <c r="B122" s="253"/>
      <c r="C122" s="506"/>
      <c r="D122" s="323"/>
      <c r="E122" s="323"/>
      <c r="F122" s="323"/>
      <c r="G122" s="323"/>
      <c r="H122" s="376"/>
      <c r="I122" s="376"/>
      <c r="J122" s="376"/>
      <c r="K122" s="376"/>
      <c r="L122" s="376"/>
      <c r="M122" s="376"/>
      <c r="N122" s="376"/>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377"/>
    </row>
    <row r="123" spans="1:37" ht="28.9">
      <c r="A123" s="619"/>
      <c r="B123" s="253"/>
      <c r="C123" s="506" t="s">
        <v>727</v>
      </c>
      <c r="D123" s="323">
        <f>'Copia de Emisiones Energía'!D122*$D$139</f>
        <v>7.329999999999999E-2</v>
      </c>
      <c r="E123" s="323"/>
      <c r="F123" s="323"/>
      <c r="G123" s="323"/>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377"/>
    </row>
    <row r="124" spans="1:37" ht="28.9">
      <c r="A124" s="619"/>
      <c r="B124" s="253"/>
      <c r="C124" s="505" t="s">
        <v>728</v>
      </c>
      <c r="D124" s="376">
        <f>'Copia de Emisiones Energía'!D125/1000</f>
        <v>6.081900000000001</v>
      </c>
      <c r="E124" s="376">
        <f>'Copia de Emisiones Energía'!E125/1000</f>
        <v>6.6057000000000006</v>
      </c>
      <c r="F124" s="376">
        <f>'Copia de Emisiones Energía'!F125/1000</f>
        <v>6.1866599999999998</v>
      </c>
      <c r="G124" s="376">
        <f>'Copia de Emisiones Energía'!G125/1000</f>
        <v>5.9538600000000006</v>
      </c>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377"/>
    </row>
    <row r="125" spans="1:37" ht="28.9">
      <c r="A125" s="619"/>
      <c r="B125" s="253"/>
      <c r="C125" s="506" t="s">
        <v>729</v>
      </c>
      <c r="D125" s="387">
        <f>'Copia de Emisiones Energía'!D128*0.001</f>
        <v>0.44580327000000008</v>
      </c>
      <c r="E125" s="387">
        <f>'Copia de Emisiones Energía'!E128*0.001</f>
        <v>0.48419781000000006</v>
      </c>
      <c r="F125" s="387">
        <f>'Copia de Emisiones Energía'!F128*0.001</f>
        <v>0.45348217799999996</v>
      </c>
      <c r="G125" s="387">
        <f>'Copia de Emisiones Energía'!G128*0.001</f>
        <v>0.43641793800000006</v>
      </c>
      <c r="H125" s="376"/>
      <c r="I125" s="376"/>
      <c r="J125" s="376"/>
      <c r="K125" s="376"/>
      <c r="L125" s="376"/>
      <c r="M125" s="376"/>
      <c r="N125" s="376"/>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377"/>
    </row>
    <row r="126" spans="1:37" ht="13.5" customHeight="1">
      <c r="A126" s="619"/>
      <c r="B126" s="294"/>
      <c r="C126" s="358"/>
      <c r="D126" s="295"/>
      <c r="E126" s="295"/>
      <c r="F126" s="295"/>
      <c r="G126" s="295"/>
      <c r="H126" s="295"/>
      <c r="I126" s="295"/>
      <c r="J126" s="295"/>
      <c r="K126" s="295"/>
      <c r="L126" s="295"/>
      <c r="M126" s="295"/>
      <c r="N126" s="295"/>
      <c r="O126" s="295"/>
      <c r="P126" s="295"/>
      <c r="Q126" s="295"/>
      <c r="R126" s="295"/>
      <c r="S126" s="295"/>
      <c r="T126" s="295"/>
      <c r="U126" s="295"/>
      <c r="V126" s="295"/>
      <c r="W126" s="295"/>
      <c r="X126" s="295"/>
      <c r="Y126" s="295"/>
      <c r="Z126" s="295"/>
      <c r="AA126" s="295"/>
      <c r="AB126" s="295"/>
      <c r="AC126" s="295"/>
      <c r="AD126" s="295"/>
      <c r="AE126" s="295"/>
      <c r="AF126" s="295"/>
      <c r="AG126" s="295"/>
      <c r="AH126" s="295"/>
      <c r="AI126" s="295"/>
      <c r="AJ126" s="295"/>
      <c r="AK126" s="466"/>
    </row>
    <row r="127" spans="1:37"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c r="A128" s="1"/>
      <c r="B128" s="1"/>
      <c r="C128" s="12" t="s">
        <v>95</v>
      </c>
      <c r="D128" s="5"/>
      <c r="E128" s="5"/>
      <c r="F128" s="5"/>
      <c r="G128" s="5"/>
      <c r="H128" s="619"/>
      <c r="I128" s="619"/>
      <c r="J128" s="619"/>
      <c r="K128" s="619"/>
      <c r="L128" s="619"/>
      <c r="M128" s="619"/>
      <c r="N128" s="619"/>
      <c r="O128" s="619"/>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c r="A129" s="1"/>
      <c r="B129" s="1"/>
      <c r="C129" s="4"/>
      <c r="D129" s="21"/>
      <c r="E129" s="21"/>
      <c r="F129" s="21"/>
      <c r="G129" s="22"/>
      <c r="H129" s="619"/>
      <c r="I129" s="619"/>
      <c r="J129" s="619"/>
      <c r="K129" s="619"/>
      <c r="L129" s="619"/>
      <c r="M129" s="619"/>
      <c r="N129" s="619"/>
      <c r="O129" s="619"/>
      <c r="P129" s="1"/>
      <c r="Q129" s="1"/>
      <c r="R129" s="1"/>
      <c r="S129" s="1"/>
      <c r="T129" s="1"/>
      <c r="U129" s="1"/>
      <c r="V129" s="1"/>
      <c r="W129" s="1"/>
      <c r="X129" s="1"/>
      <c r="Y129" s="1"/>
      <c r="Z129" s="1"/>
      <c r="AA129" s="1"/>
      <c r="AB129" s="1"/>
      <c r="AC129" s="1"/>
      <c r="AD129" s="1"/>
      <c r="AE129" s="1"/>
      <c r="AF129" s="1"/>
      <c r="AG129" s="1"/>
      <c r="AH129" s="1"/>
      <c r="AI129" s="1"/>
      <c r="AJ129" s="1"/>
      <c r="AK129" s="1"/>
    </row>
    <row r="130" spans="1:37" ht="18.75" customHeight="1">
      <c r="A130" s="1"/>
      <c r="B130" s="1"/>
      <c r="C130" s="237" t="s">
        <v>730</v>
      </c>
      <c r="D130" s="241">
        <f>(F130*H130*J130*L130*N130*P130)/(H131*J131*L131*N131*P131)</f>
        <v>2.738070278219731E-2</v>
      </c>
      <c r="E130" s="239" t="s">
        <v>731</v>
      </c>
      <c r="F130" s="13">
        <v>1</v>
      </c>
      <c r="G130" s="240" t="s">
        <v>732</v>
      </c>
      <c r="H130" s="13">
        <v>1</v>
      </c>
      <c r="I130" s="240" t="s">
        <v>733</v>
      </c>
      <c r="J130" s="13">
        <v>1</v>
      </c>
      <c r="K130" s="240" t="s">
        <v>106</v>
      </c>
      <c r="L130" s="13">
        <v>1000</v>
      </c>
      <c r="M130" s="240" t="s">
        <v>107</v>
      </c>
      <c r="N130" s="13">
        <v>1</v>
      </c>
      <c r="O130" s="240" t="s">
        <v>97</v>
      </c>
      <c r="P130" s="1">
        <v>1</v>
      </c>
      <c r="Q130" s="240" t="s">
        <v>734</v>
      </c>
      <c r="R130" s="1"/>
      <c r="S130" s="1"/>
      <c r="T130" s="1"/>
      <c r="U130" s="1"/>
      <c r="V130" s="1"/>
      <c r="W130" s="1"/>
      <c r="X130" s="1"/>
      <c r="Y130" s="1"/>
      <c r="Z130" s="1"/>
      <c r="AA130" s="1"/>
      <c r="AB130" s="1"/>
      <c r="AC130" s="1"/>
      <c r="AD130" s="1"/>
      <c r="AE130" s="1"/>
      <c r="AF130" s="1"/>
      <c r="AG130" s="1"/>
      <c r="AH130" s="1"/>
      <c r="AI130" s="1"/>
      <c r="AJ130" s="1"/>
      <c r="AK130" s="1"/>
    </row>
    <row r="131" spans="1:37" ht="13.5" customHeight="1">
      <c r="A131" s="1"/>
      <c r="B131" s="1"/>
      <c r="C131" s="4"/>
      <c r="D131" s="8"/>
      <c r="E131" s="8"/>
      <c r="F131" s="8"/>
      <c r="G131" s="240" t="s">
        <v>733</v>
      </c>
      <c r="H131" s="13">
        <v>1000</v>
      </c>
      <c r="I131" s="240" t="s">
        <v>106</v>
      </c>
      <c r="J131" s="507">
        <v>6.2897999999999996</v>
      </c>
      <c r="K131" s="240" t="s">
        <v>107</v>
      </c>
      <c r="L131" s="13">
        <v>1</v>
      </c>
      <c r="M131" s="240" t="s">
        <v>97</v>
      </c>
      <c r="N131" s="133">
        <f>D133</f>
        <v>5.8065553845323302E-3</v>
      </c>
      <c r="O131" s="240" t="s">
        <v>109</v>
      </c>
      <c r="P131" s="1">
        <v>1000</v>
      </c>
      <c r="Q131" s="240" t="s">
        <v>732</v>
      </c>
      <c r="R131" s="1"/>
      <c r="S131" s="1"/>
      <c r="T131" s="1"/>
      <c r="U131" s="1"/>
      <c r="V131" s="1"/>
      <c r="W131" s="1"/>
      <c r="X131" s="1"/>
      <c r="Y131" s="1"/>
      <c r="Z131" s="1"/>
      <c r="AA131" s="1"/>
      <c r="AB131" s="1"/>
      <c r="AC131" s="1"/>
      <c r="AD131" s="1"/>
      <c r="AE131" s="1"/>
      <c r="AF131" s="1"/>
      <c r="AG131" s="1"/>
      <c r="AH131" s="1"/>
      <c r="AI131" s="1"/>
      <c r="AJ131" s="1"/>
      <c r="AK131" s="1"/>
    </row>
    <row r="132" spans="1:37"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22.5" customHeight="1">
      <c r="A133" s="1"/>
      <c r="B133" s="1"/>
      <c r="C133" s="237" t="s">
        <v>108</v>
      </c>
      <c r="D133" s="241">
        <f>(F133*H133*J133*L133*N133)/(H134*J134*L134*N134)</f>
        <v>5.8065553845323302E-3</v>
      </c>
      <c r="E133" s="508" t="s">
        <v>109</v>
      </c>
      <c r="F133" s="13">
        <v>1</v>
      </c>
      <c r="G133" s="240" t="s">
        <v>97</v>
      </c>
      <c r="H133" s="13">
        <v>1000</v>
      </c>
      <c r="I133" s="240" t="s">
        <v>107</v>
      </c>
      <c r="J133" s="13">
        <v>1</v>
      </c>
      <c r="K133" s="240" t="s">
        <v>110</v>
      </c>
      <c r="L133" s="242">
        <v>41.84</v>
      </c>
      <c r="M133" s="240" t="s">
        <v>111</v>
      </c>
      <c r="N133" s="13">
        <v>1</v>
      </c>
      <c r="O133" s="240" t="s">
        <v>109</v>
      </c>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c r="A134" s="1"/>
      <c r="B134" s="1"/>
      <c r="C134" s="4"/>
      <c r="D134" s="8"/>
      <c r="E134" s="8"/>
      <c r="F134" s="8"/>
      <c r="G134" s="8"/>
      <c r="H134" s="13">
        <v>1</v>
      </c>
      <c r="I134" s="240" t="s">
        <v>97</v>
      </c>
      <c r="J134" s="243">
        <v>7.2056490000000002</v>
      </c>
      <c r="K134" s="240" t="s">
        <v>107</v>
      </c>
      <c r="L134" s="13">
        <v>1000</v>
      </c>
      <c r="M134" s="240" t="s">
        <v>110</v>
      </c>
      <c r="N134" s="13">
        <v>1000</v>
      </c>
      <c r="O134" s="240" t="s">
        <v>111</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8">
      <c r="A136" s="1"/>
      <c r="B136" s="1"/>
      <c r="C136" s="237" t="s">
        <v>735</v>
      </c>
      <c r="D136" s="509">
        <f>(F136*H136*J136*L136*N136*P136)/(H137*J137*L137*N137*P137)</f>
        <v>28.796298759232286</v>
      </c>
      <c r="E136" s="239" t="s">
        <v>731</v>
      </c>
      <c r="F136" s="13">
        <v>1</v>
      </c>
      <c r="G136" s="240" t="s">
        <v>732</v>
      </c>
      <c r="H136" s="13">
        <v>1</v>
      </c>
      <c r="I136" s="240" t="s">
        <v>733</v>
      </c>
      <c r="J136" s="13">
        <v>1000</v>
      </c>
      <c r="K136" s="240" t="s">
        <v>106</v>
      </c>
      <c r="L136" s="13">
        <v>1000</v>
      </c>
      <c r="M136" s="240" t="s">
        <v>107</v>
      </c>
      <c r="N136" s="13">
        <v>1</v>
      </c>
      <c r="O136" s="240" t="s">
        <v>97</v>
      </c>
      <c r="P136" s="1">
        <v>1</v>
      </c>
      <c r="Q136" s="240" t="s">
        <v>734</v>
      </c>
      <c r="R136" s="1"/>
      <c r="S136" s="1"/>
      <c r="T136" s="1"/>
      <c r="U136" s="1"/>
      <c r="V136" s="1"/>
      <c r="W136" s="1"/>
      <c r="X136" s="1"/>
      <c r="Y136" s="1"/>
      <c r="Z136" s="1"/>
      <c r="AA136" s="1"/>
      <c r="AB136" s="1"/>
      <c r="AC136" s="1"/>
      <c r="AD136" s="1"/>
      <c r="AE136" s="1"/>
      <c r="AF136" s="1"/>
      <c r="AG136" s="1"/>
      <c r="AH136" s="1"/>
      <c r="AI136" s="1"/>
      <c r="AJ136" s="1"/>
      <c r="AK136" s="1"/>
    </row>
    <row r="137" spans="1:37" ht="13.5" customHeight="1">
      <c r="A137" s="1"/>
      <c r="B137" s="1"/>
      <c r="C137" s="4"/>
      <c r="D137" s="8"/>
      <c r="E137" s="8"/>
      <c r="F137" s="8"/>
      <c r="G137" s="240" t="s">
        <v>733</v>
      </c>
      <c r="H137" s="13">
        <v>1000</v>
      </c>
      <c r="I137" s="240" t="s">
        <v>106</v>
      </c>
      <c r="J137" s="14">
        <v>5.9805999999999999</v>
      </c>
      <c r="K137" s="240" t="s">
        <v>107</v>
      </c>
      <c r="L137" s="13">
        <v>1</v>
      </c>
      <c r="M137" s="240" t="s">
        <v>97</v>
      </c>
      <c r="N137" s="133">
        <f>D133</f>
        <v>5.8065553845323302E-3</v>
      </c>
      <c r="O137" s="240" t="s">
        <v>109</v>
      </c>
      <c r="P137" s="1">
        <v>1000</v>
      </c>
      <c r="Q137" s="240" t="s">
        <v>732</v>
      </c>
      <c r="R137" s="1"/>
      <c r="S137" s="1"/>
      <c r="T137" s="1"/>
      <c r="U137" s="1"/>
      <c r="V137" s="1"/>
      <c r="W137" s="1"/>
      <c r="X137" s="1"/>
      <c r="Y137" s="1"/>
      <c r="Z137" s="1"/>
      <c r="AA137" s="1"/>
      <c r="AB137" s="1"/>
      <c r="AC137" s="1"/>
      <c r="AD137" s="1"/>
      <c r="AE137" s="1"/>
      <c r="AF137" s="1"/>
      <c r="AG137" s="1"/>
      <c r="AH137" s="1"/>
      <c r="AI137" s="1"/>
      <c r="AJ137" s="1"/>
      <c r="AK137" s="1"/>
    </row>
    <row r="138" spans="1:37"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21" customHeight="1">
      <c r="A139" s="1"/>
      <c r="B139" s="1"/>
      <c r="C139" s="237" t="s">
        <v>736</v>
      </c>
      <c r="D139" s="241">
        <f>(F139*H139*J139*L139)/(H140*J140*L140)</f>
        <v>9.9999999999999995E-7</v>
      </c>
      <c r="E139" s="508" t="s">
        <v>731</v>
      </c>
      <c r="F139" s="13">
        <v>1</v>
      </c>
      <c r="G139" s="240" t="s">
        <v>737</v>
      </c>
      <c r="H139" s="13">
        <v>1000</v>
      </c>
      <c r="I139" s="240" t="s">
        <v>111</v>
      </c>
      <c r="J139" s="13">
        <v>1</v>
      </c>
      <c r="K139" s="240" t="s">
        <v>732</v>
      </c>
      <c r="L139" s="1">
        <v>1</v>
      </c>
      <c r="M139" s="240" t="s">
        <v>734</v>
      </c>
      <c r="N139" s="13"/>
      <c r="O139" s="5"/>
      <c r="P139" s="1"/>
      <c r="Q139" s="5"/>
      <c r="R139" s="1"/>
      <c r="S139" s="1"/>
      <c r="T139" s="1"/>
      <c r="U139" s="1"/>
      <c r="V139" s="1"/>
      <c r="W139" s="1"/>
      <c r="X139" s="1"/>
      <c r="Y139" s="1"/>
      <c r="Z139" s="1"/>
      <c r="AA139" s="1"/>
      <c r="AB139" s="1"/>
      <c r="AC139" s="1"/>
      <c r="AD139" s="1"/>
      <c r="AE139" s="1"/>
      <c r="AF139" s="1"/>
      <c r="AG139" s="1"/>
      <c r="AH139" s="1"/>
      <c r="AI139" s="1"/>
      <c r="AJ139" s="1"/>
      <c r="AK139" s="1"/>
    </row>
    <row r="140" spans="1:37" ht="13.5" customHeight="1">
      <c r="A140" s="1"/>
      <c r="B140" s="1"/>
      <c r="C140" s="4"/>
      <c r="D140" s="8"/>
      <c r="E140" s="8"/>
      <c r="F140" s="8"/>
      <c r="G140" s="240" t="s">
        <v>111</v>
      </c>
      <c r="H140" s="13">
        <v>1</v>
      </c>
      <c r="I140" s="240" t="s">
        <v>109</v>
      </c>
      <c r="J140" s="11">
        <v>1000000</v>
      </c>
      <c r="K140" s="240" t="s">
        <v>737</v>
      </c>
      <c r="L140" s="1">
        <v>1000</v>
      </c>
      <c r="M140" s="240" t="s">
        <v>732</v>
      </c>
      <c r="N140" s="133"/>
      <c r="O140" s="5"/>
      <c r="P140" s="1"/>
      <c r="Q140" s="5"/>
      <c r="R140" s="1"/>
      <c r="S140" s="1"/>
      <c r="T140" s="1"/>
      <c r="U140" s="1"/>
      <c r="V140" s="1"/>
      <c r="W140" s="1"/>
      <c r="X140" s="1"/>
      <c r="Y140" s="1"/>
      <c r="Z140" s="1"/>
      <c r="AA140" s="1"/>
      <c r="AB140" s="1"/>
      <c r="AC140" s="1"/>
      <c r="AD140" s="1"/>
      <c r="AE140" s="1"/>
      <c r="AF140" s="1"/>
      <c r="AG140" s="1"/>
      <c r="AH140" s="1"/>
      <c r="AI140" s="1"/>
      <c r="AJ140" s="1"/>
      <c r="AK140" s="1"/>
    </row>
    <row r="141" spans="1:37"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sheetData>
  <mergeCells count="3">
    <mergeCell ref="F5:I5"/>
    <mergeCell ref="E30:E31"/>
    <mergeCell ref="F30:F31"/>
  </mergeCells>
  <hyperlinks>
    <hyperlink ref="J131" r:id="rId1" display="https://biblioteca.olade.org/opac-tmpl/Documentos/old0380.pdf" xr:uid="{00000000-0004-0000-0900-000000000000}"/>
    <hyperlink ref="L133" r:id="rId2" display="https://biblioteca.olade.org/opac-tmpl/Documentos/old0380.pdf" xr:uid="{00000000-0004-0000-0900-000001000000}"/>
    <hyperlink ref="J134" r:id="rId3" display="https://biblioteca.olade.org/opac-tmpl/Documentos/old0380.pdf" xr:uid="{00000000-0004-0000-0900-000002000000}"/>
    <hyperlink ref="J137" r:id="rId4" display="https://biblioteca.olade.org/opac-tmpl/Documentos/old0380.pdf" xr:uid="{00000000-0004-0000-09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3C47D"/>
  </sheetPr>
  <dimension ref="A1:M1038"/>
  <sheetViews>
    <sheetView workbookViewId="0"/>
  </sheetViews>
  <sheetFormatPr defaultColWidth="12.6640625" defaultRowHeight="15" customHeight="1"/>
  <cols>
    <col min="1" max="1" width="3.21875" customWidth="1"/>
    <col min="2" max="2" width="2.44140625" customWidth="1"/>
    <col min="3" max="3" width="38.77734375" customWidth="1"/>
    <col min="4" max="5" width="13.77734375" customWidth="1"/>
    <col min="6" max="6" width="9" customWidth="1"/>
    <col min="7" max="10" width="13.77734375" customWidth="1"/>
    <col min="11" max="11" width="8.44140625" customWidth="1"/>
    <col min="12" max="12" width="3.44140625" customWidth="1"/>
    <col min="13" max="13" width="12.44140625" customWidth="1"/>
  </cols>
  <sheetData>
    <row r="1" spans="1:13" ht="20.25" customHeight="1">
      <c r="A1" s="619"/>
      <c r="B1" s="52"/>
      <c r="C1" s="621" t="s">
        <v>6</v>
      </c>
      <c r="D1" s="373"/>
      <c r="E1" s="373"/>
      <c r="F1" s="373"/>
      <c r="G1" s="373"/>
      <c r="H1" s="373"/>
      <c r="I1" s="373"/>
      <c r="J1" s="373"/>
      <c r="K1" s="373"/>
      <c r="L1" s="53"/>
      <c r="M1" s="1"/>
    </row>
    <row r="2" spans="1:13" ht="14.25" customHeight="1">
      <c r="A2" s="619"/>
      <c r="B2" s="619"/>
      <c r="C2" s="4"/>
      <c r="D2" s="5"/>
      <c r="E2" s="5"/>
      <c r="F2" s="5"/>
      <c r="G2" s="5"/>
      <c r="H2" s="619"/>
      <c r="I2" s="619"/>
      <c r="J2" s="619"/>
      <c r="K2" s="619"/>
      <c r="L2" s="619"/>
      <c r="M2" s="1"/>
    </row>
    <row r="3" spans="1:13" ht="14.25" customHeight="1">
      <c r="A3" s="619"/>
      <c r="B3" s="6"/>
      <c r="C3" s="152"/>
      <c r="D3" s="153"/>
      <c r="E3" s="153"/>
      <c r="F3" s="153"/>
      <c r="G3" s="153"/>
      <c r="H3" s="200"/>
      <c r="I3" s="200"/>
      <c r="J3" s="200"/>
      <c r="K3" s="200"/>
      <c r="L3" s="201"/>
      <c r="M3" s="1"/>
    </row>
    <row r="4" spans="1:13" ht="21" customHeight="1">
      <c r="A4" s="619"/>
      <c r="B4" s="155"/>
      <c r="C4" s="156" t="s">
        <v>7</v>
      </c>
      <c r="D4" s="157"/>
      <c r="E4" s="157"/>
      <c r="F4" s="157"/>
      <c r="G4" s="157"/>
      <c r="H4" s="143"/>
      <c r="I4" s="143"/>
      <c r="J4" s="143"/>
      <c r="K4" s="143"/>
      <c r="L4" s="142"/>
      <c r="M4" s="1"/>
    </row>
    <row r="5" spans="1:13" ht="14.25" customHeight="1">
      <c r="A5" s="3"/>
      <c r="B5" s="202"/>
      <c r="C5" s="160"/>
      <c r="D5" s="492"/>
      <c r="E5" s="492"/>
      <c r="F5" s="492"/>
      <c r="G5" s="492"/>
      <c r="H5" s="620"/>
      <c r="I5" s="620"/>
      <c r="J5" s="620"/>
      <c r="K5" s="620"/>
      <c r="L5" s="473"/>
      <c r="M5" s="1"/>
    </row>
    <row r="6" spans="1:13" ht="14.25" customHeight="1">
      <c r="A6" s="619"/>
      <c r="B6" s="155"/>
      <c r="C6" s="164"/>
      <c r="D6" s="181"/>
      <c r="E6" s="181"/>
      <c r="F6" s="181"/>
      <c r="G6" s="181"/>
      <c r="H6" s="204"/>
      <c r="I6" s="204"/>
      <c r="J6" s="204"/>
      <c r="K6" s="204"/>
      <c r="L6" s="142"/>
      <c r="M6" s="1"/>
    </row>
    <row r="7" spans="1:13" ht="14.25" customHeight="1">
      <c r="A7" s="619"/>
      <c r="B7" s="155"/>
      <c r="C7" s="164"/>
      <c r="D7" s="181"/>
      <c r="E7" s="181"/>
      <c r="F7" s="181"/>
      <c r="G7" s="181"/>
      <c r="H7" s="204"/>
      <c r="I7" s="204"/>
      <c r="J7" s="204"/>
      <c r="K7" s="204"/>
      <c r="L7" s="142"/>
      <c r="M7" s="1"/>
    </row>
    <row r="8" spans="1:13" ht="14.25" customHeight="1">
      <c r="A8" s="619"/>
      <c r="B8" s="155"/>
      <c r="C8" s="164"/>
      <c r="D8" s="181"/>
      <c r="E8" s="181"/>
      <c r="F8" s="181"/>
      <c r="G8" s="181"/>
      <c r="H8" s="204"/>
      <c r="I8" s="204"/>
      <c r="J8" s="204"/>
      <c r="K8" s="204"/>
      <c r="L8" s="142"/>
      <c r="M8" s="1"/>
    </row>
    <row r="9" spans="1:13" ht="14.25" customHeight="1">
      <c r="A9" s="619"/>
      <c r="B9" s="155"/>
      <c r="C9" s="164"/>
      <c r="D9" s="181"/>
      <c r="E9" s="181"/>
      <c r="F9" s="181"/>
      <c r="G9" s="181"/>
      <c r="H9" s="204"/>
      <c r="I9" s="204"/>
      <c r="J9" s="204"/>
      <c r="K9" s="204"/>
      <c r="L9" s="142"/>
      <c r="M9" s="1"/>
    </row>
    <row r="10" spans="1:13" ht="14.25" customHeight="1">
      <c r="A10" s="619"/>
      <c r="B10" s="155"/>
      <c r="C10" s="164"/>
      <c r="D10" s="181"/>
      <c r="E10" s="181"/>
      <c r="F10" s="181"/>
      <c r="G10" s="181"/>
      <c r="H10" s="204"/>
      <c r="I10" s="204"/>
      <c r="J10" s="204"/>
      <c r="K10" s="204"/>
      <c r="L10" s="142"/>
      <c r="M10" s="1"/>
    </row>
    <row r="11" spans="1:13" ht="14.25" customHeight="1">
      <c r="A11" s="619"/>
      <c r="B11" s="155"/>
      <c r="C11" s="164"/>
      <c r="D11" s="181"/>
      <c r="E11" s="181"/>
      <c r="F11" s="181"/>
      <c r="G11" s="181"/>
      <c r="H11" s="204"/>
      <c r="I11" s="204"/>
      <c r="J11" s="204"/>
      <c r="K11" s="204"/>
      <c r="L11" s="142"/>
      <c r="M11" s="1"/>
    </row>
    <row r="12" spans="1:13" ht="14.25" customHeight="1">
      <c r="A12" s="619"/>
      <c r="B12" s="155"/>
      <c r="C12" s="164"/>
      <c r="D12" s="181"/>
      <c r="E12" s="181"/>
      <c r="F12" s="181"/>
      <c r="G12" s="181"/>
      <c r="H12" s="204"/>
      <c r="I12" s="204"/>
      <c r="J12" s="204"/>
      <c r="K12" s="204"/>
      <c r="L12" s="142"/>
      <c r="M12" s="1"/>
    </row>
    <row r="13" spans="1:13" ht="14.25" customHeight="1">
      <c r="A13" s="619"/>
      <c r="B13" s="155"/>
      <c r="C13" s="164"/>
      <c r="D13" s="181"/>
      <c r="E13" s="181"/>
      <c r="F13" s="181"/>
      <c r="G13" s="181"/>
      <c r="H13" s="204"/>
      <c r="I13" s="204"/>
      <c r="J13" s="204"/>
      <c r="K13" s="204"/>
      <c r="L13" s="142"/>
      <c r="M13" s="1"/>
    </row>
    <row r="14" spans="1:13" ht="14.25" customHeight="1">
      <c r="A14" s="619"/>
      <c r="B14" s="155"/>
      <c r="C14" s="164"/>
      <c r="D14" s="181"/>
      <c r="E14" s="181"/>
      <c r="F14" s="181"/>
      <c r="G14" s="181"/>
      <c r="H14" s="204"/>
      <c r="I14" s="204"/>
      <c r="J14" s="204"/>
      <c r="K14" s="204"/>
      <c r="L14" s="142"/>
      <c r="M14" s="1"/>
    </row>
    <row r="15" spans="1:13" ht="14.25" customHeight="1">
      <c r="A15" s="619"/>
      <c r="B15" s="155"/>
      <c r="C15" s="164"/>
      <c r="D15" s="181"/>
      <c r="E15" s="181"/>
      <c r="F15" s="181"/>
      <c r="G15" s="181"/>
      <c r="H15" s="204"/>
      <c r="I15" s="204"/>
      <c r="J15" s="204"/>
      <c r="K15" s="204"/>
      <c r="L15" s="142"/>
      <c r="M15" s="1"/>
    </row>
    <row r="16" spans="1:13" ht="14.25" customHeight="1">
      <c r="A16" s="619"/>
      <c r="B16" s="155"/>
      <c r="C16" s="164"/>
      <c r="D16" s="181"/>
      <c r="E16" s="181"/>
      <c r="F16" s="181"/>
      <c r="G16" s="181"/>
      <c r="H16" s="204"/>
      <c r="I16" s="204"/>
      <c r="J16" s="204"/>
      <c r="K16" s="204"/>
      <c r="L16" s="142"/>
      <c r="M16" s="1"/>
    </row>
    <row r="17" spans="1:13" ht="14.25" customHeight="1">
      <c r="A17" s="619"/>
      <c r="B17" s="155"/>
      <c r="C17" s="164"/>
      <c r="D17" s="181"/>
      <c r="E17" s="181"/>
      <c r="F17" s="181"/>
      <c r="G17" s="181"/>
      <c r="H17" s="204"/>
      <c r="I17" s="204"/>
      <c r="J17" s="204"/>
      <c r="K17" s="204"/>
      <c r="L17" s="142"/>
      <c r="M17" s="1"/>
    </row>
    <row r="18" spans="1:13" ht="14.25" customHeight="1">
      <c r="A18" s="619"/>
      <c r="B18" s="155"/>
      <c r="C18" s="164"/>
      <c r="D18" s="181"/>
      <c r="E18" s="181"/>
      <c r="F18" s="181"/>
      <c r="G18" s="181"/>
      <c r="H18" s="204"/>
      <c r="I18" s="204"/>
      <c r="J18" s="204"/>
      <c r="K18" s="204"/>
      <c r="L18" s="142"/>
      <c r="M18" s="1"/>
    </row>
    <row r="19" spans="1:13" ht="14.25" customHeight="1">
      <c r="A19" s="619"/>
      <c r="B19" s="155"/>
      <c r="C19" s="164"/>
      <c r="D19" s="181"/>
      <c r="E19" s="181"/>
      <c r="F19" s="181"/>
      <c r="G19" s="181"/>
      <c r="H19" s="204"/>
      <c r="I19" s="204"/>
      <c r="J19" s="204"/>
      <c r="K19" s="204"/>
      <c r="L19" s="142"/>
      <c r="M19" s="1"/>
    </row>
    <row r="20" spans="1:13" ht="14.25" customHeight="1">
      <c r="A20" s="619"/>
      <c r="B20" s="155"/>
      <c r="C20" s="164"/>
      <c r="D20" s="181"/>
      <c r="E20" s="181"/>
      <c r="F20" s="181"/>
      <c r="G20" s="181"/>
      <c r="H20" s="204"/>
      <c r="I20" s="204"/>
      <c r="J20" s="204"/>
      <c r="K20" s="204"/>
      <c r="L20" s="142"/>
      <c r="M20" s="1"/>
    </row>
    <row r="21" spans="1:13" ht="14.25" customHeight="1">
      <c r="A21" s="619"/>
      <c r="B21" s="155"/>
      <c r="C21" s="164"/>
      <c r="D21" s="181"/>
      <c r="E21" s="181"/>
      <c r="F21" s="181"/>
      <c r="G21" s="181"/>
      <c r="H21" s="204"/>
      <c r="I21" s="204"/>
      <c r="J21" s="204"/>
      <c r="K21" s="204"/>
      <c r="L21" s="142"/>
      <c r="M21" s="1"/>
    </row>
    <row r="22" spans="1:13" ht="14.25" customHeight="1">
      <c r="A22" s="619"/>
      <c r="B22" s="155"/>
      <c r="C22" s="164"/>
      <c r="D22" s="181"/>
      <c r="E22" s="181"/>
      <c r="F22" s="181"/>
      <c r="G22" s="181"/>
      <c r="H22" s="204"/>
      <c r="I22" s="204"/>
      <c r="J22" s="204"/>
      <c r="K22" s="204"/>
      <c r="L22" s="142"/>
      <c r="M22" s="1"/>
    </row>
    <row r="23" spans="1:13" ht="14.25" customHeight="1">
      <c r="A23" s="619"/>
      <c r="B23" s="155"/>
      <c r="C23" s="164"/>
      <c r="D23" s="181"/>
      <c r="E23" s="181"/>
      <c r="F23" s="181"/>
      <c r="G23" s="181"/>
      <c r="H23" s="204"/>
      <c r="I23" s="204"/>
      <c r="J23" s="204"/>
      <c r="K23" s="204"/>
      <c r="L23" s="142"/>
      <c r="M23" s="1"/>
    </row>
    <row r="24" spans="1:13" ht="14.25" customHeight="1">
      <c r="A24" s="619"/>
      <c r="B24" s="155"/>
      <c r="C24" s="164"/>
      <c r="D24" s="181"/>
      <c r="E24" s="181"/>
      <c r="F24" s="181"/>
      <c r="G24" s="181"/>
      <c r="H24" s="204"/>
      <c r="I24" s="204"/>
      <c r="J24" s="204"/>
      <c r="K24" s="204"/>
      <c r="L24" s="142"/>
      <c r="M24" s="1"/>
    </row>
    <row r="25" spans="1:13" ht="14.25" customHeight="1">
      <c r="A25" s="619"/>
      <c r="B25" s="155"/>
      <c r="C25" s="164"/>
      <c r="D25" s="181"/>
      <c r="E25" s="181"/>
      <c r="F25" s="181"/>
      <c r="G25" s="181"/>
      <c r="H25" s="204"/>
      <c r="I25" s="204"/>
      <c r="J25" s="204"/>
      <c r="K25" s="204"/>
      <c r="L25" s="142"/>
      <c r="M25" s="1"/>
    </row>
    <row r="26" spans="1:13" ht="14.25" customHeight="1">
      <c r="A26" s="619"/>
      <c r="B26" s="155"/>
      <c r="C26" s="164"/>
      <c r="D26" s="181"/>
      <c r="E26" s="181"/>
      <c r="F26" s="181"/>
      <c r="G26" s="181"/>
      <c r="H26" s="204"/>
      <c r="I26" s="204"/>
      <c r="J26" s="204"/>
      <c r="K26" s="204"/>
      <c r="L26" s="142"/>
      <c r="M26" s="1"/>
    </row>
    <row r="27" spans="1:13" ht="14.25" customHeight="1">
      <c r="A27" s="619"/>
      <c r="B27" s="155"/>
      <c r="C27" s="164"/>
      <c r="D27" s="181"/>
      <c r="E27" s="181"/>
      <c r="F27" s="181"/>
      <c r="G27" s="181"/>
      <c r="H27" s="204"/>
      <c r="I27" s="204"/>
      <c r="J27" s="204"/>
      <c r="K27" s="204"/>
      <c r="L27" s="142"/>
      <c r="M27" s="1"/>
    </row>
    <row r="28" spans="1:13" ht="14.25" customHeight="1">
      <c r="A28" s="619"/>
      <c r="B28" s="155"/>
      <c r="C28" s="164"/>
      <c r="D28" s="181"/>
      <c r="E28" s="181"/>
      <c r="F28" s="181"/>
      <c r="G28" s="181"/>
      <c r="H28" s="204"/>
      <c r="I28" s="204"/>
      <c r="J28" s="204"/>
      <c r="K28" s="204"/>
      <c r="L28" s="142"/>
      <c r="M28" s="1"/>
    </row>
    <row r="29" spans="1:13" ht="14.25" customHeight="1">
      <c r="A29" s="619"/>
      <c r="B29" s="155"/>
      <c r="C29" s="164"/>
      <c r="D29" s="181"/>
      <c r="E29" s="181"/>
      <c r="F29" s="181"/>
      <c r="G29" s="181"/>
      <c r="H29" s="204"/>
      <c r="I29" s="204"/>
      <c r="J29" s="204"/>
      <c r="K29" s="204"/>
      <c r="L29" s="142"/>
      <c r="M29" s="1"/>
    </row>
    <row r="30" spans="1:13" ht="14.25" customHeight="1">
      <c r="A30" s="619"/>
      <c r="B30" s="155"/>
      <c r="C30" s="164"/>
      <c r="D30" s="181"/>
      <c r="E30" s="181"/>
      <c r="F30" s="181"/>
      <c r="G30" s="181"/>
      <c r="H30" s="204"/>
      <c r="I30" s="204"/>
      <c r="J30" s="204"/>
      <c r="K30" s="204"/>
      <c r="L30" s="142"/>
      <c r="M30" s="1"/>
    </row>
    <row r="31" spans="1:13" ht="14.25" customHeight="1">
      <c r="A31" s="619"/>
      <c r="B31" s="155"/>
      <c r="C31" s="164"/>
      <c r="D31" s="181"/>
      <c r="E31" s="181"/>
      <c r="F31" s="181"/>
      <c r="G31" s="181"/>
      <c r="H31" s="204"/>
      <c r="I31" s="204"/>
      <c r="J31" s="204"/>
      <c r="K31" s="204"/>
      <c r="L31" s="142"/>
      <c r="M31" s="1"/>
    </row>
    <row r="32" spans="1:13" ht="14.25" customHeight="1">
      <c r="A32" s="619"/>
      <c r="B32" s="155"/>
      <c r="C32" s="164"/>
      <c r="D32" s="181"/>
      <c r="E32" s="181"/>
      <c r="F32" s="181"/>
      <c r="G32" s="181"/>
      <c r="H32" s="204"/>
      <c r="I32" s="204"/>
      <c r="J32" s="204"/>
      <c r="K32" s="204"/>
      <c r="L32" s="142"/>
      <c r="M32" s="1"/>
    </row>
    <row r="33" spans="1:13" ht="14.25" customHeight="1">
      <c r="A33" s="619"/>
      <c r="B33" s="155"/>
      <c r="C33" s="164"/>
      <c r="D33" s="181"/>
      <c r="E33" s="181"/>
      <c r="F33" s="181"/>
      <c r="G33" s="181"/>
      <c r="H33" s="204"/>
      <c r="I33" s="204"/>
      <c r="J33" s="204"/>
      <c r="K33" s="204"/>
      <c r="L33" s="142"/>
      <c r="M33" s="1"/>
    </row>
    <row r="34" spans="1:13" ht="14.25" customHeight="1">
      <c r="A34" s="619"/>
      <c r="B34" s="155"/>
      <c r="C34" s="164"/>
      <c r="D34" s="181"/>
      <c r="E34" s="181"/>
      <c r="F34" s="181"/>
      <c r="G34" s="181"/>
      <c r="H34" s="204"/>
      <c r="I34" s="204"/>
      <c r="J34" s="204"/>
      <c r="K34" s="204"/>
      <c r="L34" s="142"/>
      <c r="M34" s="1"/>
    </row>
    <row r="35" spans="1:13" ht="14.25" customHeight="1">
      <c r="A35" s="619"/>
      <c r="B35" s="155"/>
      <c r="C35" s="164"/>
      <c r="D35" s="181"/>
      <c r="E35" s="181"/>
      <c r="F35" s="181"/>
      <c r="G35" s="181"/>
      <c r="H35" s="204"/>
      <c r="I35" s="204"/>
      <c r="J35" s="204"/>
      <c r="K35" s="204"/>
      <c r="L35" s="142"/>
      <c r="M35" s="1"/>
    </row>
    <row r="36" spans="1:13" ht="14.25" customHeight="1">
      <c r="A36" s="619"/>
      <c r="B36" s="155"/>
      <c r="C36" s="164"/>
      <c r="D36" s="181"/>
      <c r="E36" s="181"/>
      <c r="F36" s="181"/>
      <c r="G36" s="181"/>
      <c r="H36" s="204"/>
      <c r="I36" s="204"/>
      <c r="J36" s="204"/>
      <c r="K36" s="204"/>
      <c r="L36" s="142"/>
      <c r="M36" s="1"/>
    </row>
    <row r="37" spans="1:13" ht="14.25" customHeight="1">
      <c r="A37" s="619"/>
      <c r="B37" s="155"/>
      <c r="C37" s="164"/>
      <c r="D37" s="181"/>
      <c r="E37" s="181"/>
      <c r="F37" s="181"/>
      <c r="G37" s="181"/>
      <c r="H37" s="204"/>
      <c r="I37" s="204"/>
      <c r="J37" s="204"/>
      <c r="K37" s="204"/>
      <c r="L37" s="142"/>
      <c r="M37" s="1"/>
    </row>
    <row r="38" spans="1:13" ht="14.25" customHeight="1">
      <c r="A38" s="619"/>
      <c r="B38" s="155"/>
      <c r="C38" s="164"/>
      <c r="D38" s="181"/>
      <c r="E38" s="181"/>
      <c r="F38" s="181"/>
      <c r="G38" s="181"/>
      <c r="H38" s="204"/>
      <c r="I38" s="204"/>
      <c r="J38" s="204"/>
      <c r="K38" s="204"/>
      <c r="L38" s="142"/>
      <c r="M38" s="1"/>
    </row>
    <row r="39" spans="1:13" ht="14.25" customHeight="1">
      <c r="A39" s="619"/>
      <c r="B39" s="155"/>
      <c r="C39" s="164"/>
      <c r="D39" s="181"/>
      <c r="E39" s="181"/>
      <c r="F39" s="181"/>
      <c r="G39" s="181"/>
      <c r="H39" s="204"/>
      <c r="I39" s="204"/>
      <c r="J39" s="204"/>
      <c r="K39" s="204"/>
      <c r="L39" s="142"/>
      <c r="M39" s="1"/>
    </row>
    <row r="40" spans="1:13" ht="14.25" customHeight="1">
      <c r="A40" s="619"/>
      <c r="B40" s="155"/>
      <c r="C40" s="164"/>
      <c r="D40" s="181"/>
      <c r="E40" s="181"/>
      <c r="F40" s="181"/>
      <c r="G40" s="181"/>
      <c r="H40" s="204"/>
      <c r="I40" s="204"/>
      <c r="J40" s="204"/>
      <c r="K40" s="204"/>
      <c r="L40" s="142"/>
      <c r="M40" s="1"/>
    </row>
    <row r="41" spans="1:13" ht="14.25" customHeight="1">
      <c r="A41" s="619"/>
      <c r="B41" s="155"/>
      <c r="C41" s="164"/>
      <c r="D41" s="181"/>
      <c r="E41" s="181"/>
      <c r="F41" s="181"/>
      <c r="G41" s="181"/>
      <c r="H41" s="204"/>
      <c r="I41" s="204"/>
      <c r="J41" s="204"/>
      <c r="K41" s="204"/>
      <c r="L41" s="142"/>
      <c r="M41" s="1"/>
    </row>
    <row r="42" spans="1:13" ht="14.25" customHeight="1">
      <c r="A42" s="619"/>
      <c r="B42" s="155"/>
      <c r="C42" s="164"/>
      <c r="D42" s="181"/>
      <c r="E42" s="181"/>
      <c r="F42" s="181"/>
      <c r="G42" s="181"/>
      <c r="H42" s="204"/>
      <c r="I42" s="204"/>
      <c r="J42" s="204"/>
      <c r="K42" s="204"/>
      <c r="L42" s="142"/>
      <c r="M42" s="1"/>
    </row>
    <row r="43" spans="1:13" ht="14.25" customHeight="1">
      <c r="A43" s="619"/>
      <c r="B43" s="155"/>
      <c r="C43" s="164"/>
      <c r="D43" s="181"/>
      <c r="E43" s="181"/>
      <c r="F43" s="181"/>
      <c r="G43" s="181"/>
      <c r="H43" s="204"/>
      <c r="I43" s="204"/>
      <c r="J43" s="204"/>
      <c r="K43" s="204"/>
      <c r="L43" s="142"/>
      <c r="M43" s="1"/>
    </row>
    <row r="44" spans="1:13" ht="14.25" customHeight="1">
      <c r="A44" s="619"/>
      <c r="B44" s="155"/>
      <c r="C44" s="164"/>
      <c r="D44" s="181"/>
      <c r="E44" s="181"/>
      <c r="F44" s="181"/>
      <c r="G44" s="181"/>
      <c r="H44" s="204"/>
      <c r="I44" s="204"/>
      <c r="J44" s="204"/>
      <c r="K44" s="204"/>
      <c r="L44" s="142"/>
      <c r="M44" s="1"/>
    </row>
    <row r="45" spans="1:13" ht="14.25" customHeight="1">
      <c r="A45" s="619"/>
      <c r="B45" s="155"/>
      <c r="C45" s="164"/>
      <c r="D45" s="181"/>
      <c r="E45" s="181"/>
      <c r="F45" s="181"/>
      <c r="G45" s="181"/>
      <c r="H45" s="204"/>
      <c r="I45" s="204"/>
      <c r="J45" s="204"/>
      <c r="K45" s="204"/>
      <c r="L45" s="142"/>
      <c r="M45" s="1"/>
    </row>
    <row r="46" spans="1:13" ht="14.25" customHeight="1">
      <c r="A46" s="619"/>
      <c r="B46" s="155"/>
      <c r="C46" s="164"/>
      <c r="D46" s="181"/>
      <c r="E46" s="181"/>
      <c r="F46" s="181"/>
      <c r="G46" s="181"/>
      <c r="H46" s="204"/>
      <c r="I46" s="204"/>
      <c r="J46" s="204"/>
      <c r="K46" s="204"/>
      <c r="L46" s="142"/>
      <c r="M46" s="1"/>
    </row>
    <row r="47" spans="1:13" ht="14.25" customHeight="1">
      <c r="A47" s="619"/>
      <c r="B47" s="155"/>
      <c r="C47" s="164"/>
      <c r="D47" s="181"/>
      <c r="E47" s="181"/>
      <c r="F47" s="181"/>
      <c r="G47" s="181"/>
      <c r="H47" s="204"/>
      <c r="I47" s="204"/>
      <c r="J47" s="204"/>
      <c r="K47" s="204"/>
      <c r="L47" s="142"/>
      <c r="M47" s="1"/>
    </row>
    <row r="48" spans="1:13" ht="14.25" customHeight="1">
      <c r="A48" s="619"/>
      <c r="B48" s="155"/>
      <c r="C48" s="164"/>
      <c r="D48" s="181"/>
      <c r="E48" s="181"/>
      <c r="F48" s="181"/>
      <c r="G48" s="181"/>
      <c r="H48" s="204"/>
      <c r="I48" s="204"/>
      <c r="J48" s="204"/>
      <c r="K48" s="204"/>
      <c r="L48" s="142"/>
      <c r="M48" s="1"/>
    </row>
    <row r="49" spans="1:13" ht="14.25" customHeight="1">
      <c r="A49" s="619"/>
      <c r="B49" s="155"/>
      <c r="C49" s="164"/>
      <c r="D49" s="181"/>
      <c r="E49" s="181"/>
      <c r="F49" s="181"/>
      <c r="G49" s="181"/>
      <c r="H49" s="204"/>
      <c r="I49" s="204"/>
      <c r="J49" s="204"/>
      <c r="K49" s="204"/>
      <c r="L49" s="142"/>
      <c r="M49" s="1"/>
    </row>
    <row r="50" spans="1:13" ht="14.25" customHeight="1">
      <c r="A50" s="619"/>
      <c r="B50" s="155"/>
      <c r="C50" s="164"/>
      <c r="D50" s="181"/>
      <c r="E50" s="181"/>
      <c r="F50" s="181"/>
      <c r="G50" s="181"/>
      <c r="H50" s="204"/>
      <c r="I50" s="204"/>
      <c r="J50" s="204"/>
      <c r="K50" s="204"/>
      <c r="L50" s="142"/>
      <c r="M50" s="1"/>
    </row>
    <row r="51" spans="1:13" ht="14.25" customHeight="1">
      <c r="A51" s="619"/>
      <c r="B51" s="155"/>
      <c r="C51" s="164"/>
      <c r="D51" s="181"/>
      <c r="E51" s="181"/>
      <c r="F51" s="181"/>
      <c r="G51" s="181"/>
      <c r="H51" s="204"/>
      <c r="I51" s="204"/>
      <c r="J51" s="204"/>
      <c r="K51" s="204"/>
      <c r="L51" s="142"/>
      <c r="M51" s="1"/>
    </row>
    <row r="52" spans="1:13" ht="14.25" customHeight="1">
      <c r="A52" s="619"/>
      <c r="B52" s="155"/>
      <c r="C52" s="164"/>
      <c r="D52" s="181"/>
      <c r="E52" s="181"/>
      <c r="F52" s="181"/>
      <c r="G52" s="181"/>
      <c r="H52" s="204"/>
      <c r="I52" s="204"/>
      <c r="J52" s="204"/>
      <c r="K52" s="204"/>
      <c r="L52" s="142"/>
      <c r="M52" s="1"/>
    </row>
    <row r="53" spans="1:13" ht="14.25" customHeight="1">
      <c r="A53" s="619"/>
      <c r="B53" s="155"/>
      <c r="C53" s="164"/>
      <c r="D53" s="181"/>
      <c r="E53" s="181"/>
      <c r="F53" s="181"/>
      <c r="G53" s="181"/>
      <c r="H53" s="204"/>
      <c r="I53" s="204"/>
      <c r="J53" s="204"/>
      <c r="K53" s="204"/>
      <c r="L53" s="142"/>
      <c r="M53" s="1"/>
    </row>
    <row r="54" spans="1:13" ht="14.25" customHeight="1">
      <c r="A54" s="619"/>
      <c r="B54" s="155"/>
      <c r="C54" s="164"/>
      <c r="D54" s="181"/>
      <c r="E54" s="181"/>
      <c r="F54" s="181"/>
      <c r="G54" s="181"/>
      <c r="H54" s="204"/>
      <c r="I54" s="204"/>
      <c r="J54" s="204"/>
      <c r="K54" s="204"/>
      <c r="L54" s="142"/>
      <c r="M54" s="1"/>
    </row>
    <row r="55" spans="1:13" ht="14.25" customHeight="1">
      <c r="A55" s="619"/>
      <c r="B55" s="155"/>
      <c r="C55" s="164"/>
      <c r="D55" s="181"/>
      <c r="E55" s="181"/>
      <c r="F55" s="181"/>
      <c r="G55" s="181"/>
      <c r="H55" s="204"/>
      <c r="I55" s="204"/>
      <c r="J55" s="204"/>
      <c r="K55" s="204"/>
      <c r="L55" s="142"/>
      <c r="M55" s="1"/>
    </row>
    <row r="56" spans="1:13" ht="14.25" customHeight="1">
      <c r="A56" s="619"/>
      <c r="B56" s="155"/>
      <c r="C56" s="164"/>
      <c r="D56" s="181"/>
      <c r="E56" s="181"/>
      <c r="F56" s="181"/>
      <c r="G56" s="181"/>
      <c r="H56" s="204"/>
      <c r="I56" s="204"/>
      <c r="J56" s="204"/>
      <c r="K56" s="204"/>
      <c r="L56" s="142"/>
      <c r="M56" s="1"/>
    </row>
    <row r="57" spans="1:13" ht="14.25" customHeight="1">
      <c r="A57" s="619"/>
      <c r="B57" s="155"/>
      <c r="C57" s="164"/>
      <c r="D57" s="181"/>
      <c r="E57" s="181"/>
      <c r="F57" s="181"/>
      <c r="G57" s="181"/>
      <c r="H57" s="204"/>
      <c r="I57" s="204"/>
      <c r="J57" s="204"/>
      <c r="K57" s="204"/>
      <c r="L57" s="142"/>
      <c r="M57" s="1"/>
    </row>
    <row r="58" spans="1:13" ht="14.25" customHeight="1">
      <c r="A58" s="619"/>
      <c r="B58" s="155"/>
      <c r="C58" s="164"/>
      <c r="D58" s="181"/>
      <c r="E58" s="181"/>
      <c r="F58" s="181"/>
      <c r="G58" s="181"/>
      <c r="H58" s="204"/>
      <c r="I58" s="204"/>
      <c r="J58" s="204"/>
      <c r="K58" s="204"/>
      <c r="L58" s="142"/>
      <c r="M58" s="1"/>
    </row>
    <row r="59" spans="1:13" ht="14.25" customHeight="1">
      <c r="A59" s="619"/>
      <c r="B59" s="155"/>
      <c r="C59" s="164"/>
      <c r="D59" s="181"/>
      <c r="E59" s="181"/>
      <c r="F59" s="181"/>
      <c r="G59" s="181"/>
      <c r="H59" s="204"/>
      <c r="I59" s="204"/>
      <c r="J59" s="204"/>
      <c r="K59" s="204"/>
      <c r="L59" s="142"/>
      <c r="M59" s="1"/>
    </row>
    <row r="60" spans="1:13" ht="14.25" customHeight="1">
      <c r="A60" s="619"/>
      <c r="B60" s="155"/>
      <c r="C60" s="164"/>
      <c r="D60" s="181"/>
      <c r="E60" s="181"/>
      <c r="F60" s="181"/>
      <c r="G60" s="181"/>
      <c r="H60" s="204"/>
      <c r="I60" s="204"/>
      <c r="J60" s="204"/>
      <c r="K60" s="204"/>
      <c r="L60" s="142"/>
      <c r="M60" s="1"/>
    </row>
    <row r="61" spans="1:13" ht="14.25" customHeight="1">
      <c r="A61" s="619"/>
      <c r="B61" s="155"/>
      <c r="C61" s="164"/>
      <c r="D61" s="181"/>
      <c r="E61" s="181"/>
      <c r="F61" s="181"/>
      <c r="G61" s="181"/>
      <c r="H61" s="204"/>
      <c r="I61" s="204"/>
      <c r="J61" s="204"/>
      <c r="K61" s="204"/>
      <c r="L61" s="142"/>
      <c r="M61" s="1"/>
    </row>
    <row r="62" spans="1:13" ht="14.25" customHeight="1">
      <c r="A62" s="619"/>
      <c r="B62" s="155"/>
      <c r="C62" s="164"/>
      <c r="D62" s="181"/>
      <c r="E62" s="181"/>
      <c r="F62" s="181"/>
      <c r="G62" s="181"/>
      <c r="H62" s="204"/>
      <c r="I62" s="204"/>
      <c r="J62" s="204"/>
      <c r="K62" s="204"/>
      <c r="L62" s="142"/>
      <c r="M62" s="1"/>
    </row>
    <row r="63" spans="1:13" ht="14.25" customHeight="1">
      <c r="A63" s="619"/>
      <c r="B63" s="155"/>
      <c r="C63" s="164"/>
      <c r="D63" s="181"/>
      <c r="E63" s="181"/>
      <c r="F63" s="181"/>
      <c r="G63" s="181"/>
      <c r="H63" s="204"/>
      <c r="I63" s="204"/>
      <c r="J63" s="204"/>
      <c r="K63" s="204"/>
      <c r="L63" s="142"/>
      <c r="M63" s="1"/>
    </row>
    <row r="64" spans="1:13" ht="14.25" customHeight="1">
      <c r="A64" s="619"/>
      <c r="B64" s="155"/>
      <c r="C64" s="164"/>
      <c r="D64" s="181"/>
      <c r="E64" s="181"/>
      <c r="F64" s="181"/>
      <c r="G64" s="181"/>
      <c r="H64" s="204"/>
      <c r="I64" s="204"/>
      <c r="J64" s="204"/>
      <c r="K64" s="204"/>
      <c r="L64" s="142"/>
      <c r="M64" s="1"/>
    </row>
    <row r="65" spans="1:13" ht="14.25" customHeight="1">
      <c r="A65" s="619"/>
      <c r="B65" s="155"/>
      <c r="C65" s="164"/>
      <c r="D65" s="181"/>
      <c r="E65" s="181"/>
      <c r="F65" s="181"/>
      <c r="G65" s="181"/>
      <c r="H65" s="204"/>
      <c r="I65" s="204"/>
      <c r="J65" s="204"/>
      <c r="K65" s="204"/>
      <c r="L65" s="142"/>
      <c r="M65" s="1"/>
    </row>
    <row r="66" spans="1:13" ht="14.25" customHeight="1">
      <c r="A66" s="619"/>
      <c r="B66" s="155"/>
      <c r="C66" s="164"/>
      <c r="D66" s="181"/>
      <c r="E66" s="181"/>
      <c r="F66" s="181"/>
      <c r="G66" s="181"/>
      <c r="H66" s="204"/>
      <c r="I66" s="204"/>
      <c r="J66" s="204"/>
      <c r="K66" s="204"/>
      <c r="L66" s="142"/>
      <c r="M66" s="1"/>
    </row>
    <row r="67" spans="1:13" ht="14.25" customHeight="1">
      <c r="A67" s="619"/>
      <c r="B67" s="155"/>
      <c r="C67" s="164"/>
      <c r="D67" s="181"/>
      <c r="E67" s="181"/>
      <c r="F67" s="181"/>
      <c r="G67" s="181"/>
      <c r="H67" s="204"/>
      <c r="I67" s="204"/>
      <c r="J67" s="204"/>
      <c r="K67" s="204"/>
      <c r="L67" s="142"/>
      <c r="M67" s="1"/>
    </row>
    <row r="68" spans="1:13" ht="14.25" customHeight="1">
      <c r="A68" s="619"/>
      <c r="B68" s="155"/>
      <c r="C68" s="164"/>
      <c r="D68" s="181"/>
      <c r="E68" s="181"/>
      <c r="F68" s="181"/>
      <c r="G68" s="181"/>
      <c r="H68" s="204"/>
      <c r="I68" s="204"/>
      <c r="J68" s="204"/>
      <c r="K68" s="204"/>
      <c r="L68" s="142"/>
      <c r="M68" s="1"/>
    </row>
    <row r="69" spans="1:13" ht="14.25" customHeight="1">
      <c r="A69" s="619"/>
      <c r="B69" s="155"/>
      <c r="C69" s="164"/>
      <c r="D69" s="181"/>
      <c r="E69" s="181"/>
      <c r="F69" s="181"/>
      <c r="G69" s="181"/>
      <c r="H69" s="204"/>
      <c r="I69" s="204"/>
      <c r="J69" s="204"/>
      <c r="K69" s="204"/>
      <c r="L69" s="142"/>
      <c r="M69" s="1"/>
    </row>
    <row r="70" spans="1:13" ht="14.25" customHeight="1">
      <c r="A70" s="619"/>
      <c r="B70" s="155"/>
      <c r="C70" s="164"/>
      <c r="D70" s="181"/>
      <c r="E70" s="181"/>
      <c r="F70" s="181"/>
      <c r="G70" s="181"/>
      <c r="H70" s="204"/>
      <c r="I70" s="204"/>
      <c r="J70" s="204"/>
      <c r="K70" s="204"/>
      <c r="L70" s="142"/>
      <c r="M70" s="1"/>
    </row>
    <row r="71" spans="1:13" ht="14.25" customHeight="1">
      <c r="A71" s="619"/>
      <c r="B71" s="155"/>
      <c r="C71" s="164"/>
      <c r="D71" s="181"/>
      <c r="E71" s="181"/>
      <c r="F71" s="181"/>
      <c r="G71" s="181"/>
      <c r="H71" s="204"/>
      <c r="I71" s="204"/>
      <c r="J71" s="204"/>
      <c r="K71" s="204"/>
      <c r="L71" s="142"/>
      <c r="M71" s="1"/>
    </row>
    <row r="72" spans="1:13" ht="14.25" customHeight="1">
      <c r="A72" s="619"/>
      <c r="B72" s="155"/>
      <c r="C72" s="164"/>
      <c r="D72" s="181"/>
      <c r="E72" s="181"/>
      <c r="F72" s="181"/>
      <c r="G72" s="181"/>
      <c r="H72" s="204"/>
      <c r="I72" s="204"/>
      <c r="J72" s="204"/>
      <c r="K72" s="204"/>
      <c r="L72" s="142"/>
      <c r="M72" s="1"/>
    </row>
    <row r="73" spans="1:13" ht="14.25" customHeight="1">
      <c r="A73" s="619"/>
      <c r="B73" s="155"/>
      <c r="C73" s="164"/>
      <c r="D73" s="181"/>
      <c r="E73" s="181"/>
      <c r="F73" s="181"/>
      <c r="G73" s="181"/>
      <c r="H73" s="204"/>
      <c r="I73" s="204"/>
      <c r="J73" s="204"/>
      <c r="K73" s="204"/>
      <c r="L73" s="142"/>
      <c r="M73" s="1"/>
    </row>
    <row r="74" spans="1:13" ht="14.25" customHeight="1">
      <c r="A74" s="619"/>
      <c r="B74" s="155"/>
      <c r="C74" s="164"/>
      <c r="D74" s="181"/>
      <c r="E74" s="181"/>
      <c r="F74" s="181"/>
      <c r="G74" s="181"/>
      <c r="H74" s="204"/>
      <c r="I74" s="204"/>
      <c r="J74" s="204"/>
      <c r="K74" s="204"/>
      <c r="L74" s="142"/>
      <c r="M74" s="1"/>
    </row>
    <row r="75" spans="1:13" ht="14.25" customHeight="1">
      <c r="A75" s="619"/>
      <c r="B75" s="155"/>
      <c r="C75" s="164"/>
      <c r="D75" s="181"/>
      <c r="E75" s="181"/>
      <c r="F75" s="181"/>
      <c r="G75" s="181"/>
      <c r="H75" s="204"/>
      <c r="I75" s="204"/>
      <c r="J75" s="204"/>
      <c r="K75" s="204"/>
      <c r="L75" s="142"/>
      <c r="M75" s="1"/>
    </row>
    <row r="76" spans="1:13" ht="14.25" customHeight="1">
      <c r="A76" s="619"/>
      <c r="B76" s="155"/>
      <c r="C76" s="164"/>
      <c r="D76" s="181"/>
      <c r="E76" s="181"/>
      <c r="F76" s="181"/>
      <c r="G76" s="181"/>
      <c r="H76" s="204"/>
      <c r="I76" s="204"/>
      <c r="J76" s="204"/>
      <c r="K76" s="204"/>
      <c r="L76" s="142"/>
      <c r="M76" s="1"/>
    </row>
    <row r="77" spans="1:13" ht="14.25" customHeight="1">
      <c r="A77" s="619"/>
      <c r="B77" s="155"/>
      <c r="C77" s="164"/>
      <c r="D77" s="181"/>
      <c r="E77" s="181"/>
      <c r="F77" s="181"/>
      <c r="G77" s="181"/>
      <c r="H77" s="204"/>
      <c r="I77" s="204"/>
      <c r="J77" s="204"/>
      <c r="K77" s="204"/>
      <c r="L77" s="142"/>
      <c r="M77" s="1"/>
    </row>
    <row r="78" spans="1:13" ht="14.25" customHeight="1">
      <c r="A78" s="619"/>
      <c r="B78" s="155"/>
      <c r="C78" s="164"/>
      <c r="D78" s="181"/>
      <c r="E78" s="181"/>
      <c r="F78" s="181"/>
      <c r="G78" s="181"/>
      <c r="H78" s="204"/>
      <c r="I78" s="204"/>
      <c r="J78" s="204"/>
      <c r="K78" s="204"/>
      <c r="L78" s="142"/>
      <c r="M78" s="1"/>
    </row>
    <row r="79" spans="1:13" ht="14.25" customHeight="1">
      <c r="A79" s="619"/>
      <c r="B79" s="155"/>
      <c r="C79" s="164"/>
      <c r="D79" s="181"/>
      <c r="E79" s="181"/>
      <c r="F79" s="181"/>
      <c r="G79" s="181"/>
      <c r="H79" s="204"/>
      <c r="I79" s="204"/>
      <c r="J79" s="204"/>
      <c r="K79" s="204"/>
      <c r="L79" s="142"/>
      <c r="M79" s="1"/>
    </row>
    <row r="80" spans="1:13" ht="14.25" customHeight="1">
      <c r="A80" s="619"/>
      <c r="B80" s="155"/>
      <c r="C80" s="164"/>
      <c r="D80" s="181"/>
      <c r="E80" s="181"/>
      <c r="F80" s="181"/>
      <c r="G80" s="181"/>
      <c r="H80" s="204"/>
      <c r="I80" s="204"/>
      <c r="J80" s="204"/>
      <c r="K80" s="204"/>
      <c r="L80" s="142"/>
      <c r="M80" s="1"/>
    </row>
    <row r="81" spans="1:13" ht="14.25" customHeight="1">
      <c r="A81" s="619"/>
      <c r="B81" s="155"/>
      <c r="C81" s="164"/>
      <c r="D81" s="181"/>
      <c r="E81" s="181"/>
      <c r="F81" s="181"/>
      <c r="G81" s="181"/>
      <c r="H81" s="204"/>
      <c r="I81" s="204"/>
      <c r="J81" s="204"/>
      <c r="K81" s="204"/>
      <c r="L81" s="142"/>
      <c r="M81" s="1"/>
    </row>
    <row r="82" spans="1:13" ht="14.25" customHeight="1">
      <c r="A82" s="619"/>
      <c r="B82" s="155"/>
      <c r="C82" s="164"/>
      <c r="D82" s="181"/>
      <c r="E82" s="181"/>
      <c r="F82" s="181"/>
      <c r="G82" s="181"/>
      <c r="H82" s="204"/>
      <c r="I82" s="204"/>
      <c r="J82" s="204"/>
      <c r="K82" s="204"/>
      <c r="L82" s="142"/>
      <c r="M82" s="1"/>
    </row>
    <row r="83" spans="1:13" ht="14.25" customHeight="1">
      <c r="A83" s="619"/>
      <c r="B83" s="155"/>
      <c r="C83" s="164"/>
      <c r="D83" s="181"/>
      <c r="E83" s="181"/>
      <c r="F83" s="181"/>
      <c r="G83" s="181"/>
      <c r="H83" s="204"/>
      <c r="I83" s="204"/>
      <c r="J83" s="204"/>
      <c r="K83" s="204"/>
      <c r="L83" s="142"/>
      <c r="M83" s="1"/>
    </row>
    <row r="84" spans="1:13" ht="14.25" customHeight="1">
      <c r="A84" s="619"/>
      <c r="B84" s="155"/>
      <c r="C84" s="164"/>
      <c r="D84" s="181"/>
      <c r="E84" s="181"/>
      <c r="F84" s="181"/>
      <c r="G84" s="181"/>
      <c r="H84" s="204"/>
      <c r="I84" s="204"/>
      <c r="J84" s="204"/>
      <c r="K84" s="204"/>
      <c r="L84" s="142"/>
      <c r="M84" s="1"/>
    </row>
    <row r="85" spans="1:13" ht="14.25" customHeight="1">
      <c r="A85" s="619"/>
      <c r="B85" s="155"/>
      <c r="C85" s="164"/>
      <c r="D85" s="181"/>
      <c r="E85" s="181"/>
      <c r="F85" s="181"/>
      <c r="G85" s="181"/>
      <c r="H85" s="204"/>
      <c r="I85" s="204"/>
      <c r="J85" s="204"/>
      <c r="K85" s="204"/>
      <c r="L85" s="142"/>
      <c r="M85" s="1"/>
    </row>
    <row r="86" spans="1:13" ht="14.25" customHeight="1">
      <c r="A86" s="619"/>
      <c r="B86" s="155"/>
      <c r="C86" s="164"/>
      <c r="D86" s="181"/>
      <c r="E86" s="181"/>
      <c r="F86" s="181"/>
      <c r="G86" s="181"/>
      <c r="H86" s="204"/>
      <c r="I86" s="204"/>
      <c r="J86" s="204"/>
      <c r="K86" s="204"/>
      <c r="L86" s="142"/>
      <c r="M86" s="1"/>
    </row>
    <row r="87" spans="1:13" ht="14.25" customHeight="1">
      <c r="A87" s="619"/>
      <c r="B87" s="155"/>
      <c r="C87" s="164"/>
      <c r="D87" s="181"/>
      <c r="E87" s="181"/>
      <c r="F87" s="181"/>
      <c r="G87" s="181"/>
      <c r="H87" s="204"/>
      <c r="I87" s="204"/>
      <c r="J87" s="204"/>
      <c r="K87" s="204"/>
      <c r="L87" s="142"/>
      <c r="M87" s="1"/>
    </row>
    <row r="88" spans="1:13" ht="14.25" customHeight="1">
      <c r="A88" s="619"/>
      <c r="B88" s="155"/>
      <c r="C88" s="164"/>
      <c r="D88" s="181"/>
      <c r="E88" s="181"/>
      <c r="F88" s="181"/>
      <c r="G88" s="181"/>
      <c r="H88" s="204"/>
      <c r="I88" s="204"/>
      <c r="J88" s="204"/>
      <c r="K88" s="204"/>
      <c r="L88" s="142"/>
      <c r="M88" s="1"/>
    </row>
    <row r="89" spans="1:13" ht="14.25" customHeight="1">
      <c r="A89" s="619"/>
      <c r="B89" s="155"/>
      <c r="C89" s="164"/>
      <c r="D89" s="181"/>
      <c r="E89" s="181"/>
      <c r="F89" s="181"/>
      <c r="G89" s="181"/>
      <c r="H89" s="204"/>
      <c r="I89" s="204"/>
      <c r="J89" s="204"/>
      <c r="K89" s="204"/>
      <c r="L89" s="142"/>
      <c r="M89" s="1"/>
    </row>
    <row r="90" spans="1:13" ht="14.25" customHeight="1">
      <c r="A90" s="619"/>
      <c r="B90" s="155"/>
      <c r="C90" s="164"/>
      <c r="D90" s="181"/>
      <c r="E90" s="181"/>
      <c r="F90" s="181"/>
      <c r="G90" s="181"/>
      <c r="H90" s="204"/>
      <c r="I90" s="204"/>
      <c r="J90" s="204"/>
      <c r="K90" s="204"/>
      <c r="L90" s="142"/>
      <c r="M90" s="1"/>
    </row>
    <row r="91" spans="1:13" ht="14.25" customHeight="1">
      <c r="A91" s="619"/>
      <c r="B91" s="155"/>
      <c r="C91" s="164"/>
      <c r="D91" s="181"/>
      <c r="E91" s="181"/>
      <c r="F91" s="181"/>
      <c r="G91" s="181"/>
      <c r="H91" s="204"/>
      <c r="I91" s="204"/>
      <c r="J91" s="204"/>
      <c r="K91" s="204"/>
      <c r="L91" s="142"/>
      <c r="M91" s="1"/>
    </row>
    <row r="92" spans="1:13" ht="14.25" customHeight="1">
      <c r="A92" s="619"/>
      <c r="B92" s="155"/>
      <c r="C92" s="164"/>
      <c r="D92" s="181"/>
      <c r="E92" s="181"/>
      <c r="F92" s="181"/>
      <c r="G92" s="181"/>
      <c r="H92" s="204"/>
      <c r="I92" s="204"/>
      <c r="J92" s="204"/>
      <c r="K92" s="204"/>
      <c r="L92" s="142"/>
      <c r="M92" s="1"/>
    </row>
    <row r="93" spans="1:13" ht="14.25" customHeight="1">
      <c r="A93" s="619"/>
      <c r="B93" s="155"/>
      <c r="C93" s="164"/>
      <c r="D93" s="181"/>
      <c r="E93" s="181"/>
      <c r="F93" s="181"/>
      <c r="G93" s="181"/>
      <c r="H93" s="204"/>
      <c r="I93" s="204"/>
      <c r="J93" s="204"/>
      <c r="K93" s="204"/>
      <c r="L93" s="142"/>
      <c r="M93" s="1"/>
    </row>
    <row r="94" spans="1:13" ht="14.25" customHeight="1">
      <c r="A94" s="619"/>
      <c r="B94" s="155"/>
      <c r="C94" s="164"/>
      <c r="D94" s="181"/>
      <c r="E94" s="181"/>
      <c r="F94" s="181"/>
      <c r="G94" s="181"/>
      <c r="H94" s="204"/>
      <c r="I94" s="204"/>
      <c r="J94" s="204"/>
      <c r="K94" s="204"/>
      <c r="L94" s="142"/>
      <c r="M94" s="1"/>
    </row>
    <row r="95" spans="1:13" ht="14.25" customHeight="1">
      <c r="A95" s="619"/>
      <c r="B95" s="155"/>
      <c r="C95" s="164"/>
      <c r="D95" s="181"/>
      <c r="E95" s="181"/>
      <c r="F95" s="181"/>
      <c r="G95" s="181"/>
      <c r="H95" s="204"/>
      <c r="I95" s="204"/>
      <c r="J95" s="204"/>
      <c r="K95" s="204"/>
      <c r="L95" s="142"/>
      <c r="M95" s="1"/>
    </row>
    <row r="96" spans="1:13" ht="14.25" customHeight="1">
      <c r="A96" s="619"/>
      <c r="B96" s="155"/>
      <c r="C96" s="164"/>
      <c r="D96" s="181"/>
      <c r="E96" s="181"/>
      <c r="F96" s="181"/>
      <c r="G96" s="181"/>
      <c r="H96" s="204"/>
      <c r="I96" s="204"/>
      <c r="J96" s="204"/>
      <c r="K96" s="204"/>
      <c r="L96" s="142"/>
      <c r="M96" s="1"/>
    </row>
    <row r="97" spans="1:13" ht="14.25" customHeight="1">
      <c r="A97" s="619"/>
      <c r="B97" s="155"/>
      <c r="C97" s="164"/>
      <c r="D97" s="181"/>
      <c r="E97" s="181"/>
      <c r="F97" s="181"/>
      <c r="G97" s="181"/>
      <c r="H97" s="204"/>
      <c r="I97" s="204"/>
      <c r="J97" s="204"/>
      <c r="K97" s="204"/>
      <c r="L97" s="142"/>
      <c r="M97" s="1"/>
    </row>
    <row r="98" spans="1:13" ht="14.25" customHeight="1">
      <c r="A98" s="619"/>
      <c r="B98" s="155"/>
      <c r="C98" s="164"/>
      <c r="D98" s="181"/>
      <c r="E98" s="181"/>
      <c r="F98" s="181"/>
      <c r="G98" s="181"/>
      <c r="H98" s="204"/>
      <c r="I98" s="204"/>
      <c r="J98" s="204"/>
      <c r="K98" s="204"/>
      <c r="L98" s="142"/>
      <c r="M98" s="1"/>
    </row>
    <row r="99" spans="1:13" ht="14.25" customHeight="1">
      <c r="A99" s="619"/>
      <c r="B99" s="155"/>
      <c r="C99" s="164"/>
      <c r="D99" s="181"/>
      <c r="E99" s="181"/>
      <c r="F99" s="181"/>
      <c r="G99" s="181"/>
      <c r="H99" s="204"/>
      <c r="I99" s="204"/>
      <c r="J99" s="204"/>
      <c r="K99" s="204"/>
      <c r="L99" s="142"/>
      <c r="M99" s="1"/>
    </row>
    <row r="100" spans="1:13" ht="14.25" customHeight="1">
      <c r="A100" s="619"/>
      <c r="B100" s="155"/>
      <c r="C100" s="164"/>
      <c r="D100" s="181"/>
      <c r="E100" s="181"/>
      <c r="F100" s="181"/>
      <c r="G100" s="181"/>
      <c r="H100" s="204"/>
      <c r="I100" s="204"/>
      <c r="J100" s="204"/>
      <c r="K100" s="204"/>
      <c r="L100" s="142"/>
      <c r="M100" s="1"/>
    </row>
    <row r="101" spans="1:13" ht="14.25" customHeight="1">
      <c r="A101" s="619"/>
      <c r="B101" s="155"/>
      <c r="C101" s="164"/>
      <c r="D101" s="181"/>
      <c r="E101" s="181"/>
      <c r="F101" s="181"/>
      <c r="G101" s="181"/>
      <c r="H101" s="204"/>
      <c r="I101" s="204"/>
      <c r="J101" s="204"/>
      <c r="K101" s="204"/>
      <c r="L101" s="142"/>
      <c r="M101" s="1"/>
    </row>
    <row r="102" spans="1:13" ht="14.25" customHeight="1">
      <c r="A102" s="619"/>
      <c r="B102" s="155"/>
      <c r="C102" s="164"/>
      <c r="D102" s="181"/>
      <c r="E102" s="181"/>
      <c r="F102" s="181"/>
      <c r="G102" s="181"/>
      <c r="H102" s="204"/>
      <c r="I102" s="204"/>
      <c r="J102" s="204"/>
      <c r="K102" s="204"/>
      <c r="L102" s="142"/>
      <c r="M102" s="1"/>
    </row>
    <row r="103" spans="1:13" ht="14.25" customHeight="1">
      <c r="A103" s="619"/>
      <c r="B103" s="155"/>
      <c r="C103" s="164"/>
      <c r="D103" s="181"/>
      <c r="E103" s="181"/>
      <c r="F103" s="181"/>
      <c r="G103" s="181"/>
      <c r="H103" s="204"/>
      <c r="I103" s="204"/>
      <c r="J103" s="204"/>
      <c r="K103" s="204"/>
      <c r="L103" s="142"/>
      <c r="M103" s="1"/>
    </row>
    <row r="104" spans="1:13" ht="14.25" customHeight="1">
      <c r="A104" s="619"/>
      <c r="B104" s="155"/>
      <c r="C104" s="164"/>
      <c r="D104" s="181"/>
      <c r="E104" s="181"/>
      <c r="F104" s="181"/>
      <c r="G104" s="181"/>
      <c r="H104" s="204"/>
      <c r="I104" s="204"/>
      <c r="J104" s="204"/>
      <c r="K104" s="204"/>
      <c r="L104" s="142"/>
      <c r="M104" s="1"/>
    </row>
    <row r="105" spans="1:13" ht="14.25" customHeight="1">
      <c r="A105" s="619"/>
      <c r="B105" s="155"/>
      <c r="C105" s="164"/>
      <c r="D105" s="181"/>
      <c r="E105" s="181"/>
      <c r="F105" s="181"/>
      <c r="G105" s="181"/>
      <c r="H105" s="204"/>
      <c r="I105" s="204"/>
      <c r="J105" s="204"/>
      <c r="K105" s="204"/>
      <c r="L105" s="142"/>
      <c r="M105" s="1"/>
    </row>
    <row r="106" spans="1:13" ht="14.25" customHeight="1">
      <c r="A106" s="619"/>
      <c r="B106" s="155"/>
      <c r="C106" s="164"/>
      <c r="D106" s="181"/>
      <c r="E106" s="181"/>
      <c r="F106" s="181"/>
      <c r="G106" s="181"/>
      <c r="H106" s="204"/>
      <c r="I106" s="204"/>
      <c r="J106" s="204"/>
      <c r="K106" s="204"/>
      <c r="L106" s="142"/>
      <c r="M106" s="1"/>
    </row>
    <row r="107" spans="1:13" ht="14.25" customHeight="1">
      <c r="A107" s="619"/>
      <c r="B107" s="155"/>
      <c r="C107" s="164"/>
      <c r="D107" s="181"/>
      <c r="E107" s="181"/>
      <c r="F107" s="181"/>
      <c r="G107" s="181"/>
      <c r="H107" s="204"/>
      <c r="I107" s="204"/>
      <c r="J107" s="204"/>
      <c r="K107" s="204"/>
      <c r="L107" s="142"/>
      <c r="M107" s="1"/>
    </row>
    <row r="108" spans="1:13" ht="14.25" customHeight="1">
      <c r="A108" s="619"/>
      <c r="B108" s="155"/>
      <c r="C108" s="164"/>
      <c r="D108" s="181"/>
      <c r="E108" s="181"/>
      <c r="F108" s="181"/>
      <c r="G108" s="181"/>
      <c r="H108" s="204"/>
      <c r="I108" s="204"/>
      <c r="J108" s="204"/>
      <c r="K108" s="204"/>
      <c r="L108" s="142"/>
      <c r="M108" s="1"/>
    </row>
    <row r="109" spans="1:13" ht="14.25" customHeight="1">
      <c r="A109" s="619"/>
      <c r="B109" s="155"/>
      <c r="C109" s="164"/>
      <c r="D109" s="181"/>
      <c r="E109" s="181"/>
      <c r="F109" s="181"/>
      <c r="G109" s="181"/>
      <c r="H109" s="204"/>
      <c r="I109" s="204"/>
      <c r="J109" s="204"/>
      <c r="K109" s="204"/>
      <c r="L109" s="142"/>
      <c r="M109" s="1"/>
    </row>
    <row r="110" spans="1:13" ht="14.25" customHeight="1">
      <c r="A110" s="619"/>
      <c r="B110" s="155"/>
      <c r="C110" s="164"/>
      <c r="D110" s="181"/>
      <c r="E110" s="181"/>
      <c r="F110" s="181"/>
      <c r="G110" s="181"/>
      <c r="H110" s="204"/>
      <c r="I110" s="204"/>
      <c r="J110" s="204"/>
      <c r="K110" s="204"/>
      <c r="L110" s="142"/>
      <c r="M110" s="1"/>
    </row>
    <row r="111" spans="1:13" ht="14.25" customHeight="1">
      <c r="A111" s="619"/>
      <c r="B111" s="155"/>
      <c r="C111" s="164"/>
      <c r="D111" s="181"/>
      <c r="E111" s="181"/>
      <c r="F111" s="181"/>
      <c r="G111" s="181"/>
      <c r="H111" s="204"/>
      <c r="I111" s="204"/>
      <c r="J111" s="204"/>
      <c r="K111" s="204"/>
      <c r="L111" s="142"/>
      <c r="M111" s="1"/>
    </row>
    <row r="112" spans="1:13" ht="14.25" customHeight="1">
      <c r="A112" s="619"/>
      <c r="B112" s="155"/>
      <c r="C112" s="164"/>
      <c r="D112" s="181"/>
      <c r="E112" s="181"/>
      <c r="F112" s="181"/>
      <c r="G112" s="181"/>
      <c r="H112" s="204"/>
      <c r="I112" s="204"/>
      <c r="J112" s="204"/>
      <c r="K112" s="204"/>
      <c r="L112" s="142"/>
      <c r="M112" s="1"/>
    </row>
    <row r="113" spans="1:13" ht="14.25" customHeight="1">
      <c r="A113" s="619"/>
      <c r="B113" s="155"/>
      <c r="C113" s="164"/>
      <c r="D113" s="181"/>
      <c r="E113" s="181"/>
      <c r="F113" s="181"/>
      <c r="G113" s="181"/>
      <c r="H113" s="204"/>
      <c r="I113" s="204"/>
      <c r="J113" s="204"/>
      <c r="K113" s="204"/>
      <c r="L113" s="142"/>
      <c r="M113" s="1"/>
    </row>
    <row r="114" spans="1:13" ht="14.25" customHeight="1">
      <c r="A114" s="619"/>
      <c r="B114" s="155"/>
      <c r="C114" s="164"/>
      <c r="D114" s="181"/>
      <c r="E114" s="181"/>
      <c r="F114" s="181"/>
      <c r="G114" s="181"/>
      <c r="H114" s="204"/>
      <c r="I114" s="204"/>
      <c r="J114" s="204"/>
      <c r="K114" s="204"/>
      <c r="L114" s="142"/>
      <c r="M114" s="1"/>
    </row>
    <row r="115" spans="1:13" ht="14.25" customHeight="1">
      <c r="A115" s="619"/>
      <c r="B115" s="155"/>
      <c r="C115" s="164"/>
      <c r="D115" s="181"/>
      <c r="E115" s="181"/>
      <c r="F115" s="181"/>
      <c r="G115" s="181"/>
      <c r="H115" s="204"/>
      <c r="I115" s="204"/>
      <c r="J115" s="204"/>
      <c r="K115" s="204"/>
      <c r="L115" s="142"/>
      <c r="M115" s="1"/>
    </row>
    <row r="116" spans="1:13" ht="14.25" customHeight="1">
      <c r="A116" s="619"/>
      <c r="B116" s="155"/>
      <c r="C116" s="164"/>
      <c r="D116" s="181"/>
      <c r="E116" s="181"/>
      <c r="F116" s="181"/>
      <c r="G116" s="181"/>
      <c r="H116" s="204"/>
      <c r="I116" s="204"/>
      <c r="J116" s="204"/>
      <c r="K116" s="204"/>
      <c r="L116" s="142"/>
      <c r="M116" s="1"/>
    </row>
    <row r="117" spans="1:13" ht="14.25" customHeight="1">
      <c r="A117" s="619"/>
      <c r="B117" s="167"/>
      <c r="C117" s="222"/>
      <c r="D117" s="214"/>
      <c r="E117" s="214"/>
      <c r="F117" s="214"/>
      <c r="G117" s="214"/>
      <c r="H117" s="230"/>
      <c r="I117" s="230"/>
      <c r="J117" s="230"/>
      <c r="K117" s="230"/>
      <c r="L117" s="231"/>
      <c r="M117" s="1"/>
    </row>
    <row r="118" spans="1:13" ht="14.25" customHeight="1">
      <c r="A118" s="619"/>
      <c r="B118" s="619"/>
      <c r="C118" s="4"/>
      <c r="D118" s="5"/>
      <c r="E118" s="5"/>
      <c r="F118" s="5"/>
      <c r="G118" s="5"/>
      <c r="H118" s="619"/>
      <c r="I118" s="619"/>
      <c r="J118" s="619"/>
      <c r="K118" s="619"/>
      <c r="L118" s="619"/>
      <c r="M118" s="1"/>
    </row>
    <row r="119" spans="1:13" ht="14.25" customHeight="1">
      <c r="A119" s="619"/>
      <c r="B119" s="6"/>
      <c r="C119" s="152"/>
      <c r="D119" s="153"/>
      <c r="E119" s="153"/>
      <c r="F119" s="153"/>
      <c r="G119" s="153"/>
      <c r="H119" s="200"/>
      <c r="I119" s="200"/>
      <c r="J119" s="200"/>
      <c r="K119" s="200"/>
      <c r="L119" s="201"/>
      <c r="M119" s="1"/>
    </row>
    <row r="120" spans="1:13" ht="14.25" customHeight="1">
      <c r="A120" s="619"/>
      <c r="B120" s="155"/>
      <c r="C120" s="156" t="s">
        <v>60</v>
      </c>
      <c r="D120" s="157"/>
      <c r="E120" s="157"/>
      <c r="F120" s="157"/>
      <c r="G120" s="157"/>
      <c r="H120" s="143"/>
      <c r="I120" s="143"/>
      <c r="J120" s="143"/>
      <c r="K120" s="143"/>
      <c r="L120" s="142"/>
      <c r="M120" s="1"/>
    </row>
    <row r="121" spans="1:13" ht="14.25" customHeight="1">
      <c r="A121" s="619"/>
      <c r="B121" s="202"/>
      <c r="C121" s="160"/>
      <c r="D121" s="492"/>
      <c r="E121" s="492"/>
      <c r="F121" s="492"/>
      <c r="G121" s="492"/>
      <c r="H121" s="620"/>
      <c r="I121" s="620"/>
      <c r="J121" s="620"/>
      <c r="K121" s="620"/>
      <c r="L121" s="473"/>
      <c r="M121" s="1"/>
    </row>
    <row r="122" spans="1:13" ht="14.25" customHeight="1">
      <c r="A122" s="619"/>
      <c r="B122" s="202"/>
      <c r="C122" s="160"/>
      <c r="D122" s="492"/>
      <c r="E122" s="492"/>
      <c r="F122" s="492"/>
      <c r="G122" s="492"/>
      <c r="H122" s="620"/>
      <c r="I122" s="620"/>
      <c r="J122" s="620"/>
      <c r="K122" s="620"/>
      <c r="L122" s="473"/>
      <c r="M122" s="1"/>
    </row>
    <row r="123" spans="1:13" ht="14.25" customHeight="1">
      <c r="A123" s="619"/>
      <c r="B123" s="202"/>
      <c r="C123" s="160"/>
      <c r="D123" s="492"/>
      <c r="E123" s="492"/>
      <c r="F123" s="492"/>
      <c r="G123" s="492"/>
      <c r="H123" s="620"/>
      <c r="I123" s="620"/>
      <c r="J123" s="620"/>
      <c r="K123" s="620"/>
      <c r="L123" s="473"/>
      <c r="M123" s="1"/>
    </row>
    <row r="124" spans="1:13" ht="14.25" customHeight="1">
      <c r="A124" s="619"/>
      <c r="B124" s="202"/>
      <c r="C124" s="160"/>
      <c r="D124" s="492"/>
      <c r="E124" s="492"/>
      <c r="F124" s="492"/>
      <c r="G124" s="492"/>
      <c r="H124" s="620"/>
      <c r="I124" s="620"/>
      <c r="J124" s="620"/>
      <c r="K124" s="620"/>
      <c r="L124" s="473"/>
      <c r="M124" s="1"/>
    </row>
    <row r="125" spans="1:13" ht="14.25" customHeight="1">
      <c r="A125" s="619"/>
      <c r="B125" s="202"/>
      <c r="C125" s="160"/>
      <c r="D125" s="492"/>
      <c r="E125" s="492"/>
      <c r="F125" s="492"/>
      <c r="G125" s="492"/>
      <c r="H125" s="620"/>
      <c r="I125" s="620"/>
      <c r="J125" s="620"/>
      <c r="K125" s="620"/>
      <c r="L125" s="473"/>
      <c r="M125" s="1"/>
    </row>
    <row r="126" spans="1:13" ht="14.25" customHeight="1">
      <c r="A126" s="619"/>
      <c r="B126" s="202"/>
      <c r="C126" s="160"/>
      <c r="D126" s="492"/>
      <c r="E126" s="492"/>
      <c r="F126" s="492"/>
      <c r="G126" s="492"/>
      <c r="H126" s="620"/>
      <c r="I126" s="620"/>
      <c r="J126" s="620"/>
      <c r="K126" s="620"/>
      <c r="L126" s="473"/>
      <c r="M126" s="1"/>
    </row>
    <row r="127" spans="1:13" ht="14.25" customHeight="1">
      <c r="A127" s="619"/>
      <c r="B127" s="202"/>
      <c r="C127" s="160"/>
      <c r="D127" s="492"/>
      <c r="E127" s="492"/>
      <c r="F127" s="492"/>
      <c r="G127" s="492"/>
      <c r="H127" s="620"/>
      <c r="I127" s="620"/>
      <c r="J127" s="620"/>
      <c r="K127" s="620"/>
      <c r="L127" s="473"/>
      <c r="M127" s="1"/>
    </row>
    <row r="128" spans="1:13" ht="14.25" customHeight="1">
      <c r="A128" s="619"/>
      <c r="B128" s="202"/>
      <c r="C128" s="160"/>
      <c r="D128" s="492"/>
      <c r="E128" s="492"/>
      <c r="F128" s="492"/>
      <c r="G128" s="492"/>
      <c r="H128" s="620"/>
      <c r="I128" s="620"/>
      <c r="J128" s="620"/>
      <c r="K128" s="620"/>
      <c r="L128" s="473"/>
      <c r="M128" s="1"/>
    </row>
    <row r="129" spans="1:13" ht="14.25" customHeight="1">
      <c r="A129" s="619"/>
      <c r="B129" s="202"/>
      <c r="C129" s="160"/>
      <c r="D129" s="492"/>
      <c r="E129" s="492"/>
      <c r="F129" s="492"/>
      <c r="G129" s="492"/>
      <c r="H129" s="620"/>
      <c r="I129" s="620"/>
      <c r="J129" s="620"/>
      <c r="K129" s="620"/>
      <c r="L129" s="473"/>
      <c r="M129" s="1"/>
    </row>
    <row r="130" spans="1:13" ht="14.25" customHeight="1">
      <c r="A130" s="619"/>
      <c r="B130" s="202"/>
      <c r="C130" s="160"/>
      <c r="D130" s="492"/>
      <c r="E130" s="492"/>
      <c r="F130" s="492"/>
      <c r="G130" s="492"/>
      <c r="H130" s="620"/>
      <c r="I130" s="620"/>
      <c r="J130" s="620"/>
      <c r="K130" s="620"/>
      <c r="L130" s="473"/>
      <c r="M130" s="1"/>
    </row>
    <row r="131" spans="1:13" ht="14.25" customHeight="1">
      <c r="A131" s="619"/>
      <c r="B131" s="202"/>
      <c r="C131" s="160"/>
      <c r="D131" s="492"/>
      <c r="E131" s="492"/>
      <c r="F131" s="492"/>
      <c r="G131" s="492"/>
      <c r="H131" s="620"/>
      <c r="I131" s="620"/>
      <c r="J131" s="620"/>
      <c r="K131" s="620"/>
      <c r="L131" s="473"/>
      <c r="M131" s="1"/>
    </row>
    <row r="132" spans="1:13" ht="14.25" customHeight="1">
      <c r="A132" s="619"/>
      <c r="B132" s="202"/>
      <c r="C132" s="160"/>
      <c r="D132" s="492"/>
      <c r="E132" s="492"/>
      <c r="F132" s="492"/>
      <c r="G132" s="492"/>
      <c r="H132" s="620"/>
      <c r="I132" s="620"/>
      <c r="J132" s="620"/>
      <c r="K132" s="620"/>
      <c r="L132" s="473"/>
      <c r="M132" s="1"/>
    </row>
    <row r="133" spans="1:13" ht="14.25" customHeight="1">
      <c r="A133" s="619"/>
      <c r="B133" s="202"/>
      <c r="C133" s="160"/>
      <c r="D133" s="492"/>
      <c r="E133" s="492"/>
      <c r="F133" s="492"/>
      <c r="G133" s="492"/>
      <c r="H133" s="620"/>
      <c r="I133" s="620"/>
      <c r="J133" s="620"/>
      <c r="K133" s="620"/>
      <c r="L133" s="473"/>
      <c r="M133" s="1"/>
    </row>
    <row r="134" spans="1:13" ht="14.25" customHeight="1">
      <c r="A134" s="619"/>
      <c r="B134" s="155"/>
      <c r="C134" s="164"/>
      <c r="D134" s="181"/>
      <c r="E134" s="181"/>
      <c r="F134" s="181"/>
      <c r="G134" s="181"/>
      <c r="H134" s="204"/>
      <c r="I134" s="204"/>
      <c r="J134" s="204"/>
      <c r="K134" s="204"/>
      <c r="L134" s="142"/>
      <c r="M134" s="1"/>
    </row>
    <row r="135" spans="1:13" ht="14.25" customHeight="1">
      <c r="A135" s="619"/>
      <c r="B135" s="155"/>
      <c r="C135" s="164"/>
      <c r="D135" s="181"/>
      <c r="E135" s="181"/>
      <c r="F135" s="181"/>
      <c r="G135" s="181"/>
      <c r="H135" s="204"/>
      <c r="I135" s="204"/>
      <c r="J135" s="204"/>
      <c r="K135" s="204"/>
      <c r="L135" s="142"/>
      <c r="M135" s="1"/>
    </row>
    <row r="136" spans="1:13" ht="14.25" customHeight="1">
      <c r="A136" s="619"/>
      <c r="B136" s="155"/>
      <c r="C136" s="164"/>
      <c r="D136" s="181"/>
      <c r="E136" s="181"/>
      <c r="F136" s="181"/>
      <c r="G136" s="181"/>
      <c r="H136" s="204"/>
      <c r="I136" s="204"/>
      <c r="J136" s="204"/>
      <c r="K136" s="204"/>
      <c r="L136" s="142"/>
      <c r="M136" s="1"/>
    </row>
    <row r="137" spans="1:13" ht="14.25" customHeight="1">
      <c r="A137" s="619"/>
      <c r="B137" s="155"/>
      <c r="C137" s="164"/>
      <c r="D137" s="181"/>
      <c r="E137" s="181"/>
      <c r="F137" s="181"/>
      <c r="G137" s="181"/>
      <c r="H137" s="204"/>
      <c r="I137" s="204"/>
      <c r="J137" s="204"/>
      <c r="K137" s="204"/>
      <c r="L137" s="142"/>
      <c r="M137" s="1"/>
    </row>
    <row r="138" spans="1:13" ht="14.25" customHeight="1">
      <c r="A138" s="619"/>
      <c r="B138" s="155"/>
      <c r="C138" s="164"/>
      <c r="D138" s="181"/>
      <c r="E138" s="181"/>
      <c r="F138" s="181"/>
      <c r="G138" s="181"/>
      <c r="H138" s="204"/>
      <c r="I138" s="204"/>
      <c r="J138" s="204"/>
      <c r="K138" s="204"/>
      <c r="L138" s="142"/>
      <c r="M138" s="1"/>
    </row>
    <row r="139" spans="1:13" ht="14.25" customHeight="1">
      <c r="A139" s="619"/>
      <c r="B139" s="155"/>
      <c r="C139" s="164"/>
      <c r="D139" s="181"/>
      <c r="E139" s="181"/>
      <c r="F139" s="181"/>
      <c r="G139" s="181"/>
      <c r="H139" s="204"/>
      <c r="I139" s="204"/>
      <c r="J139" s="204"/>
      <c r="K139" s="204"/>
      <c r="L139" s="142"/>
      <c r="M139" s="1"/>
    </row>
    <row r="140" spans="1:13" ht="14.25" customHeight="1">
      <c r="A140" s="619"/>
      <c r="B140" s="167"/>
      <c r="C140" s="222"/>
      <c r="D140" s="214"/>
      <c r="E140" s="214"/>
      <c r="F140" s="214"/>
      <c r="G140" s="214"/>
      <c r="H140" s="230"/>
      <c r="I140" s="230"/>
      <c r="J140" s="230"/>
      <c r="K140" s="230"/>
      <c r="L140" s="231"/>
      <c r="M140" s="1"/>
    </row>
    <row r="141" spans="1:13" ht="14.25" customHeight="1">
      <c r="A141" s="619"/>
      <c r="B141" s="619"/>
      <c r="C141" s="4"/>
      <c r="D141" s="5"/>
      <c r="E141" s="5"/>
      <c r="F141" s="5"/>
      <c r="G141" s="5"/>
      <c r="H141" s="619"/>
      <c r="I141" s="619"/>
      <c r="J141" s="619"/>
      <c r="K141" s="619"/>
      <c r="L141" s="619"/>
      <c r="M141" s="1"/>
    </row>
    <row r="142" spans="1:13" ht="14.25" customHeight="1">
      <c r="A142" s="619"/>
      <c r="B142" s="6"/>
      <c r="C142" s="152"/>
      <c r="D142" s="200"/>
      <c r="E142" s="200"/>
      <c r="F142" s="200"/>
      <c r="G142" s="200"/>
      <c r="H142" s="200"/>
      <c r="I142" s="200"/>
      <c r="J142" s="200"/>
      <c r="K142" s="200"/>
      <c r="L142" s="201"/>
      <c r="M142" s="1"/>
    </row>
    <row r="143" spans="1:13" ht="20.25" customHeight="1">
      <c r="A143" s="619"/>
      <c r="B143" s="155"/>
      <c r="C143" s="156" t="s">
        <v>71</v>
      </c>
      <c r="D143" s="510"/>
      <c r="E143" s="143"/>
      <c r="F143" s="143"/>
      <c r="G143" s="143"/>
      <c r="H143" s="143"/>
      <c r="I143" s="143"/>
      <c r="J143" s="143"/>
      <c r="K143" s="143"/>
      <c r="L143" s="142"/>
      <c r="M143" s="1"/>
    </row>
    <row r="144" spans="1:13" ht="14.25" customHeight="1">
      <c r="A144" s="619"/>
      <c r="B144" s="155"/>
      <c r="C144" s="160"/>
      <c r="D144" s="160"/>
      <c r="E144" s="160"/>
      <c r="F144" s="160"/>
      <c r="G144" s="160"/>
      <c r="H144" s="160"/>
      <c r="I144" s="160"/>
      <c r="J144" s="160"/>
      <c r="K144" s="160"/>
      <c r="L144" s="142"/>
      <c r="M144" s="1"/>
    </row>
    <row r="145" spans="1:13" ht="14.25" customHeight="1">
      <c r="A145" s="619"/>
      <c r="B145" s="155"/>
      <c r="C145" s="160"/>
      <c r="D145" s="160"/>
      <c r="E145" s="160"/>
      <c r="F145" s="160"/>
      <c r="G145" s="160"/>
      <c r="H145" s="160"/>
      <c r="I145" s="160"/>
      <c r="J145" s="160"/>
      <c r="K145" s="160"/>
      <c r="L145" s="142"/>
      <c r="M145" s="1"/>
    </row>
    <row r="146" spans="1:13" ht="14.25" customHeight="1">
      <c r="A146" s="619"/>
      <c r="B146" s="155"/>
      <c r="C146" s="160"/>
      <c r="D146" s="160"/>
      <c r="E146" s="160"/>
      <c r="F146" s="160"/>
      <c r="G146" s="160"/>
      <c r="H146" s="160"/>
      <c r="I146" s="160"/>
      <c r="J146" s="160"/>
      <c r="K146" s="160"/>
      <c r="L146" s="142"/>
      <c r="M146" s="1"/>
    </row>
    <row r="147" spans="1:13" ht="14.25" customHeight="1">
      <c r="A147" s="619"/>
      <c r="B147" s="155"/>
      <c r="C147" s="160"/>
      <c r="D147" s="160"/>
      <c r="E147" s="160"/>
      <c r="F147" s="160"/>
      <c r="G147" s="160"/>
      <c r="H147" s="160"/>
      <c r="I147" s="160"/>
      <c r="J147" s="160"/>
      <c r="K147" s="160"/>
      <c r="L147" s="142"/>
      <c r="M147" s="1"/>
    </row>
    <row r="148" spans="1:13" ht="14.25" customHeight="1">
      <c r="A148" s="619"/>
      <c r="B148" s="155"/>
      <c r="C148" s="160"/>
      <c r="D148" s="160"/>
      <c r="E148" s="160"/>
      <c r="F148" s="160"/>
      <c r="G148" s="160"/>
      <c r="H148" s="160"/>
      <c r="I148" s="160"/>
      <c r="J148" s="160"/>
      <c r="K148" s="160"/>
      <c r="L148" s="142"/>
      <c r="M148" s="1"/>
    </row>
    <row r="149" spans="1:13" ht="14.25" customHeight="1">
      <c r="A149" s="619"/>
      <c r="B149" s="155"/>
      <c r="C149" s="160"/>
      <c r="D149" s="160"/>
      <c r="E149" s="160"/>
      <c r="F149" s="160"/>
      <c r="G149" s="160"/>
      <c r="H149" s="160"/>
      <c r="I149" s="160"/>
      <c r="J149" s="160"/>
      <c r="K149" s="160"/>
      <c r="L149" s="142"/>
      <c r="M149" s="1"/>
    </row>
    <row r="150" spans="1:13" ht="14.25" customHeight="1">
      <c r="A150" s="619"/>
      <c r="B150" s="155"/>
      <c r="C150" s="160"/>
      <c r="D150" s="160"/>
      <c r="E150" s="160"/>
      <c r="F150" s="160"/>
      <c r="G150" s="160"/>
      <c r="H150" s="160"/>
      <c r="I150" s="160"/>
      <c r="J150" s="160"/>
      <c r="K150" s="160"/>
      <c r="L150" s="142"/>
      <c r="M150" s="1"/>
    </row>
    <row r="151" spans="1:13" ht="14.25" customHeight="1">
      <c r="A151" s="619"/>
      <c r="B151" s="155"/>
      <c r="C151" s="160"/>
      <c r="D151" s="160"/>
      <c r="E151" s="160"/>
      <c r="F151" s="160"/>
      <c r="G151" s="160"/>
      <c r="H151" s="160"/>
      <c r="I151" s="160"/>
      <c r="J151" s="160"/>
      <c r="K151" s="160"/>
      <c r="L151" s="142"/>
      <c r="M151" s="1"/>
    </row>
    <row r="152" spans="1:13" ht="14.25" customHeight="1">
      <c r="A152" s="619"/>
      <c r="B152" s="155"/>
      <c r="C152" s="160"/>
      <c r="D152" s="160"/>
      <c r="E152" s="160"/>
      <c r="F152" s="160"/>
      <c r="G152" s="160"/>
      <c r="H152" s="160"/>
      <c r="I152" s="160"/>
      <c r="J152" s="160"/>
      <c r="K152" s="160"/>
      <c r="L152" s="142"/>
      <c r="M152" s="1"/>
    </row>
    <row r="153" spans="1:13" ht="14.25" customHeight="1">
      <c r="A153" s="619"/>
      <c r="B153" s="155"/>
      <c r="C153" s="160"/>
      <c r="D153" s="160"/>
      <c r="E153" s="160"/>
      <c r="F153" s="160"/>
      <c r="G153" s="160"/>
      <c r="H153" s="160"/>
      <c r="I153" s="160"/>
      <c r="J153" s="160"/>
      <c r="K153" s="160"/>
      <c r="L153" s="142"/>
      <c r="M153" s="1"/>
    </row>
    <row r="154" spans="1:13" ht="14.25" customHeight="1">
      <c r="A154" s="619"/>
      <c r="B154" s="155"/>
      <c r="C154" s="160"/>
      <c r="D154" s="160"/>
      <c r="E154" s="160"/>
      <c r="F154" s="160"/>
      <c r="G154" s="160"/>
      <c r="H154" s="160"/>
      <c r="I154" s="160"/>
      <c r="J154" s="160"/>
      <c r="K154" s="160"/>
      <c r="L154" s="142"/>
      <c r="M154" s="1"/>
    </row>
    <row r="155" spans="1:13" ht="14.25" customHeight="1">
      <c r="A155" s="619"/>
      <c r="B155" s="155"/>
      <c r="C155" s="160"/>
      <c r="D155" s="160"/>
      <c r="E155" s="160"/>
      <c r="F155" s="160"/>
      <c r="G155" s="160"/>
      <c r="H155" s="160"/>
      <c r="I155" s="160"/>
      <c r="J155" s="160"/>
      <c r="K155" s="160"/>
      <c r="L155" s="142"/>
      <c r="M155" s="1"/>
    </row>
    <row r="156" spans="1:13" ht="14.25" customHeight="1">
      <c r="A156" s="619"/>
      <c r="B156" s="155"/>
      <c r="C156" s="160"/>
      <c r="D156" s="160"/>
      <c r="E156" s="160"/>
      <c r="F156" s="160"/>
      <c r="G156" s="160"/>
      <c r="H156" s="160"/>
      <c r="I156" s="160"/>
      <c r="J156" s="160"/>
      <c r="K156" s="160"/>
      <c r="L156" s="142"/>
      <c r="M156" s="1"/>
    </row>
    <row r="157" spans="1:13" ht="14.25" customHeight="1">
      <c r="A157" s="619"/>
      <c r="B157" s="155"/>
      <c r="C157" s="160"/>
      <c r="D157" s="160"/>
      <c r="E157" s="160"/>
      <c r="F157" s="160"/>
      <c r="G157" s="160"/>
      <c r="H157" s="160"/>
      <c r="I157" s="160"/>
      <c r="J157" s="160"/>
      <c r="K157" s="160"/>
      <c r="L157" s="142"/>
      <c r="M157" s="1"/>
    </row>
    <row r="158" spans="1:13" ht="14.25" customHeight="1">
      <c r="A158" s="619"/>
      <c r="B158" s="155"/>
      <c r="C158" s="160"/>
      <c r="D158" s="160"/>
      <c r="E158" s="160"/>
      <c r="F158" s="160"/>
      <c r="G158" s="160"/>
      <c r="H158" s="160"/>
      <c r="I158" s="160"/>
      <c r="J158" s="160"/>
      <c r="K158" s="160"/>
      <c r="L158" s="142"/>
      <c r="M158" s="1"/>
    </row>
    <row r="159" spans="1:13" ht="14.25" customHeight="1">
      <c r="A159" s="619"/>
      <c r="B159" s="155"/>
      <c r="C159" s="160"/>
      <c r="D159" s="160"/>
      <c r="E159" s="160"/>
      <c r="F159" s="160"/>
      <c r="G159" s="160"/>
      <c r="H159" s="160"/>
      <c r="I159" s="160"/>
      <c r="J159" s="160"/>
      <c r="K159" s="160"/>
      <c r="L159" s="142"/>
      <c r="M159" s="1"/>
    </row>
    <row r="160" spans="1:13" ht="14.25" customHeight="1">
      <c r="A160" s="619"/>
      <c r="B160" s="155"/>
      <c r="C160" s="160"/>
      <c r="D160" s="160"/>
      <c r="E160" s="160"/>
      <c r="F160" s="160"/>
      <c r="G160" s="160"/>
      <c r="H160" s="160"/>
      <c r="I160" s="160"/>
      <c r="J160" s="160"/>
      <c r="K160" s="160"/>
      <c r="L160" s="142"/>
      <c r="M160" s="1"/>
    </row>
    <row r="161" spans="1:13" ht="14.25" customHeight="1">
      <c r="A161" s="619"/>
      <c r="B161" s="155"/>
      <c r="C161" s="160"/>
      <c r="D161" s="160"/>
      <c r="E161" s="160"/>
      <c r="F161" s="160"/>
      <c r="G161" s="160"/>
      <c r="H161" s="160"/>
      <c r="I161" s="160"/>
      <c r="J161" s="160"/>
      <c r="K161" s="160"/>
      <c r="L161" s="142"/>
      <c r="M161" s="1"/>
    </row>
    <row r="162" spans="1:13" ht="14.25" customHeight="1">
      <c r="A162" s="619"/>
      <c r="B162" s="155"/>
      <c r="C162" s="164"/>
      <c r="D162" s="160"/>
      <c r="E162" s="160"/>
      <c r="F162" s="160"/>
      <c r="G162" s="160"/>
      <c r="H162" s="160"/>
      <c r="I162" s="160"/>
      <c r="J162" s="160"/>
      <c r="K162" s="160"/>
      <c r="L162" s="142"/>
      <c r="M162" s="1"/>
    </row>
    <row r="163" spans="1:13" ht="14.25" customHeight="1">
      <c r="A163" s="619"/>
      <c r="B163" s="167"/>
      <c r="C163" s="222"/>
      <c r="D163" s="230"/>
      <c r="E163" s="230"/>
      <c r="F163" s="230"/>
      <c r="G163" s="230"/>
      <c r="H163" s="230"/>
      <c r="I163" s="230"/>
      <c r="J163" s="230"/>
      <c r="K163" s="230"/>
      <c r="L163" s="231"/>
      <c r="M163" s="1"/>
    </row>
    <row r="164" spans="1:13" ht="14.25" customHeight="1">
      <c r="A164" s="619"/>
      <c r="B164" s="619"/>
      <c r="C164" s="4"/>
      <c r="D164" s="5"/>
      <c r="E164" s="5"/>
      <c r="F164" s="5"/>
      <c r="G164" s="5"/>
      <c r="H164" s="619"/>
      <c r="I164" s="619"/>
      <c r="J164" s="619"/>
      <c r="K164" s="619"/>
      <c r="L164" s="619"/>
      <c r="M164" s="1"/>
    </row>
    <row r="165" spans="1:13" ht="14.25" customHeight="1">
      <c r="A165" s="619"/>
      <c r="B165" s="6"/>
      <c r="C165" s="152"/>
      <c r="D165" s="200"/>
      <c r="E165" s="200"/>
      <c r="F165" s="200"/>
      <c r="G165" s="200"/>
      <c r="H165" s="200"/>
      <c r="I165" s="200"/>
      <c r="J165" s="200"/>
      <c r="K165" s="200"/>
      <c r="L165" s="201"/>
      <c r="M165" s="1"/>
    </row>
    <row r="166" spans="1:13" ht="14.25" customHeight="1">
      <c r="A166" s="619"/>
      <c r="B166" s="155"/>
      <c r="C166" s="156" t="s">
        <v>82</v>
      </c>
      <c r="D166" s="510"/>
      <c r="E166" s="143"/>
      <c r="F166" s="143"/>
      <c r="G166" s="143"/>
      <c r="H166" s="143"/>
      <c r="I166" s="143"/>
      <c r="J166" s="143"/>
      <c r="K166" s="143"/>
      <c r="L166" s="142"/>
      <c r="M166" s="1"/>
    </row>
    <row r="167" spans="1:13" ht="14.25" customHeight="1">
      <c r="A167" s="619"/>
      <c r="B167" s="155"/>
      <c r="C167" s="160"/>
      <c r="D167" s="235"/>
      <c r="E167" s="235"/>
      <c r="F167" s="235"/>
      <c r="G167" s="160"/>
      <c r="H167" s="160"/>
      <c r="I167" s="160"/>
      <c r="J167" s="160"/>
      <c r="K167" s="160"/>
      <c r="L167" s="142"/>
      <c r="M167" s="1"/>
    </row>
    <row r="168" spans="1:13" ht="14.25" customHeight="1">
      <c r="A168" s="619"/>
      <c r="B168" s="155"/>
      <c r="C168" s="160"/>
      <c r="D168" s="235"/>
      <c r="E168" s="235"/>
      <c r="F168" s="235"/>
      <c r="G168" s="160"/>
      <c r="H168" s="160"/>
      <c r="I168" s="160"/>
      <c r="J168" s="160"/>
      <c r="K168" s="160"/>
      <c r="L168" s="142"/>
      <c r="M168" s="1"/>
    </row>
    <row r="169" spans="1:13" ht="14.25" customHeight="1">
      <c r="A169" s="619"/>
      <c r="B169" s="155"/>
      <c r="C169" s="160"/>
      <c r="D169" s="235"/>
      <c r="E169" s="235"/>
      <c r="F169" s="235"/>
      <c r="G169" s="160"/>
      <c r="H169" s="160"/>
      <c r="I169" s="160"/>
      <c r="J169" s="160"/>
      <c r="K169" s="160"/>
      <c r="L169" s="142"/>
      <c r="M169" s="1"/>
    </row>
    <row r="170" spans="1:13" ht="14.25" customHeight="1">
      <c r="A170" s="619"/>
      <c r="B170" s="155"/>
      <c r="C170" s="160"/>
      <c r="D170" s="235"/>
      <c r="E170" s="235"/>
      <c r="F170" s="235"/>
      <c r="G170" s="160"/>
      <c r="H170" s="160"/>
      <c r="I170" s="160"/>
      <c r="J170" s="160"/>
      <c r="K170" s="160"/>
      <c r="L170" s="142"/>
      <c r="M170" s="1"/>
    </row>
    <row r="171" spans="1:13" ht="14.25" customHeight="1">
      <c r="A171" s="619"/>
      <c r="B171" s="155"/>
      <c r="C171" s="160"/>
      <c r="D171" s="235"/>
      <c r="E171" s="235"/>
      <c r="F171" s="235"/>
      <c r="G171" s="160"/>
      <c r="H171" s="160"/>
      <c r="I171" s="160"/>
      <c r="J171" s="160"/>
      <c r="K171" s="160"/>
      <c r="L171" s="142"/>
      <c r="M171" s="1"/>
    </row>
    <row r="172" spans="1:13" ht="14.25" customHeight="1">
      <c r="A172" s="619"/>
      <c r="B172" s="155"/>
      <c r="C172" s="160"/>
      <c r="D172" s="235"/>
      <c r="E172" s="235"/>
      <c r="F172" s="235"/>
      <c r="G172" s="160"/>
      <c r="H172" s="160"/>
      <c r="I172" s="160"/>
      <c r="J172" s="160"/>
      <c r="K172" s="160"/>
      <c r="L172" s="142"/>
      <c r="M172" s="1"/>
    </row>
    <row r="173" spans="1:13" ht="14.25" customHeight="1">
      <c r="A173" s="619"/>
      <c r="B173" s="155"/>
      <c r="C173" s="160"/>
      <c r="D173" s="235"/>
      <c r="E173" s="235"/>
      <c r="F173" s="235"/>
      <c r="G173" s="160"/>
      <c r="H173" s="160"/>
      <c r="I173" s="160"/>
      <c r="J173" s="160"/>
      <c r="K173" s="160"/>
      <c r="L173" s="142"/>
      <c r="M173" s="1"/>
    </row>
    <row r="174" spans="1:13" ht="14.25" customHeight="1">
      <c r="A174" s="619"/>
      <c r="B174" s="155"/>
      <c r="C174" s="160"/>
      <c r="D174" s="235"/>
      <c r="E174" s="235"/>
      <c r="F174" s="235"/>
      <c r="G174" s="160"/>
      <c r="H174" s="160"/>
      <c r="I174" s="160"/>
      <c r="J174" s="160"/>
      <c r="K174" s="160"/>
      <c r="L174" s="142"/>
      <c r="M174" s="1"/>
    </row>
    <row r="175" spans="1:13" ht="14.25" customHeight="1">
      <c r="A175" s="619"/>
      <c r="B175" s="155"/>
      <c r="C175" s="160"/>
      <c r="D175" s="235"/>
      <c r="E175" s="235"/>
      <c r="F175" s="235"/>
      <c r="G175" s="160"/>
      <c r="H175" s="160"/>
      <c r="I175" s="160"/>
      <c r="J175" s="160"/>
      <c r="K175" s="160"/>
      <c r="L175" s="142"/>
      <c r="M175" s="1"/>
    </row>
    <row r="176" spans="1:13" ht="14.25" customHeight="1">
      <c r="A176" s="619"/>
      <c r="B176" s="155"/>
      <c r="C176" s="160"/>
      <c r="D176" s="235"/>
      <c r="E176" s="235"/>
      <c r="F176" s="235"/>
      <c r="G176" s="160"/>
      <c r="H176" s="160"/>
      <c r="I176" s="160"/>
      <c r="J176" s="160"/>
      <c r="K176" s="160"/>
      <c r="L176" s="142"/>
      <c r="M176" s="1"/>
    </row>
    <row r="177" spans="1:13" ht="14.25" customHeight="1">
      <c r="A177" s="619"/>
      <c r="B177" s="155"/>
      <c r="C177" s="160"/>
      <c r="D177" s="235"/>
      <c r="E177" s="235"/>
      <c r="F177" s="235"/>
      <c r="G177" s="160"/>
      <c r="H177" s="160"/>
      <c r="I177" s="160"/>
      <c r="J177" s="160"/>
      <c r="K177" s="160"/>
      <c r="L177" s="142"/>
      <c r="M177" s="1"/>
    </row>
    <row r="178" spans="1:13" ht="14.25" customHeight="1">
      <c r="A178" s="619"/>
      <c r="B178" s="155"/>
      <c r="C178" s="160"/>
      <c r="D178" s="235"/>
      <c r="E178" s="235"/>
      <c r="F178" s="235"/>
      <c r="G178" s="160"/>
      <c r="H178" s="160"/>
      <c r="I178" s="160"/>
      <c r="J178" s="160"/>
      <c r="K178" s="160"/>
      <c r="L178" s="142"/>
      <c r="M178" s="1"/>
    </row>
    <row r="179" spans="1:13" ht="14.25" customHeight="1">
      <c r="A179" s="619"/>
      <c r="B179" s="155"/>
      <c r="C179" s="160"/>
      <c r="D179" s="160"/>
      <c r="E179" s="160"/>
      <c r="F179" s="160"/>
      <c r="G179" s="160"/>
      <c r="H179" s="160"/>
      <c r="I179" s="160"/>
      <c r="J179" s="160"/>
      <c r="K179" s="160"/>
      <c r="L179" s="142"/>
      <c r="M179" s="1"/>
    </row>
    <row r="180" spans="1:13" ht="14.25" customHeight="1">
      <c r="A180" s="619"/>
      <c r="B180" s="155"/>
      <c r="C180" s="160"/>
      <c r="D180" s="160"/>
      <c r="E180" s="160"/>
      <c r="F180" s="160"/>
      <c r="G180" s="160"/>
      <c r="H180" s="160"/>
      <c r="I180" s="160"/>
      <c r="J180" s="160"/>
      <c r="K180" s="160"/>
      <c r="L180" s="142"/>
      <c r="M180" s="1"/>
    </row>
    <row r="181" spans="1:13" ht="14.25" customHeight="1">
      <c r="A181" s="619"/>
      <c r="B181" s="155"/>
      <c r="C181" s="160"/>
      <c r="D181" s="235"/>
      <c r="E181" s="235"/>
      <c r="F181" s="235"/>
      <c r="G181" s="160"/>
      <c r="H181" s="160"/>
      <c r="I181" s="160"/>
      <c r="J181" s="160"/>
      <c r="K181" s="160"/>
      <c r="L181" s="142"/>
      <c r="M181" s="1"/>
    </row>
    <row r="182" spans="1:13" ht="14.25" customHeight="1">
      <c r="A182" s="619"/>
      <c r="B182" s="155"/>
      <c r="C182" s="160"/>
      <c r="D182" s="235"/>
      <c r="E182" s="235"/>
      <c r="F182" s="235"/>
      <c r="G182" s="160"/>
      <c r="H182" s="160"/>
      <c r="I182" s="160"/>
      <c r="J182" s="160"/>
      <c r="K182" s="160"/>
      <c r="L182" s="142"/>
      <c r="M182" s="1"/>
    </row>
    <row r="183" spans="1:13" ht="14.25" customHeight="1">
      <c r="A183" s="619"/>
      <c r="B183" s="155"/>
      <c r="C183" s="160"/>
      <c r="D183" s="160"/>
      <c r="E183" s="160"/>
      <c r="F183" s="160"/>
      <c r="G183" s="160"/>
      <c r="H183" s="160"/>
      <c r="I183" s="160"/>
      <c r="J183" s="160"/>
      <c r="K183" s="160"/>
      <c r="L183" s="142"/>
      <c r="M183" s="1"/>
    </row>
    <row r="184" spans="1:13" ht="14.25" customHeight="1">
      <c r="A184" s="619"/>
      <c r="B184" s="155"/>
      <c r="C184" s="160"/>
      <c r="D184" s="235"/>
      <c r="E184" s="235"/>
      <c r="F184" s="235"/>
      <c r="G184" s="160"/>
      <c r="H184" s="160"/>
      <c r="I184" s="160"/>
      <c r="J184" s="160"/>
      <c r="K184" s="160"/>
      <c r="L184" s="142"/>
      <c r="M184" s="1"/>
    </row>
    <row r="185" spans="1:13" ht="14.25" customHeight="1">
      <c r="A185" s="619"/>
      <c r="B185" s="155"/>
      <c r="C185" s="164"/>
      <c r="D185" s="236"/>
      <c r="E185" s="236"/>
      <c r="F185" s="236"/>
      <c r="G185" s="160"/>
      <c r="H185" s="160"/>
      <c r="I185" s="160"/>
      <c r="J185" s="160"/>
      <c r="K185" s="160"/>
      <c r="L185" s="142"/>
      <c r="M185" s="1"/>
    </row>
    <row r="186" spans="1:13" ht="14.25" customHeight="1">
      <c r="A186" s="619"/>
      <c r="B186" s="167"/>
      <c r="C186" s="222"/>
      <c r="D186" s="230"/>
      <c r="E186" s="230"/>
      <c r="F186" s="230"/>
      <c r="G186" s="230"/>
      <c r="H186" s="230"/>
      <c r="I186" s="230"/>
      <c r="J186" s="230"/>
      <c r="K186" s="230"/>
      <c r="L186" s="231"/>
      <c r="M186" s="1"/>
    </row>
    <row r="187" spans="1:13" ht="14.25" customHeight="1">
      <c r="A187" s="619"/>
      <c r="B187" s="619"/>
      <c r="C187" s="4"/>
      <c r="D187" s="5"/>
      <c r="E187" s="5"/>
      <c r="F187" s="5"/>
      <c r="G187" s="5"/>
      <c r="H187" s="619"/>
      <c r="I187" s="619"/>
      <c r="J187" s="619"/>
      <c r="K187" s="619"/>
      <c r="L187" s="619"/>
      <c r="M187" s="1"/>
    </row>
    <row r="188" spans="1:13" ht="14.25" customHeight="1">
      <c r="A188" s="619"/>
      <c r="B188" s="6"/>
      <c r="C188" s="152"/>
      <c r="D188" s="200"/>
      <c r="E188" s="200"/>
      <c r="F188" s="200"/>
      <c r="G188" s="200"/>
      <c r="H188" s="200"/>
      <c r="I188" s="200"/>
      <c r="J188" s="200"/>
      <c r="K188" s="200"/>
      <c r="L188" s="201"/>
      <c r="M188" s="1"/>
    </row>
    <row r="189" spans="1:13" ht="14.25" customHeight="1">
      <c r="A189" s="619"/>
      <c r="B189" s="155"/>
      <c r="C189" s="156" t="s">
        <v>738</v>
      </c>
      <c r="D189" s="510"/>
      <c r="E189" s="143"/>
      <c r="F189" s="143"/>
      <c r="G189" s="143"/>
      <c r="H189" s="143"/>
      <c r="I189" s="143"/>
      <c r="J189" s="143"/>
      <c r="K189" s="143"/>
      <c r="L189" s="142"/>
      <c r="M189" s="1"/>
    </row>
    <row r="190" spans="1:13" ht="14.25" customHeight="1">
      <c r="A190" s="619"/>
      <c r="B190" s="155"/>
      <c r="C190" s="235"/>
      <c r="D190" s="235"/>
      <c r="E190" s="235"/>
      <c r="F190" s="235"/>
      <c r="G190" s="160"/>
      <c r="H190" s="160"/>
      <c r="I190" s="160"/>
      <c r="J190" s="160"/>
      <c r="K190" s="160"/>
      <c r="L190" s="142"/>
      <c r="M190" s="1"/>
    </row>
    <row r="191" spans="1:13" ht="14.25" customHeight="1">
      <c r="A191" s="619"/>
      <c r="B191" s="155"/>
      <c r="C191" s="160"/>
      <c r="D191" s="235"/>
      <c r="E191" s="235"/>
      <c r="F191" s="235"/>
      <c r="G191" s="160"/>
      <c r="H191" s="160"/>
      <c r="I191" s="160"/>
      <c r="J191" s="160"/>
      <c r="K191" s="160"/>
      <c r="L191" s="142"/>
      <c r="M191" s="1"/>
    </row>
    <row r="192" spans="1:13" ht="14.25" customHeight="1">
      <c r="A192" s="619"/>
      <c r="B192" s="155"/>
      <c r="C192" s="160"/>
      <c r="D192" s="235"/>
      <c r="E192" s="235"/>
      <c r="F192" s="235"/>
      <c r="G192" s="160"/>
      <c r="H192" s="160"/>
      <c r="I192" s="160"/>
      <c r="J192" s="160"/>
      <c r="K192" s="160"/>
      <c r="L192" s="142"/>
      <c r="M192" s="1"/>
    </row>
    <row r="193" spans="1:13" ht="14.25" customHeight="1">
      <c r="A193" s="619"/>
      <c r="B193" s="155"/>
      <c r="C193" s="160"/>
      <c r="D193" s="235"/>
      <c r="E193" s="235"/>
      <c r="F193" s="235"/>
      <c r="G193" s="160"/>
      <c r="H193" s="160"/>
      <c r="I193" s="160"/>
      <c r="J193" s="160"/>
      <c r="K193" s="160"/>
      <c r="L193" s="142"/>
      <c r="M193" s="1"/>
    </row>
    <row r="194" spans="1:13" ht="14.25" customHeight="1">
      <c r="A194" s="619"/>
      <c r="B194" s="155"/>
      <c r="C194" s="160"/>
      <c r="D194" s="235"/>
      <c r="E194" s="235"/>
      <c r="F194" s="235"/>
      <c r="G194" s="160"/>
      <c r="H194" s="160"/>
      <c r="I194" s="160"/>
      <c r="J194" s="160"/>
      <c r="K194" s="160"/>
      <c r="L194" s="142"/>
      <c r="M194" s="1"/>
    </row>
    <row r="195" spans="1:13" ht="14.25" customHeight="1">
      <c r="A195" s="619"/>
      <c r="B195" s="155"/>
      <c r="C195" s="160"/>
      <c r="D195" s="235"/>
      <c r="E195" s="235"/>
      <c r="F195" s="235"/>
      <c r="G195" s="160"/>
      <c r="H195" s="160"/>
      <c r="I195" s="160"/>
      <c r="J195" s="160"/>
      <c r="K195" s="160"/>
      <c r="L195" s="142"/>
      <c r="M195" s="1"/>
    </row>
    <row r="196" spans="1:13" ht="14.25" customHeight="1">
      <c r="A196" s="619"/>
      <c r="B196" s="155"/>
      <c r="C196" s="160"/>
      <c r="D196" s="235"/>
      <c r="E196" s="235"/>
      <c r="F196" s="235"/>
      <c r="G196" s="160"/>
      <c r="H196" s="160"/>
      <c r="I196" s="160"/>
      <c r="J196" s="160"/>
      <c r="K196" s="160"/>
      <c r="L196" s="142"/>
      <c r="M196" s="1"/>
    </row>
    <row r="197" spans="1:13" ht="14.25" customHeight="1">
      <c r="A197" s="619"/>
      <c r="B197" s="155"/>
      <c r="C197" s="160"/>
      <c r="D197" s="235"/>
      <c r="E197" s="235"/>
      <c r="F197" s="235"/>
      <c r="G197" s="160"/>
      <c r="H197" s="160"/>
      <c r="I197" s="160"/>
      <c r="J197" s="160"/>
      <c r="K197" s="160"/>
      <c r="L197" s="142"/>
      <c r="M197" s="1"/>
    </row>
    <row r="198" spans="1:13" ht="14.25" customHeight="1">
      <c r="A198" s="619"/>
      <c r="B198" s="155"/>
      <c r="C198" s="160"/>
      <c r="D198" s="235"/>
      <c r="E198" s="235"/>
      <c r="F198" s="235"/>
      <c r="G198" s="160"/>
      <c r="H198" s="160"/>
      <c r="I198" s="160"/>
      <c r="J198" s="160"/>
      <c r="K198" s="160"/>
      <c r="L198" s="142"/>
      <c r="M198" s="1"/>
    </row>
    <row r="199" spans="1:13" ht="14.25" customHeight="1">
      <c r="A199" s="619"/>
      <c r="B199" s="155"/>
      <c r="C199" s="160"/>
      <c r="D199" s="235"/>
      <c r="E199" s="235"/>
      <c r="F199" s="235"/>
      <c r="G199" s="160"/>
      <c r="H199" s="160"/>
      <c r="I199" s="160"/>
      <c r="J199" s="160"/>
      <c r="K199" s="160"/>
      <c r="L199" s="142"/>
      <c r="M199" s="1"/>
    </row>
    <row r="200" spans="1:13" ht="14.25" customHeight="1">
      <c r="A200" s="619"/>
      <c r="B200" s="155"/>
      <c r="C200" s="160"/>
      <c r="D200" s="235"/>
      <c r="E200" s="235"/>
      <c r="F200" s="235"/>
      <c r="G200" s="160"/>
      <c r="H200" s="160"/>
      <c r="I200" s="160"/>
      <c r="J200" s="160"/>
      <c r="K200" s="160"/>
      <c r="L200" s="142"/>
      <c r="M200" s="1"/>
    </row>
    <row r="201" spans="1:13" ht="14.25" customHeight="1">
      <c r="A201" s="619"/>
      <c r="B201" s="155"/>
      <c r="C201" s="160"/>
      <c r="D201" s="235"/>
      <c r="E201" s="235"/>
      <c r="F201" s="235"/>
      <c r="G201" s="160"/>
      <c r="H201" s="160"/>
      <c r="I201" s="160"/>
      <c r="J201" s="160"/>
      <c r="K201" s="160"/>
      <c r="L201" s="142"/>
      <c r="M201" s="1"/>
    </row>
    <row r="202" spans="1:13" ht="14.25" customHeight="1">
      <c r="A202" s="619"/>
      <c r="B202" s="155"/>
      <c r="C202" s="160"/>
      <c r="D202" s="160"/>
      <c r="E202" s="160"/>
      <c r="F202" s="160"/>
      <c r="G202" s="160"/>
      <c r="H202" s="160"/>
      <c r="I202" s="160"/>
      <c r="J202" s="160"/>
      <c r="K202" s="160"/>
      <c r="L202" s="142"/>
      <c r="M202" s="1"/>
    </row>
    <row r="203" spans="1:13" ht="14.25" customHeight="1">
      <c r="A203" s="619"/>
      <c r="B203" s="155"/>
      <c r="C203" s="160"/>
      <c r="D203" s="160"/>
      <c r="E203" s="160"/>
      <c r="F203" s="160"/>
      <c r="G203" s="160"/>
      <c r="H203" s="160"/>
      <c r="I203" s="160"/>
      <c r="J203" s="160"/>
      <c r="K203" s="160"/>
      <c r="L203" s="142"/>
      <c r="M203" s="1"/>
    </row>
    <row r="204" spans="1:13" ht="14.25" customHeight="1">
      <c r="A204" s="619"/>
      <c r="B204" s="155"/>
      <c r="C204" s="160"/>
      <c r="D204" s="235"/>
      <c r="E204" s="235"/>
      <c r="F204" s="235"/>
      <c r="G204" s="160"/>
      <c r="H204" s="160"/>
      <c r="I204" s="160"/>
      <c r="J204" s="160"/>
      <c r="K204" s="160"/>
      <c r="L204" s="142"/>
      <c r="M204" s="1"/>
    </row>
    <row r="205" spans="1:13" ht="14.25" customHeight="1">
      <c r="A205" s="619"/>
      <c r="B205" s="155"/>
      <c r="C205" s="160"/>
      <c r="D205" s="235"/>
      <c r="E205" s="235"/>
      <c r="F205" s="235"/>
      <c r="G205" s="160"/>
      <c r="H205" s="160"/>
      <c r="I205" s="160"/>
      <c r="J205" s="160"/>
      <c r="K205" s="160"/>
      <c r="L205" s="142"/>
      <c r="M205" s="1"/>
    </row>
    <row r="206" spans="1:13" ht="14.25" customHeight="1">
      <c r="A206" s="619"/>
      <c r="B206" s="155"/>
      <c r="C206" s="160"/>
      <c r="D206" s="235"/>
      <c r="E206" s="235"/>
      <c r="F206" s="235"/>
      <c r="G206" s="160"/>
      <c r="H206" s="160"/>
      <c r="I206" s="160"/>
      <c r="J206" s="160"/>
      <c r="K206" s="160"/>
      <c r="L206" s="142"/>
      <c r="M206" s="1"/>
    </row>
    <row r="207" spans="1:13" ht="14.25" customHeight="1">
      <c r="A207" s="619"/>
      <c r="B207" s="155"/>
      <c r="C207" s="160"/>
      <c r="D207" s="235"/>
      <c r="E207" s="235"/>
      <c r="F207" s="235"/>
      <c r="G207" s="160"/>
      <c r="H207" s="160"/>
      <c r="I207" s="160"/>
      <c r="J207" s="160"/>
      <c r="K207" s="160"/>
      <c r="L207" s="142"/>
      <c r="M207" s="1"/>
    </row>
    <row r="208" spans="1:13" ht="14.25" customHeight="1">
      <c r="A208" s="619"/>
      <c r="B208" s="155"/>
      <c r="C208" s="160"/>
      <c r="D208" s="235"/>
      <c r="E208" s="235"/>
      <c r="F208" s="235"/>
      <c r="G208" s="160"/>
      <c r="H208" s="160"/>
      <c r="I208" s="160"/>
      <c r="J208" s="160"/>
      <c r="K208" s="160"/>
      <c r="L208" s="142"/>
      <c r="M208" s="1"/>
    </row>
    <row r="209" spans="1:13" ht="14.25" customHeight="1">
      <c r="A209" s="619"/>
      <c r="B209" s="155"/>
      <c r="C209" s="160"/>
      <c r="D209" s="235"/>
      <c r="E209" s="235"/>
      <c r="F209" s="235"/>
      <c r="G209" s="160"/>
      <c r="H209" s="160"/>
      <c r="I209" s="160"/>
      <c r="J209" s="160"/>
      <c r="K209" s="160"/>
      <c r="L209" s="142"/>
      <c r="M209" s="1"/>
    </row>
    <row r="210" spans="1:13" ht="14.25" customHeight="1">
      <c r="A210" s="619"/>
      <c r="B210" s="155"/>
      <c r="C210" s="160"/>
      <c r="D210" s="235"/>
      <c r="E210" s="235"/>
      <c r="F210" s="235"/>
      <c r="G210" s="160"/>
      <c r="H210" s="160"/>
      <c r="I210" s="160"/>
      <c r="J210" s="160"/>
      <c r="K210" s="160"/>
      <c r="L210" s="142"/>
      <c r="M210" s="1"/>
    </row>
    <row r="211" spans="1:13" ht="14.25" customHeight="1">
      <c r="A211" s="619"/>
      <c r="B211" s="155"/>
      <c r="C211" s="160"/>
      <c r="D211" s="235"/>
      <c r="E211" s="235"/>
      <c r="F211" s="235"/>
      <c r="G211" s="160"/>
      <c r="H211" s="160"/>
      <c r="I211" s="160"/>
      <c r="J211" s="160"/>
      <c r="K211" s="160"/>
      <c r="L211" s="142"/>
      <c r="M211" s="1"/>
    </row>
    <row r="212" spans="1:13" ht="14.25" customHeight="1">
      <c r="A212" s="619"/>
      <c r="B212" s="155"/>
      <c r="C212" s="160"/>
      <c r="D212" s="235"/>
      <c r="E212" s="235"/>
      <c r="F212" s="235"/>
      <c r="G212" s="160"/>
      <c r="H212" s="160"/>
      <c r="I212" s="160"/>
      <c r="J212" s="160"/>
      <c r="K212" s="160"/>
      <c r="L212" s="142"/>
      <c r="M212" s="1"/>
    </row>
    <row r="213" spans="1:13" ht="14.25" customHeight="1">
      <c r="A213" s="619"/>
      <c r="B213" s="155"/>
      <c r="C213" s="160"/>
      <c r="D213" s="235"/>
      <c r="E213" s="235"/>
      <c r="F213" s="235"/>
      <c r="G213" s="160"/>
      <c r="H213" s="160"/>
      <c r="I213" s="160"/>
      <c r="J213" s="160"/>
      <c r="K213" s="160"/>
      <c r="L213" s="142"/>
      <c r="M213" s="1"/>
    </row>
    <row r="214" spans="1:13" ht="14.25" customHeight="1">
      <c r="A214" s="619"/>
      <c r="B214" s="155"/>
      <c r="C214" s="160"/>
      <c r="D214" s="235"/>
      <c r="E214" s="235"/>
      <c r="F214" s="235"/>
      <c r="G214" s="160"/>
      <c r="H214" s="160"/>
      <c r="I214" s="160"/>
      <c r="J214" s="160"/>
      <c r="K214" s="160"/>
      <c r="L214" s="142"/>
      <c r="M214" s="1"/>
    </row>
    <row r="215" spans="1:13" ht="14.25" customHeight="1">
      <c r="A215" s="619"/>
      <c r="B215" s="155"/>
      <c r="C215" s="160"/>
      <c r="D215" s="160"/>
      <c r="E215" s="160"/>
      <c r="F215" s="160"/>
      <c r="G215" s="160"/>
      <c r="H215" s="160"/>
      <c r="I215" s="160"/>
      <c r="J215" s="160"/>
      <c r="K215" s="160"/>
      <c r="L215" s="142"/>
      <c r="M215" s="1"/>
    </row>
    <row r="216" spans="1:13" ht="14.25" customHeight="1">
      <c r="A216" s="619"/>
      <c r="B216" s="155"/>
      <c r="C216" s="160"/>
      <c r="D216" s="160"/>
      <c r="E216" s="160"/>
      <c r="F216" s="160"/>
      <c r="G216" s="160"/>
      <c r="H216" s="160"/>
      <c r="I216" s="160"/>
      <c r="J216" s="160"/>
      <c r="K216" s="160"/>
      <c r="L216" s="142"/>
      <c r="M216" s="1"/>
    </row>
    <row r="217" spans="1:13" ht="14.25" customHeight="1">
      <c r="A217" s="619"/>
      <c r="B217" s="155"/>
      <c r="C217" s="160"/>
      <c r="D217" s="160"/>
      <c r="E217" s="160"/>
      <c r="F217" s="160"/>
      <c r="G217" s="160"/>
      <c r="H217" s="160"/>
      <c r="I217" s="160"/>
      <c r="J217" s="160"/>
      <c r="K217" s="160"/>
      <c r="L217" s="142"/>
      <c r="M217" s="1"/>
    </row>
    <row r="218" spans="1:13" ht="14.25" customHeight="1">
      <c r="A218" s="619"/>
      <c r="B218" s="155"/>
      <c r="C218" s="160"/>
      <c r="D218" s="160"/>
      <c r="E218" s="160"/>
      <c r="F218" s="160"/>
      <c r="G218" s="160"/>
      <c r="H218" s="160"/>
      <c r="I218" s="160"/>
      <c r="J218" s="160"/>
      <c r="K218" s="160"/>
      <c r="L218" s="142"/>
      <c r="M218" s="1"/>
    </row>
    <row r="219" spans="1:13" ht="14.25" customHeight="1">
      <c r="A219" s="619"/>
      <c r="B219" s="155"/>
      <c r="C219" s="160"/>
      <c r="D219" s="160"/>
      <c r="E219" s="160"/>
      <c r="F219" s="160"/>
      <c r="G219" s="160"/>
      <c r="H219" s="160"/>
      <c r="I219" s="160"/>
      <c r="J219" s="160"/>
      <c r="K219" s="160"/>
      <c r="L219" s="142"/>
      <c r="M219" s="1"/>
    </row>
    <row r="220" spans="1:13" ht="14.25" customHeight="1">
      <c r="A220" s="619"/>
      <c r="B220" s="155"/>
      <c r="C220" s="160"/>
      <c r="D220" s="160"/>
      <c r="E220" s="160"/>
      <c r="F220" s="160"/>
      <c r="G220" s="160"/>
      <c r="H220" s="160"/>
      <c r="I220" s="160"/>
      <c r="J220" s="160"/>
      <c r="K220" s="160"/>
      <c r="L220" s="142"/>
      <c r="M220" s="1"/>
    </row>
    <row r="221" spans="1:13" ht="14.25" customHeight="1">
      <c r="A221" s="619"/>
      <c r="B221" s="155"/>
      <c r="C221" s="160"/>
      <c r="D221" s="160"/>
      <c r="E221" s="160"/>
      <c r="F221" s="160"/>
      <c r="G221" s="160"/>
      <c r="H221" s="160"/>
      <c r="I221" s="160"/>
      <c r="J221" s="160"/>
      <c r="K221" s="160"/>
      <c r="L221" s="142"/>
      <c r="M221" s="1"/>
    </row>
    <row r="222" spans="1:13" ht="14.25" customHeight="1">
      <c r="A222" s="619"/>
      <c r="B222" s="155"/>
      <c r="C222" s="160"/>
      <c r="D222" s="235"/>
      <c r="E222" s="235"/>
      <c r="F222" s="235"/>
      <c r="G222" s="160"/>
      <c r="H222" s="160"/>
      <c r="I222" s="160"/>
      <c r="J222" s="160"/>
      <c r="K222" s="160"/>
      <c r="L222" s="142"/>
      <c r="M222" s="1"/>
    </row>
    <row r="223" spans="1:13" ht="14.25" customHeight="1">
      <c r="A223" s="619"/>
      <c r="B223" s="155"/>
      <c r="C223" s="164"/>
      <c r="D223" s="236"/>
      <c r="E223" s="236"/>
      <c r="F223" s="236"/>
      <c r="G223" s="160"/>
      <c r="H223" s="160"/>
      <c r="I223" s="160"/>
      <c r="J223" s="160"/>
      <c r="K223" s="160"/>
      <c r="L223" s="142"/>
      <c r="M223" s="1"/>
    </row>
    <row r="224" spans="1:13" ht="14.25" customHeight="1">
      <c r="A224" s="619"/>
      <c r="B224" s="167"/>
      <c r="C224" s="222"/>
      <c r="D224" s="230"/>
      <c r="E224" s="230"/>
      <c r="F224" s="230"/>
      <c r="G224" s="230"/>
      <c r="H224" s="230"/>
      <c r="I224" s="230"/>
      <c r="J224" s="230"/>
      <c r="K224" s="230"/>
      <c r="L224" s="231"/>
      <c r="M224" s="1"/>
    </row>
    <row r="225" spans="1:13" ht="14.25" customHeight="1">
      <c r="A225" s="619"/>
      <c r="B225" s="619"/>
      <c r="C225" s="4"/>
      <c r="D225" s="5"/>
      <c r="E225" s="5"/>
      <c r="F225" s="5"/>
      <c r="G225" s="5"/>
      <c r="H225" s="619"/>
      <c r="I225" s="619"/>
      <c r="J225" s="619"/>
      <c r="K225" s="619"/>
      <c r="L225" s="619"/>
      <c r="M225" s="1"/>
    </row>
    <row r="226" spans="1:13" ht="14.25" customHeight="1">
      <c r="A226" s="619"/>
      <c r="B226" s="6"/>
      <c r="C226" s="152"/>
      <c r="D226" s="200"/>
      <c r="E226" s="200"/>
      <c r="F226" s="200"/>
      <c r="G226" s="200"/>
      <c r="H226" s="200"/>
      <c r="I226" s="200"/>
      <c r="J226" s="200"/>
      <c r="K226" s="200"/>
      <c r="L226" s="201"/>
      <c r="M226" s="1"/>
    </row>
    <row r="227" spans="1:13" ht="14.25" customHeight="1">
      <c r="A227" s="619"/>
      <c r="B227" s="155"/>
      <c r="C227" s="156" t="s">
        <v>739</v>
      </c>
      <c r="D227" s="510"/>
      <c r="E227" s="143"/>
      <c r="F227" s="143"/>
      <c r="G227" s="143"/>
      <c r="H227" s="143"/>
      <c r="I227" s="143"/>
      <c r="J227" s="143"/>
      <c r="K227" s="143"/>
      <c r="L227" s="142"/>
      <c r="M227" s="1"/>
    </row>
    <row r="228" spans="1:13" ht="14.25" customHeight="1">
      <c r="A228" s="619"/>
      <c r="B228" s="155"/>
      <c r="C228" s="235"/>
      <c r="D228" s="235"/>
      <c r="E228" s="235"/>
      <c r="F228" s="235"/>
      <c r="G228" s="160"/>
      <c r="H228" s="160"/>
      <c r="I228" s="160"/>
      <c r="J228" s="160"/>
      <c r="K228" s="160"/>
      <c r="L228" s="142"/>
      <c r="M228" s="1"/>
    </row>
    <row r="229" spans="1:13" ht="14.25" customHeight="1">
      <c r="A229" s="619"/>
      <c r="B229" s="155"/>
      <c r="C229" s="160"/>
      <c r="D229" s="235"/>
      <c r="E229" s="235"/>
      <c r="F229" s="235"/>
      <c r="G229" s="160"/>
      <c r="H229" s="160"/>
      <c r="I229" s="160"/>
      <c r="J229" s="160"/>
      <c r="K229" s="160"/>
      <c r="L229" s="142"/>
      <c r="M229" s="1"/>
    </row>
    <row r="230" spans="1:13" ht="14.25" customHeight="1">
      <c r="A230" s="619"/>
      <c r="B230" s="155"/>
      <c r="C230" s="160"/>
      <c r="D230" s="235"/>
      <c r="E230" s="235"/>
      <c r="F230" s="235"/>
      <c r="G230" s="160"/>
      <c r="H230" s="160"/>
      <c r="I230" s="160"/>
      <c r="J230" s="160"/>
      <c r="K230" s="160"/>
      <c r="L230" s="142"/>
      <c r="M230" s="1"/>
    </row>
    <row r="231" spans="1:13" ht="14.25" customHeight="1">
      <c r="A231" s="619"/>
      <c r="B231" s="155"/>
      <c r="C231" s="160"/>
      <c r="D231" s="235"/>
      <c r="E231" s="235"/>
      <c r="F231" s="235"/>
      <c r="G231" s="160"/>
      <c r="H231" s="160"/>
      <c r="I231" s="160"/>
      <c r="J231" s="160"/>
      <c r="K231" s="160"/>
      <c r="L231" s="142"/>
      <c r="M231" s="1"/>
    </row>
    <row r="232" spans="1:13" ht="14.25" customHeight="1">
      <c r="A232" s="619"/>
      <c r="B232" s="155"/>
      <c r="C232" s="160"/>
      <c r="D232" s="235"/>
      <c r="E232" s="235"/>
      <c r="F232" s="235"/>
      <c r="G232" s="160"/>
      <c r="H232" s="160"/>
      <c r="I232" s="160"/>
      <c r="J232" s="160"/>
      <c r="K232" s="160"/>
      <c r="L232" s="142"/>
      <c r="M232" s="1"/>
    </row>
    <row r="233" spans="1:13" ht="14.25" customHeight="1">
      <c r="A233" s="619"/>
      <c r="B233" s="155"/>
      <c r="C233" s="160"/>
      <c r="D233" s="235"/>
      <c r="E233" s="235"/>
      <c r="F233" s="235"/>
      <c r="G233" s="160"/>
      <c r="H233" s="160"/>
      <c r="I233" s="160"/>
      <c r="J233" s="160"/>
      <c r="K233" s="160"/>
      <c r="L233" s="142"/>
      <c r="M233" s="1"/>
    </row>
    <row r="234" spans="1:13" ht="14.25" customHeight="1">
      <c r="A234" s="619"/>
      <c r="B234" s="155"/>
      <c r="C234" s="160"/>
      <c r="D234" s="235"/>
      <c r="E234" s="235"/>
      <c r="F234" s="235"/>
      <c r="G234" s="160"/>
      <c r="H234" s="160"/>
      <c r="I234" s="160"/>
      <c r="J234" s="160"/>
      <c r="K234" s="160"/>
      <c r="L234" s="142"/>
      <c r="M234" s="1"/>
    </row>
    <row r="235" spans="1:13" ht="14.25" customHeight="1">
      <c r="A235" s="619"/>
      <c r="B235" s="155"/>
      <c r="C235" s="160"/>
      <c r="D235" s="235"/>
      <c r="E235" s="235"/>
      <c r="F235" s="235"/>
      <c r="G235" s="160"/>
      <c r="H235" s="160"/>
      <c r="I235" s="160"/>
      <c r="J235" s="160"/>
      <c r="K235" s="160"/>
      <c r="L235" s="142"/>
      <c r="M235" s="1"/>
    </row>
    <row r="236" spans="1:13" ht="14.25" customHeight="1">
      <c r="A236" s="619"/>
      <c r="B236" s="155"/>
      <c r="C236" s="160"/>
      <c r="D236" s="235"/>
      <c r="E236" s="235"/>
      <c r="F236" s="235"/>
      <c r="G236" s="160"/>
      <c r="H236" s="160"/>
      <c r="I236" s="160"/>
      <c r="J236" s="160"/>
      <c r="K236" s="160"/>
      <c r="L236" s="142"/>
      <c r="M236" s="1"/>
    </row>
    <row r="237" spans="1:13" ht="14.25" customHeight="1">
      <c r="A237" s="619"/>
      <c r="B237" s="155"/>
      <c r="C237" s="160"/>
      <c r="D237" s="235"/>
      <c r="E237" s="235"/>
      <c r="F237" s="235"/>
      <c r="G237" s="160"/>
      <c r="H237" s="160"/>
      <c r="I237" s="160"/>
      <c r="J237" s="160"/>
      <c r="K237" s="160"/>
      <c r="L237" s="142"/>
      <c r="M237" s="1"/>
    </row>
    <row r="238" spans="1:13" ht="14.25" customHeight="1">
      <c r="A238" s="619"/>
      <c r="B238" s="155"/>
      <c r="C238" s="160"/>
      <c r="D238" s="235"/>
      <c r="E238" s="235"/>
      <c r="F238" s="235"/>
      <c r="G238" s="160"/>
      <c r="H238" s="160"/>
      <c r="I238" s="160"/>
      <c r="J238" s="160"/>
      <c r="K238" s="160"/>
      <c r="L238" s="142"/>
      <c r="M238" s="1"/>
    </row>
    <row r="239" spans="1:13" ht="14.25" customHeight="1">
      <c r="A239" s="619"/>
      <c r="B239" s="155"/>
      <c r="C239" s="160"/>
      <c r="D239" s="235"/>
      <c r="E239" s="235"/>
      <c r="F239" s="235"/>
      <c r="G239" s="160"/>
      <c r="H239" s="160"/>
      <c r="I239" s="160"/>
      <c r="J239" s="160"/>
      <c r="K239" s="160"/>
      <c r="L239" s="142"/>
      <c r="M239" s="1"/>
    </row>
    <row r="240" spans="1:13" ht="14.25" customHeight="1">
      <c r="A240" s="619"/>
      <c r="B240" s="155"/>
      <c r="C240" s="160"/>
      <c r="D240" s="160"/>
      <c r="E240" s="160"/>
      <c r="F240" s="160"/>
      <c r="G240" s="160"/>
      <c r="H240" s="160"/>
      <c r="I240" s="160"/>
      <c r="J240" s="160"/>
      <c r="K240" s="160"/>
      <c r="L240" s="142"/>
      <c r="M240" s="1"/>
    </row>
    <row r="241" spans="1:13" ht="14.25" customHeight="1">
      <c r="A241" s="619"/>
      <c r="B241" s="155"/>
      <c r="C241" s="160"/>
      <c r="D241" s="160"/>
      <c r="E241" s="160"/>
      <c r="F241" s="160"/>
      <c r="G241" s="160"/>
      <c r="H241" s="160"/>
      <c r="I241" s="160"/>
      <c r="J241" s="160"/>
      <c r="K241" s="160"/>
      <c r="L241" s="142"/>
      <c r="M241" s="1"/>
    </row>
    <row r="242" spans="1:13" ht="14.25" customHeight="1">
      <c r="A242" s="619"/>
      <c r="B242" s="155"/>
      <c r="C242" s="160"/>
      <c r="D242" s="235"/>
      <c r="E242" s="235"/>
      <c r="F242" s="235"/>
      <c r="G242" s="160"/>
      <c r="H242" s="160"/>
      <c r="I242" s="160"/>
      <c r="J242" s="160"/>
      <c r="K242" s="160"/>
      <c r="L242" s="142"/>
      <c r="M242" s="1"/>
    </row>
    <row r="243" spans="1:13" ht="14.25" customHeight="1">
      <c r="A243" s="619"/>
      <c r="B243" s="155"/>
      <c r="C243" s="160"/>
      <c r="D243" s="235"/>
      <c r="E243" s="235"/>
      <c r="F243" s="235"/>
      <c r="G243" s="160"/>
      <c r="H243" s="160"/>
      <c r="I243" s="160"/>
      <c r="J243" s="160"/>
      <c r="K243" s="160"/>
      <c r="L243" s="142"/>
      <c r="M243" s="1"/>
    </row>
    <row r="244" spans="1:13" ht="14.25" customHeight="1">
      <c r="A244" s="619"/>
      <c r="B244" s="155"/>
      <c r="C244" s="160"/>
      <c r="D244" s="235"/>
      <c r="E244" s="235"/>
      <c r="F244" s="235"/>
      <c r="G244" s="160"/>
      <c r="H244" s="160"/>
      <c r="I244" s="160"/>
      <c r="J244" s="160"/>
      <c r="K244" s="160"/>
      <c r="L244" s="142"/>
      <c r="M244" s="1"/>
    </row>
    <row r="245" spans="1:13" ht="14.25" customHeight="1">
      <c r="A245" s="619"/>
      <c r="B245" s="155"/>
      <c r="C245" s="160"/>
      <c r="D245" s="235"/>
      <c r="E245" s="235"/>
      <c r="F245" s="235"/>
      <c r="G245" s="160"/>
      <c r="H245" s="160"/>
      <c r="I245" s="160"/>
      <c r="J245" s="160"/>
      <c r="K245" s="160"/>
      <c r="L245" s="142"/>
      <c r="M245" s="1"/>
    </row>
    <row r="246" spans="1:13" ht="14.25" customHeight="1">
      <c r="A246" s="619"/>
      <c r="B246" s="155"/>
      <c r="C246" s="160"/>
      <c r="D246" s="235"/>
      <c r="E246" s="235"/>
      <c r="F246" s="235"/>
      <c r="G246" s="160"/>
      <c r="H246" s="160"/>
      <c r="I246" s="160"/>
      <c r="J246" s="160"/>
      <c r="K246" s="160"/>
      <c r="L246" s="142"/>
      <c r="M246" s="1"/>
    </row>
    <row r="247" spans="1:13" ht="14.25" customHeight="1">
      <c r="A247" s="619"/>
      <c r="B247" s="155"/>
      <c r="C247" s="160"/>
      <c r="D247" s="235"/>
      <c r="E247" s="235"/>
      <c r="F247" s="235"/>
      <c r="G247" s="160"/>
      <c r="H247" s="160"/>
      <c r="I247" s="160"/>
      <c r="J247" s="160"/>
      <c r="K247" s="160"/>
      <c r="L247" s="142"/>
      <c r="M247" s="1"/>
    </row>
    <row r="248" spans="1:13" ht="14.25" customHeight="1">
      <c r="A248" s="619"/>
      <c r="B248" s="155"/>
      <c r="C248" s="160"/>
      <c r="D248" s="235"/>
      <c r="E248" s="235"/>
      <c r="F248" s="235"/>
      <c r="G248" s="160"/>
      <c r="H248" s="160"/>
      <c r="I248" s="160"/>
      <c r="J248" s="160"/>
      <c r="K248" s="160"/>
      <c r="L248" s="142"/>
      <c r="M248" s="1"/>
    </row>
    <row r="249" spans="1:13" ht="14.25" customHeight="1">
      <c r="A249" s="619"/>
      <c r="B249" s="155"/>
      <c r="C249" s="160"/>
      <c r="D249" s="235"/>
      <c r="E249" s="235"/>
      <c r="F249" s="235"/>
      <c r="G249" s="160"/>
      <c r="H249" s="160"/>
      <c r="I249" s="160"/>
      <c r="J249" s="160"/>
      <c r="K249" s="160"/>
      <c r="L249" s="142"/>
      <c r="M249" s="1"/>
    </row>
    <row r="250" spans="1:13" ht="14.25" customHeight="1">
      <c r="A250" s="619"/>
      <c r="B250" s="155"/>
      <c r="C250" s="160"/>
      <c r="D250" s="235"/>
      <c r="E250" s="235"/>
      <c r="F250" s="235"/>
      <c r="G250" s="160"/>
      <c r="H250" s="160"/>
      <c r="I250" s="160"/>
      <c r="J250" s="160"/>
      <c r="K250" s="160"/>
      <c r="L250" s="142"/>
      <c r="M250" s="1"/>
    </row>
    <row r="251" spans="1:13" ht="14.25" customHeight="1">
      <c r="A251" s="619"/>
      <c r="B251" s="155"/>
      <c r="C251" s="160"/>
      <c r="D251" s="235"/>
      <c r="E251" s="235"/>
      <c r="F251" s="235"/>
      <c r="G251" s="160"/>
      <c r="H251" s="160"/>
      <c r="I251" s="160"/>
      <c r="J251" s="160"/>
      <c r="K251" s="160"/>
      <c r="L251" s="142"/>
      <c r="M251" s="1"/>
    </row>
    <row r="252" spans="1:13" ht="14.25" customHeight="1">
      <c r="A252" s="619"/>
      <c r="B252" s="155"/>
      <c r="C252" s="160"/>
      <c r="D252" s="235"/>
      <c r="E252" s="235"/>
      <c r="F252" s="235"/>
      <c r="G252" s="160"/>
      <c r="H252" s="160"/>
      <c r="I252" s="160"/>
      <c r="J252" s="160"/>
      <c r="K252" s="160"/>
      <c r="L252" s="142"/>
      <c r="M252" s="1"/>
    </row>
    <row r="253" spans="1:13" ht="14.25" customHeight="1">
      <c r="A253" s="619"/>
      <c r="B253" s="155"/>
      <c r="C253" s="160"/>
      <c r="D253" s="160"/>
      <c r="E253" s="160"/>
      <c r="F253" s="160"/>
      <c r="G253" s="160"/>
      <c r="H253" s="160"/>
      <c r="I253" s="160"/>
      <c r="J253" s="160"/>
      <c r="K253" s="160"/>
      <c r="L253" s="142"/>
      <c r="M253" s="1"/>
    </row>
    <row r="254" spans="1:13" ht="14.25" customHeight="1">
      <c r="A254" s="619"/>
      <c r="B254" s="155"/>
      <c r="C254" s="160"/>
      <c r="D254" s="160"/>
      <c r="E254" s="160"/>
      <c r="F254" s="160"/>
      <c r="G254" s="160"/>
      <c r="H254" s="160"/>
      <c r="I254" s="160"/>
      <c r="J254" s="160"/>
      <c r="K254" s="160"/>
      <c r="L254" s="142"/>
      <c r="M254" s="1"/>
    </row>
    <row r="255" spans="1:13" ht="14.25" customHeight="1">
      <c r="A255" s="619"/>
      <c r="B255" s="155"/>
      <c r="C255" s="160"/>
      <c r="D255" s="160"/>
      <c r="E255" s="160"/>
      <c r="F255" s="160"/>
      <c r="G255" s="160"/>
      <c r="H255" s="160"/>
      <c r="I255" s="160"/>
      <c r="J255" s="160"/>
      <c r="K255" s="160"/>
      <c r="L255" s="142"/>
      <c r="M255" s="1"/>
    </row>
    <row r="256" spans="1:13" ht="14.25" customHeight="1">
      <c r="A256" s="619"/>
      <c r="B256" s="155"/>
      <c r="C256" s="160"/>
      <c r="D256" s="160"/>
      <c r="E256" s="160"/>
      <c r="F256" s="160"/>
      <c r="G256" s="160"/>
      <c r="H256" s="160"/>
      <c r="I256" s="160"/>
      <c r="J256" s="160"/>
      <c r="K256" s="160"/>
      <c r="L256" s="142"/>
      <c r="M256" s="1"/>
    </row>
    <row r="257" spans="1:13" ht="14.25" customHeight="1">
      <c r="A257" s="619"/>
      <c r="B257" s="155"/>
      <c r="C257" s="160"/>
      <c r="D257" s="160"/>
      <c r="E257" s="160"/>
      <c r="F257" s="160"/>
      <c r="G257" s="160"/>
      <c r="H257" s="160"/>
      <c r="I257" s="160"/>
      <c r="J257" s="160"/>
      <c r="K257" s="160"/>
      <c r="L257" s="142"/>
      <c r="M257" s="1"/>
    </row>
    <row r="258" spans="1:13" ht="14.25" customHeight="1">
      <c r="A258" s="619"/>
      <c r="B258" s="155"/>
      <c r="C258" s="160"/>
      <c r="D258" s="160"/>
      <c r="E258" s="160"/>
      <c r="F258" s="160"/>
      <c r="G258" s="160"/>
      <c r="H258" s="160"/>
      <c r="I258" s="160"/>
      <c r="J258" s="160"/>
      <c r="K258" s="160"/>
      <c r="L258" s="142"/>
      <c r="M258" s="1"/>
    </row>
    <row r="259" spans="1:13" ht="14.25" customHeight="1">
      <c r="A259" s="619"/>
      <c r="B259" s="155"/>
      <c r="C259" s="160"/>
      <c r="D259" s="160"/>
      <c r="E259" s="160"/>
      <c r="F259" s="160"/>
      <c r="G259" s="160"/>
      <c r="H259" s="160"/>
      <c r="I259" s="160"/>
      <c r="J259" s="160"/>
      <c r="K259" s="160"/>
      <c r="L259" s="142"/>
      <c r="M259" s="1"/>
    </row>
    <row r="260" spans="1:13" ht="14.25" customHeight="1">
      <c r="A260" s="619"/>
      <c r="B260" s="155"/>
      <c r="C260" s="160"/>
      <c r="D260" s="235"/>
      <c r="E260" s="235"/>
      <c r="F260" s="235"/>
      <c r="G260" s="160"/>
      <c r="H260" s="160"/>
      <c r="I260" s="160"/>
      <c r="J260" s="160"/>
      <c r="K260" s="160"/>
      <c r="L260" s="142"/>
      <c r="M260" s="1"/>
    </row>
    <row r="261" spans="1:13" ht="14.25" customHeight="1">
      <c r="A261" s="619"/>
      <c r="B261" s="155"/>
      <c r="C261" s="164"/>
      <c r="D261" s="236"/>
      <c r="E261" s="236"/>
      <c r="F261" s="236"/>
      <c r="G261" s="160"/>
      <c r="H261" s="160"/>
      <c r="I261" s="160"/>
      <c r="J261" s="160"/>
      <c r="K261" s="160"/>
      <c r="L261" s="142"/>
      <c r="M261" s="1"/>
    </row>
    <row r="262" spans="1:13" ht="14.25" customHeight="1">
      <c r="A262" s="619"/>
      <c r="B262" s="167"/>
      <c r="C262" s="222"/>
      <c r="D262" s="230"/>
      <c r="E262" s="230"/>
      <c r="F262" s="230"/>
      <c r="G262" s="230"/>
      <c r="H262" s="230"/>
      <c r="I262" s="230"/>
      <c r="J262" s="230"/>
      <c r="K262" s="230"/>
      <c r="L262" s="231"/>
      <c r="M262" s="1"/>
    </row>
    <row r="263" spans="1:13" ht="14.25" customHeight="1">
      <c r="A263" s="619"/>
      <c r="B263" s="619"/>
      <c r="C263" s="4"/>
      <c r="D263" s="5"/>
      <c r="E263" s="5"/>
      <c r="F263" s="5"/>
      <c r="G263" s="5"/>
      <c r="H263" s="619"/>
      <c r="I263" s="619"/>
      <c r="J263" s="619"/>
      <c r="K263" s="619"/>
      <c r="L263" s="619"/>
      <c r="M263" s="1"/>
    </row>
    <row r="264" spans="1:13" ht="14.25" customHeight="1">
      <c r="A264" s="619"/>
      <c r="B264" s="619"/>
      <c r="C264" s="4"/>
      <c r="D264" s="5"/>
      <c r="E264" s="5"/>
      <c r="F264" s="5"/>
      <c r="G264" s="5"/>
      <c r="H264" s="619"/>
      <c r="I264" s="619"/>
      <c r="J264" s="619"/>
      <c r="K264" s="619"/>
      <c r="L264" s="619"/>
      <c r="M264" s="1"/>
    </row>
    <row r="265" spans="1:13" ht="14.25" customHeight="1">
      <c r="A265" s="619"/>
      <c r="B265" s="619"/>
      <c r="C265" s="4"/>
      <c r="D265" s="5"/>
      <c r="E265" s="5"/>
      <c r="F265" s="5"/>
      <c r="G265" s="5"/>
      <c r="H265" s="619"/>
      <c r="I265" s="619"/>
      <c r="J265" s="619"/>
      <c r="K265" s="619"/>
      <c r="L265" s="619"/>
      <c r="M265" s="1"/>
    </row>
    <row r="266" spans="1:13" ht="14.25" customHeight="1">
      <c r="A266" s="619"/>
      <c r="B266" s="619"/>
      <c r="C266" s="4"/>
      <c r="D266" s="5"/>
      <c r="E266" s="5"/>
      <c r="F266" s="5"/>
      <c r="G266" s="5"/>
      <c r="H266" s="619"/>
      <c r="I266" s="619"/>
      <c r="J266" s="619"/>
      <c r="K266" s="619"/>
      <c r="L266" s="619"/>
      <c r="M266" s="1"/>
    </row>
    <row r="267" spans="1:13" ht="14.25" customHeight="1">
      <c r="A267" s="619"/>
      <c r="B267" s="619"/>
      <c r="C267" s="4"/>
      <c r="D267" s="5"/>
      <c r="E267" s="5"/>
      <c r="F267" s="5"/>
      <c r="G267" s="5"/>
      <c r="H267" s="619"/>
      <c r="I267" s="619"/>
      <c r="J267" s="619"/>
      <c r="K267" s="619"/>
      <c r="L267" s="619"/>
      <c r="M267" s="1"/>
    </row>
    <row r="268" spans="1:13" ht="14.25" customHeight="1">
      <c r="A268" s="619"/>
      <c r="B268" s="619"/>
      <c r="C268" s="4"/>
      <c r="D268" s="5"/>
      <c r="E268" s="5"/>
      <c r="F268" s="5"/>
      <c r="G268" s="5"/>
      <c r="H268" s="619"/>
      <c r="I268" s="619"/>
      <c r="J268" s="619"/>
      <c r="K268" s="619"/>
      <c r="L268" s="619"/>
      <c r="M268" s="1"/>
    </row>
    <row r="269" spans="1:13" ht="14.25" customHeight="1">
      <c r="A269" s="619"/>
      <c r="B269" s="619"/>
      <c r="C269" s="4"/>
      <c r="D269" s="5"/>
      <c r="E269" s="5"/>
      <c r="F269" s="5"/>
      <c r="G269" s="5"/>
      <c r="H269" s="619"/>
      <c r="I269" s="619"/>
      <c r="J269" s="619"/>
      <c r="K269" s="619"/>
      <c r="L269" s="619"/>
      <c r="M269" s="1"/>
    </row>
    <row r="270" spans="1:13" ht="14.25" customHeight="1">
      <c r="A270" s="619"/>
      <c r="B270" s="619"/>
      <c r="C270" s="4"/>
      <c r="D270" s="5"/>
      <c r="E270" s="5"/>
      <c r="F270" s="5"/>
      <c r="G270" s="5"/>
      <c r="H270" s="619"/>
      <c r="I270" s="619"/>
      <c r="J270" s="619"/>
      <c r="K270" s="619"/>
      <c r="L270" s="619"/>
      <c r="M270" s="1"/>
    </row>
    <row r="271" spans="1:13" ht="14.25" customHeight="1">
      <c r="A271" s="619"/>
      <c r="B271" s="619"/>
      <c r="C271" s="4"/>
      <c r="D271" s="5"/>
      <c r="E271" s="5"/>
      <c r="F271" s="5"/>
      <c r="G271" s="5"/>
      <c r="H271" s="619"/>
      <c r="I271" s="619"/>
      <c r="J271" s="619"/>
      <c r="K271" s="619"/>
      <c r="L271" s="619"/>
      <c r="M271" s="1"/>
    </row>
    <row r="272" spans="1:13" ht="14.25" customHeight="1">
      <c r="A272" s="619"/>
      <c r="B272" s="619"/>
      <c r="C272" s="4"/>
      <c r="D272" s="5"/>
      <c r="E272" s="5"/>
      <c r="F272" s="5"/>
      <c r="G272" s="5"/>
      <c r="H272" s="619"/>
      <c r="I272" s="619"/>
      <c r="J272" s="619"/>
      <c r="K272" s="619"/>
      <c r="L272" s="619"/>
      <c r="M272" s="1"/>
    </row>
    <row r="273" spans="1:13" ht="14.25" customHeight="1">
      <c r="A273" s="619"/>
      <c r="B273" s="619"/>
      <c r="C273" s="4"/>
      <c r="D273" s="5"/>
      <c r="E273" s="5"/>
      <c r="F273" s="5"/>
      <c r="G273" s="5"/>
      <c r="H273" s="619"/>
      <c r="I273" s="619"/>
      <c r="J273" s="619"/>
      <c r="K273" s="619"/>
      <c r="L273" s="619"/>
      <c r="M273" s="1"/>
    </row>
    <row r="274" spans="1:13" ht="14.25" customHeight="1">
      <c r="A274" s="619"/>
      <c r="B274" s="619"/>
      <c r="C274" s="4"/>
      <c r="D274" s="5"/>
      <c r="E274" s="5"/>
      <c r="F274" s="5"/>
      <c r="G274" s="5"/>
      <c r="H274" s="619"/>
      <c r="I274" s="619"/>
      <c r="J274" s="619"/>
      <c r="K274" s="619"/>
      <c r="L274" s="619"/>
      <c r="M274" s="1"/>
    </row>
    <row r="275" spans="1:13" ht="14.25" customHeight="1">
      <c r="A275" s="619"/>
      <c r="B275" s="619"/>
      <c r="C275" s="4"/>
      <c r="D275" s="5"/>
      <c r="E275" s="5"/>
      <c r="F275" s="5"/>
      <c r="G275" s="5"/>
      <c r="H275" s="619"/>
      <c r="I275" s="619"/>
      <c r="J275" s="619"/>
      <c r="K275" s="619"/>
      <c r="L275" s="619"/>
      <c r="M275" s="1"/>
    </row>
    <row r="276" spans="1:13" ht="14.25" customHeight="1">
      <c r="A276" s="619"/>
      <c r="B276" s="619"/>
      <c r="C276" s="4"/>
      <c r="D276" s="5"/>
      <c r="E276" s="5"/>
      <c r="F276" s="5"/>
      <c r="G276" s="5"/>
      <c r="H276" s="619"/>
      <c r="I276" s="619"/>
      <c r="J276" s="619"/>
      <c r="K276" s="619"/>
      <c r="L276" s="619"/>
      <c r="M276" s="1"/>
    </row>
    <row r="277" spans="1:13" ht="14.25" customHeight="1">
      <c r="A277" s="619"/>
      <c r="B277" s="619"/>
      <c r="C277" s="4"/>
      <c r="D277" s="5"/>
      <c r="E277" s="5"/>
      <c r="F277" s="5"/>
      <c r="G277" s="5"/>
      <c r="H277" s="619"/>
      <c r="I277" s="619"/>
      <c r="J277" s="619"/>
      <c r="K277" s="619"/>
      <c r="L277" s="619"/>
      <c r="M277" s="1"/>
    </row>
    <row r="278" spans="1:13" ht="14.25" customHeight="1">
      <c r="A278" s="619"/>
      <c r="B278" s="619"/>
      <c r="C278" s="4"/>
      <c r="D278" s="5"/>
      <c r="E278" s="5"/>
      <c r="F278" s="5"/>
      <c r="G278" s="5"/>
      <c r="H278" s="619"/>
      <c r="I278" s="619"/>
      <c r="J278" s="619"/>
      <c r="K278" s="619"/>
      <c r="L278" s="619"/>
      <c r="M278" s="1"/>
    </row>
    <row r="279" spans="1:13" ht="14.25" customHeight="1">
      <c r="A279" s="619"/>
      <c r="B279" s="619"/>
      <c r="C279" s="4"/>
      <c r="D279" s="5"/>
      <c r="E279" s="5"/>
      <c r="F279" s="5"/>
      <c r="G279" s="5"/>
      <c r="H279" s="619"/>
      <c r="I279" s="619"/>
      <c r="J279" s="619"/>
      <c r="K279" s="619"/>
      <c r="L279" s="619"/>
      <c r="M279" s="1"/>
    </row>
    <row r="280" spans="1:13" ht="14.25" customHeight="1">
      <c r="A280" s="619"/>
      <c r="B280" s="619"/>
      <c r="C280" s="4"/>
      <c r="D280" s="5"/>
      <c r="E280" s="5"/>
      <c r="F280" s="5"/>
      <c r="G280" s="5"/>
      <c r="H280" s="619"/>
      <c r="I280" s="619"/>
      <c r="J280" s="619"/>
      <c r="K280" s="619"/>
      <c r="L280" s="619"/>
      <c r="M280" s="1"/>
    </row>
    <row r="281" spans="1:13" ht="14.25" customHeight="1">
      <c r="A281" s="619"/>
      <c r="B281" s="619"/>
      <c r="C281" s="4"/>
      <c r="D281" s="5"/>
      <c r="E281" s="5"/>
      <c r="F281" s="5"/>
      <c r="G281" s="5"/>
      <c r="H281" s="619"/>
      <c r="I281" s="619"/>
      <c r="J281" s="619"/>
      <c r="K281" s="619"/>
      <c r="L281" s="619"/>
      <c r="M281" s="1"/>
    </row>
    <row r="282" spans="1:13" ht="14.25" customHeight="1">
      <c r="A282" s="619"/>
      <c r="B282" s="619"/>
      <c r="C282" s="4"/>
      <c r="D282" s="5"/>
      <c r="E282" s="5"/>
      <c r="F282" s="5"/>
      <c r="G282" s="5"/>
      <c r="H282" s="619"/>
      <c r="I282" s="619"/>
      <c r="J282" s="619"/>
      <c r="K282" s="619"/>
      <c r="L282" s="619"/>
      <c r="M282" s="1"/>
    </row>
    <row r="283" spans="1:13" ht="14.25" customHeight="1">
      <c r="A283" s="619"/>
      <c r="B283" s="619"/>
      <c r="C283" s="4"/>
      <c r="D283" s="5"/>
      <c r="E283" s="5"/>
      <c r="F283" s="5"/>
      <c r="G283" s="5"/>
      <c r="H283" s="619"/>
      <c r="I283" s="619"/>
      <c r="J283" s="619"/>
      <c r="K283" s="619"/>
      <c r="L283" s="619"/>
      <c r="M283" s="1"/>
    </row>
    <row r="284" spans="1:13" ht="14.25" customHeight="1">
      <c r="A284" s="619"/>
      <c r="B284" s="619"/>
      <c r="C284" s="4"/>
      <c r="D284" s="5"/>
      <c r="E284" s="5"/>
      <c r="F284" s="5"/>
      <c r="G284" s="5"/>
      <c r="H284" s="619"/>
      <c r="I284" s="619"/>
      <c r="J284" s="619"/>
      <c r="K284" s="619"/>
      <c r="L284" s="619"/>
      <c r="M284" s="1"/>
    </row>
    <row r="285" spans="1:13" ht="14.25" customHeight="1">
      <c r="A285" s="619"/>
      <c r="B285" s="619"/>
      <c r="C285" s="4"/>
      <c r="D285" s="5"/>
      <c r="E285" s="5"/>
      <c r="F285" s="5"/>
      <c r="G285" s="5"/>
      <c r="H285" s="619"/>
      <c r="I285" s="619"/>
      <c r="J285" s="619"/>
      <c r="K285" s="619"/>
      <c r="L285" s="619"/>
      <c r="M285" s="1"/>
    </row>
    <row r="286" spans="1:13" ht="14.25" customHeight="1">
      <c r="A286" s="619"/>
      <c r="B286" s="619"/>
      <c r="C286" s="4"/>
      <c r="D286" s="5"/>
      <c r="E286" s="5"/>
      <c r="F286" s="5"/>
      <c r="G286" s="5"/>
      <c r="H286" s="619"/>
      <c r="I286" s="619"/>
      <c r="J286" s="619"/>
      <c r="K286" s="619"/>
      <c r="L286" s="619"/>
      <c r="M286" s="1"/>
    </row>
    <row r="287" spans="1:13" ht="14.25" customHeight="1">
      <c r="A287" s="619"/>
      <c r="B287" s="619"/>
      <c r="C287" s="4"/>
      <c r="D287" s="5"/>
      <c r="E287" s="5"/>
      <c r="F287" s="5"/>
      <c r="G287" s="5"/>
      <c r="H287" s="619"/>
      <c r="I287" s="619"/>
      <c r="J287" s="619"/>
      <c r="K287" s="619"/>
      <c r="L287" s="619"/>
      <c r="M287" s="1"/>
    </row>
    <row r="288" spans="1:13" ht="14.25" customHeight="1">
      <c r="A288" s="619"/>
      <c r="B288" s="619"/>
      <c r="C288" s="4"/>
      <c r="D288" s="5"/>
      <c r="E288" s="5"/>
      <c r="F288" s="5"/>
      <c r="G288" s="5"/>
      <c r="H288" s="619"/>
      <c r="I288" s="619"/>
      <c r="J288" s="619"/>
      <c r="K288" s="619"/>
      <c r="L288" s="619"/>
      <c r="M288" s="1"/>
    </row>
    <row r="289" spans="1:13" ht="14.25" customHeight="1">
      <c r="A289" s="619"/>
      <c r="B289" s="619"/>
      <c r="C289" s="4"/>
      <c r="D289" s="5"/>
      <c r="E289" s="5"/>
      <c r="F289" s="5"/>
      <c r="G289" s="5"/>
      <c r="H289" s="619"/>
      <c r="I289" s="619"/>
      <c r="J289" s="619"/>
      <c r="K289" s="619"/>
      <c r="L289" s="619"/>
      <c r="M289" s="1"/>
    </row>
    <row r="290" spans="1:13" ht="14.25" customHeight="1">
      <c r="A290" s="619"/>
      <c r="B290" s="619"/>
      <c r="C290" s="4"/>
      <c r="D290" s="5"/>
      <c r="E290" s="5"/>
      <c r="F290" s="5"/>
      <c r="G290" s="5"/>
      <c r="H290" s="619"/>
      <c r="I290" s="619"/>
      <c r="J290" s="619"/>
      <c r="K290" s="619"/>
      <c r="L290" s="619"/>
      <c r="M290" s="1"/>
    </row>
    <row r="291" spans="1:13" ht="14.25" customHeight="1">
      <c r="A291" s="619"/>
      <c r="B291" s="619"/>
      <c r="C291" s="4"/>
      <c r="D291" s="5"/>
      <c r="E291" s="5"/>
      <c r="F291" s="5"/>
      <c r="G291" s="5"/>
      <c r="H291" s="619"/>
      <c r="I291" s="619"/>
      <c r="J291" s="619"/>
      <c r="K291" s="619"/>
      <c r="L291" s="619"/>
      <c r="M291" s="1"/>
    </row>
    <row r="292" spans="1:13" ht="14.25" customHeight="1">
      <c r="A292" s="619"/>
      <c r="B292" s="619"/>
      <c r="C292" s="4"/>
      <c r="D292" s="5"/>
      <c r="E292" s="5"/>
      <c r="F292" s="5"/>
      <c r="G292" s="5"/>
      <c r="H292" s="619"/>
      <c r="I292" s="619"/>
      <c r="J292" s="619"/>
      <c r="K292" s="619"/>
      <c r="L292" s="619"/>
      <c r="M292" s="1"/>
    </row>
    <row r="293" spans="1:13" ht="14.25" customHeight="1">
      <c r="A293" s="619"/>
      <c r="B293" s="619"/>
      <c r="C293" s="4"/>
      <c r="D293" s="5"/>
      <c r="E293" s="5"/>
      <c r="F293" s="5"/>
      <c r="G293" s="5"/>
      <c r="H293" s="619"/>
      <c r="I293" s="619"/>
      <c r="J293" s="619"/>
      <c r="K293" s="619"/>
      <c r="L293" s="619"/>
      <c r="M293" s="1"/>
    </row>
    <row r="294" spans="1:13" ht="14.25" customHeight="1">
      <c r="A294" s="619"/>
      <c r="B294" s="619"/>
      <c r="C294" s="4"/>
      <c r="D294" s="5"/>
      <c r="E294" s="5"/>
      <c r="F294" s="5"/>
      <c r="G294" s="5"/>
      <c r="H294" s="619"/>
      <c r="I294" s="619"/>
      <c r="J294" s="619"/>
      <c r="K294" s="619"/>
      <c r="L294" s="619"/>
      <c r="M294" s="1"/>
    </row>
    <row r="295" spans="1:13" ht="14.25" customHeight="1">
      <c r="A295" s="619"/>
      <c r="B295" s="619"/>
      <c r="C295" s="4"/>
      <c r="D295" s="5"/>
      <c r="E295" s="5"/>
      <c r="F295" s="5"/>
      <c r="G295" s="5"/>
      <c r="H295" s="619"/>
      <c r="I295" s="619"/>
      <c r="J295" s="619"/>
      <c r="K295" s="619"/>
      <c r="L295" s="619"/>
      <c r="M295" s="1"/>
    </row>
    <row r="296" spans="1:13" ht="14.25" customHeight="1">
      <c r="A296" s="619"/>
      <c r="B296" s="619"/>
      <c r="C296" s="4"/>
      <c r="D296" s="5"/>
      <c r="E296" s="5"/>
      <c r="F296" s="5"/>
      <c r="G296" s="5"/>
      <c r="H296" s="619"/>
      <c r="I296" s="619"/>
      <c r="J296" s="619"/>
      <c r="K296" s="619"/>
      <c r="L296" s="619"/>
      <c r="M296" s="1"/>
    </row>
    <row r="297" spans="1:13" ht="14.25" customHeight="1">
      <c r="A297" s="619"/>
      <c r="B297" s="619"/>
      <c r="C297" s="4"/>
      <c r="D297" s="5"/>
      <c r="E297" s="5"/>
      <c r="F297" s="5"/>
      <c r="G297" s="5"/>
      <c r="H297" s="619"/>
      <c r="I297" s="619"/>
      <c r="J297" s="619"/>
      <c r="K297" s="619"/>
      <c r="L297" s="619"/>
      <c r="M297" s="1"/>
    </row>
    <row r="298" spans="1:13" ht="14.25" customHeight="1">
      <c r="A298" s="619"/>
      <c r="B298" s="619"/>
      <c r="C298" s="4"/>
      <c r="D298" s="5"/>
      <c r="E298" s="5"/>
      <c r="F298" s="5"/>
      <c r="G298" s="5"/>
      <c r="H298" s="619"/>
      <c r="I298" s="619"/>
      <c r="J298" s="619"/>
      <c r="K298" s="619"/>
      <c r="L298" s="619"/>
      <c r="M298" s="1"/>
    </row>
    <row r="299" spans="1:13" ht="14.25" customHeight="1">
      <c r="A299" s="619"/>
      <c r="B299" s="619"/>
      <c r="C299" s="4"/>
      <c r="D299" s="5"/>
      <c r="E299" s="5"/>
      <c r="F299" s="5"/>
      <c r="G299" s="5"/>
      <c r="H299" s="619"/>
      <c r="I299" s="619"/>
      <c r="J299" s="619"/>
      <c r="K299" s="619"/>
      <c r="L299" s="619"/>
      <c r="M299" s="1"/>
    </row>
    <row r="300" spans="1:13" ht="14.25" customHeight="1">
      <c r="A300" s="619"/>
      <c r="B300" s="619"/>
      <c r="C300" s="4"/>
      <c r="D300" s="5"/>
      <c r="E300" s="5"/>
      <c r="F300" s="5"/>
      <c r="G300" s="5"/>
      <c r="H300" s="619"/>
      <c r="I300" s="619"/>
      <c r="J300" s="619"/>
      <c r="K300" s="619"/>
      <c r="L300" s="619"/>
      <c r="M300" s="1"/>
    </row>
    <row r="301" spans="1:13" ht="14.25" customHeight="1">
      <c r="A301" s="619"/>
      <c r="B301" s="619"/>
      <c r="C301" s="4"/>
      <c r="D301" s="5"/>
      <c r="E301" s="5"/>
      <c r="F301" s="5"/>
      <c r="G301" s="5"/>
      <c r="H301" s="619"/>
      <c r="I301" s="619"/>
      <c r="J301" s="619"/>
      <c r="K301" s="619"/>
      <c r="L301" s="619"/>
      <c r="M301" s="1"/>
    </row>
    <row r="302" spans="1:13" ht="14.25" customHeight="1">
      <c r="A302" s="619"/>
      <c r="B302" s="619"/>
      <c r="C302" s="4"/>
      <c r="D302" s="5"/>
      <c r="E302" s="5"/>
      <c r="F302" s="5"/>
      <c r="G302" s="5"/>
      <c r="H302" s="619"/>
      <c r="I302" s="619"/>
      <c r="J302" s="619"/>
      <c r="K302" s="619"/>
      <c r="L302" s="619"/>
      <c r="M302" s="1"/>
    </row>
    <row r="303" spans="1:13" ht="14.25" customHeight="1">
      <c r="A303" s="619"/>
      <c r="B303" s="619"/>
      <c r="C303" s="4"/>
      <c r="D303" s="5"/>
      <c r="E303" s="5"/>
      <c r="F303" s="5"/>
      <c r="G303" s="5"/>
      <c r="H303" s="619"/>
      <c r="I303" s="619"/>
      <c r="J303" s="619"/>
      <c r="K303" s="619"/>
      <c r="L303" s="619"/>
      <c r="M303" s="1"/>
    </row>
    <row r="304" spans="1:13" ht="14.25" customHeight="1">
      <c r="A304" s="619"/>
      <c r="B304" s="619"/>
      <c r="C304" s="4"/>
      <c r="D304" s="5"/>
      <c r="E304" s="5"/>
      <c r="F304" s="5"/>
      <c r="G304" s="5"/>
      <c r="H304" s="619"/>
      <c r="I304" s="619"/>
      <c r="J304" s="619"/>
      <c r="K304" s="619"/>
      <c r="L304" s="619"/>
      <c r="M304" s="1"/>
    </row>
    <row r="305" spans="1:13" ht="14.25" customHeight="1">
      <c r="A305" s="619"/>
      <c r="B305" s="619"/>
      <c r="C305" s="4"/>
      <c r="D305" s="5"/>
      <c r="E305" s="5"/>
      <c r="F305" s="5"/>
      <c r="G305" s="5"/>
      <c r="H305" s="619"/>
      <c r="I305" s="619"/>
      <c r="J305" s="619"/>
      <c r="K305" s="619"/>
      <c r="L305" s="619"/>
      <c r="M305" s="1"/>
    </row>
    <row r="306" spans="1:13" ht="14.25" customHeight="1">
      <c r="A306" s="619"/>
      <c r="B306" s="619"/>
      <c r="C306" s="4"/>
      <c r="D306" s="5"/>
      <c r="E306" s="5"/>
      <c r="F306" s="5"/>
      <c r="G306" s="5"/>
      <c r="H306" s="619"/>
      <c r="I306" s="619"/>
      <c r="J306" s="619"/>
      <c r="K306" s="619"/>
      <c r="L306" s="619"/>
      <c r="M306" s="1"/>
    </row>
    <row r="307" spans="1:13" ht="14.25" customHeight="1">
      <c r="A307" s="619"/>
      <c r="B307" s="619"/>
      <c r="C307" s="4"/>
      <c r="D307" s="5"/>
      <c r="E307" s="5"/>
      <c r="F307" s="5"/>
      <c r="G307" s="5"/>
      <c r="H307" s="619"/>
      <c r="I307" s="619"/>
      <c r="J307" s="619"/>
      <c r="K307" s="619"/>
      <c r="L307" s="619"/>
      <c r="M307" s="1"/>
    </row>
    <row r="308" spans="1:13" ht="14.25" customHeight="1">
      <c r="A308" s="619"/>
      <c r="B308" s="619"/>
      <c r="C308" s="4"/>
      <c r="D308" s="5"/>
      <c r="E308" s="5"/>
      <c r="F308" s="5"/>
      <c r="G308" s="5"/>
      <c r="H308" s="619"/>
      <c r="I308" s="619"/>
      <c r="J308" s="619"/>
      <c r="K308" s="619"/>
      <c r="L308" s="619"/>
      <c r="M308" s="1"/>
    </row>
    <row r="309" spans="1:13" ht="14.25" customHeight="1">
      <c r="A309" s="619"/>
      <c r="B309" s="619"/>
      <c r="C309" s="4"/>
      <c r="D309" s="5"/>
      <c r="E309" s="5"/>
      <c r="F309" s="5"/>
      <c r="G309" s="5"/>
      <c r="H309" s="619"/>
      <c r="I309" s="619"/>
      <c r="J309" s="619"/>
      <c r="K309" s="619"/>
      <c r="L309" s="619"/>
      <c r="M309" s="1"/>
    </row>
    <row r="310" spans="1:13" ht="14.25" customHeight="1">
      <c r="A310" s="619"/>
      <c r="B310" s="619"/>
      <c r="C310" s="4"/>
      <c r="D310" s="5"/>
      <c r="E310" s="5"/>
      <c r="F310" s="5"/>
      <c r="G310" s="5"/>
      <c r="H310" s="619"/>
      <c r="I310" s="619"/>
      <c r="J310" s="619"/>
      <c r="K310" s="619"/>
      <c r="L310" s="619"/>
      <c r="M310" s="1"/>
    </row>
    <row r="311" spans="1:13" ht="14.25" customHeight="1">
      <c r="A311" s="619"/>
      <c r="B311" s="619"/>
      <c r="C311" s="4"/>
      <c r="D311" s="5"/>
      <c r="E311" s="5"/>
      <c r="F311" s="5"/>
      <c r="G311" s="5"/>
      <c r="H311" s="619"/>
      <c r="I311" s="619"/>
      <c r="J311" s="619"/>
      <c r="K311" s="619"/>
      <c r="L311" s="619"/>
      <c r="M311" s="1"/>
    </row>
    <row r="312" spans="1:13" ht="14.25" customHeight="1">
      <c r="A312" s="619"/>
      <c r="B312" s="619"/>
      <c r="C312" s="4"/>
      <c r="D312" s="5"/>
      <c r="E312" s="5"/>
      <c r="F312" s="5"/>
      <c r="G312" s="5"/>
      <c r="H312" s="619"/>
      <c r="I312" s="619"/>
      <c r="J312" s="619"/>
      <c r="K312" s="619"/>
      <c r="L312" s="619"/>
      <c r="M312" s="1"/>
    </row>
    <row r="313" spans="1:13" ht="14.25" customHeight="1">
      <c r="A313" s="619"/>
      <c r="B313" s="619"/>
      <c r="C313" s="4"/>
      <c r="D313" s="5"/>
      <c r="E313" s="5"/>
      <c r="F313" s="5"/>
      <c r="G313" s="5"/>
      <c r="H313" s="619"/>
      <c r="I313" s="619"/>
      <c r="J313" s="619"/>
      <c r="K313" s="619"/>
      <c r="L313" s="619"/>
      <c r="M313" s="1"/>
    </row>
    <row r="314" spans="1:13" ht="14.25" customHeight="1">
      <c r="A314" s="619"/>
      <c r="B314" s="619"/>
      <c r="C314" s="4"/>
      <c r="D314" s="5"/>
      <c r="E314" s="5"/>
      <c r="F314" s="5"/>
      <c r="G314" s="5"/>
      <c r="H314" s="619"/>
      <c r="I314" s="619"/>
      <c r="J314" s="619"/>
      <c r="K314" s="619"/>
      <c r="L314" s="619"/>
      <c r="M314" s="1"/>
    </row>
    <row r="315" spans="1:13" ht="14.25" customHeight="1">
      <c r="A315" s="619"/>
      <c r="B315" s="619"/>
      <c r="C315" s="4"/>
      <c r="D315" s="5"/>
      <c r="E315" s="5"/>
      <c r="F315" s="5"/>
      <c r="G315" s="5"/>
      <c r="H315" s="619"/>
      <c r="I315" s="619"/>
      <c r="J315" s="619"/>
      <c r="K315" s="619"/>
      <c r="L315" s="619"/>
      <c r="M315" s="1"/>
    </row>
    <row r="316" spans="1:13" ht="14.25" customHeight="1">
      <c r="A316" s="619"/>
      <c r="B316" s="619"/>
      <c r="C316" s="4"/>
      <c r="D316" s="5"/>
      <c r="E316" s="5"/>
      <c r="F316" s="5"/>
      <c r="G316" s="5"/>
      <c r="H316" s="619"/>
      <c r="I316" s="619"/>
      <c r="J316" s="619"/>
      <c r="K316" s="619"/>
      <c r="L316" s="619"/>
      <c r="M316" s="1"/>
    </row>
    <row r="317" spans="1:13" ht="14.25" customHeight="1">
      <c r="A317" s="619"/>
      <c r="B317" s="619"/>
      <c r="C317" s="4"/>
      <c r="D317" s="5"/>
      <c r="E317" s="5"/>
      <c r="F317" s="5"/>
      <c r="G317" s="5"/>
      <c r="H317" s="619"/>
      <c r="I317" s="619"/>
      <c r="J317" s="619"/>
      <c r="K317" s="619"/>
      <c r="L317" s="619"/>
      <c r="M317" s="1"/>
    </row>
    <row r="318" spans="1:13" ht="14.25" customHeight="1">
      <c r="A318" s="619"/>
      <c r="B318" s="619"/>
      <c r="C318" s="4"/>
      <c r="D318" s="5"/>
      <c r="E318" s="5"/>
      <c r="F318" s="5"/>
      <c r="G318" s="5"/>
      <c r="H318" s="619"/>
      <c r="I318" s="619"/>
      <c r="J318" s="619"/>
      <c r="K318" s="619"/>
      <c r="L318" s="619"/>
      <c r="M318" s="1"/>
    </row>
    <row r="319" spans="1:13" ht="14.25" customHeight="1">
      <c r="A319" s="619"/>
      <c r="B319" s="619"/>
      <c r="C319" s="4"/>
      <c r="D319" s="5"/>
      <c r="E319" s="5"/>
      <c r="F319" s="5"/>
      <c r="G319" s="5"/>
      <c r="H319" s="619"/>
      <c r="I319" s="619"/>
      <c r="J319" s="619"/>
      <c r="K319" s="619"/>
      <c r="L319" s="619"/>
      <c r="M319" s="1"/>
    </row>
    <row r="320" spans="1:13" ht="14.25" customHeight="1">
      <c r="A320" s="619"/>
      <c r="B320" s="619"/>
      <c r="C320" s="4"/>
      <c r="D320" s="5"/>
      <c r="E320" s="5"/>
      <c r="F320" s="5"/>
      <c r="G320" s="5"/>
      <c r="H320" s="619"/>
      <c r="I320" s="619"/>
      <c r="J320" s="619"/>
      <c r="K320" s="619"/>
      <c r="L320" s="619"/>
      <c r="M320" s="1"/>
    </row>
    <row r="321" spans="1:13" ht="14.25" customHeight="1">
      <c r="A321" s="619"/>
      <c r="B321" s="619"/>
      <c r="C321" s="4"/>
      <c r="D321" s="5"/>
      <c r="E321" s="5"/>
      <c r="F321" s="5"/>
      <c r="G321" s="5"/>
      <c r="H321" s="619"/>
      <c r="I321" s="619"/>
      <c r="J321" s="619"/>
      <c r="K321" s="619"/>
      <c r="L321" s="619"/>
      <c r="M321" s="1"/>
    </row>
    <row r="322" spans="1:13" ht="14.25" customHeight="1">
      <c r="A322" s="619"/>
      <c r="B322" s="619"/>
      <c r="C322" s="4"/>
      <c r="D322" s="5"/>
      <c r="E322" s="5"/>
      <c r="F322" s="5"/>
      <c r="G322" s="5"/>
      <c r="H322" s="619"/>
      <c r="I322" s="619"/>
      <c r="J322" s="619"/>
      <c r="K322" s="619"/>
      <c r="L322" s="619"/>
      <c r="M322" s="1"/>
    </row>
    <row r="323" spans="1:13" ht="14.25" customHeight="1">
      <c r="A323" s="619"/>
      <c r="B323" s="619"/>
      <c r="C323" s="4"/>
      <c r="D323" s="5"/>
      <c r="E323" s="5"/>
      <c r="F323" s="5"/>
      <c r="G323" s="5"/>
      <c r="H323" s="619"/>
      <c r="I323" s="619"/>
      <c r="J323" s="619"/>
      <c r="K323" s="619"/>
      <c r="L323" s="619"/>
      <c r="M323" s="1"/>
    </row>
    <row r="324" spans="1:13" ht="14.25" customHeight="1">
      <c r="A324" s="619"/>
      <c r="B324" s="619"/>
      <c r="C324" s="4"/>
      <c r="D324" s="5"/>
      <c r="E324" s="5"/>
      <c r="F324" s="5"/>
      <c r="G324" s="5"/>
      <c r="H324" s="619"/>
      <c r="I324" s="619"/>
      <c r="J324" s="619"/>
      <c r="K324" s="619"/>
      <c r="L324" s="619"/>
      <c r="M324" s="1"/>
    </row>
    <row r="325" spans="1:13" ht="14.25" customHeight="1">
      <c r="A325" s="619"/>
      <c r="B325" s="619"/>
      <c r="C325" s="4"/>
      <c r="D325" s="5"/>
      <c r="E325" s="5"/>
      <c r="F325" s="5"/>
      <c r="G325" s="5"/>
      <c r="H325" s="619"/>
      <c r="I325" s="619"/>
      <c r="J325" s="619"/>
      <c r="K325" s="619"/>
      <c r="L325" s="619"/>
      <c r="M325" s="1"/>
    </row>
    <row r="326" spans="1:13" ht="14.25" customHeight="1">
      <c r="A326" s="619"/>
      <c r="B326" s="619"/>
      <c r="C326" s="4"/>
      <c r="D326" s="5"/>
      <c r="E326" s="5"/>
      <c r="F326" s="5"/>
      <c r="G326" s="5"/>
      <c r="H326" s="619"/>
      <c r="I326" s="619"/>
      <c r="J326" s="619"/>
      <c r="K326" s="619"/>
      <c r="L326" s="619"/>
      <c r="M326" s="1"/>
    </row>
    <row r="327" spans="1:13" ht="14.25" customHeight="1">
      <c r="A327" s="619"/>
      <c r="B327" s="619"/>
      <c r="C327" s="4"/>
      <c r="D327" s="5"/>
      <c r="E327" s="5"/>
      <c r="F327" s="5"/>
      <c r="G327" s="5"/>
      <c r="H327" s="619"/>
      <c r="I327" s="619"/>
      <c r="J327" s="619"/>
      <c r="K327" s="619"/>
      <c r="L327" s="619"/>
      <c r="M327" s="1"/>
    </row>
    <row r="328" spans="1:13" ht="14.25" customHeight="1">
      <c r="A328" s="619"/>
      <c r="B328" s="619"/>
      <c r="C328" s="4"/>
      <c r="D328" s="5"/>
      <c r="E328" s="5"/>
      <c r="F328" s="5"/>
      <c r="G328" s="5"/>
      <c r="H328" s="619"/>
      <c r="I328" s="619"/>
      <c r="J328" s="619"/>
      <c r="K328" s="619"/>
      <c r="L328" s="619"/>
      <c r="M328" s="1"/>
    </row>
    <row r="329" spans="1:13" ht="14.25" customHeight="1">
      <c r="A329" s="619"/>
      <c r="B329" s="619"/>
      <c r="C329" s="4"/>
      <c r="D329" s="5"/>
      <c r="E329" s="5"/>
      <c r="F329" s="5"/>
      <c r="G329" s="5"/>
      <c r="H329" s="619"/>
      <c r="I329" s="619"/>
      <c r="J329" s="619"/>
      <c r="K329" s="619"/>
      <c r="L329" s="619"/>
      <c r="M329" s="1"/>
    </row>
    <row r="330" spans="1:13" ht="14.25" customHeight="1">
      <c r="A330" s="619"/>
      <c r="B330" s="619"/>
      <c r="C330" s="4"/>
      <c r="D330" s="5"/>
      <c r="E330" s="5"/>
      <c r="F330" s="5"/>
      <c r="G330" s="5"/>
      <c r="H330" s="619"/>
      <c r="I330" s="619"/>
      <c r="J330" s="619"/>
      <c r="K330" s="619"/>
      <c r="L330" s="619"/>
      <c r="M330" s="1"/>
    </row>
    <row r="331" spans="1:13" ht="14.25" customHeight="1">
      <c r="A331" s="619"/>
      <c r="B331" s="619"/>
      <c r="C331" s="4"/>
      <c r="D331" s="5"/>
      <c r="E331" s="5"/>
      <c r="F331" s="5"/>
      <c r="G331" s="5"/>
      <c r="H331" s="619"/>
      <c r="I331" s="619"/>
      <c r="J331" s="619"/>
      <c r="K331" s="619"/>
      <c r="L331" s="619"/>
      <c r="M331" s="1"/>
    </row>
    <row r="332" spans="1:13" ht="14.25" customHeight="1">
      <c r="A332" s="619"/>
      <c r="B332" s="619"/>
      <c r="C332" s="4"/>
      <c r="D332" s="5"/>
      <c r="E332" s="5"/>
      <c r="F332" s="5"/>
      <c r="G332" s="5"/>
      <c r="H332" s="619"/>
      <c r="I332" s="619"/>
      <c r="J332" s="619"/>
      <c r="K332" s="619"/>
      <c r="L332" s="619"/>
      <c r="M332" s="1"/>
    </row>
    <row r="333" spans="1:13" ht="14.25" customHeight="1">
      <c r="A333" s="619"/>
      <c r="B333" s="619"/>
      <c r="C333" s="4"/>
      <c r="D333" s="5"/>
      <c r="E333" s="5"/>
      <c r="F333" s="5"/>
      <c r="G333" s="5"/>
      <c r="H333" s="619"/>
      <c r="I333" s="619"/>
      <c r="J333" s="619"/>
      <c r="K333" s="619"/>
      <c r="L333" s="619"/>
      <c r="M333" s="1"/>
    </row>
    <row r="334" spans="1:13" ht="14.25" customHeight="1">
      <c r="A334" s="619"/>
      <c r="B334" s="619"/>
      <c r="C334" s="4"/>
      <c r="D334" s="5"/>
      <c r="E334" s="5"/>
      <c r="F334" s="5"/>
      <c r="G334" s="5"/>
      <c r="H334" s="619"/>
      <c r="I334" s="619"/>
      <c r="J334" s="619"/>
      <c r="K334" s="619"/>
      <c r="L334" s="619"/>
      <c r="M334" s="1"/>
    </row>
    <row r="335" spans="1:13" ht="14.25" customHeight="1">
      <c r="A335" s="619"/>
      <c r="B335" s="619"/>
      <c r="C335" s="4"/>
      <c r="D335" s="5"/>
      <c r="E335" s="5"/>
      <c r="F335" s="5"/>
      <c r="G335" s="5"/>
      <c r="H335" s="619"/>
      <c r="I335" s="619"/>
      <c r="J335" s="619"/>
      <c r="K335" s="619"/>
      <c r="L335" s="619"/>
      <c r="M335" s="1"/>
    </row>
    <row r="336" spans="1:13" ht="14.25" customHeight="1">
      <c r="A336" s="619"/>
      <c r="B336" s="619"/>
      <c r="C336" s="4"/>
      <c r="D336" s="5"/>
      <c r="E336" s="5"/>
      <c r="F336" s="5"/>
      <c r="G336" s="5"/>
      <c r="H336" s="619"/>
      <c r="I336" s="619"/>
      <c r="J336" s="619"/>
      <c r="K336" s="619"/>
      <c r="L336" s="619"/>
      <c r="M336" s="1"/>
    </row>
    <row r="337" spans="1:13" ht="14.25" customHeight="1">
      <c r="A337" s="619"/>
      <c r="B337" s="619"/>
      <c r="C337" s="4"/>
      <c r="D337" s="5"/>
      <c r="E337" s="5"/>
      <c r="F337" s="5"/>
      <c r="G337" s="5"/>
      <c r="H337" s="619"/>
      <c r="I337" s="619"/>
      <c r="J337" s="619"/>
      <c r="K337" s="619"/>
      <c r="L337" s="619"/>
      <c r="M337" s="1"/>
    </row>
    <row r="338" spans="1:13" ht="14.25" customHeight="1">
      <c r="A338" s="619"/>
      <c r="B338" s="619"/>
      <c r="C338" s="4"/>
      <c r="D338" s="5"/>
      <c r="E338" s="5"/>
      <c r="F338" s="5"/>
      <c r="G338" s="5"/>
      <c r="H338" s="619"/>
      <c r="I338" s="619"/>
      <c r="J338" s="619"/>
      <c r="K338" s="619"/>
      <c r="L338" s="619"/>
      <c r="M338" s="1"/>
    </row>
    <row r="339" spans="1:13" ht="14.25" customHeight="1">
      <c r="A339" s="619"/>
      <c r="B339" s="619"/>
      <c r="C339" s="4"/>
      <c r="D339" s="5"/>
      <c r="E339" s="5"/>
      <c r="F339" s="5"/>
      <c r="G339" s="5"/>
      <c r="H339" s="619"/>
      <c r="I339" s="619"/>
      <c r="J339" s="619"/>
      <c r="K339" s="619"/>
      <c r="L339" s="619"/>
      <c r="M339" s="1"/>
    </row>
    <row r="340" spans="1:13" ht="14.25" customHeight="1">
      <c r="A340" s="619"/>
      <c r="B340" s="619"/>
      <c r="C340" s="4"/>
      <c r="D340" s="5"/>
      <c r="E340" s="5"/>
      <c r="F340" s="5"/>
      <c r="G340" s="5"/>
      <c r="H340" s="619"/>
      <c r="I340" s="619"/>
      <c r="J340" s="619"/>
      <c r="K340" s="619"/>
      <c r="L340" s="619"/>
      <c r="M340" s="1"/>
    </row>
    <row r="341" spans="1:13" ht="14.25" customHeight="1">
      <c r="A341" s="619"/>
      <c r="B341" s="619"/>
      <c r="C341" s="4"/>
      <c r="D341" s="5"/>
      <c r="E341" s="5"/>
      <c r="F341" s="5"/>
      <c r="G341" s="5"/>
      <c r="H341" s="619"/>
      <c r="I341" s="619"/>
      <c r="J341" s="619"/>
      <c r="K341" s="619"/>
      <c r="L341" s="619"/>
      <c r="M341" s="1"/>
    </row>
    <row r="342" spans="1:13" ht="14.25" customHeight="1">
      <c r="A342" s="619"/>
      <c r="B342" s="619"/>
      <c r="C342" s="4"/>
      <c r="D342" s="5"/>
      <c r="E342" s="5"/>
      <c r="F342" s="5"/>
      <c r="G342" s="5"/>
      <c r="H342" s="619"/>
      <c r="I342" s="619"/>
      <c r="J342" s="619"/>
      <c r="K342" s="619"/>
      <c r="L342" s="619"/>
      <c r="M342" s="1"/>
    </row>
    <row r="343" spans="1:13" ht="14.25" customHeight="1">
      <c r="A343" s="619"/>
      <c r="B343" s="619"/>
      <c r="C343" s="4"/>
      <c r="D343" s="5"/>
      <c r="E343" s="5"/>
      <c r="F343" s="5"/>
      <c r="G343" s="5"/>
      <c r="H343" s="619"/>
      <c r="I343" s="619"/>
      <c r="J343" s="619"/>
      <c r="K343" s="619"/>
      <c r="L343" s="619"/>
      <c r="M343" s="1"/>
    </row>
    <row r="344" spans="1:13" ht="14.25" customHeight="1">
      <c r="A344" s="619"/>
      <c r="B344" s="619"/>
      <c r="C344" s="4"/>
      <c r="D344" s="5"/>
      <c r="E344" s="5"/>
      <c r="F344" s="5"/>
      <c r="G344" s="5"/>
      <c r="H344" s="619"/>
      <c r="I344" s="619"/>
      <c r="J344" s="619"/>
      <c r="K344" s="619"/>
      <c r="L344" s="619"/>
      <c r="M344" s="1"/>
    </row>
    <row r="345" spans="1:13" ht="14.25" customHeight="1">
      <c r="A345" s="619"/>
      <c r="B345" s="619"/>
      <c r="C345" s="4"/>
      <c r="D345" s="5"/>
      <c r="E345" s="5"/>
      <c r="F345" s="5"/>
      <c r="G345" s="5"/>
      <c r="H345" s="619"/>
      <c r="I345" s="619"/>
      <c r="J345" s="619"/>
      <c r="K345" s="619"/>
      <c r="L345" s="619"/>
      <c r="M345" s="1"/>
    </row>
    <row r="346" spans="1:13" ht="14.25" customHeight="1">
      <c r="A346" s="619"/>
      <c r="B346" s="619"/>
      <c r="C346" s="4"/>
      <c r="D346" s="5"/>
      <c r="E346" s="5"/>
      <c r="F346" s="5"/>
      <c r="G346" s="5"/>
      <c r="H346" s="619"/>
      <c r="I346" s="619"/>
      <c r="J346" s="619"/>
      <c r="K346" s="619"/>
      <c r="L346" s="619"/>
      <c r="M346" s="1"/>
    </row>
    <row r="347" spans="1:13" ht="14.25" customHeight="1">
      <c r="A347" s="619"/>
      <c r="B347" s="619"/>
      <c r="C347" s="4"/>
      <c r="D347" s="5"/>
      <c r="E347" s="5"/>
      <c r="F347" s="5"/>
      <c r="G347" s="5"/>
      <c r="H347" s="619"/>
      <c r="I347" s="619"/>
      <c r="J347" s="619"/>
      <c r="K347" s="619"/>
      <c r="L347" s="619"/>
      <c r="M347" s="1"/>
    </row>
    <row r="348" spans="1:13" ht="14.25" customHeight="1">
      <c r="A348" s="619"/>
      <c r="B348" s="619"/>
      <c r="C348" s="4"/>
      <c r="D348" s="5"/>
      <c r="E348" s="5"/>
      <c r="F348" s="5"/>
      <c r="G348" s="5"/>
      <c r="H348" s="619"/>
      <c r="I348" s="619"/>
      <c r="J348" s="619"/>
      <c r="K348" s="619"/>
      <c r="L348" s="619"/>
      <c r="M348" s="1"/>
    </row>
    <row r="349" spans="1:13" ht="14.25" customHeight="1">
      <c r="A349" s="619"/>
      <c r="B349" s="619"/>
      <c r="C349" s="4"/>
      <c r="D349" s="5"/>
      <c r="E349" s="5"/>
      <c r="F349" s="5"/>
      <c r="G349" s="5"/>
      <c r="H349" s="619"/>
      <c r="I349" s="619"/>
      <c r="J349" s="619"/>
      <c r="K349" s="619"/>
      <c r="L349" s="619"/>
      <c r="M349" s="1"/>
    </row>
    <row r="350" spans="1:13" ht="14.25" customHeight="1">
      <c r="A350" s="619"/>
      <c r="B350" s="619"/>
      <c r="C350" s="4"/>
      <c r="D350" s="5"/>
      <c r="E350" s="5"/>
      <c r="F350" s="5"/>
      <c r="G350" s="5"/>
      <c r="H350" s="619"/>
      <c r="I350" s="619"/>
      <c r="J350" s="619"/>
      <c r="K350" s="619"/>
      <c r="L350" s="619"/>
      <c r="M350" s="1"/>
    </row>
    <row r="351" spans="1:13" ht="14.25" customHeight="1">
      <c r="A351" s="619"/>
      <c r="B351" s="619"/>
      <c r="C351" s="4"/>
      <c r="D351" s="5"/>
      <c r="E351" s="5"/>
      <c r="F351" s="5"/>
      <c r="G351" s="5"/>
      <c r="H351" s="619"/>
      <c r="I351" s="619"/>
      <c r="J351" s="619"/>
      <c r="K351" s="619"/>
      <c r="L351" s="619"/>
      <c r="M351" s="1"/>
    </row>
    <row r="352" spans="1:13" ht="14.25" customHeight="1">
      <c r="A352" s="619"/>
      <c r="B352" s="619"/>
      <c r="C352" s="4"/>
      <c r="D352" s="5"/>
      <c r="E352" s="5"/>
      <c r="F352" s="5"/>
      <c r="G352" s="5"/>
      <c r="H352" s="619"/>
      <c r="I352" s="619"/>
      <c r="J352" s="619"/>
      <c r="K352" s="619"/>
      <c r="L352" s="619"/>
      <c r="M352" s="1"/>
    </row>
    <row r="353" spans="1:13" ht="14.25" customHeight="1">
      <c r="A353" s="619"/>
      <c r="B353" s="619"/>
      <c r="C353" s="4"/>
      <c r="D353" s="5"/>
      <c r="E353" s="5"/>
      <c r="F353" s="5"/>
      <c r="G353" s="5"/>
      <c r="H353" s="619"/>
      <c r="I353" s="619"/>
      <c r="J353" s="619"/>
      <c r="K353" s="619"/>
      <c r="L353" s="619"/>
      <c r="M353" s="1"/>
    </row>
    <row r="354" spans="1:13" ht="14.25" customHeight="1">
      <c r="A354" s="619"/>
      <c r="B354" s="619"/>
      <c r="C354" s="4"/>
      <c r="D354" s="5"/>
      <c r="E354" s="5"/>
      <c r="F354" s="5"/>
      <c r="G354" s="5"/>
      <c r="H354" s="619"/>
      <c r="I354" s="619"/>
      <c r="J354" s="619"/>
      <c r="K354" s="619"/>
      <c r="L354" s="619"/>
      <c r="M354" s="1"/>
    </row>
    <row r="355" spans="1:13" ht="14.25" customHeight="1">
      <c r="A355" s="619"/>
      <c r="B355" s="619"/>
      <c r="C355" s="4"/>
      <c r="D355" s="5"/>
      <c r="E355" s="5"/>
      <c r="F355" s="5"/>
      <c r="G355" s="5"/>
      <c r="H355" s="619"/>
      <c r="I355" s="619"/>
      <c r="J355" s="619"/>
      <c r="K355" s="619"/>
      <c r="L355" s="619"/>
      <c r="M355" s="1"/>
    </row>
    <row r="356" spans="1:13" ht="14.25" customHeight="1">
      <c r="A356" s="619"/>
      <c r="B356" s="619"/>
      <c r="C356" s="4"/>
      <c r="D356" s="5"/>
      <c r="E356" s="5"/>
      <c r="F356" s="5"/>
      <c r="G356" s="5"/>
      <c r="H356" s="619"/>
      <c r="I356" s="619"/>
      <c r="J356" s="619"/>
      <c r="K356" s="619"/>
      <c r="L356" s="619"/>
      <c r="M356" s="1"/>
    </row>
    <row r="357" spans="1:13" ht="14.25" customHeight="1">
      <c r="A357" s="619"/>
      <c r="B357" s="619"/>
      <c r="C357" s="4"/>
      <c r="D357" s="5"/>
      <c r="E357" s="5"/>
      <c r="F357" s="5"/>
      <c r="G357" s="5"/>
      <c r="H357" s="619"/>
      <c r="I357" s="619"/>
      <c r="J357" s="619"/>
      <c r="K357" s="619"/>
      <c r="L357" s="619"/>
      <c r="M357" s="1"/>
    </row>
    <row r="358" spans="1:13" ht="14.25" customHeight="1">
      <c r="A358" s="619"/>
      <c r="B358" s="619"/>
      <c r="C358" s="4"/>
      <c r="D358" s="5"/>
      <c r="E358" s="5"/>
      <c r="F358" s="5"/>
      <c r="G358" s="5"/>
      <c r="H358" s="619"/>
      <c r="I358" s="619"/>
      <c r="J358" s="619"/>
      <c r="K358" s="619"/>
      <c r="L358" s="619"/>
      <c r="M358" s="1"/>
    </row>
    <row r="359" spans="1:13" ht="14.25" customHeight="1">
      <c r="A359" s="619"/>
      <c r="B359" s="619"/>
      <c r="C359" s="4"/>
      <c r="D359" s="5"/>
      <c r="E359" s="5"/>
      <c r="F359" s="5"/>
      <c r="G359" s="5"/>
      <c r="H359" s="619"/>
      <c r="I359" s="619"/>
      <c r="J359" s="619"/>
      <c r="K359" s="619"/>
      <c r="L359" s="619"/>
      <c r="M359" s="1"/>
    </row>
    <row r="360" spans="1:13" ht="14.25" customHeight="1">
      <c r="A360" s="619"/>
      <c r="B360" s="619"/>
      <c r="C360" s="4"/>
      <c r="D360" s="5"/>
      <c r="E360" s="5"/>
      <c r="F360" s="5"/>
      <c r="G360" s="5"/>
      <c r="H360" s="619"/>
      <c r="I360" s="619"/>
      <c r="J360" s="619"/>
      <c r="K360" s="619"/>
      <c r="L360" s="619"/>
      <c r="M360" s="1"/>
    </row>
    <row r="361" spans="1:13" ht="14.25" customHeight="1">
      <c r="A361" s="619"/>
      <c r="B361" s="619"/>
      <c r="C361" s="4"/>
      <c r="D361" s="5"/>
      <c r="E361" s="5"/>
      <c r="F361" s="5"/>
      <c r="G361" s="5"/>
      <c r="H361" s="619"/>
      <c r="I361" s="619"/>
      <c r="J361" s="619"/>
      <c r="K361" s="619"/>
      <c r="L361" s="619"/>
      <c r="M361" s="1"/>
    </row>
    <row r="362" spans="1:13" ht="14.25" customHeight="1">
      <c r="A362" s="619"/>
      <c r="B362" s="619"/>
      <c r="C362" s="4"/>
      <c r="D362" s="5"/>
      <c r="E362" s="5"/>
      <c r="F362" s="5"/>
      <c r="G362" s="5"/>
      <c r="H362" s="619"/>
      <c r="I362" s="619"/>
      <c r="J362" s="619"/>
      <c r="K362" s="619"/>
      <c r="L362" s="619"/>
      <c r="M362" s="1"/>
    </row>
    <row r="363" spans="1:13" ht="14.25" customHeight="1">
      <c r="A363" s="619"/>
      <c r="B363" s="619"/>
      <c r="C363" s="4"/>
      <c r="D363" s="5"/>
      <c r="E363" s="5"/>
      <c r="F363" s="5"/>
      <c r="G363" s="5"/>
      <c r="H363" s="619"/>
      <c r="I363" s="619"/>
      <c r="J363" s="619"/>
      <c r="K363" s="619"/>
      <c r="L363" s="619"/>
      <c r="M363" s="1"/>
    </row>
    <row r="364" spans="1:13" ht="14.25" customHeight="1">
      <c r="A364" s="619"/>
      <c r="B364" s="619"/>
      <c r="C364" s="4"/>
      <c r="D364" s="5"/>
      <c r="E364" s="5"/>
      <c r="F364" s="5"/>
      <c r="G364" s="5"/>
      <c r="H364" s="619"/>
      <c r="I364" s="619"/>
      <c r="J364" s="619"/>
      <c r="K364" s="619"/>
      <c r="L364" s="619"/>
      <c r="M364" s="1"/>
    </row>
    <row r="365" spans="1:13" ht="14.25" customHeight="1">
      <c r="A365" s="619"/>
      <c r="B365" s="619"/>
      <c r="C365" s="4"/>
      <c r="D365" s="5"/>
      <c r="E365" s="5"/>
      <c r="F365" s="5"/>
      <c r="G365" s="5"/>
      <c r="H365" s="619"/>
      <c r="I365" s="619"/>
      <c r="J365" s="619"/>
      <c r="K365" s="619"/>
      <c r="L365" s="619"/>
      <c r="M365" s="1"/>
    </row>
    <row r="366" spans="1:13" ht="14.25" customHeight="1">
      <c r="A366" s="619"/>
      <c r="B366" s="619"/>
      <c r="C366" s="4"/>
      <c r="D366" s="5"/>
      <c r="E366" s="5"/>
      <c r="F366" s="5"/>
      <c r="G366" s="5"/>
      <c r="H366" s="619"/>
      <c r="I366" s="619"/>
      <c r="J366" s="619"/>
      <c r="K366" s="619"/>
      <c r="L366" s="619"/>
      <c r="M366" s="1"/>
    </row>
    <row r="367" spans="1:13" ht="14.25" customHeight="1">
      <c r="A367" s="619"/>
      <c r="B367" s="619"/>
      <c r="C367" s="4"/>
      <c r="D367" s="5"/>
      <c r="E367" s="5"/>
      <c r="F367" s="5"/>
      <c r="G367" s="5"/>
      <c r="H367" s="619"/>
      <c r="I367" s="619"/>
      <c r="J367" s="619"/>
      <c r="K367" s="619"/>
      <c r="L367" s="619"/>
      <c r="M367" s="1"/>
    </row>
    <row r="368" spans="1:13" ht="14.25" customHeight="1">
      <c r="A368" s="619"/>
      <c r="B368" s="619"/>
      <c r="C368" s="4"/>
      <c r="D368" s="5"/>
      <c r="E368" s="5"/>
      <c r="F368" s="5"/>
      <c r="G368" s="5"/>
      <c r="H368" s="619"/>
      <c r="I368" s="619"/>
      <c r="J368" s="619"/>
      <c r="K368" s="619"/>
      <c r="L368" s="619"/>
      <c r="M368" s="1"/>
    </row>
    <row r="369" spans="1:13" ht="14.25" customHeight="1">
      <c r="A369" s="619"/>
      <c r="B369" s="619"/>
      <c r="C369" s="4"/>
      <c r="D369" s="5"/>
      <c r="E369" s="5"/>
      <c r="F369" s="5"/>
      <c r="G369" s="5"/>
      <c r="H369" s="619"/>
      <c r="I369" s="619"/>
      <c r="J369" s="619"/>
      <c r="K369" s="619"/>
      <c r="L369" s="619"/>
      <c r="M369" s="1"/>
    </row>
    <row r="370" spans="1:13" ht="14.25" customHeight="1">
      <c r="A370" s="619"/>
      <c r="B370" s="619"/>
      <c r="C370" s="4"/>
      <c r="D370" s="5"/>
      <c r="E370" s="5"/>
      <c r="F370" s="5"/>
      <c r="G370" s="5"/>
      <c r="H370" s="619"/>
      <c r="I370" s="619"/>
      <c r="J370" s="619"/>
      <c r="K370" s="619"/>
      <c r="L370" s="619"/>
      <c r="M370" s="1"/>
    </row>
    <row r="371" spans="1:13" ht="14.25" customHeight="1">
      <c r="A371" s="619"/>
      <c r="B371" s="619"/>
      <c r="C371" s="4"/>
      <c r="D371" s="5"/>
      <c r="E371" s="5"/>
      <c r="F371" s="5"/>
      <c r="G371" s="5"/>
      <c r="H371" s="619"/>
      <c r="I371" s="619"/>
      <c r="J371" s="619"/>
      <c r="K371" s="619"/>
      <c r="L371" s="619"/>
      <c r="M371" s="1"/>
    </row>
    <row r="372" spans="1:13" ht="14.25" customHeight="1">
      <c r="A372" s="619"/>
      <c r="B372" s="619"/>
      <c r="C372" s="4"/>
      <c r="D372" s="5"/>
      <c r="E372" s="5"/>
      <c r="F372" s="5"/>
      <c r="G372" s="5"/>
      <c r="H372" s="619"/>
      <c r="I372" s="619"/>
      <c r="J372" s="619"/>
      <c r="K372" s="619"/>
      <c r="L372" s="619"/>
      <c r="M372" s="1"/>
    </row>
    <row r="373" spans="1:13" ht="14.25" customHeight="1">
      <c r="A373" s="619"/>
      <c r="B373" s="619"/>
      <c r="C373" s="4"/>
      <c r="D373" s="5"/>
      <c r="E373" s="5"/>
      <c r="F373" s="5"/>
      <c r="G373" s="5"/>
      <c r="H373" s="619"/>
      <c r="I373" s="619"/>
      <c r="J373" s="619"/>
      <c r="K373" s="619"/>
      <c r="L373" s="619"/>
      <c r="M373" s="1"/>
    </row>
    <row r="374" spans="1:13" ht="14.25" customHeight="1">
      <c r="A374" s="619"/>
      <c r="B374" s="619"/>
      <c r="C374" s="4"/>
      <c r="D374" s="5"/>
      <c r="E374" s="5"/>
      <c r="F374" s="5"/>
      <c r="G374" s="5"/>
      <c r="H374" s="619"/>
      <c r="I374" s="619"/>
      <c r="J374" s="619"/>
      <c r="K374" s="619"/>
      <c r="L374" s="619"/>
      <c r="M374" s="1"/>
    </row>
    <row r="375" spans="1:13" ht="14.25" customHeight="1">
      <c r="A375" s="619"/>
      <c r="B375" s="619"/>
      <c r="C375" s="4"/>
      <c r="D375" s="5"/>
      <c r="E375" s="5"/>
      <c r="F375" s="5"/>
      <c r="G375" s="5"/>
      <c r="H375" s="619"/>
      <c r="I375" s="619"/>
      <c r="J375" s="619"/>
      <c r="K375" s="619"/>
      <c r="L375" s="619"/>
      <c r="M375" s="1"/>
    </row>
    <row r="376" spans="1:13" ht="14.25" customHeight="1">
      <c r="A376" s="619"/>
      <c r="B376" s="619"/>
      <c r="C376" s="4"/>
      <c r="D376" s="5"/>
      <c r="E376" s="5"/>
      <c r="F376" s="5"/>
      <c r="G376" s="5"/>
      <c r="H376" s="619"/>
      <c r="I376" s="619"/>
      <c r="J376" s="619"/>
      <c r="K376" s="619"/>
      <c r="L376" s="619"/>
      <c r="M376" s="1"/>
    </row>
    <row r="377" spans="1:13" ht="14.25" customHeight="1">
      <c r="A377" s="619"/>
      <c r="B377" s="619"/>
      <c r="C377" s="4"/>
      <c r="D377" s="5"/>
      <c r="E377" s="5"/>
      <c r="F377" s="5"/>
      <c r="G377" s="5"/>
      <c r="H377" s="619"/>
      <c r="I377" s="619"/>
      <c r="J377" s="619"/>
      <c r="K377" s="619"/>
      <c r="L377" s="619"/>
      <c r="M377" s="1"/>
    </row>
    <row r="378" spans="1:13" ht="14.25" customHeight="1">
      <c r="A378" s="619"/>
      <c r="B378" s="619"/>
      <c r="C378" s="4"/>
      <c r="D378" s="5"/>
      <c r="E378" s="5"/>
      <c r="F378" s="5"/>
      <c r="G378" s="5"/>
      <c r="H378" s="619"/>
      <c r="I378" s="619"/>
      <c r="J378" s="619"/>
      <c r="K378" s="619"/>
      <c r="L378" s="619"/>
      <c r="M378" s="1"/>
    </row>
    <row r="379" spans="1:13" ht="14.25" customHeight="1">
      <c r="A379" s="619"/>
      <c r="B379" s="619"/>
      <c r="C379" s="4"/>
      <c r="D379" s="5"/>
      <c r="E379" s="5"/>
      <c r="F379" s="5"/>
      <c r="G379" s="5"/>
      <c r="H379" s="619"/>
      <c r="I379" s="619"/>
      <c r="J379" s="619"/>
      <c r="K379" s="619"/>
      <c r="L379" s="619"/>
      <c r="M379" s="1"/>
    </row>
    <row r="380" spans="1:13" ht="14.25" customHeight="1">
      <c r="A380" s="619"/>
      <c r="B380" s="619"/>
      <c r="C380" s="4"/>
      <c r="D380" s="5"/>
      <c r="E380" s="5"/>
      <c r="F380" s="5"/>
      <c r="G380" s="5"/>
      <c r="H380" s="619"/>
      <c r="I380" s="619"/>
      <c r="J380" s="619"/>
      <c r="K380" s="619"/>
      <c r="L380" s="619"/>
      <c r="M380" s="1"/>
    </row>
    <row r="381" spans="1:13" ht="14.25" customHeight="1">
      <c r="A381" s="619"/>
      <c r="B381" s="619"/>
      <c r="C381" s="4"/>
      <c r="D381" s="5"/>
      <c r="E381" s="5"/>
      <c r="F381" s="5"/>
      <c r="G381" s="5"/>
      <c r="H381" s="619"/>
      <c r="I381" s="619"/>
      <c r="J381" s="619"/>
      <c r="K381" s="619"/>
      <c r="L381" s="619"/>
      <c r="M381" s="1"/>
    </row>
    <row r="382" spans="1:13" ht="14.25" customHeight="1">
      <c r="A382" s="619"/>
      <c r="B382" s="619"/>
      <c r="C382" s="4"/>
      <c r="D382" s="5"/>
      <c r="E382" s="5"/>
      <c r="F382" s="5"/>
      <c r="G382" s="5"/>
      <c r="H382" s="619"/>
      <c r="I382" s="619"/>
      <c r="J382" s="619"/>
      <c r="K382" s="619"/>
      <c r="L382" s="619"/>
      <c r="M382" s="1"/>
    </row>
    <row r="383" spans="1:13" ht="14.25" customHeight="1">
      <c r="A383" s="619"/>
      <c r="B383" s="619"/>
      <c r="C383" s="4"/>
      <c r="D383" s="5"/>
      <c r="E383" s="5"/>
      <c r="F383" s="5"/>
      <c r="G383" s="5"/>
      <c r="H383" s="619"/>
      <c r="I383" s="619"/>
      <c r="J383" s="619"/>
      <c r="K383" s="619"/>
      <c r="L383" s="619"/>
      <c r="M383" s="1"/>
    </row>
    <row r="384" spans="1:13" ht="14.25" customHeight="1">
      <c r="A384" s="619"/>
      <c r="B384" s="619"/>
      <c r="C384" s="4"/>
      <c r="D384" s="5"/>
      <c r="E384" s="5"/>
      <c r="F384" s="5"/>
      <c r="G384" s="5"/>
      <c r="H384" s="619"/>
      <c r="I384" s="619"/>
      <c r="J384" s="619"/>
      <c r="K384" s="619"/>
      <c r="L384" s="619"/>
      <c r="M384" s="1"/>
    </row>
    <row r="385" spans="1:13" ht="14.25" customHeight="1">
      <c r="A385" s="619"/>
      <c r="B385" s="619"/>
      <c r="C385" s="4"/>
      <c r="D385" s="5"/>
      <c r="E385" s="5"/>
      <c r="F385" s="5"/>
      <c r="G385" s="5"/>
      <c r="H385" s="619"/>
      <c r="I385" s="619"/>
      <c r="J385" s="619"/>
      <c r="K385" s="619"/>
      <c r="L385" s="619"/>
      <c r="M385" s="1"/>
    </row>
    <row r="386" spans="1:13" ht="14.25" customHeight="1">
      <c r="A386" s="619"/>
      <c r="B386" s="619"/>
      <c r="C386" s="4"/>
      <c r="D386" s="5"/>
      <c r="E386" s="5"/>
      <c r="F386" s="5"/>
      <c r="G386" s="5"/>
      <c r="H386" s="619"/>
      <c r="I386" s="619"/>
      <c r="J386" s="619"/>
      <c r="K386" s="619"/>
      <c r="L386" s="619"/>
      <c r="M386" s="1"/>
    </row>
    <row r="387" spans="1:13" ht="14.25" customHeight="1">
      <c r="A387" s="619"/>
      <c r="B387" s="619"/>
      <c r="C387" s="4"/>
      <c r="D387" s="5"/>
      <c r="E387" s="5"/>
      <c r="F387" s="5"/>
      <c r="G387" s="5"/>
      <c r="H387" s="619"/>
      <c r="I387" s="619"/>
      <c r="J387" s="619"/>
      <c r="K387" s="619"/>
      <c r="L387" s="619"/>
      <c r="M387" s="1"/>
    </row>
    <row r="388" spans="1:13" ht="14.25" customHeight="1">
      <c r="A388" s="619"/>
      <c r="B388" s="619"/>
      <c r="C388" s="4"/>
      <c r="D388" s="5"/>
      <c r="E388" s="5"/>
      <c r="F388" s="5"/>
      <c r="G388" s="5"/>
      <c r="H388" s="619"/>
      <c r="I388" s="619"/>
      <c r="J388" s="619"/>
      <c r="K388" s="619"/>
      <c r="L388" s="619"/>
      <c r="M388" s="1"/>
    </row>
    <row r="389" spans="1:13" ht="14.25" customHeight="1">
      <c r="A389" s="619"/>
      <c r="B389" s="619"/>
      <c r="C389" s="4"/>
      <c r="D389" s="5"/>
      <c r="E389" s="5"/>
      <c r="F389" s="5"/>
      <c r="G389" s="5"/>
      <c r="H389" s="619"/>
      <c r="I389" s="619"/>
      <c r="J389" s="619"/>
      <c r="K389" s="619"/>
      <c r="L389" s="619"/>
      <c r="M389" s="1"/>
    </row>
    <row r="390" spans="1:13" ht="14.25" customHeight="1">
      <c r="A390" s="619"/>
      <c r="B390" s="619"/>
      <c r="C390" s="4"/>
      <c r="D390" s="5"/>
      <c r="E390" s="5"/>
      <c r="F390" s="5"/>
      <c r="G390" s="5"/>
      <c r="H390" s="619"/>
      <c r="I390" s="619"/>
      <c r="J390" s="619"/>
      <c r="K390" s="619"/>
      <c r="L390" s="619"/>
      <c r="M390" s="1"/>
    </row>
    <row r="391" spans="1:13" ht="14.25" customHeight="1">
      <c r="A391" s="619"/>
      <c r="B391" s="619"/>
      <c r="C391" s="4"/>
      <c r="D391" s="5"/>
      <c r="E391" s="5"/>
      <c r="F391" s="5"/>
      <c r="G391" s="5"/>
      <c r="H391" s="619"/>
      <c r="I391" s="619"/>
      <c r="J391" s="619"/>
      <c r="K391" s="619"/>
      <c r="L391" s="619"/>
      <c r="M391" s="1"/>
    </row>
    <row r="392" spans="1:13" ht="14.25" customHeight="1">
      <c r="A392" s="619"/>
      <c r="B392" s="619"/>
      <c r="C392" s="4"/>
      <c r="D392" s="5"/>
      <c r="E392" s="5"/>
      <c r="F392" s="5"/>
      <c r="G392" s="5"/>
      <c r="H392" s="619"/>
      <c r="I392" s="619"/>
      <c r="J392" s="619"/>
      <c r="K392" s="619"/>
      <c r="L392" s="619"/>
      <c r="M392" s="1"/>
    </row>
    <row r="393" spans="1:13" ht="14.25" customHeight="1">
      <c r="A393" s="619"/>
      <c r="B393" s="619"/>
      <c r="C393" s="4"/>
      <c r="D393" s="5"/>
      <c r="E393" s="5"/>
      <c r="F393" s="5"/>
      <c r="G393" s="5"/>
      <c r="H393" s="619"/>
      <c r="I393" s="619"/>
      <c r="J393" s="619"/>
      <c r="K393" s="619"/>
      <c r="L393" s="619"/>
      <c r="M393" s="1"/>
    </row>
    <row r="394" spans="1:13" ht="14.25" customHeight="1">
      <c r="A394" s="619"/>
      <c r="B394" s="619"/>
      <c r="C394" s="4"/>
      <c r="D394" s="5"/>
      <c r="E394" s="5"/>
      <c r="F394" s="5"/>
      <c r="G394" s="5"/>
      <c r="H394" s="619"/>
      <c r="I394" s="619"/>
      <c r="J394" s="619"/>
      <c r="K394" s="619"/>
      <c r="L394" s="619"/>
      <c r="M394" s="1"/>
    </row>
    <row r="395" spans="1:13" ht="14.25" customHeight="1">
      <c r="A395" s="619"/>
      <c r="B395" s="619"/>
      <c r="C395" s="4"/>
      <c r="D395" s="5"/>
      <c r="E395" s="5"/>
      <c r="F395" s="5"/>
      <c r="G395" s="5"/>
      <c r="H395" s="619"/>
      <c r="I395" s="619"/>
      <c r="J395" s="619"/>
      <c r="K395" s="619"/>
      <c r="L395" s="619"/>
      <c r="M395" s="1"/>
    </row>
    <row r="396" spans="1:13" ht="14.25" customHeight="1">
      <c r="A396" s="619"/>
      <c r="B396" s="619"/>
      <c r="C396" s="4"/>
      <c r="D396" s="5"/>
      <c r="E396" s="5"/>
      <c r="F396" s="5"/>
      <c r="G396" s="5"/>
      <c r="H396" s="619"/>
      <c r="I396" s="619"/>
      <c r="J396" s="619"/>
      <c r="K396" s="619"/>
      <c r="L396" s="619"/>
      <c r="M396" s="1"/>
    </row>
    <row r="397" spans="1:13" ht="14.25" customHeight="1">
      <c r="A397" s="619"/>
      <c r="B397" s="619"/>
      <c r="C397" s="4"/>
      <c r="D397" s="5"/>
      <c r="E397" s="5"/>
      <c r="F397" s="5"/>
      <c r="G397" s="5"/>
      <c r="H397" s="619"/>
      <c r="I397" s="619"/>
      <c r="J397" s="619"/>
      <c r="K397" s="619"/>
      <c r="L397" s="619"/>
      <c r="M397" s="1"/>
    </row>
    <row r="398" spans="1:13" ht="14.25" customHeight="1">
      <c r="A398" s="619"/>
      <c r="B398" s="619"/>
      <c r="C398" s="4"/>
      <c r="D398" s="5"/>
      <c r="E398" s="5"/>
      <c r="F398" s="5"/>
      <c r="G398" s="5"/>
      <c r="H398" s="619"/>
      <c r="I398" s="619"/>
      <c r="J398" s="619"/>
      <c r="K398" s="619"/>
      <c r="L398" s="619"/>
      <c r="M398" s="1"/>
    </row>
    <row r="399" spans="1:13" ht="14.25" customHeight="1">
      <c r="A399" s="619"/>
      <c r="B399" s="619"/>
      <c r="C399" s="4"/>
      <c r="D399" s="5"/>
      <c r="E399" s="5"/>
      <c r="F399" s="5"/>
      <c r="G399" s="5"/>
      <c r="H399" s="619"/>
      <c r="I399" s="619"/>
      <c r="J399" s="619"/>
      <c r="K399" s="619"/>
      <c r="L399" s="619"/>
      <c r="M399" s="1"/>
    </row>
    <row r="400" spans="1:13" ht="14.25" customHeight="1">
      <c r="A400" s="619"/>
      <c r="B400" s="619"/>
      <c r="C400" s="4"/>
      <c r="D400" s="5"/>
      <c r="E400" s="5"/>
      <c r="F400" s="5"/>
      <c r="G400" s="5"/>
      <c r="H400" s="619"/>
      <c r="I400" s="619"/>
      <c r="J400" s="619"/>
      <c r="K400" s="619"/>
      <c r="L400" s="619"/>
      <c r="M400" s="1"/>
    </row>
    <row r="401" spans="1:13" ht="14.25" customHeight="1">
      <c r="A401" s="619"/>
      <c r="B401" s="619"/>
      <c r="C401" s="4"/>
      <c r="D401" s="5"/>
      <c r="E401" s="5"/>
      <c r="F401" s="5"/>
      <c r="G401" s="5"/>
      <c r="H401" s="619"/>
      <c r="I401" s="619"/>
      <c r="J401" s="619"/>
      <c r="K401" s="619"/>
      <c r="L401" s="619"/>
      <c r="M401" s="1"/>
    </row>
    <row r="402" spans="1:13" ht="14.25" customHeight="1">
      <c r="A402" s="619"/>
      <c r="B402" s="619"/>
      <c r="C402" s="4"/>
      <c r="D402" s="5"/>
      <c r="E402" s="5"/>
      <c r="F402" s="5"/>
      <c r="G402" s="5"/>
      <c r="H402" s="619"/>
      <c r="I402" s="619"/>
      <c r="J402" s="619"/>
      <c r="K402" s="619"/>
      <c r="L402" s="619"/>
      <c r="M402" s="1"/>
    </row>
    <row r="403" spans="1:13" ht="15.75" customHeight="1">
      <c r="A403" s="1"/>
      <c r="B403" s="1"/>
      <c r="C403" s="1"/>
      <c r="D403" s="20"/>
      <c r="E403" s="20"/>
      <c r="F403" s="20"/>
      <c r="G403" s="20"/>
      <c r="H403" s="1"/>
      <c r="I403" s="1"/>
      <c r="J403" s="1"/>
      <c r="K403" s="1"/>
      <c r="L403" s="1"/>
      <c r="M403" s="1"/>
    </row>
    <row r="404" spans="1:13" ht="15.75" customHeight="1">
      <c r="A404" s="1"/>
      <c r="B404" s="1"/>
      <c r="C404" s="1"/>
      <c r="D404" s="20"/>
      <c r="E404" s="20"/>
      <c r="F404" s="20"/>
      <c r="G404" s="20"/>
      <c r="H404" s="1"/>
      <c r="I404" s="1"/>
      <c r="J404" s="1"/>
      <c r="K404" s="1"/>
      <c r="L404" s="1"/>
      <c r="M404" s="1"/>
    </row>
    <row r="405" spans="1:13" ht="15.75" customHeight="1">
      <c r="A405" s="1"/>
      <c r="B405" s="1"/>
      <c r="C405" s="1"/>
      <c r="D405" s="20"/>
      <c r="E405" s="20"/>
      <c r="F405" s="20"/>
      <c r="G405" s="20"/>
      <c r="H405" s="1"/>
      <c r="I405" s="1"/>
      <c r="J405" s="1"/>
      <c r="K405" s="1"/>
      <c r="L405" s="1"/>
      <c r="M405" s="1"/>
    </row>
    <row r="406" spans="1:13" ht="15.75" customHeight="1">
      <c r="A406" s="1"/>
      <c r="B406" s="1"/>
      <c r="C406" s="1"/>
      <c r="D406" s="20"/>
      <c r="E406" s="20"/>
      <c r="F406" s="20"/>
      <c r="G406" s="20"/>
      <c r="H406" s="1"/>
      <c r="I406" s="1"/>
      <c r="J406" s="1"/>
      <c r="K406" s="1"/>
      <c r="L406" s="1"/>
      <c r="M406" s="1"/>
    </row>
    <row r="407" spans="1:13" ht="15.75" customHeight="1">
      <c r="A407" s="1"/>
      <c r="B407" s="1"/>
      <c r="C407" s="1"/>
      <c r="D407" s="20"/>
      <c r="E407" s="20"/>
      <c r="F407" s="20"/>
      <c r="G407" s="20"/>
      <c r="H407" s="1"/>
      <c r="I407" s="1"/>
      <c r="J407" s="1"/>
      <c r="K407" s="1"/>
      <c r="L407" s="1"/>
      <c r="M407" s="1"/>
    </row>
    <row r="408" spans="1:13" ht="15.75" customHeight="1">
      <c r="A408" s="1"/>
      <c r="B408" s="1"/>
      <c r="C408" s="1"/>
      <c r="D408" s="20"/>
      <c r="E408" s="20"/>
      <c r="F408" s="20"/>
      <c r="G408" s="20"/>
      <c r="H408" s="1"/>
      <c r="I408" s="1"/>
      <c r="J408" s="1"/>
      <c r="K408" s="1"/>
      <c r="L408" s="1"/>
      <c r="M408" s="1"/>
    </row>
    <row r="409" spans="1:13" ht="15.75" customHeight="1">
      <c r="A409" s="1"/>
      <c r="B409" s="1"/>
      <c r="C409" s="1"/>
      <c r="D409" s="20"/>
      <c r="E409" s="20"/>
      <c r="F409" s="20"/>
      <c r="G409" s="20"/>
      <c r="H409" s="1"/>
      <c r="I409" s="1"/>
      <c r="J409" s="1"/>
      <c r="K409" s="1"/>
      <c r="L409" s="1"/>
      <c r="M409" s="1"/>
    </row>
    <row r="410" spans="1:13" ht="15.75" customHeight="1">
      <c r="A410" s="1"/>
      <c r="B410" s="1"/>
      <c r="C410" s="1"/>
      <c r="D410" s="20"/>
      <c r="E410" s="20"/>
      <c r="F410" s="20"/>
      <c r="G410" s="20"/>
      <c r="H410" s="1"/>
      <c r="I410" s="1"/>
      <c r="J410" s="1"/>
      <c r="K410" s="1"/>
      <c r="L410" s="1"/>
      <c r="M410" s="1"/>
    </row>
    <row r="411" spans="1:13" ht="15.75" customHeight="1">
      <c r="A411" s="1"/>
      <c r="B411" s="1"/>
      <c r="C411" s="1"/>
      <c r="D411" s="20"/>
      <c r="E411" s="20"/>
      <c r="F411" s="20"/>
      <c r="G411" s="20"/>
      <c r="H411" s="1"/>
      <c r="I411" s="1"/>
      <c r="J411" s="1"/>
      <c r="K411" s="1"/>
      <c r="L411" s="1"/>
      <c r="M411" s="1"/>
    </row>
    <row r="412" spans="1:13" ht="15.75" customHeight="1">
      <c r="A412" s="1"/>
      <c r="B412" s="1"/>
      <c r="C412" s="1"/>
      <c r="D412" s="20"/>
      <c r="E412" s="20"/>
      <c r="F412" s="20"/>
      <c r="G412" s="20"/>
      <c r="H412" s="1"/>
      <c r="I412" s="1"/>
      <c r="J412" s="1"/>
      <c r="K412" s="1"/>
      <c r="L412" s="1"/>
      <c r="M412" s="1"/>
    </row>
    <row r="413" spans="1:13" ht="15.75" customHeight="1">
      <c r="A413" s="1"/>
      <c r="B413" s="1"/>
      <c r="C413" s="1"/>
      <c r="D413" s="20"/>
      <c r="E413" s="20"/>
      <c r="F413" s="20"/>
      <c r="G413" s="20"/>
      <c r="H413" s="1"/>
      <c r="I413" s="1"/>
      <c r="J413" s="1"/>
      <c r="K413" s="1"/>
      <c r="L413" s="1"/>
      <c r="M413" s="1"/>
    </row>
    <row r="414" spans="1:13" ht="15.75" customHeight="1">
      <c r="A414" s="1"/>
      <c r="B414" s="1"/>
      <c r="C414" s="1"/>
      <c r="D414" s="20"/>
      <c r="E414" s="20"/>
      <c r="F414" s="20"/>
      <c r="G414" s="20"/>
      <c r="H414" s="1"/>
      <c r="I414" s="1"/>
      <c r="J414" s="1"/>
      <c r="K414" s="1"/>
      <c r="L414" s="1"/>
      <c r="M414" s="1"/>
    </row>
    <row r="415" spans="1:13" ht="15.75" customHeight="1">
      <c r="A415" s="1"/>
      <c r="B415" s="1"/>
      <c r="C415" s="1"/>
      <c r="D415" s="20"/>
      <c r="E415" s="20"/>
      <c r="F415" s="20"/>
      <c r="G415" s="20"/>
      <c r="H415" s="1"/>
      <c r="I415" s="1"/>
      <c r="J415" s="1"/>
      <c r="K415" s="1"/>
      <c r="L415" s="1"/>
      <c r="M415" s="1"/>
    </row>
    <row r="416" spans="1:13" ht="15.75" customHeight="1">
      <c r="A416" s="1"/>
      <c r="B416" s="1"/>
      <c r="C416" s="1"/>
      <c r="D416" s="20"/>
      <c r="E416" s="20"/>
      <c r="F416" s="20"/>
      <c r="G416" s="20"/>
      <c r="H416" s="1"/>
      <c r="I416" s="1"/>
      <c r="J416" s="1"/>
      <c r="K416" s="1"/>
      <c r="L416" s="1"/>
      <c r="M416" s="1"/>
    </row>
    <row r="417" spans="1:13" ht="15.75" customHeight="1">
      <c r="A417" s="1"/>
      <c r="B417" s="1"/>
      <c r="C417" s="1"/>
      <c r="D417" s="20"/>
      <c r="E417" s="20"/>
      <c r="F417" s="20"/>
      <c r="G417" s="20"/>
      <c r="H417" s="1"/>
      <c r="I417" s="1"/>
      <c r="J417" s="1"/>
      <c r="K417" s="1"/>
      <c r="L417" s="1"/>
      <c r="M417" s="1"/>
    </row>
    <row r="418" spans="1:13" ht="15.75" customHeight="1">
      <c r="A418" s="1"/>
      <c r="B418" s="1"/>
      <c r="C418" s="1"/>
      <c r="D418" s="20"/>
      <c r="E418" s="20"/>
      <c r="F418" s="20"/>
      <c r="G418" s="20"/>
      <c r="H418" s="1"/>
      <c r="I418" s="1"/>
      <c r="J418" s="1"/>
      <c r="K418" s="1"/>
      <c r="L418" s="1"/>
      <c r="M418" s="1"/>
    </row>
    <row r="419" spans="1:13" ht="15.75" customHeight="1">
      <c r="A419" s="1"/>
      <c r="B419" s="1"/>
      <c r="C419" s="1"/>
      <c r="D419" s="20"/>
      <c r="E419" s="20"/>
      <c r="F419" s="20"/>
      <c r="G419" s="20"/>
      <c r="H419" s="1"/>
      <c r="I419" s="1"/>
      <c r="J419" s="1"/>
      <c r="K419" s="1"/>
      <c r="L419" s="1"/>
      <c r="M419" s="1"/>
    </row>
    <row r="420" spans="1:13" ht="15.75" customHeight="1">
      <c r="A420" s="1"/>
      <c r="B420" s="1"/>
      <c r="C420" s="1"/>
      <c r="D420" s="20"/>
      <c r="E420" s="20"/>
      <c r="F420" s="20"/>
      <c r="G420" s="20"/>
      <c r="H420" s="1"/>
      <c r="I420" s="1"/>
      <c r="J420" s="1"/>
      <c r="K420" s="1"/>
      <c r="L420" s="1"/>
      <c r="M420" s="1"/>
    </row>
    <row r="421" spans="1:13" ht="15.75" customHeight="1">
      <c r="A421" s="1"/>
      <c r="B421" s="1"/>
      <c r="C421" s="1"/>
      <c r="D421" s="20"/>
      <c r="E421" s="20"/>
      <c r="F421" s="20"/>
      <c r="G421" s="20"/>
      <c r="H421" s="1"/>
      <c r="I421" s="1"/>
      <c r="J421" s="1"/>
      <c r="K421" s="1"/>
      <c r="L421" s="1"/>
      <c r="M421" s="1"/>
    </row>
    <row r="422" spans="1:13" ht="15.75" customHeight="1">
      <c r="A422" s="1"/>
      <c r="B422" s="1"/>
      <c r="C422" s="1"/>
      <c r="D422" s="20"/>
      <c r="E422" s="20"/>
      <c r="F422" s="20"/>
      <c r="G422" s="20"/>
      <c r="H422" s="1"/>
      <c r="I422" s="1"/>
      <c r="J422" s="1"/>
      <c r="K422" s="1"/>
      <c r="L422" s="1"/>
      <c r="M422" s="1"/>
    </row>
    <row r="423" spans="1:13" ht="15.75" customHeight="1">
      <c r="A423" s="1"/>
      <c r="B423" s="1"/>
      <c r="C423" s="1"/>
      <c r="D423" s="20"/>
      <c r="E423" s="20"/>
      <c r="F423" s="20"/>
      <c r="G423" s="20"/>
      <c r="H423" s="1"/>
      <c r="I423" s="1"/>
      <c r="J423" s="1"/>
      <c r="K423" s="1"/>
      <c r="L423" s="1"/>
      <c r="M423" s="1"/>
    </row>
    <row r="424" spans="1:13" ht="15.75" customHeight="1">
      <c r="A424" s="1"/>
      <c r="B424" s="1"/>
      <c r="C424" s="1"/>
      <c r="D424" s="20"/>
      <c r="E424" s="20"/>
      <c r="F424" s="20"/>
      <c r="G424" s="20"/>
      <c r="H424" s="1"/>
      <c r="I424" s="1"/>
      <c r="J424" s="1"/>
      <c r="K424" s="1"/>
      <c r="L424" s="1"/>
      <c r="M424" s="1"/>
    </row>
    <row r="425" spans="1:13" ht="15.75" customHeight="1">
      <c r="A425" s="1"/>
      <c r="B425" s="1"/>
      <c r="C425" s="1"/>
      <c r="D425" s="20"/>
      <c r="E425" s="20"/>
      <c r="F425" s="20"/>
      <c r="G425" s="20"/>
      <c r="H425" s="1"/>
      <c r="I425" s="1"/>
      <c r="J425" s="1"/>
      <c r="K425" s="1"/>
      <c r="L425" s="1"/>
      <c r="M425" s="1"/>
    </row>
    <row r="426" spans="1:13" ht="15.75" customHeight="1">
      <c r="A426" s="1"/>
      <c r="B426" s="1"/>
      <c r="C426" s="1"/>
      <c r="D426" s="20"/>
      <c r="E426" s="20"/>
      <c r="F426" s="20"/>
      <c r="G426" s="20"/>
      <c r="H426" s="1"/>
      <c r="I426" s="1"/>
      <c r="J426" s="1"/>
      <c r="K426" s="1"/>
      <c r="L426" s="1"/>
      <c r="M426" s="1"/>
    </row>
    <row r="427" spans="1:13" ht="15.75" customHeight="1">
      <c r="A427" s="1"/>
      <c r="B427" s="1"/>
      <c r="C427" s="1"/>
      <c r="D427" s="20"/>
      <c r="E427" s="20"/>
      <c r="F427" s="20"/>
      <c r="G427" s="20"/>
      <c r="H427" s="1"/>
      <c r="I427" s="1"/>
      <c r="J427" s="1"/>
      <c r="K427" s="1"/>
      <c r="L427" s="1"/>
      <c r="M427" s="1"/>
    </row>
    <row r="428" spans="1:13" ht="15.75" customHeight="1">
      <c r="A428" s="1"/>
      <c r="B428" s="1"/>
      <c r="C428" s="1"/>
      <c r="D428" s="20"/>
      <c r="E428" s="20"/>
      <c r="F428" s="20"/>
      <c r="G428" s="20"/>
      <c r="H428" s="1"/>
      <c r="I428" s="1"/>
      <c r="J428" s="1"/>
      <c r="K428" s="1"/>
      <c r="L428" s="1"/>
      <c r="M428" s="1"/>
    </row>
    <row r="429" spans="1:13" ht="15.75" customHeight="1">
      <c r="A429" s="1"/>
      <c r="B429" s="1"/>
      <c r="C429" s="1"/>
      <c r="D429" s="20"/>
      <c r="E429" s="20"/>
      <c r="F429" s="20"/>
      <c r="G429" s="20"/>
      <c r="H429" s="1"/>
      <c r="I429" s="1"/>
      <c r="J429" s="1"/>
      <c r="K429" s="1"/>
      <c r="L429" s="1"/>
      <c r="M429" s="1"/>
    </row>
    <row r="430" spans="1:13" ht="15.75" customHeight="1">
      <c r="A430" s="1"/>
      <c r="B430" s="1"/>
      <c r="C430" s="1"/>
      <c r="D430" s="20"/>
      <c r="E430" s="20"/>
      <c r="F430" s="20"/>
      <c r="G430" s="20"/>
      <c r="H430" s="1"/>
      <c r="I430" s="1"/>
      <c r="J430" s="1"/>
      <c r="K430" s="1"/>
      <c r="L430" s="1"/>
      <c r="M430" s="1"/>
    </row>
    <row r="431" spans="1:13" ht="15.75" customHeight="1">
      <c r="A431" s="1"/>
      <c r="B431" s="1"/>
      <c r="C431" s="1"/>
      <c r="D431" s="20"/>
      <c r="E431" s="20"/>
      <c r="F431" s="20"/>
      <c r="G431" s="20"/>
      <c r="H431" s="1"/>
      <c r="I431" s="1"/>
      <c r="J431" s="1"/>
      <c r="K431" s="1"/>
      <c r="L431" s="1"/>
      <c r="M431" s="1"/>
    </row>
    <row r="432" spans="1:13" ht="15.75" customHeight="1">
      <c r="A432" s="1"/>
      <c r="B432" s="1"/>
      <c r="C432" s="1"/>
      <c r="D432" s="20"/>
      <c r="E432" s="20"/>
      <c r="F432" s="20"/>
      <c r="G432" s="20"/>
      <c r="H432" s="1"/>
      <c r="I432" s="1"/>
      <c r="J432" s="1"/>
      <c r="K432" s="1"/>
      <c r="L432" s="1"/>
      <c r="M432" s="1"/>
    </row>
    <row r="433" spans="1:13" ht="15.75" customHeight="1">
      <c r="A433" s="1"/>
      <c r="B433" s="1"/>
      <c r="C433" s="1"/>
      <c r="D433" s="20"/>
      <c r="E433" s="20"/>
      <c r="F433" s="20"/>
      <c r="G433" s="20"/>
      <c r="H433" s="1"/>
      <c r="I433" s="1"/>
      <c r="J433" s="1"/>
      <c r="K433" s="1"/>
      <c r="L433" s="1"/>
      <c r="M433" s="1"/>
    </row>
    <row r="434" spans="1:13" ht="15.75" customHeight="1">
      <c r="A434" s="1"/>
      <c r="B434" s="1"/>
      <c r="C434" s="1"/>
      <c r="D434" s="20"/>
      <c r="E434" s="20"/>
      <c r="F434" s="20"/>
      <c r="G434" s="20"/>
      <c r="H434" s="1"/>
      <c r="I434" s="1"/>
      <c r="J434" s="1"/>
      <c r="K434" s="1"/>
      <c r="L434" s="1"/>
      <c r="M434" s="1"/>
    </row>
    <row r="435" spans="1:13" ht="15.75" customHeight="1">
      <c r="A435" s="1"/>
      <c r="B435" s="1"/>
      <c r="C435" s="1"/>
      <c r="D435" s="20"/>
      <c r="E435" s="20"/>
      <c r="F435" s="20"/>
      <c r="G435" s="20"/>
      <c r="H435" s="1"/>
      <c r="I435" s="1"/>
      <c r="J435" s="1"/>
      <c r="K435" s="1"/>
      <c r="L435" s="1"/>
      <c r="M435" s="1"/>
    </row>
    <row r="436" spans="1:13" ht="15.75" customHeight="1">
      <c r="A436" s="1"/>
      <c r="B436" s="1"/>
      <c r="C436" s="1"/>
      <c r="D436" s="20"/>
      <c r="E436" s="20"/>
      <c r="F436" s="20"/>
      <c r="G436" s="20"/>
      <c r="H436" s="1"/>
      <c r="I436" s="1"/>
      <c r="J436" s="1"/>
      <c r="K436" s="1"/>
      <c r="L436" s="1"/>
      <c r="M436" s="1"/>
    </row>
    <row r="437" spans="1:13" ht="15.75" customHeight="1">
      <c r="A437" s="1"/>
      <c r="B437" s="1"/>
      <c r="C437" s="1"/>
      <c r="D437" s="20"/>
      <c r="E437" s="20"/>
      <c r="F437" s="20"/>
      <c r="G437" s="20"/>
      <c r="H437" s="1"/>
      <c r="I437" s="1"/>
      <c r="J437" s="1"/>
      <c r="K437" s="1"/>
      <c r="L437" s="1"/>
      <c r="M437" s="1"/>
    </row>
    <row r="438" spans="1:13" ht="15.75" customHeight="1">
      <c r="A438" s="1"/>
      <c r="B438" s="1"/>
      <c r="C438" s="1"/>
      <c r="D438" s="20"/>
      <c r="E438" s="20"/>
      <c r="F438" s="20"/>
      <c r="G438" s="20"/>
      <c r="H438" s="1"/>
      <c r="I438" s="1"/>
      <c r="J438" s="1"/>
      <c r="K438" s="1"/>
      <c r="L438" s="1"/>
      <c r="M438" s="1"/>
    </row>
    <row r="439" spans="1:13" ht="15.75" customHeight="1">
      <c r="A439" s="1"/>
      <c r="B439" s="1"/>
      <c r="C439" s="1"/>
      <c r="D439" s="20"/>
      <c r="E439" s="20"/>
      <c r="F439" s="20"/>
      <c r="G439" s="20"/>
      <c r="H439" s="1"/>
      <c r="I439" s="1"/>
      <c r="J439" s="1"/>
      <c r="K439" s="1"/>
      <c r="L439" s="1"/>
      <c r="M439" s="1"/>
    </row>
    <row r="440" spans="1:13" ht="15.75" customHeight="1">
      <c r="A440" s="1"/>
      <c r="B440" s="1"/>
      <c r="C440" s="1"/>
      <c r="D440" s="20"/>
      <c r="E440" s="20"/>
      <c r="F440" s="20"/>
      <c r="G440" s="20"/>
      <c r="H440" s="1"/>
      <c r="I440" s="1"/>
      <c r="J440" s="1"/>
      <c r="K440" s="1"/>
      <c r="L440" s="1"/>
      <c r="M440" s="1"/>
    </row>
    <row r="441" spans="1:13" ht="15.75" customHeight="1">
      <c r="A441" s="1"/>
      <c r="B441" s="1"/>
      <c r="C441" s="1"/>
      <c r="D441" s="20"/>
      <c r="E441" s="20"/>
      <c r="F441" s="20"/>
      <c r="G441" s="20"/>
      <c r="H441" s="1"/>
      <c r="I441" s="1"/>
      <c r="J441" s="1"/>
      <c r="K441" s="1"/>
      <c r="L441" s="1"/>
      <c r="M441" s="1"/>
    </row>
    <row r="442" spans="1:13" ht="15.75" customHeight="1">
      <c r="A442" s="1"/>
      <c r="B442" s="1"/>
      <c r="C442" s="1"/>
      <c r="D442" s="20"/>
      <c r="E442" s="20"/>
      <c r="F442" s="20"/>
      <c r="G442" s="20"/>
      <c r="H442" s="1"/>
      <c r="I442" s="1"/>
      <c r="J442" s="1"/>
      <c r="K442" s="1"/>
      <c r="L442" s="1"/>
      <c r="M442" s="1"/>
    </row>
    <row r="443" spans="1:13" ht="15.75" customHeight="1">
      <c r="A443" s="1"/>
      <c r="B443" s="1"/>
      <c r="C443" s="1"/>
      <c r="D443" s="20"/>
      <c r="E443" s="20"/>
      <c r="F443" s="20"/>
      <c r="G443" s="20"/>
      <c r="H443" s="1"/>
      <c r="I443" s="1"/>
      <c r="J443" s="1"/>
      <c r="K443" s="1"/>
      <c r="L443" s="1"/>
      <c r="M443" s="1"/>
    </row>
    <row r="444" spans="1:13" ht="15.75" customHeight="1">
      <c r="A444" s="1"/>
      <c r="B444" s="1"/>
      <c r="C444" s="1"/>
      <c r="D444" s="20"/>
      <c r="E444" s="20"/>
      <c r="F444" s="20"/>
      <c r="G444" s="20"/>
      <c r="H444" s="1"/>
      <c r="I444" s="1"/>
      <c r="J444" s="1"/>
      <c r="K444" s="1"/>
      <c r="L444" s="1"/>
      <c r="M444" s="1"/>
    </row>
    <row r="445" spans="1:13" ht="15.75" customHeight="1">
      <c r="A445" s="1"/>
      <c r="B445" s="1"/>
      <c r="C445" s="1"/>
      <c r="D445" s="20"/>
      <c r="E445" s="20"/>
      <c r="F445" s="20"/>
      <c r="G445" s="20"/>
      <c r="H445" s="1"/>
      <c r="I445" s="1"/>
      <c r="J445" s="1"/>
      <c r="K445" s="1"/>
      <c r="L445" s="1"/>
      <c r="M445" s="1"/>
    </row>
    <row r="446" spans="1:13" ht="15.75" customHeight="1">
      <c r="A446" s="1"/>
      <c r="B446" s="1"/>
      <c r="C446" s="1"/>
      <c r="D446" s="20"/>
      <c r="E446" s="20"/>
      <c r="F446" s="20"/>
      <c r="G446" s="20"/>
      <c r="H446" s="1"/>
      <c r="I446" s="1"/>
      <c r="J446" s="1"/>
      <c r="K446" s="1"/>
      <c r="L446" s="1"/>
      <c r="M446" s="1"/>
    </row>
    <row r="447" spans="1:13" ht="15.75" customHeight="1">
      <c r="A447" s="1"/>
      <c r="B447" s="1"/>
      <c r="C447" s="1"/>
      <c r="D447" s="20"/>
      <c r="E447" s="20"/>
      <c r="F447" s="20"/>
      <c r="G447" s="20"/>
      <c r="H447" s="1"/>
      <c r="I447" s="1"/>
      <c r="J447" s="1"/>
      <c r="K447" s="1"/>
      <c r="L447" s="1"/>
      <c r="M447" s="1"/>
    </row>
    <row r="448" spans="1:13" ht="15.75" customHeight="1">
      <c r="A448" s="1"/>
      <c r="B448" s="1"/>
      <c r="C448" s="1"/>
      <c r="D448" s="20"/>
      <c r="E448" s="20"/>
      <c r="F448" s="20"/>
      <c r="G448" s="20"/>
      <c r="H448" s="1"/>
      <c r="I448" s="1"/>
      <c r="J448" s="1"/>
      <c r="K448" s="1"/>
      <c r="L448" s="1"/>
      <c r="M448" s="1"/>
    </row>
    <row r="449" spans="1:13" ht="15.75" customHeight="1">
      <c r="A449" s="1"/>
      <c r="B449" s="1"/>
      <c r="C449" s="1"/>
      <c r="D449" s="20"/>
      <c r="E449" s="20"/>
      <c r="F449" s="20"/>
      <c r="G449" s="20"/>
      <c r="H449" s="1"/>
      <c r="I449" s="1"/>
      <c r="J449" s="1"/>
      <c r="K449" s="1"/>
      <c r="L449" s="1"/>
      <c r="M449" s="1"/>
    </row>
    <row r="450" spans="1:13" ht="15.75" customHeight="1">
      <c r="A450" s="1"/>
      <c r="B450" s="1"/>
      <c r="C450" s="1"/>
      <c r="D450" s="20"/>
      <c r="E450" s="20"/>
      <c r="F450" s="20"/>
      <c r="G450" s="20"/>
      <c r="H450" s="1"/>
      <c r="I450" s="1"/>
      <c r="J450" s="1"/>
      <c r="K450" s="1"/>
      <c r="L450" s="1"/>
      <c r="M450" s="1"/>
    </row>
    <row r="451" spans="1:13" ht="15.75" customHeight="1">
      <c r="A451" s="1"/>
      <c r="B451" s="1"/>
      <c r="C451" s="1"/>
      <c r="D451" s="20"/>
      <c r="E451" s="20"/>
      <c r="F451" s="20"/>
      <c r="G451" s="20"/>
      <c r="H451" s="1"/>
      <c r="I451" s="1"/>
      <c r="J451" s="1"/>
      <c r="K451" s="1"/>
      <c r="L451" s="1"/>
      <c r="M451" s="1"/>
    </row>
    <row r="452" spans="1:13" ht="15.75" customHeight="1">
      <c r="A452" s="1"/>
      <c r="B452" s="1"/>
      <c r="C452" s="1"/>
      <c r="D452" s="20"/>
      <c r="E452" s="20"/>
      <c r="F452" s="20"/>
      <c r="G452" s="20"/>
      <c r="H452" s="1"/>
      <c r="I452" s="1"/>
      <c r="J452" s="1"/>
      <c r="K452" s="1"/>
      <c r="L452" s="1"/>
      <c r="M452" s="1"/>
    </row>
    <row r="453" spans="1:13" ht="15.75" customHeight="1">
      <c r="A453" s="1"/>
      <c r="B453" s="1"/>
      <c r="C453" s="1"/>
      <c r="D453" s="20"/>
      <c r="E453" s="20"/>
      <c r="F453" s="20"/>
      <c r="G453" s="20"/>
      <c r="H453" s="1"/>
      <c r="I453" s="1"/>
      <c r="J453" s="1"/>
      <c r="K453" s="1"/>
      <c r="L453" s="1"/>
      <c r="M453" s="1"/>
    </row>
    <row r="454" spans="1:13" ht="15.75" customHeight="1">
      <c r="A454" s="1"/>
      <c r="B454" s="1"/>
      <c r="C454" s="1"/>
      <c r="D454" s="20"/>
      <c r="E454" s="20"/>
      <c r="F454" s="20"/>
      <c r="G454" s="20"/>
      <c r="H454" s="1"/>
      <c r="I454" s="1"/>
      <c r="J454" s="1"/>
      <c r="K454" s="1"/>
      <c r="L454" s="1"/>
      <c r="M454" s="1"/>
    </row>
    <row r="455" spans="1:13" ht="15.75" customHeight="1">
      <c r="A455" s="1"/>
      <c r="B455" s="1"/>
      <c r="C455" s="1"/>
      <c r="D455" s="20"/>
      <c r="E455" s="20"/>
      <c r="F455" s="20"/>
      <c r="G455" s="20"/>
      <c r="H455" s="1"/>
      <c r="I455" s="1"/>
      <c r="J455" s="1"/>
      <c r="K455" s="1"/>
      <c r="L455" s="1"/>
      <c r="M455" s="1"/>
    </row>
    <row r="456" spans="1:13" ht="15.75" customHeight="1">
      <c r="A456" s="1"/>
      <c r="B456" s="1"/>
      <c r="C456" s="1"/>
      <c r="D456" s="20"/>
      <c r="E456" s="20"/>
      <c r="F456" s="20"/>
      <c r="G456" s="20"/>
      <c r="H456" s="1"/>
      <c r="I456" s="1"/>
      <c r="J456" s="1"/>
      <c r="K456" s="1"/>
      <c r="L456" s="1"/>
      <c r="M456" s="1"/>
    </row>
    <row r="457" spans="1:13" ht="15.75" customHeight="1">
      <c r="A457" s="1"/>
      <c r="B457" s="1"/>
      <c r="C457" s="1"/>
      <c r="D457" s="20"/>
      <c r="E457" s="20"/>
      <c r="F457" s="20"/>
      <c r="G457" s="20"/>
      <c r="H457" s="1"/>
      <c r="I457" s="1"/>
      <c r="J457" s="1"/>
      <c r="K457" s="1"/>
      <c r="L457" s="1"/>
      <c r="M457" s="1"/>
    </row>
    <row r="458" spans="1:13" ht="15.75" customHeight="1">
      <c r="A458" s="1"/>
      <c r="B458" s="1"/>
      <c r="C458" s="1"/>
      <c r="D458" s="20"/>
      <c r="E458" s="20"/>
      <c r="F458" s="20"/>
      <c r="G458" s="20"/>
      <c r="H458" s="1"/>
      <c r="I458" s="1"/>
      <c r="J458" s="1"/>
      <c r="K458" s="1"/>
      <c r="L458" s="1"/>
      <c r="M458" s="1"/>
    </row>
    <row r="459" spans="1:13" ht="15.75" customHeight="1">
      <c r="A459" s="1"/>
      <c r="B459" s="1"/>
      <c r="C459" s="1"/>
      <c r="D459" s="20"/>
      <c r="E459" s="20"/>
      <c r="F459" s="20"/>
      <c r="G459" s="20"/>
      <c r="H459" s="1"/>
      <c r="I459" s="1"/>
      <c r="J459" s="1"/>
      <c r="K459" s="1"/>
      <c r="L459" s="1"/>
      <c r="M459" s="1"/>
    </row>
    <row r="460" spans="1:13" ht="15.75" customHeight="1">
      <c r="A460" s="1"/>
      <c r="B460" s="1"/>
      <c r="C460" s="1"/>
      <c r="D460" s="20"/>
      <c r="E460" s="20"/>
      <c r="F460" s="20"/>
      <c r="G460" s="20"/>
      <c r="H460" s="1"/>
      <c r="I460" s="1"/>
      <c r="J460" s="1"/>
      <c r="K460" s="1"/>
      <c r="L460" s="1"/>
      <c r="M460" s="1"/>
    </row>
    <row r="461" spans="1:13" ht="15.75" customHeight="1">
      <c r="A461" s="1"/>
      <c r="B461" s="1"/>
      <c r="C461" s="1"/>
      <c r="D461" s="20"/>
      <c r="E461" s="20"/>
      <c r="F461" s="20"/>
      <c r="G461" s="20"/>
      <c r="H461" s="1"/>
      <c r="I461" s="1"/>
      <c r="J461" s="1"/>
      <c r="K461" s="1"/>
      <c r="L461" s="1"/>
      <c r="M461" s="1"/>
    </row>
    <row r="462" spans="1:13" ht="15.75" customHeight="1">
      <c r="A462" s="1"/>
      <c r="B462" s="1"/>
      <c r="C462" s="1"/>
      <c r="D462" s="20"/>
      <c r="E462" s="20"/>
      <c r="F462" s="20"/>
      <c r="G462" s="20"/>
      <c r="H462" s="1"/>
      <c r="I462" s="1"/>
      <c r="J462" s="1"/>
      <c r="K462" s="1"/>
      <c r="L462" s="1"/>
      <c r="M462" s="1"/>
    </row>
    <row r="463" spans="1:13" ht="15.75" customHeight="1">
      <c r="A463" s="1"/>
      <c r="B463" s="1"/>
      <c r="C463" s="1"/>
      <c r="D463" s="20"/>
      <c r="E463" s="20"/>
      <c r="F463" s="20"/>
      <c r="G463" s="20"/>
      <c r="H463" s="1"/>
      <c r="I463" s="1"/>
      <c r="J463" s="1"/>
      <c r="K463" s="1"/>
      <c r="L463" s="1"/>
      <c r="M463" s="1"/>
    </row>
    <row r="464" spans="1:13" ht="15.75" customHeight="1">
      <c r="A464" s="1"/>
      <c r="B464" s="1"/>
      <c r="C464" s="1"/>
      <c r="D464" s="20"/>
      <c r="E464" s="20"/>
      <c r="F464" s="20"/>
      <c r="G464" s="20"/>
      <c r="H464" s="1"/>
      <c r="I464" s="1"/>
      <c r="J464" s="1"/>
      <c r="K464" s="1"/>
      <c r="L464" s="1"/>
      <c r="M464" s="1"/>
    </row>
    <row r="465" spans="1:13" ht="15.75" customHeight="1">
      <c r="A465" s="1"/>
      <c r="B465" s="1"/>
      <c r="C465" s="1"/>
      <c r="D465" s="20"/>
      <c r="E465" s="20"/>
      <c r="F465" s="20"/>
      <c r="G465" s="20"/>
      <c r="H465" s="1"/>
      <c r="I465" s="1"/>
      <c r="J465" s="1"/>
      <c r="K465" s="1"/>
      <c r="L465" s="1"/>
      <c r="M465" s="1"/>
    </row>
    <row r="466" spans="1:13" ht="15.75" customHeight="1">
      <c r="A466" s="1"/>
      <c r="B466" s="1"/>
      <c r="C466" s="1"/>
      <c r="D466" s="20"/>
      <c r="E466" s="20"/>
      <c r="F466" s="20"/>
      <c r="G466" s="20"/>
      <c r="H466" s="1"/>
      <c r="I466" s="1"/>
      <c r="J466" s="1"/>
      <c r="K466" s="1"/>
      <c r="L466" s="1"/>
      <c r="M466" s="1"/>
    </row>
    <row r="467" spans="1:13" ht="15.75" customHeight="1">
      <c r="A467" s="1"/>
      <c r="B467" s="1"/>
      <c r="C467" s="1"/>
      <c r="D467" s="20"/>
      <c r="E467" s="20"/>
      <c r="F467" s="20"/>
      <c r="G467" s="20"/>
      <c r="H467" s="1"/>
      <c r="I467" s="1"/>
      <c r="J467" s="1"/>
      <c r="K467" s="1"/>
      <c r="L467" s="1"/>
      <c r="M467" s="1"/>
    </row>
    <row r="468" spans="1:13" ht="15.75" customHeight="1">
      <c r="A468" s="1"/>
      <c r="B468" s="1"/>
      <c r="C468" s="1"/>
      <c r="D468" s="20"/>
      <c r="E468" s="20"/>
      <c r="F468" s="20"/>
      <c r="G468" s="20"/>
      <c r="H468" s="1"/>
      <c r="I468" s="1"/>
      <c r="J468" s="1"/>
      <c r="K468" s="1"/>
      <c r="L468" s="1"/>
      <c r="M468" s="1"/>
    </row>
    <row r="469" spans="1:13" ht="15.75" customHeight="1">
      <c r="A469" s="1"/>
      <c r="B469" s="1"/>
      <c r="C469" s="1"/>
      <c r="D469" s="20"/>
      <c r="E469" s="20"/>
      <c r="F469" s="20"/>
      <c r="G469" s="20"/>
      <c r="H469" s="1"/>
      <c r="I469" s="1"/>
      <c r="J469" s="1"/>
      <c r="K469" s="1"/>
      <c r="L469" s="1"/>
      <c r="M469" s="1"/>
    </row>
    <row r="470" spans="1:13" ht="15.75" customHeight="1">
      <c r="A470" s="1"/>
      <c r="B470" s="1"/>
      <c r="C470" s="1"/>
      <c r="D470" s="20"/>
      <c r="E470" s="20"/>
      <c r="F470" s="20"/>
      <c r="G470" s="20"/>
      <c r="H470" s="1"/>
      <c r="I470" s="1"/>
      <c r="J470" s="1"/>
      <c r="K470" s="1"/>
      <c r="L470" s="1"/>
      <c r="M470" s="1"/>
    </row>
    <row r="471" spans="1:13" ht="15.75" customHeight="1">
      <c r="A471" s="1"/>
      <c r="B471" s="1"/>
      <c r="C471" s="1"/>
      <c r="D471" s="20"/>
      <c r="E471" s="20"/>
      <c r="F471" s="20"/>
      <c r="G471" s="20"/>
      <c r="H471" s="1"/>
      <c r="I471" s="1"/>
      <c r="J471" s="1"/>
      <c r="K471" s="1"/>
      <c r="L471" s="1"/>
      <c r="M471" s="1"/>
    </row>
    <row r="472" spans="1:13" ht="15.75" customHeight="1">
      <c r="A472" s="1"/>
      <c r="B472" s="1"/>
      <c r="C472" s="1"/>
      <c r="D472" s="20"/>
      <c r="E472" s="20"/>
      <c r="F472" s="20"/>
      <c r="G472" s="20"/>
      <c r="H472" s="1"/>
      <c r="I472" s="1"/>
      <c r="J472" s="1"/>
      <c r="K472" s="1"/>
      <c r="L472" s="1"/>
      <c r="M472" s="1"/>
    </row>
    <row r="473" spans="1:13" ht="15.75" customHeight="1">
      <c r="A473" s="1"/>
      <c r="B473" s="1"/>
      <c r="C473" s="1"/>
      <c r="D473" s="20"/>
      <c r="E473" s="20"/>
      <c r="F473" s="20"/>
      <c r="G473" s="20"/>
      <c r="H473" s="1"/>
      <c r="I473" s="1"/>
      <c r="J473" s="1"/>
      <c r="K473" s="1"/>
      <c r="L473" s="1"/>
      <c r="M473" s="1"/>
    </row>
    <row r="474" spans="1:13" ht="15.75" customHeight="1">
      <c r="A474" s="1"/>
      <c r="B474" s="1"/>
      <c r="C474" s="1"/>
      <c r="D474" s="20"/>
      <c r="E474" s="20"/>
      <c r="F474" s="20"/>
      <c r="G474" s="20"/>
      <c r="H474" s="1"/>
      <c r="I474" s="1"/>
      <c r="J474" s="1"/>
      <c r="K474" s="1"/>
      <c r="L474" s="1"/>
      <c r="M474" s="1"/>
    </row>
    <row r="475" spans="1:13" ht="15.75" customHeight="1">
      <c r="A475" s="1"/>
      <c r="B475" s="1"/>
      <c r="C475" s="1"/>
      <c r="D475" s="20"/>
      <c r="E475" s="20"/>
      <c r="F475" s="20"/>
      <c r="G475" s="20"/>
      <c r="H475" s="1"/>
      <c r="I475" s="1"/>
      <c r="J475" s="1"/>
      <c r="K475" s="1"/>
      <c r="L475" s="1"/>
      <c r="M475" s="1"/>
    </row>
    <row r="476" spans="1:13" ht="15.75" customHeight="1">
      <c r="A476" s="1"/>
      <c r="B476" s="1"/>
      <c r="C476" s="1"/>
      <c r="D476" s="20"/>
      <c r="E476" s="20"/>
      <c r="F476" s="20"/>
      <c r="G476" s="20"/>
      <c r="H476" s="1"/>
      <c r="I476" s="1"/>
      <c r="J476" s="1"/>
      <c r="K476" s="1"/>
      <c r="L476" s="1"/>
      <c r="M476" s="1"/>
    </row>
    <row r="477" spans="1:13" ht="15.75" customHeight="1">
      <c r="A477" s="1"/>
      <c r="B477" s="1"/>
      <c r="C477" s="1"/>
      <c r="D477" s="20"/>
      <c r="E477" s="20"/>
      <c r="F477" s="20"/>
      <c r="G477" s="20"/>
      <c r="H477" s="1"/>
      <c r="I477" s="1"/>
      <c r="J477" s="1"/>
      <c r="K477" s="1"/>
      <c r="L477" s="1"/>
      <c r="M477" s="1"/>
    </row>
    <row r="478" spans="1:13" ht="15.75" customHeight="1">
      <c r="A478" s="1"/>
      <c r="B478" s="1"/>
      <c r="C478" s="1"/>
      <c r="D478" s="20"/>
      <c r="E478" s="20"/>
      <c r="F478" s="20"/>
      <c r="G478" s="20"/>
      <c r="H478" s="1"/>
      <c r="I478" s="1"/>
      <c r="J478" s="1"/>
      <c r="K478" s="1"/>
      <c r="L478" s="1"/>
      <c r="M478" s="1"/>
    </row>
    <row r="479" spans="1:13" ht="15.75" customHeight="1">
      <c r="A479" s="1"/>
      <c r="B479" s="1"/>
      <c r="C479" s="1"/>
      <c r="D479" s="20"/>
      <c r="E479" s="20"/>
      <c r="F479" s="20"/>
      <c r="G479" s="20"/>
      <c r="H479" s="1"/>
      <c r="I479" s="1"/>
      <c r="J479" s="1"/>
      <c r="K479" s="1"/>
      <c r="L479" s="1"/>
      <c r="M479" s="1"/>
    </row>
    <row r="480" spans="1:13" ht="15.75" customHeight="1">
      <c r="A480" s="1"/>
      <c r="B480" s="1"/>
      <c r="C480" s="1"/>
      <c r="D480" s="20"/>
      <c r="E480" s="20"/>
      <c r="F480" s="20"/>
      <c r="G480" s="20"/>
      <c r="H480" s="1"/>
      <c r="I480" s="1"/>
      <c r="J480" s="1"/>
      <c r="K480" s="1"/>
      <c r="L480" s="1"/>
      <c r="M480" s="1"/>
    </row>
    <row r="481" spans="1:13" ht="15.75" customHeight="1">
      <c r="A481" s="1"/>
      <c r="B481" s="1"/>
      <c r="C481" s="1"/>
      <c r="D481" s="20"/>
      <c r="E481" s="20"/>
      <c r="F481" s="20"/>
      <c r="G481" s="20"/>
      <c r="H481" s="1"/>
      <c r="I481" s="1"/>
      <c r="J481" s="1"/>
      <c r="K481" s="1"/>
      <c r="L481" s="1"/>
      <c r="M481" s="1"/>
    </row>
    <row r="482" spans="1:13" ht="15.75" customHeight="1">
      <c r="A482" s="1"/>
      <c r="B482" s="1"/>
      <c r="C482" s="1"/>
      <c r="D482" s="20"/>
      <c r="E482" s="20"/>
      <c r="F482" s="20"/>
      <c r="G482" s="20"/>
      <c r="H482" s="1"/>
      <c r="I482" s="1"/>
      <c r="J482" s="1"/>
      <c r="K482" s="1"/>
      <c r="L482" s="1"/>
      <c r="M482" s="1"/>
    </row>
    <row r="483" spans="1:13" ht="15.75" customHeight="1">
      <c r="A483" s="1"/>
      <c r="B483" s="1"/>
      <c r="C483" s="1"/>
      <c r="D483" s="20"/>
      <c r="E483" s="20"/>
      <c r="F483" s="20"/>
      <c r="G483" s="20"/>
      <c r="H483" s="1"/>
      <c r="I483" s="1"/>
      <c r="J483" s="1"/>
      <c r="K483" s="1"/>
      <c r="L483" s="1"/>
      <c r="M483" s="1"/>
    </row>
    <row r="484" spans="1:13" ht="15.75" customHeight="1">
      <c r="A484" s="1"/>
      <c r="B484" s="1"/>
      <c r="C484" s="1"/>
      <c r="D484" s="20"/>
      <c r="E484" s="20"/>
      <c r="F484" s="20"/>
      <c r="G484" s="20"/>
      <c r="H484" s="1"/>
      <c r="I484" s="1"/>
      <c r="J484" s="1"/>
      <c r="K484" s="1"/>
      <c r="L484" s="1"/>
      <c r="M484" s="1"/>
    </row>
    <row r="485" spans="1:13" ht="15.75" customHeight="1">
      <c r="A485" s="1"/>
      <c r="B485" s="1"/>
      <c r="C485" s="1"/>
      <c r="D485" s="20"/>
      <c r="E485" s="20"/>
      <c r="F485" s="20"/>
      <c r="G485" s="20"/>
      <c r="H485" s="1"/>
      <c r="I485" s="1"/>
      <c r="J485" s="1"/>
      <c r="K485" s="1"/>
      <c r="L485" s="1"/>
      <c r="M485" s="1"/>
    </row>
    <row r="486" spans="1:13" ht="15.75" customHeight="1">
      <c r="A486" s="1"/>
      <c r="B486" s="1"/>
      <c r="C486" s="1"/>
      <c r="D486" s="20"/>
      <c r="E486" s="20"/>
      <c r="F486" s="20"/>
      <c r="G486" s="20"/>
      <c r="H486" s="1"/>
      <c r="I486" s="1"/>
      <c r="J486" s="1"/>
      <c r="K486" s="1"/>
      <c r="L486" s="1"/>
      <c r="M486" s="1"/>
    </row>
    <row r="487" spans="1:13" ht="15.75" customHeight="1">
      <c r="A487" s="1"/>
      <c r="B487" s="1"/>
      <c r="C487" s="1"/>
      <c r="D487" s="20"/>
      <c r="E487" s="20"/>
      <c r="F487" s="20"/>
      <c r="G487" s="20"/>
      <c r="H487" s="1"/>
      <c r="I487" s="1"/>
      <c r="J487" s="1"/>
      <c r="K487" s="1"/>
      <c r="L487" s="1"/>
      <c r="M487" s="1"/>
    </row>
    <row r="488" spans="1:13" ht="15.75" customHeight="1">
      <c r="A488" s="1"/>
      <c r="B488" s="1"/>
      <c r="C488" s="1"/>
      <c r="D488" s="20"/>
      <c r="E488" s="20"/>
      <c r="F488" s="20"/>
      <c r="G488" s="20"/>
      <c r="H488" s="1"/>
      <c r="I488" s="1"/>
      <c r="J488" s="1"/>
      <c r="K488" s="1"/>
      <c r="L488" s="1"/>
      <c r="M488" s="1"/>
    </row>
    <row r="489" spans="1:13" ht="15.75" customHeight="1">
      <c r="A489" s="1"/>
      <c r="B489" s="1"/>
      <c r="C489" s="1"/>
      <c r="D489" s="20"/>
      <c r="E489" s="20"/>
      <c r="F489" s="20"/>
      <c r="G489" s="20"/>
      <c r="H489" s="1"/>
      <c r="I489" s="1"/>
      <c r="J489" s="1"/>
      <c r="K489" s="1"/>
      <c r="L489" s="1"/>
      <c r="M489" s="1"/>
    </row>
    <row r="490" spans="1:13" ht="15.75" customHeight="1">
      <c r="A490" s="1"/>
      <c r="B490" s="1"/>
      <c r="C490" s="1"/>
      <c r="D490" s="20"/>
      <c r="E490" s="20"/>
      <c r="F490" s="20"/>
      <c r="G490" s="20"/>
      <c r="H490" s="1"/>
      <c r="I490" s="1"/>
      <c r="J490" s="1"/>
      <c r="K490" s="1"/>
      <c r="L490" s="1"/>
      <c r="M490" s="1"/>
    </row>
    <row r="491" spans="1:13" ht="15.75" customHeight="1">
      <c r="A491" s="1"/>
      <c r="B491" s="1"/>
      <c r="C491" s="1"/>
      <c r="D491" s="20"/>
      <c r="E491" s="20"/>
      <c r="F491" s="20"/>
      <c r="G491" s="20"/>
      <c r="H491" s="1"/>
      <c r="I491" s="1"/>
      <c r="J491" s="1"/>
      <c r="K491" s="1"/>
      <c r="L491" s="1"/>
      <c r="M491" s="1"/>
    </row>
    <row r="492" spans="1:13" ht="15.75" customHeight="1">
      <c r="A492" s="1"/>
      <c r="B492" s="1"/>
      <c r="C492" s="1"/>
      <c r="D492" s="20"/>
      <c r="E492" s="20"/>
      <c r="F492" s="20"/>
      <c r="G492" s="20"/>
      <c r="H492" s="1"/>
      <c r="I492" s="1"/>
      <c r="J492" s="1"/>
      <c r="K492" s="1"/>
      <c r="L492" s="1"/>
      <c r="M492" s="1"/>
    </row>
    <row r="493" spans="1:13" ht="15.75" customHeight="1">
      <c r="A493" s="1"/>
      <c r="B493" s="1"/>
      <c r="C493" s="1"/>
      <c r="D493" s="20"/>
      <c r="E493" s="20"/>
      <c r="F493" s="20"/>
      <c r="G493" s="20"/>
      <c r="H493" s="1"/>
      <c r="I493" s="1"/>
      <c r="J493" s="1"/>
      <c r="K493" s="1"/>
      <c r="L493" s="1"/>
      <c r="M493" s="1"/>
    </row>
    <row r="494" spans="1:13" ht="15.75" customHeight="1">
      <c r="A494" s="1"/>
      <c r="B494" s="1"/>
      <c r="C494" s="1"/>
      <c r="D494" s="20"/>
      <c r="E494" s="20"/>
      <c r="F494" s="20"/>
      <c r="G494" s="20"/>
      <c r="H494" s="1"/>
      <c r="I494" s="1"/>
      <c r="J494" s="1"/>
      <c r="K494" s="1"/>
      <c r="L494" s="1"/>
      <c r="M494" s="1"/>
    </row>
    <row r="495" spans="1:13" ht="15.75" customHeight="1">
      <c r="A495" s="1"/>
      <c r="B495" s="1"/>
      <c r="C495" s="1"/>
      <c r="D495" s="20"/>
      <c r="E495" s="20"/>
      <c r="F495" s="20"/>
      <c r="G495" s="20"/>
      <c r="H495" s="1"/>
      <c r="I495" s="1"/>
      <c r="J495" s="1"/>
      <c r="K495" s="1"/>
      <c r="L495" s="1"/>
      <c r="M495" s="1"/>
    </row>
    <row r="496" spans="1:13" ht="15.75" customHeight="1">
      <c r="A496" s="1"/>
      <c r="B496" s="1"/>
      <c r="C496" s="1"/>
      <c r="D496" s="20"/>
      <c r="E496" s="20"/>
      <c r="F496" s="20"/>
      <c r="G496" s="20"/>
      <c r="H496" s="1"/>
      <c r="I496" s="1"/>
      <c r="J496" s="1"/>
      <c r="K496" s="1"/>
      <c r="L496" s="1"/>
      <c r="M496" s="1"/>
    </row>
    <row r="497" spans="1:13" ht="15.75" customHeight="1">
      <c r="A497" s="1"/>
      <c r="B497" s="1"/>
      <c r="C497" s="1"/>
      <c r="D497" s="20"/>
      <c r="E497" s="20"/>
      <c r="F497" s="20"/>
      <c r="G497" s="20"/>
      <c r="H497" s="1"/>
      <c r="I497" s="1"/>
      <c r="J497" s="1"/>
      <c r="K497" s="1"/>
      <c r="L497" s="1"/>
      <c r="M497" s="1"/>
    </row>
    <row r="498" spans="1:13" ht="15.75" customHeight="1">
      <c r="A498" s="1"/>
      <c r="B498" s="1"/>
      <c r="C498" s="1"/>
      <c r="D498" s="20"/>
      <c r="E498" s="20"/>
      <c r="F498" s="20"/>
      <c r="G498" s="20"/>
      <c r="H498" s="1"/>
      <c r="I498" s="1"/>
      <c r="J498" s="1"/>
      <c r="K498" s="1"/>
      <c r="L498" s="1"/>
      <c r="M498" s="1"/>
    </row>
    <row r="499" spans="1:13" ht="15.75" customHeight="1">
      <c r="A499" s="1"/>
      <c r="B499" s="1"/>
      <c r="C499" s="1"/>
      <c r="D499" s="20"/>
      <c r="E499" s="20"/>
      <c r="F499" s="20"/>
      <c r="G499" s="20"/>
      <c r="H499" s="1"/>
      <c r="I499" s="1"/>
      <c r="J499" s="1"/>
      <c r="K499" s="1"/>
      <c r="L499" s="1"/>
      <c r="M499" s="1"/>
    </row>
    <row r="500" spans="1:13" ht="15.75" customHeight="1">
      <c r="A500" s="1"/>
      <c r="B500" s="1"/>
      <c r="C500" s="1"/>
      <c r="D500" s="20"/>
      <c r="E500" s="20"/>
      <c r="F500" s="20"/>
      <c r="G500" s="20"/>
      <c r="H500" s="1"/>
      <c r="I500" s="1"/>
      <c r="J500" s="1"/>
      <c r="K500" s="1"/>
      <c r="L500" s="1"/>
      <c r="M500" s="1"/>
    </row>
    <row r="501" spans="1:13" ht="15.75" customHeight="1">
      <c r="A501" s="1"/>
      <c r="B501" s="1"/>
      <c r="C501" s="1"/>
      <c r="D501" s="20"/>
      <c r="E501" s="20"/>
      <c r="F501" s="20"/>
      <c r="G501" s="20"/>
      <c r="H501" s="1"/>
      <c r="I501" s="1"/>
      <c r="J501" s="1"/>
      <c r="K501" s="1"/>
      <c r="L501" s="1"/>
      <c r="M501" s="1"/>
    </row>
    <row r="502" spans="1:13" ht="15.75" customHeight="1">
      <c r="A502" s="1"/>
      <c r="B502" s="1"/>
      <c r="C502" s="1"/>
      <c r="D502" s="20"/>
      <c r="E502" s="20"/>
      <c r="F502" s="20"/>
      <c r="G502" s="20"/>
      <c r="H502" s="1"/>
      <c r="I502" s="1"/>
      <c r="J502" s="1"/>
      <c r="K502" s="1"/>
      <c r="L502" s="1"/>
      <c r="M502" s="1"/>
    </row>
    <row r="503" spans="1:13" ht="15.75" customHeight="1">
      <c r="A503" s="1"/>
      <c r="B503" s="1"/>
      <c r="C503" s="1"/>
      <c r="D503" s="20"/>
      <c r="E503" s="20"/>
      <c r="F503" s="20"/>
      <c r="G503" s="20"/>
      <c r="H503" s="1"/>
      <c r="I503" s="1"/>
      <c r="J503" s="1"/>
      <c r="K503" s="1"/>
      <c r="L503" s="1"/>
      <c r="M503" s="1"/>
    </row>
    <row r="504" spans="1:13" ht="15.75" customHeight="1">
      <c r="A504" s="1"/>
      <c r="B504" s="1"/>
      <c r="C504" s="1"/>
      <c r="D504" s="20"/>
      <c r="E504" s="20"/>
      <c r="F504" s="20"/>
      <c r="G504" s="20"/>
      <c r="H504" s="1"/>
      <c r="I504" s="1"/>
      <c r="J504" s="1"/>
      <c r="K504" s="1"/>
      <c r="L504" s="1"/>
      <c r="M504" s="1"/>
    </row>
    <row r="505" spans="1:13" ht="15.75" customHeight="1">
      <c r="A505" s="1"/>
      <c r="B505" s="1"/>
      <c r="C505" s="1"/>
      <c r="D505" s="20"/>
      <c r="E505" s="20"/>
      <c r="F505" s="20"/>
      <c r="G505" s="20"/>
      <c r="H505" s="1"/>
      <c r="I505" s="1"/>
      <c r="J505" s="1"/>
      <c r="K505" s="1"/>
      <c r="L505" s="1"/>
      <c r="M505" s="1"/>
    </row>
    <row r="506" spans="1:13" ht="15.75" customHeight="1">
      <c r="A506" s="1"/>
      <c r="B506" s="1"/>
      <c r="C506" s="1"/>
      <c r="D506" s="20"/>
      <c r="E506" s="20"/>
      <c r="F506" s="20"/>
      <c r="G506" s="20"/>
      <c r="H506" s="1"/>
      <c r="I506" s="1"/>
      <c r="J506" s="1"/>
      <c r="K506" s="1"/>
      <c r="L506" s="1"/>
      <c r="M506" s="1"/>
    </row>
    <row r="507" spans="1:13" ht="15.75" customHeight="1">
      <c r="A507" s="1"/>
      <c r="B507" s="1"/>
      <c r="C507" s="1"/>
      <c r="D507" s="20"/>
      <c r="E507" s="20"/>
      <c r="F507" s="20"/>
      <c r="G507" s="20"/>
      <c r="H507" s="1"/>
      <c r="I507" s="1"/>
      <c r="J507" s="1"/>
      <c r="K507" s="1"/>
      <c r="L507" s="1"/>
      <c r="M507" s="1"/>
    </row>
    <row r="508" spans="1:13" ht="15.75" customHeight="1">
      <c r="A508" s="1"/>
      <c r="B508" s="1"/>
      <c r="C508" s="1"/>
      <c r="D508" s="20"/>
      <c r="E508" s="20"/>
      <c r="F508" s="20"/>
      <c r="G508" s="20"/>
      <c r="H508" s="1"/>
      <c r="I508" s="1"/>
      <c r="J508" s="1"/>
      <c r="K508" s="1"/>
      <c r="L508" s="1"/>
      <c r="M508" s="1"/>
    </row>
    <row r="509" spans="1:13" ht="15.75" customHeight="1">
      <c r="A509" s="1"/>
      <c r="B509" s="1"/>
      <c r="C509" s="1"/>
      <c r="D509" s="20"/>
      <c r="E509" s="20"/>
      <c r="F509" s="20"/>
      <c r="G509" s="20"/>
      <c r="H509" s="1"/>
      <c r="I509" s="1"/>
      <c r="J509" s="1"/>
      <c r="K509" s="1"/>
      <c r="L509" s="1"/>
      <c r="M509" s="1"/>
    </row>
    <row r="510" spans="1:13" ht="15.75" customHeight="1">
      <c r="A510" s="1"/>
      <c r="B510" s="1"/>
      <c r="C510" s="1"/>
      <c r="D510" s="20"/>
      <c r="E510" s="20"/>
      <c r="F510" s="20"/>
      <c r="G510" s="20"/>
      <c r="H510" s="1"/>
      <c r="I510" s="1"/>
      <c r="J510" s="1"/>
      <c r="K510" s="1"/>
      <c r="L510" s="1"/>
      <c r="M510" s="1"/>
    </row>
    <row r="511" spans="1:13" ht="15.75" customHeight="1">
      <c r="A511" s="1"/>
      <c r="B511" s="1"/>
      <c r="C511" s="1"/>
      <c r="D511" s="20"/>
      <c r="E511" s="20"/>
      <c r="F511" s="20"/>
      <c r="G511" s="20"/>
      <c r="H511" s="1"/>
      <c r="I511" s="1"/>
      <c r="J511" s="1"/>
      <c r="K511" s="1"/>
      <c r="L511" s="1"/>
      <c r="M511" s="1"/>
    </row>
    <row r="512" spans="1:13" ht="15.75" customHeight="1">
      <c r="A512" s="1"/>
      <c r="B512" s="1"/>
      <c r="C512" s="1"/>
      <c r="D512" s="20"/>
      <c r="E512" s="20"/>
      <c r="F512" s="20"/>
      <c r="G512" s="20"/>
      <c r="H512" s="1"/>
      <c r="I512" s="1"/>
      <c r="J512" s="1"/>
      <c r="K512" s="1"/>
      <c r="L512" s="1"/>
      <c r="M512" s="1"/>
    </row>
    <row r="513" spans="1:13" ht="15.75" customHeight="1">
      <c r="A513" s="1"/>
      <c r="B513" s="1"/>
      <c r="C513" s="1"/>
      <c r="D513" s="20"/>
      <c r="E513" s="20"/>
      <c r="F513" s="20"/>
      <c r="G513" s="20"/>
      <c r="H513" s="1"/>
      <c r="I513" s="1"/>
      <c r="J513" s="1"/>
      <c r="K513" s="1"/>
      <c r="L513" s="1"/>
      <c r="M513" s="1"/>
    </row>
    <row r="514" spans="1:13" ht="15.75" customHeight="1">
      <c r="A514" s="1"/>
      <c r="B514" s="1"/>
      <c r="C514" s="1"/>
      <c r="D514" s="20"/>
      <c r="E514" s="20"/>
      <c r="F514" s="20"/>
      <c r="G514" s="20"/>
      <c r="H514" s="1"/>
      <c r="I514" s="1"/>
      <c r="J514" s="1"/>
      <c r="K514" s="1"/>
      <c r="L514" s="1"/>
      <c r="M514" s="1"/>
    </row>
    <row r="515" spans="1:13" ht="15.75" customHeight="1">
      <c r="A515" s="1"/>
      <c r="B515" s="1"/>
      <c r="C515" s="1"/>
      <c r="D515" s="20"/>
      <c r="E515" s="20"/>
      <c r="F515" s="20"/>
      <c r="G515" s="20"/>
      <c r="H515" s="1"/>
      <c r="I515" s="1"/>
      <c r="J515" s="1"/>
      <c r="K515" s="1"/>
      <c r="L515" s="1"/>
      <c r="M515" s="1"/>
    </row>
    <row r="516" spans="1:13" ht="15.75" customHeight="1">
      <c r="A516" s="1"/>
      <c r="B516" s="1"/>
      <c r="C516" s="1"/>
      <c r="D516" s="20"/>
      <c r="E516" s="20"/>
      <c r="F516" s="20"/>
      <c r="G516" s="20"/>
      <c r="H516" s="1"/>
      <c r="I516" s="1"/>
      <c r="J516" s="1"/>
      <c r="K516" s="1"/>
      <c r="L516" s="1"/>
      <c r="M516" s="1"/>
    </row>
    <row r="517" spans="1:13" ht="15.75" customHeight="1">
      <c r="A517" s="1"/>
      <c r="B517" s="1"/>
      <c r="C517" s="1"/>
      <c r="D517" s="20"/>
      <c r="E517" s="20"/>
      <c r="F517" s="20"/>
      <c r="G517" s="20"/>
      <c r="H517" s="1"/>
      <c r="I517" s="1"/>
      <c r="J517" s="1"/>
      <c r="K517" s="1"/>
      <c r="L517" s="1"/>
      <c r="M517" s="1"/>
    </row>
    <row r="518" spans="1:13" ht="15.75" customHeight="1">
      <c r="A518" s="1"/>
      <c r="B518" s="1"/>
      <c r="C518" s="1"/>
      <c r="D518" s="20"/>
      <c r="E518" s="20"/>
      <c r="F518" s="20"/>
      <c r="G518" s="20"/>
      <c r="H518" s="1"/>
      <c r="I518" s="1"/>
      <c r="J518" s="1"/>
      <c r="K518" s="1"/>
      <c r="L518" s="1"/>
      <c r="M518" s="1"/>
    </row>
    <row r="519" spans="1:13" ht="15.75" customHeight="1">
      <c r="A519" s="1"/>
      <c r="B519" s="1"/>
      <c r="C519" s="1"/>
      <c r="D519" s="20"/>
      <c r="E519" s="20"/>
      <c r="F519" s="20"/>
      <c r="G519" s="20"/>
      <c r="H519" s="1"/>
      <c r="I519" s="1"/>
      <c r="J519" s="1"/>
      <c r="K519" s="1"/>
      <c r="L519" s="1"/>
      <c r="M519" s="1"/>
    </row>
    <row r="520" spans="1:13" ht="15.75" customHeight="1">
      <c r="A520" s="1"/>
      <c r="B520" s="1"/>
      <c r="C520" s="1"/>
      <c r="D520" s="20"/>
      <c r="E520" s="20"/>
      <c r="F520" s="20"/>
      <c r="G520" s="20"/>
      <c r="H520" s="1"/>
      <c r="I520" s="1"/>
      <c r="J520" s="1"/>
      <c r="K520" s="1"/>
      <c r="L520" s="1"/>
      <c r="M520" s="1"/>
    </row>
    <row r="521" spans="1:13" ht="15.75" customHeight="1">
      <c r="A521" s="1"/>
      <c r="B521" s="1"/>
      <c r="C521" s="1"/>
      <c r="D521" s="20"/>
      <c r="E521" s="20"/>
      <c r="F521" s="20"/>
      <c r="G521" s="20"/>
      <c r="H521" s="1"/>
      <c r="I521" s="1"/>
      <c r="J521" s="1"/>
      <c r="K521" s="1"/>
      <c r="L521" s="1"/>
      <c r="M521" s="1"/>
    </row>
    <row r="522" spans="1:13" ht="15.75" customHeight="1">
      <c r="A522" s="1"/>
      <c r="B522" s="1"/>
      <c r="C522" s="1"/>
      <c r="D522" s="20"/>
      <c r="E522" s="20"/>
      <c r="F522" s="20"/>
      <c r="G522" s="20"/>
      <c r="H522" s="1"/>
      <c r="I522" s="1"/>
      <c r="J522" s="1"/>
      <c r="K522" s="1"/>
      <c r="L522" s="1"/>
      <c r="M522" s="1"/>
    </row>
    <row r="523" spans="1:13" ht="15.75" customHeight="1">
      <c r="A523" s="1"/>
      <c r="B523" s="1"/>
      <c r="C523" s="1"/>
      <c r="D523" s="20"/>
      <c r="E523" s="20"/>
      <c r="F523" s="20"/>
      <c r="G523" s="20"/>
      <c r="H523" s="1"/>
      <c r="I523" s="1"/>
      <c r="J523" s="1"/>
      <c r="K523" s="1"/>
      <c r="L523" s="1"/>
      <c r="M523" s="1"/>
    </row>
    <row r="524" spans="1:13" ht="15.75" customHeight="1">
      <c r="A524" s="1"/>
      <c r="B524" s="1"/>
      <c r="C524" s="1"/>
      <c r="D524" s="20"/>
      <c r="E524" s="20"/>
      <c r="F524" s="20"/>
      <c r="G524" s="20"/>
      <c r="H524" s="1"/>
      <c r="I524" s="1"/>
      <c r="J524" s="1"/>
      <c r="K524" s="1"/>
      <c r="L524" s="1"/>
      <c r="M524" s="1"/>
    </row>
    <row r="525" spans="1:13" ht="15.75" customHeight="1">
      <c r="A525" s="1"/>
      <c r="B525" s="1"/>
      <c r="C525" s="1"/>
      <c r="D525" s="20"/>
      <c r="E525" s="20"/>
      <c r="F525" s="20"/>
      <c r="G525" s="20"/>
      <c r="H525" s="1"/>
      <c r="I525" s="1"/>
      <c r="J525" s="1"/>
      <c r="K525" s="1"/>
      <c r="L525" s="1"/>
      <c r="M525" s="1"/>
    </row>
    <row r="526" spans="1:13" ht="15.75" customHeight="1">
      <c r="A526" s="1"/>
      <c r="B526" s="1"/>
      <c r="C526" s="1"/>
      <c r="D526" s="20"/>
      <c r="E526" s="20"/>
      <c r="F526" s="20"/>
      <c r="G526" s="20"/>
      <c r="H526" s="1"/>
      <c r="I526" s="1"/>
      <c r="J526" s="1"/>
      <c r="K526" s="1"/>
      <c r="L526" s="1"/>
      <c r="M526" s="1"/>
    </row>
    <row r="527" spans="1:13" ht="15.75" customHeight="1">
      <c r="A527" s="1"/>
      <c r="B527" s="1"/>
      <c r="C527" s="1"/>
      <c r="D527" s="20"/>
      <c r="E527" s="20"/>
      <c r="F527" s="20"/>
      <c r="G527" s="20"/>
      <c r="H527" s="1"/>
      <c r="I527" s="1"/>
      <c r="J527" s="1"/>
      <c r="K527" s="1"/>
      <c r="L527" s="1"/>
      <c r="M527" s="1"/>
    </row>
    <row r="528" spans="1:13" ht="15.75" customHeight="1">
      <c r="A528" s="1"/>
      <c r="B528" s="1"/>
      <c r="C528" s="1"/>
      <c r="D528" s="20"/>
      <c r="E528" s="20"/>
      <c r="F528" s="20"/>
      <c r="G528" s="20"/>
      <c r="H528" s="1"/>
      <c r="I528" s="1"/>
      <c r="J528" s="1"/>
      <c r="K528" s="1"/>
      <c r="L528" s="1"/>
      <c r="M528" s="1"/>
    </row>
    <row r="529" spans="1:13" ht="15.75" customHeight="1">
      <c r="A529" s="1"/>
      <c r="B529" s="1"/>
      <c r="C529" s="1"/>
      <c r="D529" s="20"/>
      <c r="E529" s="20"/>
      <c r="F529" s="20"/>
      <c r="G529" s="20"/>
      <c r="H529" s="1"/>
      <c r="I529" s="1"/>
      <c r="J529" s="1"/>
      <c r="K529" s="1"/>
      <c r="L529" s="1"/>
      <c r="M529" s="1"/>
    </row>
    <row r="530" spans="1:13" ht="15.75" customHeight="1">
      <c r="A530" s="1"/>
      <c r="B530" s="1"/>
      <c r="C530" s="1"/>
      <c r="D530" s="20"/>
      <c r="E530" s="20"/>
      <c r="F530" s="20"/>
      <c r="G530" s="20"/>
      <c r="H530" s="1"/>
      <c r="I530" s="1"/>
      <c r="J530" s="1"/>
      <c r="K530" s="1"/>
      <c r="L530" s="1"/>
      <c r="M530" s="1"/>
    </row>
    <row r="531" spans="1:13" ht="15.75" customHeight="1">
      <c r="A531" s="1"/>
      <c r="B531" s="1"/>
      <c r="C531" s="1"/>
      <c r="D531" s="20"/>
      <c r="E531" s="20"/>
      <c r="F531" s="20"/>
      <c r="G531" s="20"/>
      <c r="H531" s="1"/>
      <c r="I531" s="1"/>
      <c r="J531" s="1"/>
      <c r="K531" s="1"/>
      <c r="L531" s="1"/>
      <c r="M531" s="1"/>
    </row>
    <row r="532" spans="1:13" ht="15.75" customHeight="1">
      <c r="A532" s="1"/>
      <c r="B532" s="1"/>
      <c r="C532" s="1"/>
      <c r="D532" s="20"/>
      <c r="E532" s="20"/>
      <c r="F532" s="20"/>
      <c r="G532" s="20"/>
      <c r="H532" s="1"/>
      <c r="I532" s="1"/>
      <c r="J532" s="1"/>
      <c r="K532" s="1"/>
      <c r="L532" s="1"/>
      <c r="M532" s="1"/>
    </row>
    <row r="533" spans="1:13" ht="15.75" customHeight="1">
      <c r="A533" s="1"/>
      <c r="B533" s="1"/>
      <c r="C533" s="1"/>
      <c r="D533" s="20"/>
      <c r="E533" s="20"/>
      <c r="F533" s="20"/>
      <c r="G533" s="20"/>
      <c r="H533" s="1"/>
      <c r="I533" s="1"/>
      <c r="J533" s="1"/>
      <c r="K533" s="1"/>
      <c r="L533" s="1"/>
      <c r="M533" s="1"/>
    </row>
    <row r="534" spans="1:13" ht="15.75" customHeight="1">
      <c r="A534" s="1"/>
      <c r="B534" s="1"/>
      <c r="C534" s="1"/>
      <c r="D534" s="20"/>
      <c r="E534" s="20"/>
      <c r="F534" s="20"/>
      <c r="G534" s="20"/>
      <c r="H534" s="1"/>
      <c r="I534" s="1"/>
      <c r="J534" s="1"/>
      <c r="K534" s="1"/>
      <c r="L534" s="1"/>
      <c r="M534" s="1"/>
    </row>
    <row r="535" spans="1:13" ht="15.75" customHeight="1">
      <c r="A535" s="1"/>
      <c r="B535" s="1"/>
      <c r="C535" s="1"/>
      <c r="D535" s="20"/>
      <c r="E535" s="20"/>
      <c r="F535" s="20"/>
      <c r="G535" s="20"/>
      <c r="H535" s="1"/>
      <c r="I535" s="1"/>
      <c r="J535" s="1"/>
      <c r="K535" s="1"/>
      <c r="L535" s="1"/>
      <c r="M535" s="1"/>
    </row>
    <row r="536" spans="1:13" ht="15.75" customHeight="1">
      <c r="A536" s="1"/>
      <c r="B536" s="1"/>
      <c r="C536" s="1"/>
      <c r="D536" s="20"/>
      <c r="E536" s="20"/>
      <c r="F536" s="20"/>
      <c r="G536" s="20"/>
      <c r="H536" s="1"/>
      <c r="I536" s="1"/>
      <c r="J536" s="1"/>
      <c r="K536" s="1"/>
      <c r="L536" s="1"/>
      <c r="M536" s="1"/>
    </row>
    <row r="537" spans="1:13" ht="15.75" customHeight="1">
      <c r="A537" s="1"/>
      <c r="B537" s="1"/>
      <c r="C537" s="1"/>
      <c r="D537" s="20"/>
      <c r="E537" s="20"/>
      <c r="F537" s="20"/>
      <c r="G537" s="20"/>
      <c r="H537" s="1"/>
      <c r="I537" s="1"/>
      <c r="J537" s="1"/>
      <c r="K537" s="1"/>
      <c r="L537" s="1"/>
      <c r="M537" s="1"/>
    </row>
    <row r="538" spans="1:13" ht="15.75" customHeight="1">
      <c r="A538" s="1"/>
      <c r="B538" s="1"/>
      <c r="C538" s="1"/>
      <c r="D538" s="20"/>
      <c r="E538" s="20"/>
      <c r="F538" s="20"/>
      <c r="G538" s="20"/>
      <c r="H538" s="1"/>
      <c r="I538" s="1"/>
      <c r="J538" s="1"/>
      <c r="K538" s="1"/>
      <c r="L538" s="1"/>
      <c r="M538" s="1"/>
    </row>
    <row r="539" spans="1:13" ht="15.75" customHeight="1">
      <c r="A539" s="1"/>
      <c r="B539" s="1"/>
      <c r="C539" s="1"/>
      <c r="D539" s="20"/>
      <c r="E539" s="20"/>
      <c r="F539" s="20"/>
      <c r="G539" s="20"/>
      <c r="H539" s="1"/>
      <c r="I539" s="1"/>
      <c r="J539" s="1"/>
      <c r="K539" s="1"/>
      <c r="L539" s="1"/>
      <c r="M539" s="1"/>
    </row>
    <row r="540" spans="1:13" ht="15.75" customHeight="1">
      <c r="A540" s="1"/>
      <c r="B540" s="1"/>
      <c r="C540" s="1"/>
      <c r="D540" s="20"/>
      <c r="E540" s="20"/>
      <c r="F540" s="20"/>
      <c r="G540" s="20"/>
      <c r="H540" s="1"/>
      <c r="I540" s="1"/>
      <c r="J540" s="1"/>
      <c r="K540" s="1"/>
      <c r="L540" s="1"/>
      <c r="M540" s="1"/>
    </row>
    <row r="541" spans="1:13" ht="15.75" customHeight="1">
      <c r="A541" s="1"/>
      <c r="B541" s="1"/>
      <c r="C541" s="1"/>
      <c r="D541" s="20"/>
      <c r="E541" s="20"/>
      <c r="F541" s="20"/>
      <c r="G541" s="20"/>
      <c r="H541" s="1"/>
      <c r="I541" s="1"/>
      <c r="J541" s="1"/>
      <c r="K541" s="1"/>
      <c r="L541" s="1"/>
      <c r="M541" s="1"/>
    </row>
    <row r="542" spans="1:13" ht="15.75" customHeight="1">
      <c r="A542" s="1"/>
      <c r="B542" s="1"/>
      <c r="C542" s="1"/>
      <c r="D542" s="20"/>
      <c r="E542" s="20"/>
      <c r="F542" s="20"/>
      <c r="G542" s="20"/>
      <c r="H542" s="1"/>
      <c r="I542" s="1"/>
      <c r="J542" s="1"/>
      <c r="K542" s="1"/>
      <c r="L542" s="1"/>
      <c r="M542" s="1"/>
    </row>
    <row r="543" spans="1:13" ht="15.75" customHeight="1">
      <c r="A543" s="1"/>
      <c r="B543" s="1"/>
      <c r="C543" s="1"/>
      <c r="D543" s="20"/>
      <c r="E543" s="20"/>
      <c r="F543" s="20"/>
      <c r="G543" s="20"/>
      <c r="H543" s="1"/>
      <c r="I543" s="1"/>
      <c r="J543" s="1"/>
      <c r="K543" s="1"/>
      <c r="L543" s="1"/>
      <c r="M543" s="1"/>
    </row>
    <row r="544" spans="1:13" ht="15.75" customHeight="1">
      <c r="A544" s="1"/>
      <c r="B544" s="1"/>
      <c r="C544" s="1"/>
      <c r="D544" s="20"/>
      <c r="E544" s="20"/>
      <c r="F544" s="20"/>
      <c r="G544" s="20"/>
      <c r="H544" s="1"/>
      <c r="I544" s="1"/>
      <c r="J544" s="1"/>
      <c r="K544" s="1"/>
      <c r="L544" s="1"/>
      <c r="M544" s="1"/>
    </row>
    <row r="545" spans="1:13" ht="15.75" customHeight="1">
      <c r="A545" s="1"/>
      <c r="B545" s="1"/>
      <c r="C545" s="1"/>
      <c r="D545" s="20"/>
      <c r="E545" s="20"/>
      <c r="F545" s="20"/>
      <c r="G545" s="20"/>
      <c r="H545" s="1"/>
      <c r="I545" s="1"/>
      <c r="J545" s="1"/>
      <c r="K545" s="1"/>
      <c r="L545" s="1"/>
      <c r="M545" s="1"/>
    </row>
    <row r="546" spans="1:13" ht="15.75" customHeight="1">
      <c r="A546" s="1"/>
      <c r="B546" s="1"/>
      <c r="C546" s="1"/>
      <c r="D546" s="20"/>
      <c r="E546" s="20"/>
      <c r="F546" s="20"/>
      <c r="G546" s="20"/>
      <c r="H546" s="1"/>
      <c r="I546" s="1"/>
      <c r="J546" s="1"/>
      <c r="K546" s="1"/>
      <c r="L546" s="1"/>
      <c r="M546" s="1"/>
    </row>
    <row r="547" spans="1:13" ht="15.75" customHeight="1">
      <c r="A547" s="1"/>
      <c r="B547" s="1"/>
      <c r="C547" s="1"/>
      <c r="D547" s="20"/>
      <c r="E547" s="20"/>
      <c r="F547" s="20"/>
      <c r="G547" s="20"/>
      <c r="H547" s="1"/>
      <c r="I547" s="1"/>
      <c r="J547" s="1"/>
      <c r="K547" s="1"/>
      <c r="L547" s="1"/>
      <c r="M547" s="1"/>
    </row>
    <row r="548" spans="1:13" ht="15.75" customHeight="1">
      <c r="A548" s="1"/>
      <c r="B548" s="1"/>
      <c r="C548" s="1"/>
      <c r="D548" s="20"/>
      <c r="E548" s="20"/>
      <c r="F548" s="20"/>
      <c r="G548" s="20"/>
      <c r="H548" s="1"/>
      <c r="I548" s="1"/>
      <c r="J548" s="1"/>
      <c r="K548" s="1"/>
      <c r="L548" s="1"/>
      <c r="M548" s="1"/>
    </row>
    <row r="549" spans="1:13" ht="15.75" customHeight="1">
      <c r="A549" s="1"/>
      <c r="B549" s="1"/>
      <c r="C549" s="1"/>
      <c r="D549" s="20"/>
      <c r="E549" s="20"/>
      <c r="F549" s="20"/>
      <c r="G549" s="20"/>
      <c r="H549" s="1"/>
      <c r="I549" s="1"/>
      <c r="J549" s="1"/>
      <c r="K549" s="1"/>
      <c r="L549" s="1"/>
      <c r="M549" s="1"/>
    </row>
    <row r="550" spans="1:13" ht="15.75" customHeight="1">
      <c r="A550" s="1"/>
      <c r="B550" s="1"/>
      <c r="C550" s="1"/>
      <c r="D550" s="20"/>
      <c r="E550" s="20"/>
      <c r="F550" s="20"/>
      <c r="G550" s="20"/>
      <c r="H550" s="1"/>
      <c r="I550" s="1"/>
      <c r="J550" s="1"/>
      <c r="K550" s="1"/>
      <c r="L550" s="1"/>
      <c r="M550" s="1"/>
    </row>
    <row r="551" spans="1:13" ht="15.75" customHeight="1">
      <c r="A551" s="1"/>
      <c r="B551" s="1"/>
      <c r="C551" s="1"/>
      <c r="D551" s="20"/>
      <c r="E551" s="20"/>
      <c r="F551" s="20"/>
      <c r="G551" s="20"/>
      <c r="H551" s="1"/>
      <c r="I551" s="1"/>
      <c r="J551" s="1"/>
      <c r="K551" s="1"/>
      <c r="L551" s="1"/>
      <c r="M551" s="1"/>
    </row>
    <row r="552" spans="1:13" ht="15.75" customHeight="1">
      <c r="A552" s="1"/>
      <c r="B552" s="1"/>
      <c r="C552" s="1"/>
      <c r="D552" s="20"/>
      <c r="E552" s="20"/>
      <c r="F552" s="20"/>
      <c r="G552" s="20"/>
      <c r="H552" s="1"/>
      <c r="I552" s="1"/>
      <c r="J552" s="1"/>
      <c r="K552" s="1"/>
      <c r="L552" s="1"/>
      <c r="M552" s="1"/>
    </row>
    <row r="553" spans="1:13" ht="15.75" customHeight="1">
      <c r="A553" s="1"/>
      <c r="B553" s="1"/>
      <c r="C553" s="1"/>
      <c r="D553" s="20"/>
      <c r="E553" s="20"/>
      <c r="F553" s="20"/>
      <c r="G553" s="20"/>
      <c r="H553" s="1"/>
      <c r="I553" s="1"/>
      <c r="J553" s="1"/>
      <c r="K553" s="1"/>
      <c r="L553" s="1"/>
      <c r="M553" s="1"/>
    </row>
    <row r="554" spans="1:13" ht="15.75" customHeight="1">
      <c r="A554" s="1"/>
      <c r="B554" s="1"/>
      <c r="C554" s="1"/>
      <c r="D554" s="20"/>
      <c r="E554" s="20"/>
      <c r="F554" s="20"/>
      <c r="G554" s="20"/>
      <c r="H554" s="1"/>
      <c r="I554" s="1"/>
      <c r="J554" s="1"/>
      <c r="K554" s="1"/>
      <c r="L554" s="1"/>
      <c r="M554" s="1"/>
    </row>
    <row r="555" spans="1:13" ht="15.75" customHeight="1">
      <c r="A555" s="1"/>
      <c r="B555" s="1"/>
      <c r="C555" s="1"/>
      <c r="D555" s="20"/>
      <c r="E555" s="20"/>
      <c r="F555" s="20"/>
      <c r="G555" s="20"/>
      <c r="H555" s="1"/>
      <c r="I555" s="1"/>
      <c r="J555" s="1"/>
      <c r="K555" s="1"/>
      <c r="L555" s="1"/>
      <c r="M555" s="1"/>
    </row>
    <row r="556" spans="1:13" ht="15.75" customHeight="1">
      <c r="A556" s="1"/>
      <c r="B556" s="1"/>
      <c r="C556" s="1"/>
      <c r="D556" s="20"/>
      <c r="E556" s="20"/>
      <c r="F556" s="20"/>
      <c r="G556" s="20"/>
      <c r="H556" s="1"/>
      <c r="I556" s="1"/>
      <c r="J556" s="1"/>
      <c r="K556" s="1"/>
      <c r="L556" s="1"/>
      <c r="M556" s="1"/>
    </row>
    <row r="557" spans="1:13" ht="15.75" customHeight="1">
      <c r="A557" s="1"/>
      <c r="B557" s="1"/>
      <c r="C557" s="1"/>
      <c r="D557" s="20"/>
      <c r="E557" s="20"/>
      <c r="F557" s="20"/>
      <c r="G557" s="20"/>
      <c r="H557" s="1"/>
      <c r="I557" s="1"/>
      <c r="J557" s="1"/>
      <c r="K557" s="1"/>
      <c r="L557" s="1"/>
      <c r="M557" s="1"/>
    </row>
    <row r="558" spans="1:13" ht="15.75" customHeight="1">
      <c r="A558" s="1"/>
      <c r="B558" s="1"/>
      <c r="C558" s="1"/>
      <c r="D558" s="20"/>
      <c r="E558" s="20"/>
      <c r="F558" s="20"/>
      <c r="G558" s="20"/>
      <c r="H558" s="1"/>
      <c r="I558" s="1"/>
      <c r="J558" s="1"/>
      <c r="K558" s="1"/>
      <c r="L558" s="1"/>
      <c r="M558" s="1"/>
    </row>
    <row r="559" spans="1:13" ht="15.75" customHeight="1">
      <c r="A559" s="1"/>
      <c r="B559" s="1"/>
      <c r="C559" s="1"/>
      <c r="D559" s="20"/>
      <c r="E559" s="20"/>
      <c r="F559" s="20"/>
      <c r="G559" s="20"/>
      <c r="H559" s="1"/>
      <c r="I559" s="1"/>
      <c r="J559" s="1"/>
      <c r="K559" s="1"/>
      <c r="L559" s="1"/>
      <c r="M559" s="1"/>
    </row>
    <row r="560" spans="1:13" ht="15.75" customHeight="1">
      <c r="A560" s="1"/>
      <c r="B560" s="1"/>
      <c r="C560" s="1"/>
      <c r="D560" s="20"/>
      <c r="E560" s="20"/>
      <c r="F560" s="20"/>
      <c r="G560" s="20"/>
      <c r="H560" s="1"/>
      <c r="I560" s="1"/>
      <c r="J560" s="1"/>
      <c r="K560" s="1"/>
      <c r="L560" s="1"/>
      <c r="M560" s="1"/>
    </row>
    <row r="561" spans="1:13" ht="15.75" customHeight="1">
      <c r="A561" s="1"/>
      <c r="B561" s="1"/>
      <c r="C561" s="1"/>
      <c r="D561" s="20"/>
      <c r="E561" s="20"/>
      <c r="F561" s="20"/>
      <c r="G561" s="20"/>
      <c r="H561" s="1"/>
      <c r="I561" s="1"/>
      <c r="J561" s="1"/>
      <c r="K561" s="1"/>
      <c r="L561" s="1"/>
      <c r="M561" s="1"/>
    </row>
    <row r="562" spans="1:13" ht="15.75" customHeight="1">
      <c r="A562" s="1"/>
      <c r="B562" s="1"/>
      <c r="C562" s="1"/>
      <c r="D562" s="20"/>
      <c r="E562" s="20"/>
      <c r="F562" s="20"/>
      <c r="G562" s="20"/>
      <c r="H562" s="1"/>
      <c r="I562" s="1"/>
      <c r="J562" s="1"/>
      <c r="K562" s="1"/>
      <c r="L562" s="1"/>
      <c r="M562" s="1"/>
    </row>
    <row r="563" spans="1:13" ht="15.75" customHeight="1">
      <c r="A563" s="1"/>
      <c r="B563" s="1"/>
      <c r="C563" s="1"/>
      <c r="D563" s="20"/>
      <c r="E563" s="20"/>
      <c r="F563" s="20"/>
      <c r="G563" s="20"/>
      <c r="H563" s="1"/>
      <c r="I563" s="1"/>
      <c r="J563" s="1"/>
      <c r="K563" s="1"/>
      <c r="L563" s="1"/>
      <c r="M563" s="1"/>
    </row>
    <row r="564" spans="1:13" ht="15.75" customHeight="1">
      <c r="A564" s="1"/>
      <c r="B564" s="1"/>
      <c r="C564" s="1"/>
      <c r="D564" s="20"/>
      <c r="E564" s="20"/>
      <c r="F564" s="20"/>
      <c r="G564" s="20"/>
      <c r="H564" s="1"/>
      <c r="I564" s="1"/>
      <c r="J564" s="1"/>
      <c r="K564" s="1"/>
      <c r="L564" s="1"/>
      <c r="M564" s="1"/>
    </row>
    <row r="565" spans="1:13" ht="15.75" customHeight="1">
      <c r="A565" s="1"/>
      <c r="B565" s="1"/>
      <c r="C565" s="1"/>
      <c r="D565" s="20"/>
      <c r="E565" s="20"/>
      <c r="F565" s="20"/>
      <c r="G565" s="20"/>
      <c r="H565" s="1"/>
      <c r="I565" s="1"/>
      <c r="J565" s="1"/>
      <c r="K565" s="1"/>
      <c r="L565" s="1"/>
      <c r="M565" s="1"/>
    </row>
    <row r="566" spans="1:13" ht="15.75" customHeight="1">
      <c r="A566" s="1"/>
      <c r="B566" s="1"/>
      <c r="C566" s="1"/>
      <c r="D566" s="20"/>
      <c r="E566" s="20"/>
      <c r="F566" s="20"/>
      <c r="G566" s="20"/>
      <c r="H566" s="1"/>
      <c r="I566" s="1"/>
      <c r="J566" s="1"/>
      <c r="K566" s="1"/>
      <c r="L566" s="1"/>
      <c r="M566" s="1"/>
    </row>
    <row r="567" spans="1:13" ht="15.75" customHeight="1">
      <c r="A567" s="1"/>
      <c r="B567" s="1"/>
      <c r="C567" s="1"/>
      <c r="D567" s="20"/>
      <c r="E567" s="20"/>
      <c r="F567" s="20"/>
      <c r="G567" s="20"/>
      <c r="H567" s="1"/>
      <c r="I567" s="1"/>
      <c r="J567" s="1"/>
      <c r="K567" s="1"/>
      <c r="L567" s="1"/>
      <c r="M567" s="1"/>
    </row>
    <row r="568" spans="1:13" ht="15.75" customHeight="1">
      <c r="A568" s="1"/>
      <c r="B568" s="1"/>
      <c r="C568" s="1"/>
      <c r="D568" s="20"/>
      <c r="E568" s="20"/>
      <c r="F568" s="20"/>
      <c r="G568" s="20"/>
      <c r="H568" s="1"/>
      <c r="I568" s="1"/>
      <c r="J568" s="1"/>
      <c r="K568" s="1"/>
      <c r="L568" s="1"/>
      <c r="M568" s="1"/>
    </row>
    <row r="569" spans="1:13" ht="15.75" customHeight="1">
      <c r="A569" s="1"/>
      <c r="B569" s="1"/>
      <c r="C569" s="1"/>
      <c r="D569" s="20"/>
      <c r="E569" s="20"/>
      <c r="F569" s="20"/>
      <c r="G569" s="20"/>
      <c r="H569" s="1"/>
      <c r="I569" s="1"/>
      <c r="J569" s="1"/>
      <c r="K569" s="1"/>
      <c r="L569" s="1"/>
      <c r="M569" s="1"/>
    </row>
    <row r="570" spans="1:13" ht="15.75" customHeight="1">
      <c r="A570" s="1"/>
      <c r="B570" s="1"/>
      <c r="C570" s="1"/>
      <c r="D570" s="20"/>
      <c r="E570" s="20"/>
      <c r="F570" s="20"/>
      <c r="G570" s="20"/>
      <c r="H570" s="1"/>
      <c r="I570" s="1"/>
      <c r="J570" s="1"/>
      <c r="K570" s="1"/>
      <c r="L570" s="1"/>
      <c r="M570" s="1"/>
    </row>
    <row r="571" spans="1:13" ht="15.75" customHeight="1">
      <c r="A571" s="1"/>
      <c r="B571" s="1"/>
      <c r="C571" s="1"/>
      <c r="D571" s="20"/>
      <c r="E571" s="20"/>
      <c r="F571" s="20"/>
      <c r="G571" s="20"/>
      <c r="H571" s="1"/>
      <c r="I571" s="1"/>
      <c r="J571" s="1"/>
      <c r="K571" s="1"/>
      <c r="L571" s="1"/>
      <c r="M571" s="1"/>
    </row>
    <row r="572" spans="1:13" ht="15.75" customHeight="1">
      <c r="A572" s="1"/>
      <c r="B572" s="1"/>
      <c r="C572" s="1"/>
      <c r="D572" s="20"/>
      <c r="E572" s="20"/>
      <c r="F572" s="20"/>
      <c r="G572" s="20"/>
      <c r="H572" s="1"/>
      <c r="I572" s="1"/>
      <c r="J572" s="1"/>
      <c r="K572" s="1"/>
      <c r="L572" s="1"/>
      <c r="M572" s="1"/>
    </row>
    <row r="573" spans="1:13" ht="15.75" customHeight="1">
      <c r="A573" s="1"/>
      <c r="B573" s="1"/>
      <c r="C573" s="1"/>
      <c r="D573" s="20"/>
      <c r="E573" s="20"/>
      <c r="F573" s="20"/>
      <c r="G573" s="20"/>
      <c r="H573" s="1"/>
      <c r="I573" s="1"/>
      <c r="J573" s="1"/>
      <c r="K573" s="1"/>
      <c r="L573" s="1"/>
      <c r="M573" s="1"/>
    </row>
    <row r="574" spans="1:13" ht="15.75" customHeight="1">
      <c r="A574" s="1"/>
      <c r="B574" s="1"/>
      <c r="C574" s="1"/>
      <c r="D574" s="20"/>
      <c r="E574" s="20"/>
      <c r="F574" s="20"/>
      <c r="G574" s="20"/>
      <c r="H574" s="1"/>
      <c r="I574" s="1"/>
      <c r="J574" s="1"/>
      <c r="K574" s="1"/>
      <c r="L574" s="1"/>
      <c r="M574" s="1"/>
    </row>
    <row r="575" spans="1:13" ht="15.75" customHeight="1">
      <c r="A575" s="1"/>
      <c r="B575" s="1"/>
      <c r="C575" s="1"/>
      <c r="D575" s="20"/>
      <c r="E575" s="20"/>
      <c r="F575" s="20"/>
      <c r="G575" s="20"/>
      <c r="H575" s="1"/>
      <c r="I575" s="1"/>
      <c r="J575" s="1"/>
      <c r="K575" s="1"/>
      <c r="L575" s="1"/>
      <c r="M575" s="1"/>
    </row>
    <row r="576" spans="1:13" ht="15.75" customHeight="1">
      <c r="A576" s="1"/>
      <c r="B576" s="1"/>
      <c r="C576" s="1"/>
      <c r="D576" s="20"/>
      <c r="E576" s="20"/>
      <c r="F576" s="20"/>
      <c r="G576" s="20"/>
      <c r="H576" s="1"/>
      <c r="I576" s="1"/>
      <c r="J576" s="1"/>
      <c r="K576" s="1"/>
      <c r="L576" s="1"/>
      <c r="M576" s="1"/>
    </row>
    <row r="577" spans="1:13" ht="15.75" customHeight="1">
      <c r="A577" s="1"/>
      <c r="B577" s="1"/>
      <c r="C577" s="1"/>
      <c r="D577" s="20"/>
      <c r="E577" s="20"/>
      <c r="F577" s="20"/>
      <c r="G577" s="20"/>
      <c r="H577" s="1"/>
      <c r="I577" s="1"/>
      <c r="J577" s="1"/>
      <c r="K577" s="1"/>
      <c r="L577" s="1"/>
      <c r="M577" s="1"/>
    </row>
    <row r="578" spans="1:13" ht="15.75" customHeight="1">
      <c r="A578" s="1"/>
      <c r="B578" s="1"/>
      <c r="C578" s="1"/>
      <c r="D578" s="20"/>
      <c r="E578" s="20"/>
      <c r="F578" s="20"/>
      <c r="G578" s="20"/>
      <c r="H578" s="1"/>
      <c r="I578" s="1"/>
      <c r="J578" s="1"/>
      <c r="K578" s="1"/>
      <c r="L578" s="1"/>
      <c r="M578" s="1"/>
    </row>
    <row r="579" spans="1:13" ht="15.75" customHeight="1">
      <c r="A579" s="1"/>
      <c r="B579" s="1"/>
      <c r="C579" s="1"/>
      <c r="D579" s="20"/>
      <c r="E579" s="20"/>
      <c r="F579" s="20"/>
      <c r="G579" s="20"/>
      <c r="H579" s="1"/>
      <c r="I579" s="1"/>
      <c r="J579" s="1"/>
      <c r="K579" s="1"/>
      <c r="L579" s="1"/>
      <c r="M579" s="1"/>
    </row>
    <row r="580" spans="1:13" ht="15.75" customHeight="1">
      <c r="A580" s="1"/>
      <c r="B580" s="1"/>
      <c r="C580" s="1"/>
      <c r="D580" s="20"/>
      <c r="E580" s="20"/>
      <c r="F580" s="20"/>
      <c r="G580" s="20"/>
      <c r="H580" s="1"/>
      <c r="I580" s="1"/>
      <c r="J580" s="1"/>
      <c r="K580" s="1"/>
      <c r="L580" s="1"/>
      <c r="M580" s="1"/>
    </row>
    <row r="581" spans="1:13" ht="15.75" customHeight="1">
      <c r="A581" s="1"/>
      <c r="B581" s="1"/>
      <c r="C581" s="1"/>
      <c r="D581" s="20"/>
      <c r="E581" s="20"/>
      <c r="F581" s="20"/>
      <c r="G581" s="20"/>
      <c r="H581" s="1"/>
      <c r="I581" s="1"/>
      <c r="J581" s="1"/>
      <c r="K581" s="1"/>
      <c r="L581" s="1"/>
      <c r="M581" s="1"/>
    </row>
    <row r="582" spans="1:13" ht="15.75" customHeight="1">
      <c r="A582" s="1"/>
      <c r="B582" s="1"/>
      <c r="C582" s="1"/>
      <c r="D582" s="20"/>
      <c r="E582" s="20"/>
      <c r="F582" s="20"/>
      <c r="G582" s="20"/>
      <c r="H582" s="1"/>
      <c r="I582" s="1"/>
      <c r="J582" s="1"/>
      <c r="K582" s="1"/>
      <c r="L582" s="1"/>
      <c r="M582" s="1"/>
    </row>
    <row r="583" spans="1:13" ht="15.75" customHeight="1">
      <c r="A583" s="1"/>
      <c r="B583" s="1"/>
      <c r="C583" s="1"/>
      <c r="D583" s="20"/>
      <c r="E583" s="20"/>
      <c r="F583" s="20"/>
      <c r="G583" s="20"/>
      <c r="H583" s="1"/>
      <c r="I583" s="1"/>
      <c r="J583" s="1"/>
      <c r="K583" s="1"/>
      <c r="L583" s="1"/>
      <c r="M583" s="1"/>
    </row>
    <row r="584" spans="1:13" ht="15.75" customHeight="1">
      <c r="A584" s="1"/>
      <c r="B584" s="1"/>
      <c r="C584" s="1"/>
      <c r="D584" s="20"/>
      <c r="E584" s="20"/>
      <c r="F584" s="20"/>
      <c r="G584" s="20"/>
      <c r="H584" s="1"/>
      <c r="I584" s="1"/>
      <c r="J584" s="1"/>
      <c r="K584" s="1"/>
      <c r="L584" s="1"/>
      <c r="M584" s="1"/>
    </row>
    <row r="585" spans="1:13" ht="15.75" customHeight="1">
      <c r="A585" s="1"/>
      <c r="B585" s="1"/>
      <c r="C585" s="1"/>
      <c r="D585" s="20"/>
      <c r="E585" s="20"/>
      <c r="F585" s="20"/>
      <c r="G585" s="20"/>
      <c r="H585" s="1"/>
      <c r="I585" s="1"/>
      <c r="J585" s="1"/>
      <c r="K585" s="1"/>
      <c r="L585" s="1"/>
      <c r="M585" s="1"/>
    </row>
    <row r="586" spans="1:13" ht="15.75" customHeight="1">
      <c r="A586" s="1"/>
      <c r="B586" s="1"/>
      <c r="C586" s="1"/>
      <c r="D586" s="20"/>
      <c r="E586" s="20"/>
      <c r="F586" s="20"/>
      <c r="G586" s="20"/>
      <c r="H586" s="1"/>
      <c r="I586" s="1"/>
      <c r="J586" s="1"/>
      <c r="K586" s="1"/>
      <c r="L586" s="1"/>
      <c r="M586" s="1"/>
    </row>
    <row r="587" spans="1:13" ht="15.75" customHeight="1">
      <c r="A587" s="1"/>
      <c r="B587" s="1"/>
      <c r="C587" s="1"/>
      <c r="D587" s="20"/>
      <c r="E587" s="20"/>
      <c r="F587" s="20"/>
      <c r="G587" s="20"/>
      <c r="H587" s="1"/>
      <c r="I587" s="1"/>
      <c r="J587" s="1"/>
      <c r="K587" s="1"/>
      <c r="L587" s="1"/>
      <c r="M587" s="1"/>
    </row>
    <row r="588" spans="1:13" ht="15.75" customHeight="1">
      <c r="A588" s="1"/>
      <c r="B588" s="1"/>
      <c r="C588" s="1"/>
      <c r="D588" s="20"/>
      <c r="E588" s="20"/>
      <c r="F588" s="20"/>
      <c r="G588" s="20"/>
      <c r="H588" s="1"/>
      <c r="I588" s="1"/>
      <c r="J588" s="1"/>
      <c r="K588" s="1"/>
      <c r="L588" s="1"/>
      <c r="M588" s="1"/>
    </row>
    <row r="589" spans="1:13" ht="15.75" customHeight="1">
      <c r="A589" s="1"/>
      <c r="B589" s="1"/>
      <c r="C589" s="1"/>
      <c r="D589" s="20"/>
      <c r="E589" s="20"/>
      <c r="F589" s="20"/>
      <c r="G589" s="20"/>
      <c r="H589" s="1"/>
      <c r="I589" s="1"/>
      <c r="J589" s="1"/>
      <c r="K589" s="1"/>
      <c r="L589" s="1"/>
      <c r="M589" s="1"/>
    </row>
    <row r="590" spans="1:13" ht="15.75" customHeight="1">
      <c r="A590" s="1"/>
      <c r="B590" s="1"/>
      <c r="C590" s="1"/>
      <c r="D590" s="20"/>
      <c r="E590" s="20"/>
      <c r="F590" s="20"/>
      <c r="G590" s="20"/>
      <c r="H590" s="1"/>
      <c r="I590" s="1"/>
      <c r="J590" s="1"/>
      <c r="K590" s="1"/>
      <c r="L590" s="1"/>
      <c r="M590" s="1"/>
    </row>
    <row r="591" spans="1:13" ht="15.75" customHeight="1">
      <c r="A591" s="1"/>
      <c r="B591" s="1"/>
      <c r="C591" s="1"/>
      <c r="D591" s="20"/>
      <c r="E591" s="20"/>
      <c r="F591" s="20"/>
      <c r="G591" s="20"/>
      <c r="H591" s="1"/>
      <c r="I591" s="1"/>
      <c r="J591" s="1"/>
      <c r="K591" s="1"/>
      <c r="L591" s="1"/>
      <c r="M591" s="1"/>
    </row>
    <row r="592" spans="1:13" ht="15.75" customHeight="1">
      <c r="A592" s="1"/>
      <c r="B592" s="1"/>
      <c r="C592" s="1"/>
      <c r="D592" s="20"/>
      <c r="E592" s="20"/>
      <c r="F592" s="20"/>
      <c r="G592" s="20"/>
      <c r="H592" s="1"/>
      <c r="I592" s="1"/>
      <c r="J592" s="1"/>
      <c r="K592" s="1"/>
      <c r="L592" s="1"/>
      <c r="M592" s="1"/>
    </row>
    <row r="593" spans="1:13" ht="15.75" customHeight="1">
      <c r="A593" s="1"/>
      <c r="B593" s="1"/>
      <c r="C593" s="1"/>
      <c r="D593" s="20"/>
      <c r="E593" s="20"/>
      <c r="F593" s="20"/>
      <c r="G593" s="20"/>
      <c r="H593" s="1"/>
      <c r="I593" s="1"/>
      <c r="J593" s="1"/>
      <c r="K593" s="1"/>
      <c r="L593" s="1"/>
      <c r="M593" s="1"/>
    </row>
    <row r="594" spans="1:13" ht="15.75" customHeight="1">
      <c r="A594" s="1"/>
      <c r="B594" s="1"/>
      <c r="C594" s="1"/>
      <c r="D594" s="20"/>
      <c r="E594" s="20"/>
      <c r="F594" s="20"/>
      <c r="G594" s="20"/>
      <c r="H594" s="1"/>
      <c r="I594" s="1"/>
      <c r="J594" s="1"/>
      <c r="K594" s="1"/>
      <c r="L594" s="1"/>
      <c r="M594" s="1"/>
    </row>
    <row r="595" spans="1:13" ht="15.75" customHeight="1">
      <c r="A595" s="1"/>
      <c r="B595" s="1"/>
      <c r="C595" s="1"/>
      <c r="D595" s="20"/>
      <c r="E595" s="20"/>
      <c r="F595" s="20"/>
      <c r="G595" s="20"/>
      <c r="H595" s="1"/>
      <c r="I595" s="1"/>
      <c r="J595" s="1"/>
      <c r="K595" s="1"/>
      <c r="L595" s="1"/>
      <c r="M595" s="1"/>
    </row>
    <row r="596" spans="1:13" ht="15.75" customHeight="1">
      <c r="A596" s="1"/>
      <c r="B596" s="1"/>
      <c r="C596" s="1"/>
      <c r="D596" s="20"/>
      <c r="E596" s="20"/>
      <c r="F596" s="20"/>
      <c r="G596" s="20"/>
      <c r="H596" s="1"/>
      <c r="I596" s="1"/>
      <c r="J596" s="1"/>
      <c r="K596" s="1"/>
      <c r="L596" s="1"/>
      <c r="M596" s="1"/>
    </row>
    <row r="597" spans="1:13" ht="15.75" customHeight="1">
      <c r="A597" s="1"/>
      <c r="B597" s="1"/>
      <c r="C597" s="1"/>
      <c r="D597" s="20"/>
      <c r="E597" s="20"/>
      <c r="F597" s="20"/>
      <c r="G597" s="20"/>
      <c r="H597" s="1"/>
      <c r="I597" s="1"/>
      <c r="J597" s="1"/>
      <c r="K597" s="1"/>
      <c r="L597" s="1"/>
      <c r="M597" s="1"/>
    </row>
    <row r="598" spans="1:13" ht="15.75" customHeight="1">
      <c r="A598" s="1"/>
      <c r="B598" s="1"/>
      <c r="C598" s="1"/>
      <c r="D598" s="20"/>
      <c r="E598" s="20"/>
      <c r="F598" s="20"/>
      <c r="G598" s="20"/>
      <c r="H598" s="1"/>
      <c r="I598" s="1"/>
      <c r="J598" s="1"/>
      <c r="K598" s="1"/>
      <c r="L598" s="1"/>
      <c r="M598" s="1"/>
    </row>
    <row r="599" spans="1:13" ht="15.75" customHeight="1">
      <c r="A599" s="1"/>
      <c r="B599" s="1"/>
      <c r="C599" s="1"/>
      <c r="D599" s="20"/>
      <c r="E599" s="20"/>
      <c r="F599" s="20"/>
      <c r="G599" s="20"/>
      <c r="H599" s="1"/>
      <c r="I599" s="1"/>
      <c r="J599" s="1"/>
      <c r="K599" s="1"/>
      <c r="L599" s="1"/>
      <c r="M599" s="1"/>
    </row>
    <row r="600" spans="1:13" ht="15.75" customHeight="1">
      <c r="A600" s="1"/>
      <c r="B600" s="1"/>
      <c r="C600" s="1"/>
      <c r="D600" s="20"/>
      <c r="E600" s="20"/>
      <c r="F600" s="20"/>
      <c r="G600" s="20"/>
      <c r="H600" s="1"/>
      <c r="I600" s="1"/>
      <c r="J600" s="1"/>
      <c r="K600" s="1"/>
      <c r="L600" s="1"/>
      <c r="M600" s="1"/>
    </row>
    <row r="601" spans="1:13" ht="15.75" customHeight="1">
      <c r="A601" s="1"/>
      <c r="B601" s="1"/>
      <c r="C601" s="1"/>
      <c r="D601" s="20"/>
      <c r="E601" s="20"/>
      <c r="F601" s="20"/>
      <c r="G601" s="20"/>
      <c r="H601" s="1"/>
      <c r="I601" s="1"/>
      <c r="J601" s="1"/>
      <c r="K601" s="1"/>
      <c r="L601" s="1"/>
      <c r="M601" s="1"/>
    </row>
    <row r="602" spans="1:13" ht="15.75" customHeight="1">
      <c r="A602" s="1"/>
      <c r="B602" s="1"/>
      <c r="C602" s="1"/>
      <c r="D602" s="20"/>
      <c r="E602" s="20"/>
      <c r="F602" s="20"/>
      <c r="G602" s="20"/>
      <c r="H602" s="1"/>
      <c r="I602" s="1"/>
      <c r="J602" s="1"/>
      <c r="K602" s="1"/>
      <c r="L602" s="1"/>
      <c r="M602" s="1"/>
    </row>
    <row r="603" spans="1:13" ht="15.75" customHeight="1">
      <c r="A603" s="1"/>
      <c r="B603" s="1"/>
      <c r="C603" s="1"/>
      <c r="D603" s="20"/>
      <c r="E603" s="20"/>
      <c r="F603" s="20"/>
      <c r="G603" s="20"/>
      <c r="H603" s="1"/>
      <c r="I603" s="1"/>
      <c r="J603" s="1"/>
      <c r="K603" s="1"/>
      <c r="L603" s="1"/>
      <c r="M603" s="1"/>
    </row>
    <row r="604" spans="1:13" ht="15.75" customHeight="1">
      <c r="A604" s="1"/>
      <c r="B604" s="1"/>
      <c r="C604" s="1"/>
      <c r="D604" s="20"/>
      <c r="E604" s="20"/>
      <c r="F604" s="20"/>
      <c r="G604" s="20"/>
      <c r="H604" s="1"/>
      <c r="I604" s="1"/>
      <c r="J604" s="1"/>
      <c r="K604" s="1"/>
      <c r="L604" s="1"/>
      <c r="M604" s="1"/>
    </row>
    <row r="605" spans="1:13" ht="15.75" customHeight="1">
      <c r="A605" s="1"/>
      <c r="B605" s="1"/>
      <c r="C605" s="1"/>
      <c r="D605" s="20"/>
      <c r="E605" s="20"/>
      <c r="F605" s="20"/>
      <c r="G605" s="20"/>
      <c r="H605" s="1"/>
      <c r="I605" s="1"/>
      <c r="J605" s="1"/>
      <c r="K605" s="1"/>
      <c r="L605" s="1"/>
      <c r="M605" s="1"/>
    </row>
    <row r="606" spans="1:13" ht="15.75" customHeight="1">
      <c r="A606" s="1"/>
      <c r="B606" s="1"/>
      <c r="C606" s="1"/>
      <c r="D606" s="20"/>
      <c r="E606" s="20"/>
      <c r="F606" s="20"/>
      <c r="G606" s="20"/>
      <c r="H606" s="1"/>
      <c r="I606" s="1"/>
      <c r="J606" s="1"/>
      <c r="K606" s="1"/>
      <c r="L606" s="1"/>
      <c r="M606" s="1"/>
    </row>
    <row r="607" spans="1:13" ht="15.75" customHeight="1">
      <c r="A607" s="1"/>
      <c r="B607" s="1"/>
      <c r="C607" s="1"/>
      <c r="D607" s="20"/>
      <c r="E607" s="20"/>
      <c r="F607" s="20"/>
      <c r="G607" s="20"/>
      <c r="H607" s="1"/>
      <c r="I607" s="1"/>
      <c r="J607" s="1"/>
      <c r="K607" s="1"/>
      <c r="L607" s="1"/>
      <c r="M607" s="1"/>
    </row>
    <row r="608" spans="1:13" ht="15.75" customHeight="1">
      <c r="A608" s="1"/>
      <c r="B608" s="1"/>
      <c r="C608" s="1"/>
      <c r="D608" s="20"/>
      <c r="E608" s="20"/>
      <c r="F608" s="20"/>
      <c r="G608" s="20"/>
      <c r="H608" s="1"/>
      <c r="I608" s="1"/>
      <c r="J608" s="1"/>
      <c r="K608" s="1"/>
      <c r="L608" s="1"/>
      <c r="M608" s="1"/>
    </row>
    <row r="609" spans="1:13" ht="15.75" customHeight="1">
      <c r="A609" s="1"/>
      <c r="B609" s="1"/>
      <c r="C609" s="1"/>
      <c r="D609" s="20"/>
      <c r="E609" s="20"/>
      <c r="F609" s="20"/>
      <c r="G609" s="20"/>
      <c r="H609" s="1"/>
      <c r="I609" s="1"/>
      <c r="J609" s="1"/>
      <c r="K609" s="1"/>
      <c r="L609" s="1"/>
      <c r="M609" s="1"/>
    </row>
    <row r="610" spans="1:13" ht="15.75" customHeight="1">
      <c r="A610" s="1"/>
      <c r="B610" s="1"/>
      <c r="C610" s="1"/>
      <c r="D610" s="20"/>
      <c r="E610" s="20"/>
      <c r="F610" s="20"/>
      <c r="G610" s="20"/>
      <c r="H610" s="1"/>
      <c r="I610" s="1"/>
      <c r="J610" s="1"/>
      <c r="K610" s="1"/>
      <c r="L610" s="1"/>
      <c r="M610" s="1"/>
    </row>
    <row r="611" spans="1:13" ht="15.75" customHeight="1">
      <c r="A611" s="1"/>
      <c r="B611" s="1"/>
      <c r="C611" s="1"/>
      <c r="D611" s="20"/>
      <c r="E611" s="20"/>
      <c r="F611" s="20"/>
      <c r="G611" s="20"/>
      <c r="H611" s="1"/>
      <c r="I611" s="1"/>
      <c r="J611" s="1"/>
      <c r="K611" s="1"/>
      <c r="L611" s="1"/>
      <c r="M611" s="1"/>
    </row>
    <row r="612" spans="1:13" ht="15.75" customHeight="1">
      <c r="A612" s="1"/>
      <c r="B612" s="1"/>
      <c r="C612" s="1"/>
      <c r="D612" s="20"/>
      <c r="E612" s="20"/>
      <c r="F612" s="20"/>
      <c r="G612" s="20"/>
      <c r="H612" s="1"/>
      <c r="I612" s="1"/>
      <c r="J612" s="1"/>
      <c r="K612" s="1"/>
      <c r="L612" s="1"/>
      <c r="M612" s="1"/>
    </row>
    <row r="613" spans="1:13" ht="15.75" customHeight="1">
      <c r="A613" s="1"/>
      <c r="B613" s="1"/>
      <c r="C613" s="1"/>
      <c r="D613" s="20"/>
      <c r="E613" s="20"/>
      <c r="F613" s="20"/>
      <c r="G613" s="20"/>
      <c r="H613" s="1"/>
      <c r="I613" s="1"/>
      <c r="J613" s="1"/>
      <c r="K613" s="1"/>
      <c r="L613" s="1"/>
      <c r="M613" s="1"/>
    </row>
    <row r="614" spans="1:13" ht="15.75" customHeight="1">
      <c r="A614" s="1"/>
      <c r="B614" s="1"/>
      <c r="C614" s="1"/>
      <c r="D614" s="20"/>
      <c r="E614" s="20"/>
      <c r="F614" s="20"/>
      <c r="G614" s="20"/>
      <c r="H614" s="1"/>
      <c r="I614" s="1"/>
      <c r="J614" s="1"/>
      <c r="K614" s="1"/>
      <c r="L614" s="1"/>
      <c r="M614" s="1"/>
    </row>
    <row r="615" spans="1:13" ht="15.75" customHeight="1">
      <c r="A615" s="1"/>
      <c r="B615" s="1"/>
      <c r="C615" s="1"/>
      <c r="D615" s="20"/>
      <c r="E615" s="20"/>
      <c r="F615" s="20"/>
      <c r="G615" s="20"/>
      <c r="H615" s="1"/>
      <c r="I615" s="1"/>
      <c r="J615" s="1"/>
      <c r="K615" s="1"/>
      <c r="L615" s="1"/>
      <c r="M615" s="1"/>
    </row>
    <row r="616" spans="1:13" ht="15.75" customHeight="1">
      <c r="A616" s="1"/>
      <c r="B616" s="1"/>
      <c r="C616" s="1"/>
      <c r="D616" s="20"/>
      <c r="E616" s="20"/>
      <c r="F616" s="20"/>
      <c r="G616" s="20"/>
      <c r="H616" s="1"/>
      <c r="I616" s="1"/>
      <c r="J616" s="1"/>
      <c r="K616" s="1"/>
      <c r="L616" s="1"/>
      <c r="M616" s="1"/>
    </row>
    <row r="617" spans="1:13" ht="15.75" customHeight="1">
      <c r="A617" s="1"/>
      <c r="B617" s="1"/>
      <c r="C617" s="1"/>
      <c r="D617" s="20"/>
      <c r="E617" s="20"/>
      <c r="F617" s="20"/>
      <c r="G617" s="20"/>
      <c r="H617" s="1"/>
      <c r="I617" s="1"/>
      <c r="J617" s="1"/>
      <c r="K617" s="1"/>
      <c r="L617" s="1"/>
      <c r="M617" s="1"/>
    </row>
    <row r="618" spans="1:13" ht="15.75" customHeight="1">
      <c r="A618" s="1"/>
      <c r="B618" s="1"/>
      <c r="C618" s="1"/>
      <c r="D618" s="20"/>
      <c r="E618" s="20"/>
      <c r="F618" s="20"/>
      <c r="G618" s="20"/>
      <c r="H618" s="1"/>
      <c r="I618" s="1"/>
      <c r="J618" s="1"/>
      <c r="K618" s="1"/>
      <c r="L618" s="1"/>
      <c r="M618" s="1"/>
    </row>
    <row r="619" spans="1:13" ht="15.75" customHeight="1">
      <c r="A619" s="1"/>
      <c r="B619" s="1"/>
      <c r="C619" s="1"/>
      <c r="D619" s="20"/>
      <c r="E619" s="20"/>
      <c r="F619" s="20"/>
      <c r="G619" s="20"/>
      <c r="H619" s="1"/>
      <c r="I619" s="1"/>
      <c r="J619" s="1"/>
      <c r="K619" s="1"/>
      <c r="L619" s="1"/>
      <c r="M619" s="1"/>
    </row>
    <row r="620" spans="1:13" ht="15.75" customHeight="1">
      <c r="A620" s="1"/>
      <c r="B620" s="1"/>
      <c r="C620" s="1"/>
      <c r="D620" s="20"/>
      <c r="E620" s="20"/>
      <c r="F620" s="20"/>
      <c r="G620" s="20"/>
      <c r="H620" s="1"/>
      <c r="I620" s="1"/>
      <c r="J620" s="1"/>
      <c r="K620" s="1"/>
      <c r="L620" s="1"/>
      <c r="M620" s="1"/>
    </row>
    <row r="621" spans="1:13" ht="15.75" customHeight="1">
      <c r="A621" s="1"/>
      <c r="B621" s="1"/>
      <c r="C621" s="1"/>
      <c r="D621" s="20"/>
      <c r="E621" s="20"/>
      <c r="F621" s="20"/>
      <c r="G621" s="20"/>
      <c r="H621" s="1"/>
      <c r="I621" s="1"/>
      <c r="J621" s="1"/>
      <c r="K621" s="1"/>
      <c r="L621" s="1"/>
      <c r="M621" s="1"/>
    </row>
    <row r="622" spans="1:13" ht="15.75" customHeight="1">
      <c r="A622" s="1"/>
      <c r="B622" s="1"/>
      <c r="C622" s="1"/>
      <c r="D622" s="20"/>
      <c r="E622" s="20"/>
      <c r="F622" s="20"/>
      <c r="G622" s="20"/>
      <c r="H622" s="1"/>
      <c r="I622" s="1"/>
      <c r="J622" s="1"/>
      <c r="K622" s="1"/>
      <c r="L622" s="1"/>
      <c r="M622" s="1"/>
    </row>
    <row r="623" spans="1:13" ht="15.75" customHeight="1">
      <c r="A623" s="1"/>
      <c r="B623" s="1"/>
      <c r="C623" s="1"/>
      <c r="D623" s="20"/>
      <c r="E623" s="20"/>
      <c r="F623" s="20"/>
      <c r="G623" s="20"/>
      <c r="H623" s="1"/>
      <c r="I623" s="1"/>
      <c r="J623" s="1"/>
      <c r="K623" s="1"/>
      <c r="L623" s="1"/>
      <c r="M623" s="1"/>
    </row>
    <row r="624" spans="1:13" ht="15.75" customHeight="1">
      <c r="A624" s="1"/>
      <c r="B624" s="1"/>
      <c r="C624" s="1"/>
      <c r="D624" s="20"/>
      <c r="E624" s="20"/>
      <c r="F624" s="20"/>
      <c r="G624" s="20"/>
      <c r="H624" s="1"/>
      <c r="I624" s="1"/>
      <c r="J624" s="1"/>
      <c r="K624" s="1"/>
      <c r="L624" s="1"/>
      <c r="M624" s="1"/>
    </row>
    <row r="625" spans="1:13" ht="15.75" customHeight="1">
      <c r="A625" s="1"/>
      <c r="B625" s="1"/>
      <c r="C625" s="1"/>
      <c r="D625" s="20"/>
      <c r="E625" s="20"/>
      <c r="F625" s="20"/>
      <c r="G625" s="20"/>
      <c r="H625" s="1"/>
      <c r="I625" s="1"/>
      <c r="J625" s="1"/>
      <c r="K625" s="1"/>
      <c r="L625" s="1"/>
      <c r="M625" s="1"/>
    </row>
    <row r="626" spans="1:13" ht="15.75" customHeight="1">
      <c r="A626" s="1"/>
      <c r="B626" s="1"/>
      <c r="C626" s="1"/>
      <c r="D626" s="20"/>
      <c r="E626" s="20"/>
      <c r="F626" s="20"/>
      <c r="G626" s="20"/>
      <c r="H626" s="1"/>
      <c r="I626" s="1"/>
      <c r="J626" s="1"/>
      <c r="K626" s="1"/>
      <c r="L626" s="1"/>
      <c r="M626" s="1"/>
    </row>
    <row r="627" spans="1:13" ht="15.75" customHeight="1">
      <c r="A627" s="1"/>
      <c r="B627" s="1"/>
      <c r="C627" s="1"/>
      <c r="D627" s="20"/>
      <c r="E627" s="20"/>
      <c r="F627" s="20"/>
      <c r="G627" s="20"/>
      <c r="H627" s="1"/>
      <c r="I627" s="1"/>
      <c r="J627" s="1"/>
      <c r="K627" s="1"/>
      <c r="L627" s="1"/>
      <c r="M627" s="1"/>
    </row>
    <row r="628" spans="1:13" ht="15.75" customHeight="1">
      <c r="A628" s="1"/>
      <c r="B628" s="1"/>
      <c r="C628" s="1"/>
      <c r="D628" s="20"/>
      <c r="E628" s="20"/>
      <c r="F628" s="20"/>
      <c r="G628" s="20"/>
      <c r="H628" s="1"/>
      <c r="I628" s="1"/>
      <c r="J628" s="1"/>
      <c r="K628" s="1"/>
      <c r="L628" s="1"/>
      <c r="M628" s="1"/>
    </row>
    <row r="629" spans="1:13" ht="15.75" customHeight="1">
      <c r="A629" s="1"/>
      <c r="B629" s="1"/>
      <c r="C629" s="1"/>
      <c r="D629" s="20"/>
      <c r="E629" s="20"/>
      <c r="F629" s="20"/>
      <c r="G629" s="20"/>
      <c r="H629" s="1"/>
      <c r="I629" s="1"/>
      <c r="J629" s="1"/>
      <c r="K629" s="1"/>
      <c r="L629" s="1"/>
      <c r="M629" s="1"/>
    </row>
    <row r="630" spans="1:13" ht="15.75" customHeight="1">
      <c r="A630" s="1"/>
      <c r="B630" s="1"/>
      <c r="C630" s="1"/>
      <c r="D630" s="20"/>
      <c r="E630" s="20"/>
      <c r="F630" s="20"/>
      <c r="G630" s="20"/>
      <c r="H630" s="1"/>
      <c r="I630" s="1"/>
      <c r="J630" s="1"/>
      <c r="K630" s="1"/>
      <c r="L630" s="1"/>
      <c r="M630" s="1"/>
    </row>
    <row r="631" spans="1:13" ht="15.75" customHeight="1">
      <c r="A631" s="1"/>
      <c r="B631" s="1"/>
      <c r="C631" s="1"/>
      <c r="D631" s="20"/>
      <c r="E631" s="20"/>
      <c r="F631" s="20"/>
      <c r="G631" s="20"/>
      <c r="H631" s="1"/>
      <c r="I631" s="1"/>
      <c r="J631" s="1"/>
      <c r="K631" s="1"/>
      <c r="L631" s="1"/>
      <c r="M631" s="1"/>
    </row>
    <row r="632" spans="1:13" ht="15.75" customHeight="1">
      <c r="A632" s="1"/>
      <c r="B632" s="1"/>
      <c r="C632" s="1"/>
      <c r="D632" s="20"/>
      <c r="E632" s="20"/>
      <c r="F632" s="20"/>
      <c r="G632" s="20"/>
      <c r="H632" s="1"/>
      <c r="I632" s="1"/>
      <c r="J632" s="1"/>
      <c r="K632" s="1"/>
      <c r="L632" s="1"/>
      <c r="M632" s="1"/>
    </row>
    <row r="633" spans="1:13" ht="15.75" customHeight="1">
      <c r="A633" s="1"/>
      <c r="B633" s="1"/>
      <c r="C633" s="1"/>
      <c r="D633" s="20"/>
      <c r="E633" s="20"/>
      <c r="F633" s="20"/>
      <c r="G633" s="20"/>
      <c r="H633" s="1"/>
      <c r="I633" s="1"/>
      <c r="J633" s="1"/>
      <c r="K633" s="1"/>
      <c r="L633" s="1"/>
      <c r="M633" s="1"/>
    </row>
    <row r="634" spans="1:13" ht="15.75" customHeight="1">
      <c r="A634" s="1"/>
      <c r="B634" s="1"/>
      <c r="C634" s="1"/>
      <c r="D634" s="20"/>
      <c r="E634" s="20"/>
      <c r="F634" s="20"/>
      <c r="G634" s="20"/>
      <c r="H634" s="1"/>
      <c r="I634" s="1"/>
      <c r="J634" s="1"/>
      <c r="K634" s="1"/>
      <c r="L634" s="1"/>
      <c r="M634" s="1"/>
    </row>
    <row r="635" spans="1:13" ht="15.75" customHeight="1">
      <c r="A635" s="1"/>
      <c r="B635" s="1"/>
      <c r="C635" s="1"/>
      <c r="D635" s="20"/>
      <c r="E635" s="20"/>
      <c r="F635" s="20"/>
      <c r="G635" s="20"/>
      <c r="H635" s="1"/>
      <c r="I635" s="1"/>
      <c r="J635" s="1"/>
      <c r="K635" s="1"/>
      <c r="L635" s="1"/>
      <c r="M635" s="1"/>
    </row>
    <row r="636" spans="1:13" ht="15.75" customHeight="1">
      <c r="A636" s="1"/>
      <c r="B636" s="1"/>
      <c r="C636" s="1"/>
      <c r="D636" s="20"/>
      <c r="E636" s="20"/>
      <c r="F636" s="20"/>
      <c r="G636" s="20"/>
      <c r="H636" s="1"/>
      <c r="I636" s="1"/>
      <c r="J636" s="1"/>
      <c r="K636" s="1"/>
      <c r="L636" s="1"/>
      <c r="M636" s="1"/>
    </row>
    <row r="637" spans="1:13" ht="15.75" customHeight="1">
      <c r="A637" s="1"/>
      <c r="B637" s="1"/>
      <c r="C637" s="1"/>
      <c r="D637" s="20"/>
      <c r="E637" s="20"/>
      <c r="F637" s="20"/>
      <c r="G637" s="20"/>
      <c r="H637" s="1"/>
      <c r="I637" s="1"/>
      <c r="J637" s="1"/>
      <c r="K637" s="1"/>
      <c r="L637" s="1"/>
      <c r="M637" s="1"/>
    </row>
    <row r="638" spans="1:13" ht="15.75" customHeight="1">
      <c r="A638" s="1"/>
      <c r="B638" s="1"/>
      <c r="C638" s="1"/>
      <c r="D638" s="20"/>
      <c r="E638" s="20"/>
      <c r="F638" s="20"/>
      <c r="G638" s="20"/>
      <c r="H638" s="1"/>
      <c r="I638" s="1"/>
      <c r="J638" s="1"/>
      <c r="K638" s="1"/>
      <c r="L638" s="1"/>
      <c r="M638" s="1"/>
    </row>
    <row r="639" spans="1:13" ht="15.75" customHeight="1">
      <c r="A639" s="1"/>
      <c r="B639" s="1"/>
      <c r="C639" s="1"/>
      <c r="D639" s="20"/>
      <c r="E639" s="20"/>
      <c r="F639" s="20"/>
      <c r="G639" s="20"/>
      <c r="H639" s="1"/>
      <c r="I639" s="1"/>
      <c r="J639" s="1"/>
      <c r="K639" s="1"/>
      <c r="L639" s="1"/>
      <c r="M639" s="1"/>
    </row>
    <row r="640" spans="1:13" ht="15.75" customHeight="1">
      <c r="A640" s="1"/>
      <c r="B640" s="1"/>
      <c r="C640" s="1"/>
      <c r="D640" s="20"/>
      <c r="E640" s="20"/>
      <c r="F640" s="20"/>
      <c r="G640" s="20"/>
      <c r="H640" s="1"/>
      <c r="I640" s="1"/>
      <c r="J640" s="1"/>
      <c r="K640" s="1"/>
      <c r="L640" s="1"/>
      <c r="M640" s="1"/>
    </row>
    <row r="641" spans="1:13" ht="15.75" customHeight="1">
      <c r="A641" s="1"/>
      <c r="B641" s="1"/>
      <c r="C641" s="1"/>
      <c r="D641" s="20"/>
      <c r="E641" s="20"/>
      <c r="F641" s="20"/>
      <c r="G641" s="20"/>
      <c r="H641" s="1"/>
      <c r="I641" s="1"/>
      <c r="J641" s="1"/>
      <c r="K641" s="1"/>
      <c r="L641" s="1"/>
      <c r="M641" s="1"/>
    </row>
    <row r="642" spans="1:13" ht="15.75" customHeight="1">
      <c r="A642" s="1"/>
      <c r="B642" s="1"/>
      <c r="C642" s="1"/>
      <c r="D642" s="20"/>
      <c r="E642" s="20"/>
      <c r="F642" s="20"/>
      <c r="G642" s="20"/>
      <c r="H642" s="1"/>
      <c r="I642" s="1"/>
      <c r="J642" s="1"/>
      <c r="K642" s="1"/>
      <c r="L642" s="1"/>
      <c r="M642" s="1"/>
    </row>
    <row r="643" spans="1:13" ht="15.75" customHeight="1">
      <c r="A643" s="1"/>
      <c r="B643" s="1"/>
      <c r="C643" s="1"/>
      <c r="D643" s="20"/>
      <c r="E643" s="20"/>
      <c r="F643" s="20"/>
      <c r="G643" s="20"/>
      <c r="H643" s="1"/>
      <c r="I643" s="1"/>
      <c r="J643" s="1"/>
      <c r="K643" s="1"/>
      <c r="L643" s="1"/>
      <c r="M643" s="1"/>
    </row>
    <row r="644" spans="1:13" ht="15.75" customHeight="1">
      <c r="A644" s="1"/>
      <c r="B644" s="1"/>
      <c r="C644" s="1"/>
      <c r="D644" s="20"/>
      <c r="E644" s="20"/>
      <c r="F644" s="20"/>
      <c r="G644" s="20"/>
      <c r="H644" s="1"/>
      <c r="I644" s="1"/>
      <c r="J644" s="1"/>
      <c r="K644" s="1"/>
      <c r="L644" s="1"/>
      <c r="M644" s="1"/>
    </row>
    <row r="645" spans="1:13" ht="15.75" customHeight="1">
      <c r="A645" s="1"/>
      <c r="B645" s="1"/>
      <c r="C645" s="1"/>
      <c r="D645" s="20"/>
      <c r="E645" s="20"/>
      <c r="F645" s="20"/>
      <c r="G645" s="20"/>
      <c r="H645" s="1"/>
      <c r="I645" s="1"/>
      <c r="J645" s="1"/>
      <c r="K645" s="1"/>
      <c r="L645" s="1"/>
      <c r="M645" s="1"/>
    </row>
    <row r="646" spans="1:13" ht="15.75" customHeight="1">
      <c r="A646" s="1"/>
      <c r="B646" s="1"/>
      <c r="C646" s="1"/>
      <c r="D646" s="20"/>
      <c r="E646" s="20"/>
      <c r="F646" s="20"/>
      <c r="G646" s="20"/>
      <c r="H646" s="1"/>
      <c r="I646" s="1"/>
      <c r="J646" s="1"/>
      <c r="K646" s="1"/>
      <c r="L646" s="1"/>
      <c r="M646" s="1"/>
    </row>
    <row r="647" spans="1:13" ht="15.75" customHeight="1">
      <c r="A647" s="1"/>
      <c r="B647" s="1"/>
      <c r="C647" s="1"/>
      <c r="D647" s="20"/>
      <c r="E647" s="20"/>
      <c r="F647" s="20"/>
      <c r="G647" s="20"/>
      <c r="H647" s="1"/>
      <c r="I647" s="1"/>
      <c r="J647" s="1"/>
      <c r="K647" s="1"/>
      <c r="L647" s="1"/>
      <c r="M647" s="1"/>
    </row>
    <row r="648" spans="1:13" ht="15.75" customHeight="1">
      <c r="A648" s="1"/>
      <c r="B648" s="1"/>
      <c r="C648" s="1"/>
      <c r="D648" s="20"/>
      <c r="E648" s="20"/>
      <c r="F648" s="20"/>
      <c r="G648" s="20"/>
      <c r="H648" s="1"/>
      <c r="I648" s="1"/>
      <c r="J648" s="1"/>
      <c r="K648" s="1"/>
      <c r="L648" s="1"/>
      <c r="M648" s="1"/>
    </row>
    <row r="649" spans="1:13" ht="15.75" customHeight="1">
      <c r="A649" s="1"/>
      <c r="B649" s="1"/>
      <c r="C649" s="1"/>
      <c r="D649" s="20"/>
      <c r="E649" s="20"/>
      <c r="F649" s="20"/>
      <c r="G649" s="20"/>
      <c r="H649" s="1"/>
      <c r="I649" s="1"/>
      <c r="J649" s="1"/>
      <c r="K649" s="1"/>
      <c r="L649" s="1"/>
      <c r="M649" s="1"/>
    </row>
    <row r="650" spans="1:13" ht="15.75" customHeight="1">
      <c r="A650" s="1"/>
      <c r="B650" s="1"/>
      <c r="C650" s="1"/>
      <c r="D650" s="20"/>
      <c r="E650" s="20"/>
      <c r="F650" s="20"/>
      <c r="G650" s="20"/>
      <c r="H650" s="1"/>
      <c r="I650" s="1"/>
      <c r="J650" s="1"/>
      <c r="K650" s="1"/>
      <c r="L650" s="1"/>
      <c r="M650" s="1"/>
    </row>
    <row r="651" spans="1:13" ht="15.75" customHeight="1">
      <c r="A651" s="1"/>
      <c r="B651" s="1"/>
      <c r="C651" s="1"/>
      <c r="D651" s="20"/>
      <c r="E651" s="20"/>
      <c r="F651" s="20"/>
      <c r="G651" s="20"/>
      <c r="H651" s="1"/>
      <c r="I651" s="1"/>
      <c r="J651" s="1"/>
      <c r="K651" s="1"/>
      <c r="L651" s="1"/>
      <c r="M651" s="1"/>
    </row>
    <row r="652" spans="1:13" ht="15.75" customHeight="1">
      <c r="A652" s="1"/>
      <c r="B652" s="1"/>
      <c r="C652" s="1"/>
      <c r="D652" s="20"/>
      <c r="E652" s="20"/>
      <c r="F652" s="20"/>
      <c r="G652" s="20"/>
      <c r="H652" s="1"/>
      <c r="I652" s="1"/>
      <c r="J652" s="1"/>
      <c r="K652" s="1"/>
      <c r="L652" s="1"/>
      <c r="M652" s="1"/>
    </row>
    <row r="653" spans="1:13" ht="15.75" customHeight="1">
      <c r="A653" s="1"/>
      <c r="B653" s="1"/>
      <c r="C653" s="1"/>
      <c r="D653" s="20"/>
      <c r="E653" s="20"/>
      <c r="F653" s="20"/>
      <c r="G653" s="20"/>
      <c r="H653" s="1"/>
      <c r="I653" s="1"/>
      <c r="J653" s="1"/>
      <c r="K653" s="1"/>
      <c r="L653" s="1"/>
      <c r="M653" s="1"/>
    </row>
    <row r="654" spans="1:13" ht="15.75" customHeight="1">
      <c r="A654" s="1"/>
      <c r="B654" s="1"/>
      <c r="C654" s="1"/>
      <c r="D654" s="20"/>
      <c r="E654" s="20"/>
      <c r="F654" s="20"/>
      <c r="G654" s="20"/>
      <c r="H654" s="1"/>
      <c r="I654" s="1"/>
      <c r="J654" s="1"/>
      <c r="K654" s="1"/>
      <c r="L654" s="1"/>
      <c r="M654" s="1"/>
    </row>
    <row r="655" spans="1:13" ht="15.75" customHeight="1">
      <c r="A655" s="1"/>
      <c r="B655" s="1"/>
      <c r="C655" s="1"/>
      <c r="D655" s="20"/>
      <c r="E655" s="20"/>
      <c r="F655" s="20"/>
      <c r="G655" s="20"/>
      <c r="H655" s="1"/>
      <c r="I655" s="1"/>
      <c r="J655" s="1"/>
      <c r="K655" s="1"/>
      <c r="L655" s="1"/>
      <c r="M655" s="1"/>
    </row>
    <row r="656" spans="1:13" ht="15.75" customHeight="1">
      <c r="A656" s="1"/>
      <c r="B656" s="1"/>
      <c r="C656" s="1"/>
      <c r="D656" s="20"/>
      <c r="E656" s="20"/>
      <c r="F656" s="20"/>
      <c r="G656" s="20"/>
      <c r="H656" s="1"/>
      <c r="I656" s="1"/>
      <c r="J656" s="1"/>
      <c r="K656" s="1"/>
      <c r="L656" s="1"/>
      <c r="M656" s="1"/>
    </row>
    <row r="657" spans="1:13" ht="15.75" customHeight="1">
      <c r="A657" s="1"/>
      <c r="B657" s="1"/>
      <c r="C657" s="1"/>
      <c r="D657" s="20"/>
      <c r="E657" s="20"/>
      <c r="F657" s="20"/>
      <c r="G657" s="20"/>
      <c r="H657" s="1"/>
      <c r="I657" s="1"/>
      <c r="J657" s="1"/>
      <c r="K657" s="1"/>
      <c r="L657" s="1"/>
      <c r="M657" s="1"/>
    </row>
    <row r="658" spans="1:13" ht="15.75" customHeight="1">
      <c r="A658" s="1"/>
      <c r="B658" s="1"/>
      <c r="C658" s="1"/>
      <c r="D658" s="20"/>
      <c r="E658" s="20"/>
      <c r="F658" s="20"/>
      <c r="G658" s="20"/>
      <c r="H658" s="1"/>
      <c r="I658" s="1"/>
      <c r="J658" s="1"/>
      <c r="K658" s="1"/>
      <c r="L658" s="1"/>
      <c r="M658" s="1"/>
    </row>
    <row r="659" spans="1:13" ht="15.75" customHeight="1">
      <c r="A659" s="1"/>
      <c r="B659" s="1"/>
      <c r="C659" s="1"/>
      <c r="D659" s="20"/>
      <c r="E659" s="20"/>
      <c r="F659" s="20"/>
      <c r="G659" s="20"/>
      <c r="H659" s="1"/>
      <c r="I659" s="1"/>
      <c r="J659" s="1"/>
      <c r="K659" s="1"/>
      <c r="L659" s="1"/>
      <c r="M659" s="1"/>
    </row>
    <row r="660" spans="1:13" ht="15.75" customHeight="1">
      <c r="A660" s="1"/>
      <c r="B660" s="1"/>
      <c r="C660" s="1"/>
      <c r="D660" s="20"/>
      <c r="E660" s="20"/>
      <c r="F660" s="20"/>
      <c r="G660" s="20"/>
      <c r="H660" s="1"/>
      <c r="I660" s="1"/>
      <c r="J660" s="1"/>
      <c r="K660" s="1"/>
      <c r="L660" s="1"/>
      <c r="M660" s="1"/>
    </row>
    <row r="661" spans="1:13" ht="15.75" customHeight="1">
      <c r="A661" s="1"/>
      <c r="B661" s="1"/>
      <c r="C661" s="1"/>
      <c r="D661" s="20"/>
      <c r="E661" s="20"/>
      <c r="F661" s="20"/>
      <c r="G661" s="20"/>
      <c r="H661" s="1"/>
      <c r="I661" s="1"/>
      <c r="J661" s="1"/>
      <c r="K661" s="1"/>
      <c r="L661" s="1"/>
      <c r="M661" s="1"/>
    </row>
    <row r="662" spans="1:13" ht="15.75" customHeight="1">
      <c r="A662" s="1"/>
      <c r="B662" s="1"/>
      <c r="C662" s="1"/>
      <c r="D662" s="20"/>
      <c r="E662" s="20"/>
      <c r="F662" s="20"/>
      <c r="G662" s="20"/>
      <c r="H662" s="1"/>
      <c r="I662" s="1"/>
      <c r="J662" s="1"/>
      <c r="K662" s="1"/>
      <c r="L662" s="1"/>
      <c r="M662" s="1"/>
    </row>
    <row r="663" spans="1:13" ht="15.75" customHeight="1">
      <c r="A663" s="1"/>
      <c r="B663" s="1"/>
      <c r="C663" s="1"/>
      <c r="D663" s="20"/>
      <c r="E663" s="20"/>
      <c r="F663" s="20"/>
      <c r="G663" s="20"/>
      <c r="H663" s="1"/>
      <c r="I663" s="1"/>
      <c r="J663" s="1"/>
      <c r="K663" s="1"/>
      <c r="L663" s="1"/>
      <c r="M663" s="1"/>
    </row>
    <row r="664" spans="1:13" ht="15.75" customHeight="1">
      <c r="A664" s="1"/>
      <c r="B664" s="1"/>
      <c r="C664" s="1"/>
      <c r="D664" s="20"/>
      <c r="E664" s="20"/>
      <c r="F664" s="20"/>
      <c r="G664" s="20"/>
      <c r="H664" s="1"/>
      <c r="I664" s="1"/>
      <c r="J664" s="1"/>
      <c r="K664" s="1"/>
      <c r="L664" s="1"/>
      <c r="M664" s="1"/>
    </row>
    <row r="665" spans="1:13" ht="15.75" customHeight="1">
      <c r="A665" s="1"/>
      <c r="B665" s="1"/>
      <c r="C665" s="1"/>
      <c r="D665" s="20"/>
      <c r="E665" s="20"/>
      <c r="F665" s="20"/>
      <c r="G665" s="20"/>
      <c r="H665" s="1"/>
      <c r="I665" s="1"/>
      <c r="J665" s="1"/>
      <c r="K665" s="1"/>
      <c r="L665" s="1"/>
      <c r="M665" s="1"/>
    </row>
    <row r="666" spans="1:13" ht="15.75" customHeight="1">
      <c r="A666" s="1"/>
      <c r="B666" s="1"/>
      <c r="C666" s="1"/>
      <c r="D666" s="20"/>
      <c r="E666" s="20"/>
      <c r="F666" s="20"/>
      <c r="G666" s="20"/>
      <c r="H666" s="1"/>
      <c r="I666" s="1"/>
      <c r="J666" s="1"/>
      <c r="K666" s="1"/>
      <c r="L666" s="1"/>
      <c r="M666" s="1"/>
    </row>
    <row r="667" spans="1:13" ht="15.75" customHeight="1">
      <c r="A667" s="1"/>
      <c r="B667" s="1"/>
      <c r="C667" s="1"/>
      <c r="D667" s="20"/>
      <c r="E667" s="20"/>
      <c r="F667" s="20"/>
      <c r="G667" s="20"/>
      <c r="H667" s="1"/>
      <c r="I667" s="1"/>
      <c r="J667" s="1"/>
      <c r="K667" s="1"/>
      <c r="L667" s="1"/>
      <c r="M667" s="1"/>
    </row>
    <row r="668" spans="1:13" ht="15.75" customHeight="1">
      <c r="A668" s="1"/>
      <c r="B668" s="1"/>
      <c r="C668" s="1"/>
      <c r="D668" s="20"/>
      <c r="E668" s="20"/>
      <c r="F668" s="20"/>
      <c r="G668" s="20"/>
      <c r="H668" s="1"/>
      <c r="I668" s="1"/>
      <c r="J668" s="1"/>
      <c r="K668" s="1"/>
      <c r="L668" s="1"/>
      <c r="M668" s="1"/>
    </row>
    <row r="669" spans="1:13" ht="15.75" customHeight="1">
      <c r="A669" s="1"/>
      <c r="B669" s="1"/>
      <c r="C669" s="1"/>
      <c r="D669" s="20"/>
      <c r="E669" s="20"/>
      <c r="F669" s="20"/>
      <c r="G669" s="20"/>
      <c r="H669" s="1"/>
      <c r="I669" s="1"/>
      <c r="J669" s="1"/>
      <c r="K669" s="1"/>
      <c r="L669" s="1"/>
      <c r="M669" s="1"/>
    </row>
    <row r="670" spans="1:13" ht="15.75" customHeight="1">
      <c r="A670" s="1"/>
      <c r="B670" s="1"/>
      <c r="C670" s="1"/>
      <c r="D670" s="20"/>
      <c r="E670" s="20"/>
      <c r="F670" s="20"/>
      <c r="G670" s="20"/>
      <c r="H670" s="1"/>
      <c r="I670" s="1"/>
      <c r="J670" s="1"/>
      <c r="K670" s="1"/>
      <c r="L670" s="1"/>
      <c r="M670" s="1"/>
    </row>
    <row r="671" spans="1:13" ht="15.75" customHeight="1">
      <c r="A671" s="1"/>
      <c r="B671" s="1"/>
      <c r="C671" s="1"/>
      <c r="D671" s="20"/>
      <c r="E671" s="20"/>
      <c r="F671" s="20"/>
      <c r="G671" s="20"/>
      <c r="H671" s="1"/>
      <c r="I671" s="1"/>
      <c r="J671" s="1"/>
      <c r="K671" s="1"/>
      <c r="L671" s="1"/>
      <c r="M671" s="1"/>
    </row>
    <row r="672" spans="1:13" ht="15.75" customHeight="1">
      <c r="A672" s="1"/>
      <c r="B672" s="1"/>
      <c r="C672" s="1"/>
      <c r="D672" s="20"/>
      <c r="E672" s="20"/>
      <c r="F672" s="20"/>
      <c r="G672" s="20"/>
      <c r="H672" s="1"/>
      <c r="I672" s="1"/>
      <c r="J672" s="1"/>
      <c r="K672" s="1"/>
      <c r="L672" s="1"/>
      <c r="M672" s="1"/>
    </row>
    <row r="673" spans="1:13" ht="15.75" customHeight="1">
      <c r="A673" s="1"/>
      <c r="B673" s="1"/>
      <c r="C673" s="1"/>
      <c r="D673" s="20"/>
      <c r="E673" s="20"/>
      <c r="F673" s="20"/>
      <c r="G673" s="20"/>
      <c r="H673" s="1"/>
      <c r="I673" s="1"/>
      <c r="J673" s="1"/>
      <c r="K673" s="1"/>
      <c r="L673" s="1"/>
      <c r="M673" s="1"/>
    </row>
    <row r="674" spans="1:13" ht="15.75" customHeight="1">
      <c r="A674" s="1"/>
      <c r="B674" s="1"/>
      <c r="C674" s="1"/>
      <c r="D674" s="20"/>
      <c r="E674" s="20"/>
      <c r="F674" s="20"/>
      <c r="G674" s="20"/>
      <c r="H674" s="1"/>
      <c r="I674" s="1"/>
      <c r="J674" s="1"/>
      <c r="K674" s="1"/>
      <c r="L674" s="1"/>
      <c r="M674" s="1"/>
    </row>
    <row r="675" spans="1:13" ht="15.75" customHeight="1">
      <c r="A675" s="1"/>
      <c r="B675" s="1"/>
      <c r="C675" s="1"/>
      <c r="D675" s="20"/>
      <c r="E675" s="20"/>
      <c r="F675" s="20"/>
      <c r="G675" s="20"/>
      <c r="H675" s="1"/>
      <c r="I675" s="1"/>
      <c r="J675" s="1"/>
      <c r="K675" s="1"/>
      <c r="L675" s="1"/>
      <c r="M675" s="1"/>
    </row>
    <row r="676" spans="1:13" ht="15.75" customHeight="1">
      <c r="A676" s="1"/>
      <c r="B676" s="1"/>
      <c r="C676" s="1"/>
      <c r="D676" s="20"/>
      <c r="E676" s="20"/>
      <c r="F676" s="20"/>
      <c r="G676" s="20"/>
      <c r="H676" s="1"/>
      <c r="I676" s="1"/>
      <c r="J676" s="1"/>
      <c r="K676" s="1"/>
      <c r="L676" s="1"/>
      <c r="M676" s="1"/>
    </row>
    <row r="677" spans="1:13" ht="15.75" customHeight="1">
      <c r="A677" s="1"/>
      <c r="B677" s="1"/>
      <c r="C677" s="1"/>
      <c r="D677" s="20"/>
      <c r="E677" s="20"/>
      <c r="F677" s="20"/>
      <c r="G677" s="20"/>
      <c r="H677" s="1"/>
      <c r="I677" s="1"/>
      <c r="J677" s="1"/>
      <c r="K677" s="1"/>
      <c r="L677" s="1"/>
      <c r="M677" s="1"/>
    </row>
    <row r="678" spans="1:13" ht="15.75" customHeight="1">
      <c r="A678" s="1"/>
      <c r="B678" s="1"/>
      <c r="C678" s="1"/>
      <c r="D678" s="20"/>
      <c r="E678" s="20"/>
      <c r="F678" s="20"/>
      <c r="G678" s="20"/>
      <c r="H678" s="1"/>
      <c r="I678" s="1"/>
      <c r="J678" s="1"/>
      <c r="K678" s="1"/>
      <c r="L678" s="1"/>
      <c r="M678" s="1"/>
    </row>
    <row r="679" spans="1:13" ht="15.75" customHeight="1">
      <c r="A679" s="1"/>
      <c r="B679" s="1"/>
      <c r="C679" s="1"/>
      <c r="D679" s="20"/>
      <c r="E679" s="20"/>
      <c r="F679" s="20"/>
      <c r="G679" s="20"/>
      <c r="H679" s="1"/>
      <c r="I679" s="1"/>
      <c r="J679" s="1"/>
      <c r="K679" s="1"/>
      <c r="L679" s="1"/>
      <c r="M679" s="1"/>
    </row>
    <row r="680" spans="1:13" ht="15.75" customHeight="1">
      <c r="A680" s="1"/>
      <c r="B680" s="1"/>
      <c r="C680" s="1"/>
      <c r="D680" s="20"/>
      <c r="E680" s="20"/>
      <c r="F680" s="20"/>
      <c r="G680" s="20"/>
      <c r="H680" s="1"/>
      <c r="I680" s="1"/>
      <c r="J680" s="1"/>
      <c r="K680" s="1"/>
      <c r="L680" s="1"/>
      <c r="M680" s="1"/>
    </row>
    <row r="681" spans="1:13" ht="15.75" customHeight="1">
      <c r="A681" s="1"/>
      <c r="B681" s="1"/>
      <c r="C681" s="1"/>
      <c r="D681" s="20"/>
      <c r="E681" s="20"/>
      <c r="F681" s="20"/>
      <c r="G681" s="20"/>
      <c r="H681" s="1"/>
      <c r="I681" s="1"/>
      <c r="J681" s="1"/>
      <c r="K681" s="1"/>
      <c r="L681" s="1"/>
      <c r="M681" s="1"/>
    </row>
    <row r="682" spans="1:13" ht="15.75" customHeight="1">
      <c r="A682" s="1"/>
      <c r="B682" s="1"/>
      <c r="C682" s="1"/>
      <c r="D682" s="20"/>
      <c r="E682" s="20"/>
      <c r="F682" s="20"/>
      <c r="G682" s="20"/>
      <c r="H682" s="1"/>
      <c r="I682" s="1"/>
      <c r="J682" s="1"/>
      <c r="K682" s="1"/>
      <c r="L682" s="1"/>
      <c r="M682" s="1"/>
    </row>
    <row r="683" spans="1:13" ht="15.75" customHeight="1">
      <c r="A683" s="1"/>
      <c r="B683" s="1"/>
      <c r="C683" s="1"/>
      <c r="D683" s="20"/>
      <c r="E683" s="20"/>
      <c r="F683" s="20"/>
      <c r="G683" s="20"/>
      <c r="H683" s="1"/>
      <c r="I683" s="1"/>
      <c r="J683" s="1"/>
      <c r="K683" s="1"/>
      <c r="L683" s="1"/>
      <c r="M683" s="1"/>
    </row>
    <row r="684" spans="1:13" ht="15.75" customHeight="1">
      <c r="A684" s="1"/>
      <c r="B684" s="1"/>
      <c r="C684" s="1"/>
      <c r="D684" s="20"/>
      <c r="E684" s="20"/>
      <c r="F684" s="20"/>
      <c r="G684" s="20"/>
      <c r="H684" s="1"/>
      <c r="I684" s="1"/>
      <c r="J684" s="1"/>
      <c r="K684" s="1"/>
      <c r="L684" s="1"/>
      <c r="M684" s="1"/>
    </row>
    <row r="685" spans="1:13" ht="15.75" customHeight="1">
      <c r="A685" s="1"/>
      <c r="B685" s="1"/>
      <c r="C685" s="1"/>
      <c r="D685" s="20"/>
      <c r="E685" s="20"/>
      <c r="F685" s="20"/>
      <c r="G685" s="20"/>
      <c r="H685" s="1"/>
      <c r="I685" s="1"/>
      <c r="J685" s="1"/>
      <c r="K685" s="1"/>
      <c r="L685" s="1"/>
      <c r="M685" s="1"/>
    </row>
    <row r="686" spans="1:13" ht="15.75" customHeight="1">
      <c r="A686" s="1"/>
      <c r="B686" s="1"/>
      <c r="C686" s="1"/>
      <c r="D686" s="20"/>
      <c r="E686" s="20"/>
      <c r="F686" s="20"/>
      <c r="G686" s="20"/>
      <c r="H686" s="1"/>
      <c r="I686" s="1"/>
      <c r="J686" s="1"/>
      <c r="K686" s="1"/>
      <c r="L686" s="1"/>
      <c r="M686" s="1"/>
    </row>
    <row r="687" spans="1:13" ht="15.75" customHeight="1">
      <c r="A687" s="1"/>
      <c r="B687" s="1"/>
      <c r="C687" s="1"/>
      <c r="D687" s="20"/>
      <c r="E687" s="20"/>
      <c r="F687" s="20"/>
      <c r="G687" s="20"/>
      <c r="H687" s="1"/>
      <c r="I687" s="1"/>
      <c r="J687" s="1"/>
      <c r="K687" s="1"/>
      <c r="L687" s="1"/>
      <c r="M687" s="1"/>
    </row>
    <row r="688" spans="1:13" ht="15.75" customHeight="1">
      <c r="A688" s="1"/>
      <c r="B688" s="1"/>
      <c r="C688" s="1"/>
      <c r="D688" s="20"/>
      <c r="E688" s="20"/>
      <c r="F688" s="20"/>
      <c r="G688" s="20"/>
      <c r="H688" s="1"/>
      <c r="I688" s="1"/>
      <c r="J688" s="1"/>
      <c r="K688" s="1"/>
      <c r="L688" s="1"/>
      <c r="M688" s="1"/>
    </row>
    <row r="689" spans="1:13" ht="15.75" customHeight="1">
      <c r="A689" s="1"/>
      <c r="B689" s="1"/>
      <c r="C689" s="1"/>
      <c r="D689" s="20"/>
      <c r="E689" s="20"/>
      <c r="F689" s="20"/>
      <c r="G689" s="20"/>
      <c r="H689" s="1"/>
      <c r="I689" s="1"/>
      <c r="J689" s="1"/>
      <c r="K689" s="1"/>
      <c r="L689" s="1"/>
      <c r="M689" s="1"/>
    </row>
    <row r="690" spans="1:13" ht="15.75" customHeight="1">
      <c r="A690" s="1"/>
      <c r="B690" s="1"/>
      <c r="C690" s="1"/>
      <c r="D690" s="20"/>
      <c r="E690" s="20"/>
      <c r="F690" s="20"/>
      <c r="G690" s="20"/>
      <c r="H690" s="1"/>
      <c r="I690" s="1"/>
      <c r="J690" s="1"/>
      <c r="K690" s="1"/>
      <c r="L690" s="1"/>
      <c r="M690" s="1"/>
    </row>
    <row r="691" spans="1:13" ht="15.75" customHeight="1">
      <c r="A691" s="1"/>
      <c r="B691" s="1"/>
      <c r="C691" s="1"/>
      <c r="D691" s="20"/>
      <c r="E691" s="20"/>
      <c r="F691" s="20"/>
      <c r="G691" s="20"/>
      <c r="H691" s="1"/>
      <c r="I691" s="1"/>
      <c r="J691" s="1"/>
      <c r="K691" s="1"/>
      <c r="L691" s="1"/>
      <c r="M691" s="1"/>
    </row>
    <row r="692" spans="1:13" ht="15.75" customHeight="1">
      <c r="A692" s="1"/>
      <c r="B692" s="1"/>
      <c r="C692" s="1"/>
      <c r="D692" s="20"/>
      <c r="E692" s="20"/>
      <c r="F692" s="20"/>
      <c r="G692" s="20"/>
      <c r="H692" s="1"/>
      <c r="I692" s="1"/>
      <c r="J692" s="1"/>
      <c r="K692" s="1"/>
      <c r="L692" s="1"/>
      <c r="M692" s="1"/>
    </row>
    <row r="693" spans="1:13" ht="15.75" customHeight="1">
      <c r="A693" s="1"/>
      <c r="B693" s="1"/>
      <c r="C693" s="1"/>
      <c r="D693" s="20"/>
      <c r="E693" s="20"/>
      <c r="F693" s="20"/>
      <c r="G693" s="20"/>
      <c r="H693" s="1"/>
      <c r="I693" s="1"/>
      <c r="J693" s="1"/>
      <c r="K693" s="1"/>
      <c r="L693" s="1"/>
      <c r="M693" s="1"/>
    </row>
    <row r="694" spans="1:13" ht="15.75" customHeight="1">
      <c r="A694" s="1"/>
      <c r="B694" s="1"/>
      <c r="C694" s="1"/>
      <c r="D694" s="20"/>
      <c r="E694" s="20"/>
      <c r="F694" s="20"/>
      <c r="G694" s="20"/>
      <c r="H694" s="1"/>
      <c r="I694" s="1"/>
      <c r="J694" s="1"/>
      <c r="K694" s="1"/>
      <c r="L694" s="1"/>
      <c r="M694" s="1"/>
    </row>
    <row r="695" spans="1:13" ht="15.75" customHeight="1">
      <c r="A695" s="1"/>
      <c r="B695" s="1"/>
      <c r="C695" s="1"/>
      <c r="D695" s="20"/>
      <c r="E695" s="20"/>
      <c r="F695" s="20"/>
      <c r="G695" s="20"/>
      <c r="H695" s="1"/>
      <c r="I695" s="1"/>
      <c r="J695" s="1"/>
      <c r="K695" s="1"/>
      <c r="L695" s="1"/>
      <c r="M695" s="1"/>
    </row>
    <row r="696" spans="1:13" ht="15.75" customHeight="1">
      <c r="A696" s="1"/>
      <c r="B696" s="1"/>
      <c r="C696" s="1"/>
      <c r="D696" s="20"/>
      <c r="E696" s="20"/>
      <c r="F696" s="20"/>
      <c r="G696" s="20"/>
      <c r="H696" s="1"/>
      <c r="I696" s="1"/>
      <c r="J696" s="1"/>
      <c r="K696" s="1"/>
      <c r="L696" s="1"/>
      <c r="M696" s="1"/>
    </row>
    <row r="697" spans="1:13" ht="15.75" customHeight="1">
      <c r="A697" s="1"/>
      <c r="B697" s="1"/>
      <c r="C697" s="1"/>
      <c r="D697" s="20"/>
      <c r="E697" s="20"/>
      <c r="F697" s="20"/>
      <c r="G697" s="20"/>
      <c r="H697" s="1"/>
      <c r="I697" s="1"/>
      <c r="J697" s="1"/>
      <c r="K697" s="1"/>
      <c r="L697" s="1"/>
      <c r="M697" s="1"/>
    </row>
    <row r="698" spans="1:13" ht="15.75" customHeight="1">
      <c r="A698" s="1"/>
      <c r="B698" s="1"/>
      <c r="C698" s="1"/>
      <c r="D698" s="20"/>
      <c r="E698" s="20"/>
      <c r="F698" s="20"/>
      <c r="G698" s="20"/>
      <c r="H698" s="1"/>
      <c r="I698" s="1"/>
      <c r="J698" s="1"/>
      <c r="K698" s="1"/>
      <c r="L698" s="1"/>
      <c r="M698" s="1"/>
    </row>
    <row r="699" spans="1:13" ht="15.75" customHeight="1">
      <c r="A699" s="1"/>
      <c r="B699" s="1"/>
      <c r="C699" s="1"/>
      <c r="D699" s="20"/>
      <c r="E699" s="20"/>
      <c r="F699" s="20"/>
      <c r="G699" s="20"/>
      <c r="H699" s="1"/>
      <c r="I699" s="1"/>
      <c r="J699" s="1"/>
      <c r="K699" s="1"/>
      <c r="L699" s="1"/>
      <c r="M699" s="1"/>
    </row>
    <row r="700" spans="1:13" ht="15.75" customHeight="1">
      <c r="A700" s="1"/>
      <c r="B700" s="1"/>
      <c r="C700" s="1"/>
      <c r="D700" s="20"/>
      <c r="E700" s="20"/>
      <c r="F700" s="20"/>
      <c r="G700" s="20"/>
      <c r="H700" s="1"/>
      <c r="I700" s="1"/>
      <c r="J700" s="1"/>
      <c r="K700" s="1"/>
      <c r="L700" s="1"/>
      <c r="M700" s="1"/>
    </row>
    <row r="701" spans="1:13" ht="15.75" customHeight="1">
      <c r="A701" s="1"/>
      <c r="B701" s="1"/>
      <c r="C701" s="1"/>
      <c r="D701" s="20"/>
      <c r="E701" s="20"/>
      <c r="F701" s="20"/>
      <c r="G701" s="20"/>
      <c r="H701" s="1"/>
      <c r="I701" s="1"/>
      <c r="J701" s="1"/>
      <c r="K701" s="1"/>
      <c r="L701" s="1"/>
      <c r="M701" s="1"/>
    </row>
    <row r="702" spans="1:13" ht="15.75" customHeight="1">
      <c r="A702" s="1"/>
      <c r="B702" s="1"/>
      <c r="C702" s="1"/>
      <c r="D702" s="20"/>
      <c r="E702" s="20"/>
      <c r="F702" s="20"/>
      <c r="G702" s="20"/>
      <c r="H702" s="1"/>
      <c r="I702" s="1"/>
      <c r="J702" s="1"/>
      <c r="K702" s="1"/>
      <c r="L702" s="1"/>
      <c r="M702" s="1"/>
    </row>
    <row r="703" spans="1:13" ht="15.75" customHeight="1">
      <c r="A703" s="1"/>
      <c r="B703" s="1"/>
      <c r="C703" s="1"/>
      <c r="D703" s="20"/>
      <c r="E703" s="20"/>
      <c r="F703" s="20"/>
      <c r="G703" s="20"/>
      <c r="H703" s="1"/>
      <c r="I703" s="1"/>
      <c r="J703" s="1"/>
      <c r="K703" s="1"/>
      <c r="L703" s="1"/>
      <c r="M703" s="1"/>
    </row>
    <row r="704" spans="1:13" ht="15.75" customHeight="1">
      <c r="A704" s="1"/>
      <c r="B704" s="1"/>
      <c r="C704" s="1"/>
      <c r="D704" s="20"/>
      <c r="E704" s="20"/>
      <c r="F704" s="20"/>
      <c r="G704" s="20"/>
      <c r="H704" s="1"/>
      <c r="I704" s="1"/>
      <c r="J704" s="1"/>
      <c r="K704" s="1"/>
      <c r="L704" s="1"/>
      <c r="M704" s="1"/>
    </row>
    <row r="705" spans="1:13" ht="15.75" customHeight="1">
      <c r="A705" s="1"/>
      <c r="B705" s="1"/>
      <c r="C705" s="1"/>
      <c r="D705" s="20"/>
      <c r="E705" s="20"/>
      <c r="F705" s="20"/>
      <c r="G705" s="20"/>
      <c r="H705" s="1"/>
      <c r="I705" s="1"/>
      <c r="J705" s="1"/>
      <c r="K705" s="1"/>
      <c r="L705" s="1"/>
      <c r="M705" s="1"/>
    </row>
    <row r="706" spans="1:13" ht="15.75" customHeight="1">
      <c r="A706" s="1"/>
      <c r="B706" s="1"/>
      <c r="C706" s="1"/>
      <c r="D706" s="20"/>
      <c r="E706" s="20"/>
      <c r="F706" s="20"/>
      <c r="G706" s="20"/>
      <c r="H706" s="1"/>
      <c r="I706" s="1"/>
      <c r="J706" s="1"/>
      <c r="K706" s="1"/>
      <c r="L706" s="1"/>
      <c r="M706" s="1"/>
    </row>
    <row r="707" spans="1:13" ht="15.75" customHeight="1">
      <c r="A707" s="1"/>
      <c r="B707" s="1"/>
      <c r="C707" s="1"/>
      <c r="D707" s="20"/>
      <c r="E707" s="20"/>
      <c r="F707" s="20"/>
      <c r="G707" s="20"/>
      <c r="H707" s="1"/>
      <c r="I707" s="1"/>
      <c r="J707" s="1"/>
      <c r="K707" s="1"/>
      <c r="L707" s="1"/>
      <c r="M707" s="1"/>
    </row>
    <row r="708" spans="1:13" ht="15.75" customHeight="1">
      <c r="A708" s="1"/>
      <c r="B708" s="1"/>
      <c r="C708" s="1"/>
      <c r="D708" s="20"/>
      <c r="E708" s="20"/>
      <c r="F708" s="20"/>
      <c r="G708" s="20"/>
      <c r="H708" s="1"/>
      <c r="I708" s="1"/>
      <c r="J708" s="1"/>
      <c r="K708" s="1"/>
      <c r="L708" s="1"/>
      <c r="M708" s="1"/>
    </row>
    <row r="709" spans="1:13" ht="15.75" customHeight="1">
      <c r="A709" s="1"/>
      <c r="B709" s="1"/>
      <c r="C709" s="1"/>
      <c r="D709" s="20"/>
      <c r="E709" s="20"/>
      <c r="F709" s="20"/>
      <c r="G709" s="20"/>
      <c r="H709" s="1"/>
      <c r="I709" s="1"/>
      <c r="J709" s="1"/>
      <c r="K709" s="1"/>
      <c r="L709" s="1"/>
      <c r="M709" s="1"/>
    </row>
    <row r="710" spans="1:13" ht="15.75" customHeight="1">
      <c r="A710" s="1"/>
      <c r="B710" s="1"/>
      <c r="C710" s="1"/>
      <c r="D710" s="20"/>
      <c r="E710" s="20"/>
      <c r="F710" s="20"/>
      <c r="G710" s="20"/>
      <c r="H710" s="1"/>
      <c r="I710" s="1"/>
      <c r="J710" s="1"/>
      <c r="K710" s="1"/>
      <c r="L710" s="1"/>
      <c r="M710" s="1"/>
    </row>
    <row r="711" spans="1:13" ht="15.75" customHeight="1">
      <c r="A711" s="1"/>
      <c r="B711" s="1"/>
      <c r="C711" s="1"/>
      <c r="D711" s="20"/>
      <c r="E711" s="20"/>
      <c r="F711" s="20"/>
      <c r="G711" s="20"/>
      <c r="H711" s="1"/>
      <c r="I711" s="1"/>
      <c r="J711" s="1"/>
      <c r="K711" s="1"/>
      <c r="L711" s="1"/>
      <c r="M711" s="1"/>
    </row>
    <row r="712" spans="1:13" ht="15.75" customHeight="1">
      <c r="A712" s="1"/>
      <c r="B712" s="1"/>
      <c r="C712" s="1"/>
      <c r="D712" s="20"/>
      <c r="E712" s="20"/>
      <c r="F712" s="20"/>
      <c r="G712" s="20"/>
      <c r="H712" s="1"/>
      <c r="I712" s="1"/>
      <c r="J712" s="1"/>
      <c r="K712" s="1"/>
      <c r="L712" s="1"/>
      <c r="M712" s="1"/>
    </row>
    <row r="713" spans="1:13" ht="15.75" customHeight="1">
      <c r="A713" s="1"/>
      <c r="B713" s="1"/>
      <c r="C713" s="1"/>
      <c r="D713" s="20"/>
      <c r="E713" s="20"/>
      <c r="F713" s="20"/>
      <c r="G713" s="20"/>
      <c r="H713" s="1"/>
      <c r="I713" s="1"/>
      <c r="J713" s="1"/>
      <c r="K713" s="1"/>
      <c r="L713" s="1"/>
      <c r="M713" s="1"/>
    </row>
    <row r="714" spans="1:13" ht="15.75" customHeight="1">
      <c r="A714" s="1"/>
      <c r="B714" s="1"/>
      <c r="C714" s="1"/>
      <c r="D714" s="20"/>
      <c r="E714" s="20"/>
      <c r="F714" s="20"/>
      <c r="G714" s="20"/>
      <c r="H714" s="1"/>
      <c r="I714" s="1"/>
      <c r="J714" s="1"/>
      <c r="K714" s="1"/>
      <c r="L714" s="1"/>
      <c r="M714" s="1"/>
    </row>
    <row r="715" spans="1:13" ht="15.75" customHeight="1">
      <c r="A715" s="1"/>
      <c r="B715" s="1"/>
      <c r="C715" s="1"/>
      <c r="D715" s="20"/>
      <c r="E715" s="20"/>
      <c r="F715" s="20"/>
      <c r="G715" s="20"/>
      <c r="H715" s="1"/>
      <c r="I715" s="1"/>
      <c r="J715" s="1"/>
      <c r="K715" s="1"/>
      <c r="L715" s="1"/>
      <c r="M715" s="1"/>
    </row>
    <row r="716" spans="1:13" ht="15.75" customHeight="1">
      <c r="A716" s="1"/>
      <c r="B716" s="1"/>
      <c r="C716" s="1"/>
      <c r="D716" s="20"/>
      <c r="E716" s="20"/>
      <c r="F716" s="20"/>
      <c r="G716" s="20"/>
      <c r="H716" s="1"/>
      <c r="I716" s="1"/>
      <c r="J716" s="1"/>
      <c r="K716" s="1"/>
      <c r="L716" s="1"/>
      <c r="M716" s="1"/>
    </row>
    <row r="717" spans="1:13" ht="15.75" customHeight="1">
      <c r="A717" s="1"/>
      <c r="B717" s="1"/>
      <c r="C717" s="1"/>
      <c r="D717" s="20"/>
      <c r="E717" s="20"/>
      <c r="F717" s="20"/>
      <c r="G717" s="20"/>
      <c r="H717" s="1"/>
      <c r="I717" s="1"/>
      <c r="J717" s="1"/>
      <c r="K717" s="1"/>
      <c r="L717" s="1"/>
      <c r="M717" s="1"/>
    </row>
    <row r="718" spans="1:13" ht="15.75" customHeight="1">
      <c r="A718" s="1"/>
      <c r="B718" s="1"/>
      <c r="C718" s="1"/>
      <c r="D718" s="20"/>
      <c r="E718" s="20"/>
      <c r="F718" s="20"/>
      <c r="G718" s="20"/>
      <c r="H718" s="1"/>
      <c r="I718" s="1"/>
      <c r="J718" s="1"/>
      <c r="K718" s="1"/>
      <c r="L718" s="1"/>
      <c r="M718" s="1"/>
    </row>
    <row r="719" spans="1:13" ht="15.75" customHeight="1">
      <c r="A719" s="1"/>
      <c r="B719" s="1"/>
      <c r="C719" s="1"/>
      <c r="D719" s="20"/>
      <c r="E719" s="20"/>
      <c r="F719" s="20"/>
      <c r="G719" s="20"/>
      <c r="H719" s="1"/>
      <c r="I719" s="1"/>
      <c r="J719" s="1"/>
      <c r="K719" s="1"/>
      <c r="L719" s="1"/>
      <c r="M719" s="1"/>
    </row>
    <row r="720" spans="1:13" ht="15.75" customHeight="1">
      <c r="A720" s="1"/>
      <c r="B720" s="1"/>
      <c r="C720" s="1"/>
      <c r="D720" s="20"/>
      <c r="E720" s="20"/>
      <c r="F720" s="20"/>
      <c r="G720" s="20"/>
      <c r="H720" s="1"/>
      <c r="I720" s="1"/>
      <c r="J720" s="1"/>
      <c r="K720" s="1"/>
      <c r="L720" s="1"/>
      <c r="M720" s="1"/>
    </row>
    <row r="721" spans="1:13" ht="15.75" customHeight="1">
      <c r="A721" s="1"/>
      <c r="B721" s="1"/>
      <c r="C721" s="1"/>
      <c r="D721" s="20"/>
      <c r="E721" s="20"/>
      <c r="F721" s="20"/>
      <c r="G721" s="20"/>
      <c r="H721" s="1"/>
      <c r="I721" s="1"/>
      <c r="J721" s="1"/>
      <c r="K721" s="1"/>
      <c r="L721" s="1"/>
      <c r="M721" s="1"/>
    </row>
    <row r="722" spans="1:13" ht="15.75" customHeight="1">
      <c r="A722" s="1"/>
      <c r="B722" s="1"/>
      <c r="C722" s="1"/>
      <c r="D722" s="20"/>
      <c r="E722" s="20"/>
      <c r="F722" s="20"/>
      <c r="G722" s="20"/>
      <c r="H722" s="1"/>
      <c r="I722" s="1"/>
      <c r="J722" s="1"/>
      <c r="K722" s="1"/>
      <c r="L722" s="1"/>
      <c r="M722" s="1"/>
    </row>
    <row r="723" spans="1:13" ht="15.75" customHeight="1">
      <c r="A723" s="1"/>
      <c r="B723" s="1"/>
      <c r="C723" s="1"/>
      <c r="D723" s="20"/>
      <c r="E723" s="20"/>
      <c r="F723" s="20"/>
      <c r="G723" s="20"/>
      <c r="H723" s="1"/>
      <c r="I723" s="1"/>
      <c r="J723" s="1"/>
      <c r="K723" s="1"/>
      <c r="L723" s="1"/>
      <c r="M723" s="1"/>
    </row>
    <row r="724" spans="1:13" ht="15.75" customHeight="1">
      <c r="A724" s="1"/>
      <c r="B724" s="1"/>
      <c r="C724" s="1"/>
      <c r="D724" s="20"/>
      <c r="E724" s="20"/>
      <c r="F724" s="20"/>
      <c r="G724" s="20"/>
      <c r="H724" s="1"/>
      <c r="I724" s="1"/>
      <c r="J724" s="1"/>
      <c r="K724" s="1"/>
      <c r="L724" s="1"/>
      <c r="M724" s="1"/>
    </row>
    <row r="725" spans="1:13" ht="15.75" customHeight="1">
      <c r="A725" s="1"/>
      <c r="B725" s="1"/>
      <c r="C725" s="1"/>
      <c r="D725" s="20"/>
      <c r="E725" s="20"/>
      <c r="F725" s="20"/>
      <c r="G725" s="20"/>
      <c r="H725" s="1"/>
      <c r="I725" s="1"/>
      <c r="J725" s="1"/>
      <c r="K725" s="1"/>
      <c r="L725" s="1"/>
      <c r="M725" s="1"/>
    </row>
    <row r="726" spans="1:13" ht="15.75" customHeight="1">
      <c r="A726" s="1"/>
      <c r="B726" s="1"/>
      <c r="C726" s="1"/>
      <c r="D726" s="20"/>
      <c r="E726" s="20"/>
      <c r="F726" s="20"/>
      <c r="G726" s="20"/>
      <c r="H726" s="1"/>
      <c r="I726" s="1"/>
      <c r="J726" s="1"/>
      <c r="K726" s="1"/>
      <c r="L726" s="1"/>
      <c r="M726" s="1"/>
    </row>
    <row r="727" spans="1:13" ht="15.75" customHeight="1">
      <c r="A727" s="1"/>
      <c r="B727" s="1"/>
      <c r="C727" s="1"/>
      <c r="D727" s="20"/>
      <c r="E727" s="20"/>
      <c r="F727" s="20"/>
      <c r="G727" s="20"/>
      <c r="H727" s="1"/>
      <c r="I727" s="1"/>
      <c r="J727" s="1"/>
      <c r="K727" s="1"/>
      <c r="L727" s="1"/>
      <c r="M727" s="1"/>
    </row>
    <row r="728" spans="1:13" ht="15.75" customHeight="1">
      <c r="A728" s="1"/>
      <c r="B728" s="1"/>
      <c r="C728" s="1"/>
      <c r="D728" s="20"/>
      <c r="E728" s="20"/>
      <c r="F728" s="20"/>
      <c r="G728" s="20"/>
      <c r="H728" s="1"/>
      <c r="I728" s="1"/>
      <c r="J728" s="1"/>
      <c r="K728" s="1"/>
      <c r="L728" s="1"/>
      <c r="M728" s="1"/>
    </row>
    <row r="729" spans="1:13" ht="15.75" customHeight="1">
      <c r="A729" s="1"/>
      <c r="B729" s="1"/>
      <c r="C729" s="1"/>
      <c r="D729" s="20"/>
      <c r="E729" s="20"/>
      <c r="F729" s="20"/>
      <c r="G729" s="20"/>
      <c r="H729" s="1"/>
      <c r="I729" s="1"/>
      <c r="J729" s="1"/>
      <c r="K729" s="1"/>
      <c r="L729" s="1"/>
      <c r="M729" s="1"/>
    </row>
    <row r="730" spans="1:13" ht="15.75" customHeight="1">
      <c r="A730" s="1"/>
      <c r="B730" s="1"/>
      <c r="C730" s="1"/>
      <c r="D730" s="20"/>
      <c r="E730" s="20"/>
      <c r="F730" s="20"/>
      <c r="G730" s="20"/>
      <c r="H730" s="1"/>
      <c r="I730" s="1"/>
      <c r="J730" s="1"/>
      <c r="K730" s="1"/>
      <c r="L730" s="1"/>
      <c r="M730" s="1"/>
    </row>
    <row r="731" spans="1:13" ht="15.75" customHeight="1">
      <c r="A731" s="1"/>
      <c r="B731" s="1"/>
      <c r="C731" s="1"/>
      <c r="D731" s="20"/>
      <c r="E731" s="20"/>
      <c r="F731" s="20"/>
      <c r="G731" s="20"/>
      <c r="H731" s="1"/>
      <c r="I731" s="1"/>
      <c r="J731" s="1"/>
      <c r="K731" s="1"/>
      <c r="L731" s="1"/>
      <c r="M731" s="1"/>
    </row>
    <row r="732" spans="1:13" ht="15.75" customHeight="1">
      <c r="A732" s="1"/>
      <c r="B732" s="1"/>
      <c r="C732" s="1"/>
      <c r="D732" s="20"/>
      <c r="E732" s="20"/>
      <c r="F732" s="20"/>
      <c r="G732" s="20"/>
      <c r="H732" s="1"/>
      <c r="I732" s="1"/>
      <c r="J732" s="1"/>
      <c r="K732" s="1"/>
      <c r="L732" s="1"/>
      <c r="M732" s="1"/>
    </row>
    <row r="733" spans="1:13" ht="15.75" customHeight="1">
      <c r="A733" s="1"/>
      <c r="B733" s="1"/>
      <c r="C733" s="1"/>
      <c r="D733" s="20"/>
      <c r="E733" s="20"/>
      <c r="F733" s="20"/>
      <c r="G733" s="20"/>
      <c r="H733" s="1"/>
      <c r="I733" s="1"/>
      <c r="J733" s="1"/>
      <c r="K733" s="1"/>
      <c r="L733" s="1"/>
      <c r="M733" s="1"/>
    </row>
    <row r="734" spans="1:13" ht="15.75" customHeight="1">
      <c r="A734" s="1"/>
      <c r="B734" s="1"/>
      <c r="C734" s="1"/>
      <c r="D734" s="20"/>
      <c r="E734" s="20"/>
      <c r="F734" s="20"/>
      <c r="G734" s="20"/>
      <c r="H734" s="1"/>
      <c r="I734" s="1"/>
      <c r="J734" s="1"/>
      <c r="K734" s="1"/>
      <c r="L734" s="1"/>
      <c r="M734" s="1"/>
    </row>
    <row r="735" spans="1:13" ht="15.75" customHeight="1">
      <c r="A735" s="1"/>
      <c r="B735" s="1"/>
      <c r="C735" s="1"/>
      <c r="D735" s="20"/>
      <c r="E735" s="20"/>
      <c r="F735" s="20"/>
      <c r="G735" s="20"/>
      <c r="H735" s="1"/>
      <c r="I735" s="1"/>
      <c r="J735" s="1"/>
      <c r="K735" s="1"/>
      <c r="L735" s="1"/>
      <c r="M735" s="1"/>
    </row>
    <row r="736" spans="1:13" ht="15.75" customHeight="1">
      <c r="A736" s="1"/>
      <c r="B736" s="1"/>
      <c r="C736" s="1"/>
      <c r="D736" s="20"/>
      <c r="E736" s="20"/>
      <c r="F736" s="20"/>
      <c r="G736" s="20"/>
      <c r="H736" s="1"/>
      <c r="I736" s="1"/>
      <c r="J736" s="1"/>
      <c r="K736" s="1"/>
      <c r="L736" s="1"/>
      <c r="M736" s="1"/>
    </row>
    <row r="737" spans="1:13" ht="15.75" customHeight="1">
      <c r="A737" s="1"/>
      <c r="B737" s="1"/>
      <c r="C737" s="1"/>
      <c r="D737" s="20"/>
      <c r="E737" s="20"/>
      <c r="F737" s="20"/>
      <c r="G737" s="20"/>
      <c r="H737" s="1"/>
      <c r="I737" s="1"/>
      <c r="J737" s="1"/>
      <c r="K737" s="1"/>
      <c r="L737" s="1"/>
      <c r="M737" s="1"/>
    </row>
    <row r="738" spans="1:13" ht="15.75" customHeight="1">
      <c r="A738" s="1"/>
      <c r="B738" s="1"/>
      <c r="C738" s="1"/>
      <c r="D738" s="20"/>
      <c r="E738" s="20"/>
      <c r="F738" s="20"/>
      <c r="G738" s="20"/>
      <c r="H738" s="1"/>
      <c r="I738" s="1"/>
      <c r="J738" s="1"/>
      <c r="K738" s="1"/>
      <c r="L738" s="1"/>
      <c r="M738" s="1"/>
    </row>
    <row r="739" spans="1:13" ht="15.75" customHeight="1">
      <c r="A739" s="1"/>
      <c r="B739" s="1"/>
      <c r="C739" s="1"/>
      <c r="D739" s="20"/>
      <c r="E739" s="20"/>
      <c r="F739" s="20"/>
      <c r="G739" s="20"/>
      <c r="H739" s="1"/>
      <c r="I739" s="1"/>
      <c r="J739" s="1"/>
      <c r="K739" s="1"/>
      <c r="L739" s="1"/>
      <c r="M739" s="1"/>
    </row>
    <row r="740" spans="1:13" ht="15.75" customHeight="1">
      <c r="A740" s="1"/>
      <c r="B740" s="1"/>
      <c r="C740" s="1"/>
      <c r="D740" s="20"/>
      <c r="E740" s="20"/>
      <c r="F740" s="20"/>
      <c r="G740" s="20"/>
      <c r="H740" s="1"/>
      <c r="I740" s="1"/>
      <c r="J740" s="1"/>
      <c r="K740" s="1"/>
      <c r="L740" s="1"/>
      <c r="M740" s="1"/>
    </row>
    <row r="741" spans="1:13" ht="15.75" customHeight="1">
      <c r="A741" s="1"/>
      <c r="B741" s="1"/>
      <c r="C741" s="1"/>
      <c r="D741" s="20"/>
      <c r="E741" s="20"/>
      <c r="F741" s="20"/>
      <c r="G741" s="20"/>
      <c r="H741" s="1"/>
      <c r="I741" s="1"/>
      <c r="J741" s="1"/>
      <c r="K741" s="1"/>
      <c r="L741" s="1"/>
      <c r="M741" s="1"/>
    </row>
    <row r="742" spans="1:13" ht="15.75" customHeight="1">
      <c r="A742" s="1"/>
      <c r="B742" s="1"/>
      <c r="C742" s="1"/>
      <c r="D742" s="20"/>
      <c r="E742" s="20"/>
      <c r="F742" s="20"/>
      <c r="G742" s="20"/>
      <c r="H742" s="1"/>
      <c r="I742" s="1"/>
      <c r="J742" s="1"/>
      <c r="K742" s="1"/>
      <c r="L742" s="1"/>
      <c r="M742" s="1"/>
    </row>
    <row r="743" spans="1:13" ht="15.75" customHeight="1">
      <c r="A743" s="1"/>
      <c r="B743" s="1"/>
      <c r="C743" s="1"/>
      <c r="D743" s="20"/>
      <c r="E743" s="20"/>
      <c r="F743" s="20"/>
      <c r="G743" s="20"/>
      <c r="H743" s="1"/>
      <c r="I743" s="1"/>
      <c r="J743" s="1"/>
      <c r="K743" s="1"/>
      <c r="L743" s="1"/>
      <c r="M743" s="1"/>
    </row>
    <row r="744" spans="1:13" ht="15.75" customHeight="1">
      <c r="A744" s="1"/>
      <c r="B744" s="1"/>
      <c r="C744" s="1"/>
      <c r="D744" s="20"/>
      <c r="E744" s="20"/>
      <c r="F744" s="20"/>
      <c r="G744" s="20"/>
      <c r="H744" s="1"/>
      <c r="I744" s="1"/>
      <c r="J744" s="1"/>
      <c r="K744" s="1"/>
      <c r="L744" s="1"/>
      <c r="M744" s="1"/>
    </row>
    <row r="745" spans="1:13" ht="15.75" customHeight="1">
      <c r="A745" s="1"/>
      <c r="B745" s="1"/>
      <c r="C745" s="1"/>
      <c r="D745" s="20"/>
      <c r="E745" s="20"/>
      <c r="F745" s="20"/>
      <c r="G745" s="20"/>
      <c r="H745" s="1"/>
      <c r="I745" s="1"/>
      <c r="J745" s="1"/>
      <c r="K745" s="1"/>
      <c r="L745" s="1"/>
      <c r="M745" s="1"/>
    </row>
    <row r="746" spans="1:13" ht="15.75" customHeight="1">
      <c r="A746" s="1"/>
      <c r="B746" s="1"/>
      <c r="C746" s="1"/>
      <c r="D746" s="20"/>
      <c r="E746" s="20"/>
      <c r="F746" s="20"/>
      <c r="G746" s="20"/>
      <c r="H746" s="1"/>
      <c r="I746" s="1"/>
      <c r="J746" s="1"/>
      <c r="K746" s="1"/>
      <c r="L746" s="1"/>
      <c r="M746" s="1"/>
    </row>
    <row r="747" spans="1:13" ht="15.75" customHeight="1">
      <c r="A747" s="1"/>
      <c r="B747" s="1"/>
      <c r="C747" s="1"/>
      <c r="D747" s="20"/>
      <c r="E747" s="20"/>
      <c r="F747" s="20"/>
      <c r="G747" s="20"/>
      <c r="H747" s="1"/>
      <c r="I747" s="1"/>
      <c r="J747" s="1"/>
      <c r="K747" s="1"/>
      <c r="L747" s="1"/>
      <c r="M747" s="1"/>
    </row>
    <row r="748" spans="1:13" ht="15.75" customHeight="1">
      <c r="A748" s="1"/>
      <c r="B748" s="1"/>
      <c r="C748" s="1"/>
      <c r="D748" s="20"/>
      <c r="E748" s="20"/>
      <c r="F748" s="20"/>
      <c r="G748" s="20"/>
      <c r="H748" s="1"/>
      <c r="I748" s="1"/>
      <c r="J748" s="1"/>
      <c r="K748" s="1"/>
      <c r="L748" s="1"/>
      <c r="M748" s="1"/>
    </row>
    <row r="749" spans="1:13" ht="15.75" customHeight="1">
      <c r="A749" s="1"/>
      <c r="B749" s="1"/>
      <c r="C749" s="1"/>
      <c r="D749" s="20"/>
      <c r="E749" s="20"/>
      <c r="F749" s="20"/>
      <c r="G749" s="20"/>
      <c r="H749" s="1"/>
      <c r="I749" s="1"/>
      <c r="J749" s="1"/>
      <c r="K749" s="1"/>
      <c r="L749" s="1"/>
      <c r="M749" s="1"/>
    </row>
    <row r="750" spans="1:13" ht="15.75" customHeight="1">
      <c r="A750" s="1"/>
      <c r="B750" s="1"/>
      <c r="C750" s="1"/>
      <c r="D750" s="20"/>
      <c r="E750" s="20"/>
      <c r="F750" s="20"/>
      <c r="G750" s="20"/>
      <c r="H750" s="1"/>
      <c r="I750" s="1"/>
      <c r="J750" s="1"/>
      <c r="K750" s="1"/>
      <c r="L750" s="1"/>
      <c r="M750" s="1"/>
    </row>
    <row r="751" spans="1:13" ht="15.75" customHeight="1">
      <c r="A751" s="1"/>
      <c r="B751" s="1"/>
      <c r="C751" s="1"/>
      <c r="D751" s="20"/>
      <c r="E751" s="20"/>
      <c r="F751" s="20"/>
      <c r="G751" s="20"/>
      <c r="H751" s="1"/>
      <c r="I751" s="1"/>
      <c r="J751" s="1"/>
      <c r="K751" s="1"/>
      <c r="L751" s="1"/>
      <c r="M751" s="1"/>
    </row>
    <row r="752" spans="1:13" ht="15.75" customHeight="1">
      <c r="A752" s="1"/>
      <c r="B752" s="1"/>
      <c r="C752" s="1"/>
      <c r="D752" s="20"/>
      <c r="E752" s="20"/>
      <c r="F752" s="20"/>
      <c r="G752" s="20"/>
      <c r="H752" s="1"/>
      <c r="I752" s="1"/>
      <c r="J752" s="1"/>
      <c r="K752" s="1"/>
      <c r="L752" s="1"/>
      <c r="M752" s="1"/>
    </row>
    <row r="753" spans="1:13" ht="15.75" customHeight="1">
      <c r="A753" s="1"/>
      <c r="B753" s="1"/>
      <c r="C753" s="1"/>
      <c r="D753" s="20"/>
      <c r="E753" s="20"/>
      <c r="F753" s="20"/>
      <c r="G753" s="20"/>
      <c r="H753" s="1"/>
      <c r="I753" s="1"/>
      <c r="J753" s="1"/>
      <c r="K753" s="1"/>
      <c r="L753" s="1"/>
      <c r="M753" s="1"/>
    </row>
    <row r="754" spans="1:13" ht="15.75" customHeight="1">
      <c r="A754" s="1"/>
      <c r="B754" s="1"/>
      <c r="C754" s="1"/>
      <c r="D754" s="20"/>
      <c r="E754" s="20"/>
      <c r="F754" s="20"/>
      <c r="G754" s="20"/>
      <c r="H754" s="1"/>
      <c r="I754" s="1"/>
      <c r="J754" s="1"/>
      <c r="K754" s="1"/>
      <c r="L754" s="1"/>
      <c r="M754" s="1"/>
    </row>
    <row r="755" spans="1:13" ht="15.75" customHeight="1">
      <c r="A755" s="1"/>
      <c r="B755" s="1"/>
      <c r="C755" s="1"/>
      <c r="D755" s="20"/>
      <c r="E755" s="20"/>
      <c r="F755" s="20"/>
      <c r="G755" s="20"/>
      <c r="H755" s="1"/>
      <c r="I755" s="1"/>
      <c r="J755" s="1"/>
      <c r="K755" s="1"/>
      <c r="L755" s="1"/>
      <c r="M755" s="1"/>
    </row>
    <row r="756" spans="1:13" ht="15.75" customHeight="1">
      <c r="A756" s="1"/>
      <c r="B756" s="1"/>
      <c r="C756" s="1"/>
      <c r="D756" s="20"/>
      <c r="E756" s="20"/>
      <c r="F756" s="20"/>
      <c r="G756" s="20"/>
      <c r="H756" s="1"/>
      <c r="I756" s="1"/>
      <c r="J756" s="1"/>
      <c r="K756" s="1"/>
      <c r="L756" s="1"/>
      <c r="M756" s="1"/>
    </row>
    <row r="757" spans="1:13" ht="15.75" customHeight="1">
      <c r="A757" s="1"/>
      <c r="B757" s="1"/>
      <c r="C757" s="1"/>
      <c r="D757" s="20"/>
      <c r="E757" s="20"/>
      <c r="F757" s="20"/>
      <c r="G757" s="20"/>
      <c r="H757" s="1"/>
      <c r="I757" s="1"/>
      <c r="J757" s="1"/>
      <c r="K757" s="1"/>
      <c r="L757" s="1"/>
      <c r="M757" s="1"/>
    </row>
    <row r="758" spans="1:13" ht="15.75" customHeight="1">
      <c r="A758" s="1"/>
      <c r="B758" s="1"/>
      <c r="C758" s="1"/>
      <c r="D758" s="20"/>
      <c r="E758" s="20"/>
      <c r="F758" s="20"/>
      <c r="G758" s="20"/>
      <c r="H758" s="1"/>
      <c r="I758" s="1"/>
      <c r="J758" s="1"/>
      <c r="K758" s="1"/>
      <c r="L758" s="1"/>
      <c r="M758" s="1"/>
    </row>
    <row r="759" spans="1:13" ht="15.75" customHeight="1">
      <c r="A759" s="1"/>
      <c r="B759" s="1"/>
      <c r="C759" s="1"/>
      <c r="D759" s="20"/>
      <c r="E759" s="20"/>
      <c r="F759" s="20"/>
      <c r="G759" s="20"/>
      <c r="H759" s="1"/>
      <c r="I759" s="1"/>
      <c r="J759" s="1"/>
      <c r="K759" s="1"/>
      <c r="L759" s="1"/>
      <c r="M759" s="1"/>
    </row>
    <row r="760" spans="1:13" ht="15.75" customHeight="1">
      <c r="A760" s="1"/>
      <c r="B760" s="1"/>
      <c r="C760" s="1"/>
      <c r="D760" s="20"/>
      <c r="E760" s="20"/>
      <c r="F760" s="20"/>
      <c r="G760" s="20"/>
      <c r="H760" s="1"/>
      <c r="I760" s="1"/>
      <c r="J760" s="1"/>
      <c r="K760" s="1"/>
      <c r="L760" s="1"/>
      <c r="M760" s="1"/>
    </row>
    <row r="761" spans="1:13" ht="15.75" customHeight="1">
      <c r="A761" s="1"/>
      <c r="B761" s="1"/>
      <c r="C761" s="1"/>
      <c r="D761" s="20"/>
      <c r="E761" s="20"/>
      <c r="F761" s="20"/>
      <c r="G761" s="20"/>
      <c r="H761" s="1"/>
      <c r="I761" s="1"/>
      <c r="J761" s="1"/>
      <c r="K761" s="1"/>
      <c r="L761" s="1"/>
      <c r="M761" s="1"/>
    </row>
    <row r="762" spans="1:13" ht="15.75" customHeight="1">
      <c r="A762" s="1"/>
      <c r="B762" s="1"/>
      <c r="C762" s="1"/>
      <c r="D762" s="20"/>
      <c r="E762" s="20"/>
      <c r="F762" s="20"/>
      <c r="G762" s="20"/>
      <c r="H762" s="1"/>
      <c r="I762" s="1"/>
      <c r="J762" s="1"/>
      <c r="K762" s="1"/>
      <c r="L762" s="1"/>
      <c r="M762" s="1"/>
    </row>
    <row r="763" spans="1:13" ht="15.75" customHeight="1">
      <c r="A763" s="1"/>
      <c r="B763" s="1"/>
      <c r="C763" s="1"/>
      <c r="D763" s="20"/>
      <c r="E763" s="20"/>
      <c r="F763" s="20"/>
      <c r="G763" s="20"/>
      <c r="H763" s="1"/>
      <c r="I763" s="1"/>
      <c r="J763" s="1"/>
      <c r="K763" s="1"/>
      <c r="L763" s="1"/>
      <c r="M763" s="1"/>
    </row>
    <row r="764" spans="1:13" ht="15.75" customHeight="1">
      <c r="A764" s="1"/>
      <c r="B764" s="1"/>
      <c r="C764" s="1"/>
      <c r="D764" s="20"/>
      <c r="E764" s="20"/>
      <c r="F764" s="20"/>
      <c r="G764" s="20"/>
      <c r="H764" s="1"/>
      <c r="I764" s="1"/>
      <c r="J764" s="1"/>
      <c r="K764" s="1"/>
      <c r="L764" s="1"/>
      <c r="M764" s="1"/>
    </row>
    <row r="765" spans="1:13" ht="15.75" customHeight="1">
      <c r="A765" s="1"/>
      <c r="B765" s="1"/>
      <c r="C765" s="1"/>
      <c r="D765" s="20"/>
      <c r="E765" s="20"/>
      <c r="F765" s="20"/>
      <c r="G765" s="20"/>
      <c r="H765" s="1"/>
      <c r="I765" s="1"/>
      <c r="J765" s="1"/>
      <c r="K765" s="1"/>
      <c r="L765" s="1"/>
      <c r="M765" s="1"/>
    </row>
    <row r="766" spans="1:13" ht="15.75" customHeight="1">
      <c r="A766" s="1"/>
      <c r="B766" s="1"/>
      <c r="C766" s="1"/>
      <c r="D766" s="20"/>
      <c r="E766" s="20"/>
      <c r="F766" s="20"/>
      <c r="G766" s="20"/>
      <c r="H766" s="1"/>
      <c r="I766" s="1"/>
      <c r="J766" s="1"/>
      <c r="K766" s="1"/>
      <c r="L766" s="1"/>
      <c r="M766" s="1"/>
    </row>
    <row r="767" spans="1:13" ht="15.75" customHeight="1">
      <c r="A767" s="1"/>
      <c r="B767" s="1"/>
      <c r="C767" s="1"/>
      <c r="D767" s="20"/>
      <c r="E767" s="20"/>
      <c r="F767" s="20"/>
      <c r="G767" s="20"/>
      <c r="H767" s="1"/>
      <c r="I767" s="1"/>
      <c r="J767" s="1"/>
      <c r="K767" s="1"/>
      <c r="L767" s="1"/>
      <c r="M767" s="1"/>
    </row>
    <row r="768" spans="1:13" ht="15.75" customHeight="1">
      <c r="A768" s="1"/>
      <c r="B768" s="1"/>
      <c r="C768" s="1"/>
      <c r="D768" s="20"/>
      <c r="E768" s="20"/>
      <c r="F768" s="20"/>
      <c r="G768" s="20"/>
      <c r="H768" s="1"/>
      <c r="I768" s="1"/>
      <c r="J768" s="1"/>
      <c r="K768" s="1"/>
      <c r="L768" s="1"/>
      <c r="M768" s="1"/>
    </row>
    <row r="769" spans="1:13" ht="15.75" customHeight="1">
      <c r="A769" s="1"/>
      <c r="B769" s="1"/>
      <c r="C769" s="1"/>
      <c r="D769" s="20"/>
      <c r="E769" s="20"/>
      <c r="F769" s="20"/>
      <c r="G769" s="20"/>
      <c r="H769" s="1"/>
      <c r="I769" s="1"/>
      <c r="J769" s="1"/>
      <c r="K769" s="1"/>
      <c r="L769" s="1"/>
      <c r="M769" s="1"/>
    </row>
    <row r="770" spans="1:13" ht="15.75" customHeight="1">
      <c r="A770" s="1"/>
      <c r="B770" s="1"/>
      <c r="C770" s="1"/>
      <c r="D770" s="20"/>
      <c r="E770" s="20"/>
      <c r="F770" s="20"/>
      <c r="G770" s="20"/>
      <c r="H770" s="1"/>
      <c r="I770" s="1"/>
      <c r="J770" s="1"/>
      <c r="K770" s="1"/>
      <c r="L770" s="1"/>
      <c r="M770" s="1"/>
    </row>
    <row r="771" spans="1:13" ht="15.75" customHeight="1">
      <c r="A771" s="1"/>
      <c r="B771" s="1"/>
      <c r="C771" s="1"/>
      <c r="D771" s="20"/>
      <c r="E771" s="20"/>
      <c r="F771" s="20"/>
      <c r="G771" s="20"/>
      <c r="H771" s="1"/>
      <c r="I771" s="1"/>
      <c r="J771" s="1"/>
      <c r="K771" s="1"/>
      <c r="L771" s="1"/>
      <c r="M771" s="1"/>
    </row>
    <row r="772" spans="1:13" ht="15.75" customHeight="1">
      <c r="A772" s="1"/>
      <c r="B772" s="1"/>
      <c r="C772" s="1"/>
      <c r="D772" s="20"/>
      <c r="E772" s="20"/>
      <c r="F772" s="20"/>
      <c r="G772" s="20"/>
      <c r="H772" s="1"/>
      <c r="I772" s="1"/>
      <c r="J772" s="1"/>
      <c r="K772" s="1"/>
      <c r="L772" s="1"/>
      <c r="M772" s="1"/>
    </row>
    <row r="773" spans="1:13" ht="15.75" customHeight="1">
      <c r="A773" s="1"/>
      <c r="B773" s="1"/>
      <c r="C773" s="1"/>
      <c r="D773" s="20"/>
      <c r="E773" s="20"/>
      <c r="F773" s="20"/>
      <c r="G773" s="20"/>
      <c r="H773" s="1"/>
      <c r="I773" s="1"/>
      <c r="J773" s="1"/>
      <c r="K773" s="1"/>
      <c r="L773" s="1"/>
      <c r="M773" s="1"/>
    </row>
    <row r="774" spans="1:13" ht="15.75" customHeight="1">
      <c r="A774" s="1"/>
      <c r="B774" s="1"/>
      <c r="C774" s="1"/>
      <c r="D774" s="20"/>
      <c r="E774" s="20"/>
      <c r="F774" s="20"/>
      <c r="G774" s="20"/>
      <c r="H774" s="1"/>
      <c r="I774" s="1"/>
      <c r="J774" s="1"/>
      <c r="K774" s="1"/>
      <c r="L774" s="1"/>
      <c r="M774" s="1"/>
    </row>
    <row r="775" spans="1:13" ht="15.75" customHeight="1">
      <c r="A775" s="1"/>
      <c r="B775" s="1"/>
      <c r="C775" s="1"/>
      <c r="D775" s="20"/>
      <c r="E775" s="20"/>
      <c r="F775" s="20"/>
      <c r="G775" s="20"/>
      <c r="H775" s="1"/>
      <c r="I775" s="1"/>
      <c r="J775" s="1"/>
      <c r="K775" s="1"/>
      <c r="L775" s="1"/>
      <c r="M775" s="1"/>
    </row>
    <row r="776" spans="1:13" ht="15.75" customHeight="1">
      <c r="A776" s="1"/>
      <c r="B776" s="1"/>
      <c r="C776" s="1"/>
      <c r="D776" s="20"/>
      <c r="E776" s="20"/>
      <c r="F776" s="20"/>
      <c r="G776" s="20"/>
      <c r="H776" s="1"/>
      <c r="I776" s="1"/>
      <c r="J776" s="1"/>
      <c r="K776" s="1"/>
      <c r="L776" s="1"/>
      <c r="M776" s="1"/>
    </row>
    <row r="777" spans="1:13" ht="15.75" customHeight="1">
      <c r="A777" s="1"/>
      <c r="B777" s="1"/>
      <c r="C777" s="1"/>
      <c r="D777" s="20"/>
      <c r="E777" s="20"/>
      <c r="F777" s="20"/>
      <c r="G777" s="20"/>
      <c r="H777" s="1"/>
      <c r="I777" s="1"/>
      <c r="J777" s="1"/>
      <c r="K777" s="1"/>
      <c r="L777" s="1"/>
      <c r="M777" s="1"/>
    </row>
    <row r="778" spans="1:13" ht="15.75" customHeight="1">
      <c r="A778" s="1"/>
      <c r="B778" s="1"/>
      <c r="C778" s="1"/>
      <c r="D778" s="20"/>
      <c r="E778" s="20"/>
      <c r="F778" s="20"/>
      <c r="G778" s="20"/>
      <c r="H778" s="1"/>
      <c r="I778" s="1"/>
      <c r="J778" s="1"/>
      <c r="K778" s="1"/>
      <c r="L778" s="1"/>
      <c r="M778" s="1"/>
    </row>
    <row r="779" spans="1:13" ht="15.75" customHeight="1">
      <c r="A779" s="1"/>
      <c r="B779" s="1"/>
      <c r="C779" s="1"/>
      <c r="D779" s="20"/>
      <c r="E779" s="20"/>
      <c r="F779" s="20"/>
      <c r="G779" s="20"/>
      <c r="H779" s="1"/>
      <c r="I779" s="1"/>
      <c r="J779" s="1"/>
      <c r="K779" s="1"/>
      <c r="L779" s="1"/>
      <c r="M779" s="1"/>
    </row>
    <row r="780" spans="1:13" ht="15.75" customHeight="1">
      <c r="A780" s="1"/>
      <c r="B780" s="1"/>
      <c r="C780" s="1"/>
      <c r="D780" s="20"/>
      <c r="E780" s="20"/>
      <c r="F780" s="20"/>
      <c r="G780" s="20"/>
      <c r="H780" s="1"/>
      <c r="I780" s="1"/>
      <c r="J780" s="1"/>
      <c r="K780" s="1"/>
      <c r="L780" s="1"/>
      <c r="M780" s="1"/>
    </row>
    <row r="781" spans="1:13" ht="15.75" customHeight="1">
      <c r="A781" s="1"/>
      <c r="B781" s="1"/>
      <c r="C781" s="1"/>
      <c r="D781" s="20"/>
      <c r="E781" s="20"/>
      <c r="F781" s="20"/>
      <c r="G781" s="20"/>
      <c r="H781" s="1"/>
      <c r="I781" s="1"/>
      <c r="J781" s="1"/>
      <c r="K781" s="1"/>
      <c r="L781" s="1"/>
      <c r="M781" s="1"/>
    </row>
    <row r="782" spans="1:13" ht="15.75" customHeight="1">
      <c r="A782" s="1"/>
      <c r="B782" s="1"/>
      <c r="C782" s="1"/>
      <c r="D782" s="20"/>
      <c r="E782" s="20"/>
      <c r="F782" s="20"/>
      <c r="G782" s="20"/>
      <c r="H782" s="1"/>
      <c r="I782" s="1"/>
      <c r="J782" s="1"/>
      <c r="K782" s="1"/>
      <c r="L782" s="1"/>
      <c r="M782" s="1"/>
    </row>
    <row r="783" spans="1:13" ht="15.75" customHeight="1">
      <c r="A783" s="1"/>
      <c r="B783" s="1"/>
      <c r="C783" s="1"/>
      <c r="D783" s="20"/>
      <c r="E783" s="20"/>
      <c r="F783" s="20"/>
      <c r="G783" s="20"/>
      <c r="H783" s="1"/>
      <c r="I783" s="1"/>
      <c r="J783" s="1"/>
      <c r="K783" s="1"/>
      <c r="L783" s="1"/>
      <c r="M783" s="1"/>
    </row>
    <row r="784" spans="1:13" ht="15.75" customHeight="1">
      <c r="A784" s="1"/>
      <c r="B784" s="1"/>
      <c r="C784" s="1"/>
      <c r="D784" s="20"/>
      <c r="E784" s="20"/>
      <c r="F784" s="20"/>
      <c r="G784" s="20"/>
      <c r="H784" s="1"/>
      <c r="I784" s="1"/>
      <c r="J784" s="1"/>
      <c r="K784" s="1"/>
      <c r="L784" s="1"/>
      <c r="M784" s="1"/>
    </row>
    <row r="785" spans="1:13" ht="15.75" customHeight="1">
      <c r="A785" s="1"/>
      <c r="B785" s="1"/>
      <c r="C785" s="1"/>
      <c r="D785" s="20"/>
      <c r="E785" s="20"/>
      <c r="F785" s="20"/>
      <c r="G785" s="20"/>
      <c r="H785" s="1"/>
      <c r="I785" s="1"/>
      <c r="J785" s="1"/>
      <c r="K785" s="1"/>
      <c r="L785" s="1"/>
      <c r="M785" s="1"/>
    </row>
    <row r="786" spans="1:13" ht="15.75" customHeight="1">
      <c r="A786" s="1"/>
      <c r="B786" s="1"/>
      <c r="C786" s="1"/>
      <c r="D786" s="20"/>
      <c r="E786" s="20"/>
      <c r="F786" s="20"/>
      <c r="G786" s="20"/>
      <c r="H786" s="1"/>
      <c r="I786" s="1"/>
      <c r="J786" s="1"/>
      <c r="K786" s="1"/>
      <c r="L786" s="1"/>
      <c r="M786" s="1"/>
    </row>
    <row r="787" spans="1:13" ht="15.75" customHeight="1">
      <c r="A787" s="1"/>
      <c r="B787" s="1"/>
      <c r="C787" s="1"/>
      <c r="D787" s="20"/>
      <c r="E787" s="20"/>
      <c r="F787" s="20"/>
      <c r="G787" s="20"/>
      <c r="H787" s="1"/>
      <c r="I787" s="1"/>
      <c r="J787" s="1"/>
      <c r="K787" s="1"/>
      <c r="L787" s="1"/>
      <c r="M787" s="1"/>
    </row>
    <row r="788" spans="1:13" ht="15.75" customHeight="1">
      <c r="A788" s="1"/>
      <c r="B788" s="1"/>
      <c r="C788" s="1"/>
      <c r="D788" s="20"/>
      <c r="E788" s="20"/>
      <c r="F788" s="20"/>
      <c r="G788" s="20"/>
      <c r="H788" s="1"/>
      <c r="I788" s="1"/>
      <c r="J788" s="1"/>
      <c r="K788" s="1"/>
      <c r="L788" s="1"/>
      <c r="M788" s="1"/>
    </row>
    <row r="789" spans="1:13" ht="15.75" customHeight="1">
      <c r="A789" s="1"/>
      <c r="B789" s="1"/>
      <c r="C789" s="1"/>
      <c r="D789" s="20"/>
      <c r="E789" s="20"/>
      <c r="F789" s="20"/>
      <c r="G789" s="20"/>
      <c r="H789" s="1"/>
      <c r="I789" s="1"/>
      <c r="J789" s="1"/>
      <c r="K789" s="1"/>
      <c r="L789" s="1"/>
      <c r="M789" s="1"/>
    </row>
    <row r="790" spans="1:13" ht="15.75" customHeight="1">
      <c r="A790" s="1"/>
      <c r="B790" s="1"/>
      <c r="C790" s="1"/>
      <c r="D790" s="20"/>
      <c r="E790" s="20"/>
      <c r="F790" s="20"/>
      <c r="G790" s="20"/>
      <c r="H790" s="1"/>
      <c r="I790" s="1"/>
      <c r="J790" s="1"/>
      <c r="K790" s="1"/>
      <c r="L790" s="1"/>
      <c r="M790" s="1"/>
    </row>
    <row r="791" spans="1:13" ht="15.75" customHeight="1">
      <c r="A791" s="1"/>
      <c r="B791" s="1"/>
      <c r="C791" s="1"/>
      <c r="D791" s="20"/>
      <c r="E791" s="20"/>
      <c r="F791" s="20"/>
      <c r="G791" s="20"/>
      <c r="H791" s="1"/>
      <c r="I791" s="1"/>
      <c r="J791" s="1"/>
      <c r="K791" s="1"/>
      <c r="L791" s="1"/>
      <c r="M791" s="1"/>
    </row>
    <row r="792" spans="1:13" ht="15.75" customHeight="1">
      <c r="A792" s="1"/>
      <c r="B792" s="1"/>
      <c r="C792" s="1"/>
      <c r="D792" s="20"/>
      <c r="E792" s="20"/>
      <c r="F792" s="20"/>
      <c r="G792" s="20"/>
      <c r="H792" s="1"/>
      <c r="I792" s="1"/>
      <c r="J792" s="1"/>
      <c r="K792" s="1"/>
      <c r="L792" s="1"/>
      <c r="M792" s="1"/>
    </row>
    <row r="793" spans="1:13" ht="15.75" customHeight="1">
      <c r="A793" s="1"/>
      <c r="B793" s="1"/>
      <c r="C793" s="1"/>
      <c r="D793" s="20"/>
      <c r="E793" s="20"/>
      <c r="F793" s="20"/>
      <c r="G793" s="20"/>
      <c r="H793" s="1"/>
      <c r="I793" s="1"/>
      <c r="J793" s="1"/>
      <c r="K793" s="1"/>
      <c r="L793" s="1"/>
      <c r="M793" s="1"/>
    </row>
    <row r="794" spans="1:13" ht="15.75" customHeight="1">
      <c r="A794" s="1"/>
      <c r="B794" s="1"/>
      <c r="C794" s="1"/>
      <c r="D794" s="20"/>
      <c r="E794" s="20"/>
      <c r="F794" s="20"/>
      <c r="G794" s="20"/>
      <c r="H794" s="1"/>
      <c r="I794" s="1"/>
      <c r="J794" s="1"/>
      <c r="K794" s="1"/>
      <c r="L794" s="1"/>
      <c r="M794" s="1"/>
    </row>
    <row r="795" spans="1:13" ht="15.75" customHeight="1">
      <c r="A795" s="1"/>
      <c r="B795" s="1"/>
      <c r="C795" s="1"/>
      <c r="D795" s="20"/>
      <c r="E795" s="20"/>
      <c r="F795" s="20"/>
      <c r="G795" s="20"/>
      <c r="H795" s="1"/>
      <c r="I795" s="1"/>
      <c r="J795" s="1"/>
      <c r="K795" s="1"/>
      <c r="L795" s="1"/>
      <c r="M795" s="1"/>
    </row>
    <row r="796" spans="1:13" ht="15.75" customHeight="1">
      <c r="A796" s="1"/>
      <c r="B796" s="1"/>
      <c r="C796" s="1"/>
      <c r="D796" s="20"/>
      <c r="E796" s="20"/>
      <c r="F796" s="20"/>
      <c r="G796" s="20"/>
      <c r="H796" s="1"/>
      <c r="I796" s="1"/>
      <c r="J796" s="1"/>
      <c r="K796" s="1"/>
      <c r="L796" s="1"/>
      <c r="M796" s="1"/>
    </row>
    <row r="797" spans="1:13" ht="15.75" customHeight="1">
      <c r="A797" s="1"/>
      <c r="B797" s="1"/>
      <c r="C797" s="1"/>
      <c r="D797" s="20"/>
      <c r="E797" s="20"/>
      <c r="F797" s="20"/>
      <c r="G797" s="20"/>
      <c r="H797" s="1"/>
      <c r="I797" s="1"/>
      <c r="J797" s="1"/>
      <c r="K797" s="1"/>
      <c r="L797" s="1"/>
      <c r="M797" s="1"/>
    </row>
    <row r="798" spans="1:13" ht="15.75" customHeight="1">
      <c r="A798" s="1"/>
      <c r="B798" s="1"/>
      <c r="C798" s="1"/>
      <c r="D798" s="20"/>
      <c r="E798" s="20"/>
      <c r="F798" s="20"/>
      <c r="G798" s="20"/>
      <c r="H798" s="1"/>
      <c r="I798" s="1"/>
      <c r="J798" s="1"/>
      <c r="K798" s="1"/>
      <c r="L798" s="1"/>
      <c r="M798" s="1"/>
    </row>
    <row r="799" spans="1:13" ht="15.75" customHeight="1">
      <c r="A799" s="1"/>
      <c r="B799" s="1"/>
      <c r="C799" s="1"/>
      <c r="D799" s="20"/>
      <c r="E799" s="20"/>
      <c r="F799" s="20"/>
      <c r="G799" s="20"/>
      <c r="H799" s="1"/>
      <c r="I799" s="1"/>
      <c r="J799" s="1"/>
      <c r="K799" s="1"/>
      <c r="L799" s="1"/>
      <c r="M799" s="1"/>
    </row>
    <row r="800" spans="1:13" ht="15.75" customHeight="1">
      <c r="A800" s="1"/>
      <c r="B800" s="1"/>
      <c r="C800" s="1"/>
      <c r="D800" s="20"/>
      <c r="E800" s="20"/>
      <c r="F800" s="20"/>
      <c r="G800" s="20"/>
      <c r="H800" s="1"/>
      <c r="I800" s="1"/>
      <c r="J800" s="1"/>
      <c r="K800" s="1"/>
      <c r="L800" s="1"/>
      <c r="M800" s="1"/>
    </row>
    <row r="801" spans="1:13" ht="15.75" customHeight="1">
      <c r="A801" s="1"/>
      <c r="B801" s="1"/>
      <c r="C801" s="1"/>
      <c r="D801" s="20"/>
      <c r="E801" s="20"/>
      <c r="F801" s="20"/>
      <c r="G801" s="20"/>
      <c r="H801" s="1"/>
      <c r="I801" s="1"/>
      <c r="J801" s="1"/>
      <c r="K801" s="1"/>
      <c r="L801" s="1"/>
      <c r="M801" s="1"/>
    </row>
    <row r="802" spans="1:13" ht="15.75" customHeight="1">
      <c r="A802" s="1"/>
      <c r="B802" s="1"/>
      <c r="C802" s="1"/>
      <c r="D802" s="20"/>
      <c r="E802" s="20"/>
      <c r="F802" s="20"/>
      <c r="G802" s="20"/>
      <c r="H802" s="1"/>
      <c r="I802" s="1"/>
      <c r="J802" s="1"/>
      <c r="K802" s="1"/>
      <c r="L802" s="1"/>
      <c r="M802" s="1"/>
    </row>
    <row r="803" spans="1:13" ht="15.75" customHeight="1">
      <c r="A803" s="1"/>
      <c r="B803" s="1"/>
      <c r="C803" s="1"/>
      <c r="D803" s="20"/>
      <c r="E803" s="20"/>
      <c r="F803" s="20"/>
      <c r="G803" s="20"/>
      <c r="H803" s="1"/>
      <c r="I803" s="1"/>
      <c r="J803" s="1"/>
      <c r="K803" s="1"/>
      <c r="L803" s="1"/>
      <c r="M803" s="1"/>
    </row>
    <row r="804" spans="1:13" ht="15.75" customHeight="1">
      <c r="A804" s="1"/>
      <c r="B804" s="1"/>
      <c r="C804" s="1"/>
      <c r="D804" s="20"/>
      <c r="E804" s="20"/>
      <c r="F804" s="20"/>
      <c r="G804" s="20"/>
      <c r="H804" s="1"/>
      <c r="I804" s="1"/>
      <c r="J804" s="1"/>
      <c r="K804" s="1"/>
      <c r="L804" s="1"/>
      <c r="M804" s="1"/>
    </row>
    <row r="805" spans="1:13" ht="15.75" customHeight="1">
      <c r="A805" s="1"/>
      <c r="B805" s="1"/>
      <c r="C805" s="1"/>
      <c r="D805" s="20"/>
      <c r="E805" s="20"/>
      <c r="F805" s="20"/>
      <c r="G805" s="20"/>
      <c r="H805" s="1"/>
      <c r="I805" s="1"/>
      <c r="J805" s="1"/>
      <c r="K805" s="1"/>
      <c r="L805" s="1"/>
      <c r="M805" s="1"/>
    </row>
    <row r="806" spans="1:13" ht="15.75" customHeight="1">
      <c r="A806" s="1"/>
      <c r="B806" s="1"/>
      <c r="C806" s="1"/>
      <c r="D806" s="20"/>
      <c r="E806" s="20"/>
      <c r="F806" s="20"/>
      <c r="G806" s="20"/>
      <c r="H806" s="1"/>
      <c r="I806" s="1"/>
      <c r="J806" s="1"/>
      <c r="K806" s="1"/>
      <c r="L806" s="1"/>
      <c r="M806" s="1"/>
    </row>
    <row r="807" spans="1:13" ht="15.75" customHeight="1">
      <c r="A807" s="1"/>
      <c r="B807" s="1"/>
      <c r="C807" s="1"/>
      <c r="D807" s="20"/>
      <c r="E807" s="20"/>
      <c r="F807" s="20"/>
      <c r="G807" s="20"/>
      <c r="H807" s="1"/>
      <c r="I807" s="1"/>
      <c r="J807" s="1"/>
      <c r="K807" s="1"/>
      <c r="L807" s="1"/>
      <c r="M807" s="1"/>
    </row>
    <row r="808" spans="1:13" ht="15.75" customHeight="1">
      <c r="A808" s="1"/>
      <c r="B808" s="1"/>
      <c r="C808" s="1"/>
      <c r="D808" s="20"/>
      <c r="E808" s="20"/>
      <c r="F808" s="20"/>
      <c r="G808" s="20"/>
      <c r="H808" s="1"/>
      <c r="I808" s="1"/>
      <c r="J808" s="1"/>
      <c r="K808" s="1"/>
      <c r="L808" s="1"/>
      <c r="M808" s="1"/>
    </row>
    <row r="809" spans="1:13" ht="15.75" customHeight="1">
      <c r="A809" s="1"/>
      <c r="B809" s="1"/>
      <c r="C809" s="1"/>
      <c r="D809" s="20"/>
      <c r="E809" s="20"/>
      <c r="F809" s="20"/>
      <c r="G809" s="20"/>
      <c r="H809" s="1"/>
      <c r="I809" s="1"/>
      <c r="J809" s="1"/>
      <c r="K809" s="1"/>
      <c r="L809" s="1"/>
      <c r="M809" s="1"/>
    </row>
    <row r="810" spans="1:13" ht="15.75" customHeight="1">
      <c r="A810" s="1"/>
      <c r="B810" s="1"/>
      <c r="C810" s="1"/>
      <c r="D810" s="20"/>
      <c r="E810" s="20"/>
      <c r="F810" s="20"/>
      <c r="G810" s="20"/>
      <c r="H810" s="1"/>
      <c r="I810" s="1"/>
      <c r="J810" s="1"/>
      <c r="K810" s="1"/>
      <c r="L810" s="1"/>
      <c r="M810" s="1"/>
    </row>
    <row r="811" spans="1:13" ht="15.75" customHeight="1">
      <c r="A811" s="1"/>
      <c r="B811" s="1"/>
      <c r="C811" s="1"/>
      <c r="D811" s="20"/>
      <c r="E811" s="20"/>
      <c r="F811" s="20"/>
      <c r="G811" s="20"/>
      <c r="H811" s="1"/>
      <c r="I811" s="1"/>
      <c r="J811" s="1"/>
      <c r="K811" s="1"/>
      <c r="L811" s="1"/>
      <c r="M811" s="1"/>
    </row>
    <row r="812" spans="1:13" ht="15.75" customHeight="1">
      <c r="A812" s="1"/>
      <c r="B812" s="1"/>
      <c r="C812" s="1"/>
      <c r="D812" s="20"/>
      <c r="E812" s="20"/>
      <c r="F812" s="20"/>
      <c r="G812" s="20"/>
      <c r="H812" s="1"/>
      <c r="I812" s="1"/>
      <c r="J812" s="1"/>
      <c r="K812" s="1"/>
      <c r="L812" s="1"/>
      <c r="M812" s="1"/>
    </row>
    <row r="813" spans="1:13" ht="15.75" customHeight="1">
      <c r="A813" s="1"/>
      <c r="B813" s="1"/>
      <c r="C813" s="1"/>
      <c r="D813" s="20"/>
      <c r="E813" s="20"/>
      <c r="F813" s="20"/>
      <c r="G813" s="20"/>
      <c r="H813" s="1"/>
      <c r="I813" s="1"/>
      <c r="J813" s="1"/>
      <c r="K813" s="1"/>
      <c r="L813" s="1"/>
      <c r="M813" s="1"/>
    </row>
    <row r="814" spans="1:13" ht="15.75" customHeight="1">
      <c r="A814" s="1"/>
      <c r="B814" s="1"/>
      <c r="C814" s="1"/>
      <c r="D814" s="20"/>
      <c r="E814" s="20"/>
      <c r="F814" s="20"/>
      <c r="G814" s="20"/>
      <c r="H814" s="1"/>
      <c r="I814" s="1"/>
      <c r="J814" s="1"/>
      <c r="K814" s="1"/>
      <c r="L814" s="1"/>
      <c r="M814" s="1"/>
    </row>
    <row r="815" spans="1:13" ht="15.75" customHeight="1">
      <c r="A815" s="1"/>
      <c r="B815" s="1"/>
      <c r="C815" s="1"/>
      <c r="D815" s="20"/>
      <c r="E815" s="20"/>
      <c r="F815" s="20"/>
      <c r="G815" s="20"/>
      <c r="H815" s="1"/>
      <c r="I815" s="1"/>
      <c r="J815" s="1"/>
      <c r="K815" s="1"/>
      <c r="L815" s="1"/>
      <c r="M815" s="1"/>
    </row>
    <row r="816" spans="1:13" ht="15.75" customHeight="1">
      <c r="A816" s="1"/>
      <c r="B816" s="1"/>
      <c r="C816" s="1"/>
      <c r="D816" s="20"/>
      <c r="E816" s="20"/>
      <c r="F816" s="20"/>
      <c r="G816" s="20"/>
      <c r="H816" s="1"/>
      <c r="I816" s="1"/>
      <c r="J816" s="1"/>
      <c r="K816" s="1"/>
      <c r="L816" s="1"/>
      <c r="M816" s="1"/>
    </row>
    <row r="817" spans="1:13" ht="15.75" customHeight="1">
      <c r="A817" s="1"/>
      <c r="B817" s="1"/>
      <c r="C817" s="1"/>
      <c r="D817" s="20"/>
      <c r="E817" s="20"/>
      <c r="F817" s="20"/>
      <c r="G817" s="20"/>
      <c r="H817" s="1"/>
      <c r="I817" s="1"/>
      <c r="J817" s="1"/>
      <c r="K817" s="1"/>
      <c r="L817" s="1"/>
      <c r="M817" s="1"/>
    </row>
    <row r="818" spans="1:13" ht="15.75" customHeight="1">
      <c r="A818" s="1"/>
      <c r="B818" s="1"/>
      <c r="C818" s="1"/>
      <c r="D818" s="20"/>
      <c r="E818" s="20"/>
      <c r="F818" s="20"/>
      <c r="G818" s="20"/>
      <c r="H818" s="1"/>
      <c r="I818" s="1"/>
      <c r="J818" s="1"/>
      <c r="K818" s="1"/>
      <c r="L818" s="1"/>
      <c r="M818" s="1"/>
    </row>
    <row r="819" spans="1:13" ht="15.75" customHeight="1">
      <c r="A819" s="1"/>
      <c r="B819" s="1"/>
      <c r="C819" s="1"/>
      <c r="D819" s="20"/>
      <c r="E819" s="20"/>
      <c r="F819" s="20"/>
      <c r="G819" s="20"/>
      <c r="H819" s="1"/>
      <c r="I819" s="1"/>
      <c r="J819" s="1"/>
      <c r="K819" s="1"/>
      <c r="L819" s="1"/>
      <c r="M819" s="1"/>
    </row>
    <row r="820" spans="1:13" ht="15.75" customHeight="1">
      <c r="A820" s="1"/>
      <c r="B820" s="1"/>
      <c r="C820" s="1"/>
      <c r="D820" s="20"/>
      <c r="E820" s="20"/>
      <c r="F820" s="20"/>
      <c r="G820" s="20"/>
      <c r="H820" s="1"/>
      <c r="I820" s="1"/>
      <c r="J820" s="1"/>
      <c r="K820" s="1"/>
      <c r="L820" s="1"/>
      <c r="M820" s="1"/>
    </row>
    <row r="821" spans="1:13" ht="15.75" customHeight="1">
      <c r="A821" s="1"/>
      <c r="B821" s="1"/>
      <c r="C821" s="1"/>
      <c r="D821" s="20"/>
      <c r="E821" s="20"/>
      <c r="F821" s="20"/>
      <c r="G821" s="20"/>
      <c r="H821" s="1"/>
      <c r="I821" s="1"/>
      <c r="J821" s="1"/>
      <c r="K821" s="1"/>
      <c r="L821" s="1"/>
      <c r="M821" s="1"/>
    </row>
    <row r="822" spans="1:13" ht="15.75" customHeight="1">
      <c r="A822" s="1"/>
      <c r="B822" s="1"/>
      <c r="C822" s="1"/>
      <c r="D822" s="20"/>
      <c r="E822" s="20"/>
      <c r="F822" s="20"/>
      <c r="G822" s="20"/>
      <c r="H822" s="1"/>
      <c r="I822" s="1"/>
      <c r="J822" s="1"/>
      <c r="K822" s="1"/>
      <c r="L822" s="1"/>
      <c r="M822" s="1"/>
    </row>
    <row r="823" spans="1:13" ht="15.75" customHeight="1">
      <c r="A823" s="1"/>
      <c r="B823" s="1"/>
      <c r="C823" s="1"/>
      <c r="D823" s="20"/>
      <c r="E823" s="20"/>
      <c r="F823" s="20"/>
      <c r="G823" s="20"/>
      <c r="H823" s="1"/>
      <c r="I823" s="1"/>
      <c r="J823" s="1"/>
      <c r="K823" s="1"/>
      <c r="L823" s="1"/>
      <c r="M823" s="1"/>
    </row>
    <row r="824" spans="1:13" ht="15.75" customHeight="1">
      <c r="A824" s="1"/>
      <c r="B824" s="1"/>
      <c r="C824" s="1"/>
      <c r="D824" s="20"/>
      <c r="E824" s="20"/>
      <c r="F824" s="20"/>
      <c r="G824" s="20"/>
      <c r="H824" s="1"/>
      <c r="I824" s="1"/>
      <c r="J824" s="1"/>
      <c r="K824" s="1"/>
      <c r="L824" s="1"/>
      <c r="M824" s="1"/>
    </row>
    <row r="825" spans="1:13" ht="15.75" customHeight="1">
      <c r="A825" s="1"/>
      <c r="B825" s="1"/>
      <c r="C825" s="1"/>
      <c r="D825" s="20"/>
      <c r="E825" s="20"/>
      <c r="F825" s="20"/>
      <c r="G825" s="20"/>
      <c r="H825" s="1"/>
      <c r="I825" s="1"/>
      <c r="J825" s="1"/>
      <c r="K825" s="1"/>
      <c r="L825" s="1"/>
      <c r="M825" s="1"/>
    </row>
    <row r="826" spans="1:13" ht="15.75" customHeight="1">
      <c r="A826" s="1"/>
      <c r="B826" s="1"/>
      <c r="C826" s="1"/>
      <c r="D826" s="20"/>
      <c r="E826" s="20"/>
      <c r="F826" s="20"/>
      <c r="G826" s="20"/>
      <c r="H826" s="1"/>
      <c r="I826" s="1"/>
      <c r="J826" s="1"/>
      <c r="K826" s="1"/>
      <c r="L826" s="1"/>
      <c r="M826" s="1"/>
    </row>
    <row r="827" spans="1:13" ht="15.75" customHeight="1">
      <c r="A827" s="1"/>
      <c r="B827" s="1"/>
      <c r="C827" s="1"/>
      <c r="D827" s="20"/>
      <c r="E827" s="20"/>
      <c r="F827" s="20"/>
      <c r="G827" s="20"/>
      <c r="H827" s="1"/>
      <c r="I827" s="1"/>
      <c r="J827" s="1"/>
      <c r="K827" s="1"/>
      <c r="L827" s="1"/>
      <c r="M827" s="1"/>
    </row>
    <row r="828" spans="1:13" ht="15.75" customHeight="1">
      <c r="A828" s="1"/>
      <c r="B828" s="1"/>
      <c r="C828" s="1"/>
      <c r="D828" s="20"/>
      <c r="E828" s="20"/>
      <c r="F828" s="20"/>
      <c r="G828" s="20"/>
      <c r="H828" s="1"/>
      <c r="I828" s="1"/>
      <c r="J828" s="1"/>
      <c r="K828" s="1"/>
      <c r="L828" s="1"/>
      <c r="M828" s="1"/>
    </row>
    <row r="829" spans="1:13" ht="15.75" customHeight="1">
      <c r="A829" s="1"/>
      <c r="B829" s="1"/>
      <c r="C829" s="1"/>
      <c r="D829" s="20"/>
      <c r="E829" s="20"/>
      <c r="F829" s="20"/>
      <c r="G829" s="20"/>
      <c r="H829" s="1"/>
      <c r="I829" s="1"/>
      <c r="J829" s="1"/>
      <c r="K829" s="1"/>
      <c r="L829" s="1"/>
      <c r="M829" s="1"/>
    </row>
    <row r="830" spans="1:13" ht="15.75" customHeight="1">
      <c r="A830" s="1"/>
      <c r="B830" s="1"/>
      <c r="C830" s="1"/>
      <c r="D830" s="20"/>
      <c r="E830" s="20"/>
      <c r="F830" s="20"/>
      <c r="G830" s="20"/>
      <c r="H830" s="1"/>
      <c r="I830" s="1"/>
      <c r="J830" s="1"/>
      <c r="K830" s="1"/>
      <c r="L830" s="1"/>
      <c r="M830" s="1"/>
    </row>
    <row r="831" spans="1:13" ht="15.75" customHeight="1">
      <c r="A831" s="1"/>
      <c r="B831" s="1"/>
      <c r="C831" s="1"/>
      <c r="D831" s="20"/>
      <c r="E831" s="20"/>
      <c r="F831" s="20"/>
      <c r="G831" s="20"/>
      <c r="H831" s="1"/>
      <c r="I831" s="1"/>
      <c r="J831" s="1"/>
      <c r="K831" s="1"/>
      <c r="L831" s="1"/>
      <c r="M831" s="1"/>
    </row>
    <row r="832" spans="1:13" ht="15.75" customHeight="1">
      <c r="A832" s="1"/>
      <c r="B832" s="1"/>
      <c r="C832" s="1"/>
      <c r="D832" s="20"/>
      <c r="E832" s="20"/>
      <c r="F832" s="20"/>
      <c r="G832" s="20"/>
      <c r="H832" s="1"/>
      <c r="I832" s="1"/>
      <c r="J832" s="1"/>
      <c r="K832" s="1"/>
      <c r="L832" s="1"/>
      <c r="M832" s="1"/>
    </row>
    <row r="833" spans="1:13" ht="15.75" customHeight="1">
      <c r="A833" s="1"/>
      <c r="B833" s="1"/>
      <c r="C833" s="1"/>
      <c r="D833" s="20"/>
      <c r="E833" s="20"/>
      <c r="F833" s="20"/>
      <c r="G833" s="20"/>
      <c r="H833" s="1"/>
      <c r="I833" s="1"/>
      <c r="J833" s="1"/>
      <c r="K833" s="1"/>
      <c r="L833" s="1"/>
      <c r="M833" s="1"/>
    </row>
    <row r="834" spans="1:13" ht="15.75" customHeight="1">
      <c r="A834" s="1"/>
      <c r="B834" s="1"/>
      <c r="C834" s="1"/>
      <c r="D834" s="20"/>
      <c r="E834" s="20"/>
      <c r="F834" s="20"/>
      <c r="G834" s="20"/>
      <c r="H834" s="1"/>
      <c r="I834" s="1"/>
      <c r="J834" s="1"/>
      <c r="K834" s="1"/>
      <c r="L834" s="1"/>
      <c r="M834" s="1"/>
    </row>
    <row r="835" spans="1:13" ht="15.75" customHeight="1">
      <c r="A835" s="1"/>
      <c r="B835" s="1"/>
      <c r="C835" s="1"/>
      <c r="D835" s="20"/>
      <c r="E835" s="20"/>
      <c r="F835" s="20"/>
      <c r="G835" s="20"/>
      <c r="H835" s="1"/>
      <c r="I835" s="1"/>
      <c r="J835" s="1"/>
      <c r="K835" s="1"/>
      <c r="L835" s="1"/>
      <c r="M835" s="1"/>
    </row>
    <row r="836" spans="1:13" ht="15.75" customHeight="1">
      <c r="A836" s="1"/>
      <c r="B836" s="1"/>
      <c r="C836" s="1"/>
      <c r="D836" s="20"/>
      <c r="E836" s="20"/>
      <c r="F836" s="20"/>
      <c r="G836" s="20"/>
      <c r="H836" s="1"/>
      <c r="I836" s="1"/>
      <c r="J836" s="1"/>
      <c r="K836" s="1"/>
      <c r="L836" s="1"/>
      <c r="M836" s="1"/>
    </row>
    <row r="837" spans="1:13" ht="15.75" customHeight="1">
      <c r="A837" s="1"/>
      <c r="B837" s="1"/>
      <c r="C837" s="1"/>
      <c r="D837" s="20"/>
      <c r="E837" s="20"/>
      <c r="F837" s="20"/>
      <c r="G837" s="20"/>
      <c r="H837" s="1"/>
      <c r="I837" s="1"/>
      <c r="J837" s="1"/>
      <c r="K837" s="1"/>
      <c r="L837" s="1"/>
      <c r="M837" s="1"/>
    </row>
    <row r="838" spans="1:13" ht="15.75" customHeight="1">
      <c r="A838" s="1"/>
      <c r="B838" s="1"/>
      <c r="C838" s="1"/>
      <c r="D838" s="20"/>
      <c r="E838" s="20"/>
      <c r="F838" s="20"/>
      <c r="G838" s="20"/>
      <c r="H838" s="1"/>
      <c r="I838" s="1"/>
      <c r="J838" s="1"/>
      <c r="K838" s="1"/>
      <c r="L838" s="1"/>
      <c r="M838" s="1"/>
    </row>
    <row r="839" spans="1:13" ht="15.75" customHeight="1">
      <c r="A839" s="1"/>
      <c r="B839" s="1"/>
      <c r="C839" s="1"/>
      <c r="D839" s="20"/>
      <c r="E839" s="20"/>
      <c r="F839" s="20"/>
      <c r="G839" s="20"/>
      <c r="H839" s="1"/>
      <c r="I839" s="1"/>
      <c r="J839" s="1"/>
      <c r="K839" s="1"/>
      <c r="L839" s="1"/>
      <c r="M839" s="1"/>
    </row>
    <row r="840" spans="1:13" ht="15.75" customHeight="1">
      <c r="A840" s="1"/>
      <c r="B840" s="1"/>
      <c r="C840" s="1"/>
      <c r="D840" s="20"/>
      <c r="E840" s="20"/>
      <c r="F840" s="20"/>
      <c r="G840" s="20"/>
      <c r="H840" s="1"/>
      <c r="I840" s="1"/>
      <c r="J840" s="1"/>
      <c r="K840" s="1"/>
      <c r="L840" s="1"/>
      <c r="M840" s="1"/>
    </row>
    <row r="841" spans="1:13" ht="15.75" customHeight="1">
      <c r="A841" s="1"/>
      <c r="B841" s="1"/>
      <c r="C841" s="1"/>
      <c r="D841" s="20"/>
      <c r="E841" s="20"/>
      <c r="F841" s="20"/>
      <c r="G841" s="20"/>
      <c r="H841" s="1"/>
      <c r="I841" s="1"/>
      <c r="J841" s="1"/>
      <c r="K841" s="1"/>
      <c r="L841" s="1"/>
      <c r="M841" s="1"/>
    </row>
    <row r="842" spans="1:13" ht="15.75" customHeight="1">
      <c r="A842" s="1"/>
      <c r="B842" s="1"/>
      <c r="C842" s="1"/>
      <c r="D842" s="20"/>
      <c r="E842" s="20"/>
      <c r="F842" s="20"/>
      <c r="G842" s="20"/>
      <c r="H842" s="1"/>
      <c r="I842" s="1"/>
      <c r="J842" s="1"/>
      <c r="K842" s="1"/>
      <c r="L842" s="1"/>
      <c r="M842" s="1"/>
    </row>
    <row r="843" spans="1:13" ht="15.75" customHeight="1">
      <c r="A843" s="1"/>
      <c r="B843" s="1"/>
      <c r="C843" s="1"/>
      <c r="D843" s="20"/>
      <c r="E843" s="20"/>
      <c r="F843" s="20"/>
      <c r="G843" s="20"/>
      <c r="H843" s="1"/>
      <c r="I843" s="1"/>
      <c r="J843" s="1"/>
      <c r="K843" s="1"/>
      <c r="L843" s="1"/>
      <c r="M843" s="1"/>
    </row>
    <row r="844" spans="1:13" ht="15.75" customHeight="1">
      <c r="A844" s="1"/>
      <c r="B844" s="1"/>
      <c r="C844" s="1"/>
      <c r="D844" s="20"/>
      <c r="E844" s="20"/>
      <c r="F844" s="20"/>
      <c r="G844" s="20"/>
      <c r="H844" s="1"/>
      <c r="I844" s="1"/>
      <c r="J844" s="1"/>
      <c r="K844" s="1"/>
      <c r="L844" s="1"/>
      <c r="M844" s="1"/>
    </row>
    <row r="845" spans="1:13" ht="15.75" customHeight="1">
      <c r="A845" s="1"/>
      <c r="B845" s="1"/>
      <c r="C845" s="1"/>
      <c r="D845" s="20"/>
      <c r="E845" s="20"/>
      <c r="F845" s="20"/>
      <c r="G845" s="20"/>
      <c r="H845" s="1"/>
      <c r="I845" s="1"/>
      <c r="J845" s="1"/>
      <c r="K845" s="1"/>
      <c r="L845" s="1"/>
      <c r="M845" s="1"/>
    </row>
    <row r="846" spans="1:13" ht="15.75" customHeight="1">
      <c r="A846" s="1"/>
      <c r="B846" s="1"/>
      <c r="C846" s="1"/>
      <c r="D846" s="20"/>
      <c r="E846" s="20"/>
      <c r="F846" s="20"/>
      <c r="G846" s="20"/>
      <c r="H846" s="1"/>
      <c r="I846" s="1"/>
      <c r="J846" s="1"/>
      <c r="K846" s="1"/>
      <c r="L846" s="1"/>
      <c r="M846" s="1"/>
    </row>
    <row r="847" spans="1:13" ht="15.75" customHeight="1">
      <c r="A847" s="1"/>
      <c r="B847" s="1"/>
      <c r="C847" s="1"/>
      <c r="D847" s="20"/>
      <c r="E847" s="20"/>
      <c r="F847" s="20"/>
      <c r="G847" s="20"/>
      <c r="H847" s="1"/>
      <c r="I847" s="1"/>
      <c r="J847" s="1"/>
      <c r="K847" s="1"/>
      <c r="L847" s="1"/>
      <c r="M847" s="1"/>
    </row>
    <row r="848" spans="1:13" ht="15.75" customHeight="1">
      <c r="A848" s="1"/>
      <c r="B848" s="1"/>
      <c r="C848" s="1"/>
      <c r="D848" s="20"/>
      <c r="E848" s="20"/>
      <c r="F848" s="20"/>
      <c r="G848" s="20"/>
      <c r="H848" s="1"/>
      <c r="I848" s="1"/>
      <c r="J848" s="1"/>
      <c r="K848" s="1"/>
      <c r="L848" s="1"/>
      <c r="M848" s="1"/>
    </row>
    <row r="849" spans="1:13" ht="15.75" customHeight="1">
      <c r="A849" s="1"/>
      <c r="B849" s="1"/>
      <c r="C849" s="1"/>
      <c r="D849" s="20"/>
      <c r="E849" s="20"/>
      <c r="F849" s="20"/>
      <c r="G849" s="20"/>
      <c r="H849" s="1"/>
      <c r="I849" s="1"/>
      <c r="J849" s="1"/>
      <c r="K849" s="1"/>
      <c r="L849" s="1"/>
      <c r="M849" s="1"/>
    </row>
    <row r="850" spans="1:13" ht="15.75" customHeight="1">
      <c r="A850" s="1"/>
      <c r="B850" s="1"/>
      <c r="C850" s="1"/>
      <c r="D850" s="20"/>
      <c r="E850" s="20"/>
      <c r="F850" s="20"/>
      <c r="G850" s="20"/>
      <c r="H850" s="1"/>
      <c r="I850" s="1"/>
      <c r="J850" s="1"/>
      <c r="K850" s="1"/>
      <c r="L850" s="1"/>
      <c r="M850" s="1"/>
    </row>
    <row r="851" spans="1:13" ht="15.75" customHeight="1">
      <c r="A851" s="1"/>
      <c r="B851" s="1"/>
      <c r="C851" s="1"/>
      <c r="D851" s="20"/>
      <c r="E851" s="20"/>
      <c r="F851" s="20"/>
      <c r="G851" s="20"/>
      <c r="H851" s="1"/>
      <c r="I851" s="1"/>
      <c r="J851" s="1"/>
      <c r="K851" s="1"/>
      <c r="L851" s="1"/>
      <c r="M851" s="1"/>
    </row>
    <row r="852" spans="1:13" ht="15.75" customHeight="1">
      <c r="A852" s="1"/>
      <c r="B852" s="1"/>
      <c r="C852" s="1"/>
      <c r="D852" s="20"/>
      <c r="E852" s="20"/>
      <c r="F852" s="20"/>
      <c r="G852" s="20"/>
      <c r="H852" s="1"/>
      <c r="I852" s="1"/>
      <c r="J852" s="1"/>
      <c r="K852" s="1"/>
      <c r="L852" s="1"/>
      <c r="M852" s="1"/>
    </row>
    <row r="853" spans="1:13" ht="15.75" customHeight="1">
      <c r="A853" s="1"/>
      <c r="B853" s="1"/>
      <c r="C853" s="1"/>
      <c r="D853" s="20"/>
      <c r="E853" s="20"/>
      <c r="F853" s="20"/>
      <c r="G853" s="20"/>
      <c r="H853" s="1"/>
      <c r="I853" s="1"/>
      <c r="J853" s="1"/>
      <c r="K853" s="1"/>
      <c r="L853" s="1"/>
      <c r="M853" s="1"/>
    </row>
    <row r="854" spans="1:13" ht="15.75" customHeight="1">
      <c r="A854" s="1"/>
      <c r="B854" s="1"/>
      <c r="C854" s="1"/>
      <c r="D854" s="20"/>
      <c r="E854" s="20"/>
      <c r="F854" s="20"/>
      <c r="G854" s="20"/>
      <c r="H854" s="1"/>
      <c r="I854" s="1"/>
      <c r="J854" s="1"/>
      <c r="K854" s="1"/>
      <c r="L854" s="1"/>
      <c r="M854" s="1"/>
    </row>
    <row r="855" spans="1:13" ht="15.75" customHeight="1">
      <c r="A855" s="1"/>
      <c r="B855" s="1"/>
      <c r="C855" s="1"/>
      <c r="D855" s="20"/>
      <c r="E855" s="20"/>
      <c r="F855" s="20"/>
      <c r="G855" s="20"/>
      <c r="H855" s="1"/>
      <c r="I855" s="1"/>
      <c r="J855" s="1"/>
      <c r="K855" s="1"/>
      <c r="L855" s="1"/>
      <c r="M855" s="1"/>
    </row>
    <row r="856" spans="1:13" ht="15.75" customHeight="1">
      <c r="A856" s="1"/>
      <c r="B856" s="1"/>
      <c r="C856" s="1"/>
      <c r="D856" s="20"/>
      <c r="E856" s="20"/>
      <c r="F856" s="20"/>
      <c r="G856" s="20"/>
      <c r="H856" s="1"/>
      <c r="I856" s="1"/>
      <c r="J856" s="1"/>
      <c r="K856" s="1"/>
      <c r="L856" s="1"/>
      <c r="M856" s="1"/>
    </row>
    <row r="857" spans="1:13" ht="15.75" customHeight="1">
      <c r="A857" s="1"/>
      <c r="B857" s="1"/>
      <c r="C857" s="1"/>
      <c r="D857" s="20"/>
      <c r="E857" s="20"/>
      <c r="F857" s="20"/>
      <c r="G857" s="20"/>
      <c r="H857" s="1"/>
      <c r="I857" s="1"/>
      <c r="J857" s="1"/>
      <c r="K857" s="1"/>
      <c r="L857" s="1"/>
      <c r="M857" s="1"/>
    </row>
    <row r="858" spans="1:13" ht="15.75" customHeight="1">
      <c r="A858" s="1"/>
      <c r="B858" s="1"/>
      <c r="C858" s="1"/>
      <c r="D858" s="20"/>
      <c r="E858" s="20"/>
      <c r="F858" s="20"/>
      <c r="G858" s="20"/>
      <c r="H858" s="1"/>
      <c r="I858" s="1"/>
      <c r="J858" s="1"/>
      <c r="K858" s="1"/>
      <c r="L858" s="1"/>
      <c r="M858" s="1"/>
    </row>
    <row r="859" spans="1:13" ht="15.75" customHeight="1">
      <c r="A859" s="1"/>
      <c r="B859" s="1"/>
      <c r="C859" s="1"/>
      <c r="D859" s="20"/>
      <c r="E859" s="20"/>
      <c r="F859" s="20"/>
      <c r="G859" s="20"/>
      <c r="H859" s="1"/>
      <c r="I859" s="1"/>
      <c r="J859" s="1"/>
      <c r="K859" s="1"/>
      <c r="L859" s="1"/>
      <c r="M859" s="1"/>
    </row>
    <row r="860" spans="1:13" ht="15.75" customHeight="1">
      <c r="A860" s="1"/>
      <c r="B860" s="1"/>
      <c r="C860" s="1"/>
      <c r="D860" s="20"/>
      <c r="E860" s="20"/>
      <c r="F860" s="20"/>
      <c r="G860" s="20"/>
      <c r="H860" s="1"/>
      <c r="I860" s="1"/>
      <c r="J860" s="1"/>
      <c r="K860" s="1"/>
      <c r="L860" s="1"/>
      <c r="M860" s="1"/>
    </row>
    <row r="861" spans="1:13" ht="15.75" customHeight="1">
      <c r="A861" s="1"/>
      <c r="B861" s="1"/>
      <c r="C861" s="1"/>
      <c r="D861" s="20"/>
      <c r="E861" s="20"/>
      <c r="F861" s="20"/>
      <c r="G861" s="20"/>
      <c r="H861" s="1"/>
      <c r="I861" s="1"/>
      <c r="J861" s="1"/>
      <c r="K861" s="1"/>
      <c r="L861" s="1"/>
      <c r="M861" s="1"/>
    </row>
    <row r="862" spans="1:13" ht="15.75" customHeight="1">
      <c r="A862" s="1"/>
      <c r="B862" s="1"/>
      <c r="C862" s="1"/>
      <c r="D862" s="20"/>
      <c r="E862" s="20"/>
      <c r="F862" s="20"/>
      <c r="G862" s="20"/>
      <c r="H862" s="1"/>
      <c r="I862" s="1"/>
      <c r="J862" s="1"/>
      <c r="K862" s="1"/>
      <c r="L862" s="1"/>
      <c r="M862" s="1"/>
    </row>
    <row r="863" spans="1:13" ht="15.75" customHeight="1">
      <c r="A863" s="1"/>
      <c r="B863" s="1"/>
      <c r="C863" s="1"/>
      <c r="D863" s="20"/>
      <c r="E863" s="20"/>
      <c r="F863" s="20"/>
      <c r="G863" s="20"/>
      <c r="H863" s="1"/>
      <c r="I863" s="1"/>
      <c r="J863" s="1"/>
      <c r="K863" s="1"/>
      <c r="L863" s="1"/>
      <c r="M863" s="1"/>
    </row>
    <row r="864" spans="1:13" ht="15.75" customHeight="1">
      <c r="A864" s="1"/>
      <c r="B864" s="1"/>
      <c r="C864" s="1"/>
      <c r="D864" s="20"/>
      <c r="E864" s="20"/>
      <c r="F864" s="20"/>
      <c r="G864" s="20"/>
      <c r="H864" s="1"/>
      <c r="I864" s="1"/>
      <c r="J864" s="1"/>
      <c r="K864" s="1"/>
      <c r="L864" s="1"/>
      <c r="M864" s="1"/>
    </row>
    <row r="865" spans="1:13" ht="15.75" customHeight="1">
      <c r="A865" s="1"/>
      <c r="B865" s="1"/>
      <c r="C865" s="1"/>
      <c r="D865" s="20"/>
      <c r="E865" s="20"/>
      <c r="F865" s="20"/>
      <c r="G865" s="20"/>
      <c r="H865" s="1"/>
      <c r="I865" s="1"/>
      <c r="J865" s="1"/>
      <c r="K865" s="1"/>
      <c r="L865" s="1"/>
      <c r="M865" s="1"/>
    </row>
    <row r="866" spans="1:13" ht="15.75" customHeight="1">
      <c r="A866" s="1"/>
      <c r="B866" s="1"/>
      <c r="C866" s="1"/>
      <c r="D866" s="20"/>
      <c r="E866" s="20"/>
      <c r="F866" s="20"/>
      <c r="G866" s="20"/>
      <c r="H866" s="1"/>
      <c r="I866" s="1"/>
      <c r="J866" s="1"/>
      <c r="K866" s="1"/>
      <c r="L866" s="1"/>
      <c r="M866" s="1"/>
    </row>
    <row r="867" spans="1:13" ht="15.75" customHeight="1">
      <c r="A867" s="1"/>
      <c r="B867" s="1"/>
      <c r="C867" s="1"/>
      <c r="D867" s="20"/>
      <c r="E867" s="20"/>
      <c r="F867" s="20"/>
      <c r="G867" s="20"/>
      <c r="H867" s="1"/>
      <c r="I867" s="1"/>
      <c r="J867" s="1"/>
      <c r="K867" s="1"/>
      <c r="L867" s="1"/>
      <c r="M867" s="1"/>
    </row>
    <row r="868" spans="1:13" ht="15.75" customHeight="1">
      <c r="A868" s="1"/>
      <c r="B868" s="1"/>
      <c r="C868" s="1"/>
      <c r="D868" s="20"/>
      <c r="E868" s="20"/>
      <c r="F868" s="20"/>
      <c r="G868" s="20"/>
      <c r="H868" s="1"/>
      <c r="I868" s="1"/>
      <c r="J868" s="1"/>
      <c r="K868" s="1"/>
      <c r="L868" s="1"/>
      <c r="M868" s="1"/>
    </row>
    <row r="869" spans="1:13" ht="15.75" customHeight="1">
      <c r="A869" s="1"/>
      <c r="B869" s="1"/>
      <c r="C869" s="1"/>
      <c r="D869" s="20"/>
      <c r="E869" s="20"/>
      <c r="F869" s="20"/>
      <c r="G869" s="20"/>
      <c r="H869" s="1"/>
      <c r="I869" s="1"/>
      <c r="J869" s="1"/>
      <c r="K869" s="1"/>
      <c r="L869" s="1"/>
      <c r="M869" s="1"/>
    </row>
    <row r="870" spans="1:13" ht="15.75" customHeight="1">
      <c r="A870" s="1"/>
      <c r="B870" s="1"/>
      <c r="C870" s="1"/>
      <c r="D870" s="20"/>
      <c r="E870" s="20"/>
      <c r="F870" s="20"/>
      <c r="G870" s="20"/>
      <c r="H870" s="1"/>
      <c r="I870" s="1"/>
      <c r="J870" s="1"/>
      <c r="K870" s="1"/>
      <c r="L870" s="1"/>
      <c r="M870" s="1"/>
    </row>
    <row r="871" spans="1:13" ht="15.75" customHeight="1">
      <c r="A871" s="1"/>
      <c r="B871" s="1"/>
      <c r="C871" s="1"/>
      <c r="D871" s="20"/>
      <c r="E871" s="20"/>
      <c r="F871" s="20"/>
      <c r="G871" s="20"/>
      <c r="H871" s="1"/>
      <c r="I871" s="1"/>
      <c r="J871" s="1"/>
      <c r="K871" s="1"/>
      <c r="L871" s="1"/>
      <c r="M871" s="1"/>
    </row>
    <row r="872" spans="1:13" ht="15.75" customHeight="1">
      <c r="A872" s="1"/>
      <c r="B872" s="1"/>
      <c r="C872" s="1"/>
      <c r="D872" s="20"/>
      <c r="E872" s="20"/>
      <c r="F872" s="20"/>
      <c r="G872" s="20"/>
      <c r="H872" s="1"/>
      <c r="I872" s="1"/>
      <c r="J872" s="1"/>
      <c r="K872" s="1"/>
      <c r="L872" s="1"/>
      <c r="M872" s="1"/>
    </row>
    <row r="873" spans="1:13" ht="15.75" customHeight="1">
      <c r="A873" s="1"/>
      <c r="B873" s="1"/>
      <c r="C873" s="1"/>
      <c r="D873" s="20"/>
      <c r="E873" s="20"/>
      <c r="F873" s="20"/>
      <c r="G873" s="20"/>
      <c r="H873" s="1"/>
      <c r="I873" s="1"/>
      <c r="J873" s="1"/>
      <c r="K873" s="1"/>
      <c r="L873" s="1"/>
      <c r="M873" s="1"/>
    </row>
    <row r="874" spans="1:13" ht="15.75" customHeight="1">
      <c r="A874" s="1"/>
      <c r="B874" s="1"/>
      <c r="C874" s="1"/>
      <c r="D874" s="20"/>
      <c r="E874" s="20"/>
      <c r="F874" s="20"/>
      <c r="G874" s="20"/>
      <c r="H874" s="1"/>
      <c r="I874" s="1"/>
      <c r="J874" s="1"/>
      <c r="K874" s="1"/>
      <c r="L874" s="1"/>
      <c r="M874" s="1"/>
    </row>
    <row r="875" spans="1:13" ht="15.75" customHeight="1">
      <c r="A875" s="1"/>
      <c r="B875" s="1"/>
      <c r="C875" s="1"/>
      <c r="D875" s="20"/>
      <c r="E875" s="20"/>
      <c r="F875" s="20"/>
      <c r="G875" s="20"/>
      <c r="H875" s="1"/>
      <c r="I875" s="1"/>
      <c r="J875" s="1"/>
      <c r="K875" s="1"/>
      <c r="L875" s="1"/>
      <c r="M875" s="1"/>
    </row>
    <row r="876" spans="1:13" ht="15.75" customHeight="1">
      <c r="A876" s="1"/>
      <c r="B876" s="1"/>
      <c r="C876" s="1"/>
      <c r="D876" s="20"/>
      <c r="E876" s="20"/>
      <c r="F876" s="20"/>
      <c r="G876" s="20"/>
      <c r="H876" s="1"/>
      <c r="I876" s="1"/>
      <c r="J876" s="1"/>
      <c r="K876" s="1"/>
      <c r="L876" s="1"/>
      <c r="M876" s="1"/>
    </row>
    <row r="877" spans="1:13" ht="15.75" customHeight="1">
      <c r="A877" s="1"/>
      <c r="B877" s="1"/>
      <c r="C877" s="1"/>
      <c r="D877" s="20"/>
      <c r="E877" s="20"/>
      <c r="F877" s="20"/>
      <c r="G877" s="20"/>
      <c r="H877" s="1"/>
      <c r="I877" s="1"/>
      <c r="J877" s="1"/>
      <c r="K877" s="1"/>
      <c r="L877" s="1"/>
      <c r="M877" s="1"/>
    </row>
    <row r="878" spans="1:13" ht="15.75" customHeight="1">
      <c r="A878" s="1"/>
      <c r="B878" s="1"/>
      <c r="C878" s="1"/>
      <c r="D878" s="20"/>
      <c r="E878" s="20"/>
      <c r="F878" s="20"/>
      <c r="G878" s="20"/>
      <c r="H878" s="1"/>
      <c r="I878" s="1"/>
      <c r="J878" s="1"/>
      <c r="K878" s="1"/>
      <c r="L878" s="1"/>
      <c r="M878" s="1"/>
    </row>
    <row r="879" spans="1:13" ht="15.75" customHeight="1">
      <c r="A879" s="1"/>
      <c r="B879" s="1"/>
      <c r="C879" s="1"/>
      <c r="D879" s="20"/>
      <c r="E879" s="20"/>
      <c r="F879" s="20"/>
      <c r="G879" s="20"/>
      <c r="H879" s="1"/>
      <c r="I879" s="1"/>
      <c r="J879" s="1"/>
      <c r="K879" s="1"/>
      <c r="L879" s="1"/>
      <c r="M879" s="1"/>
    </row>
    <row r="880" spans="1:13" ht="15.75" customHeight="1">
      <c r="A880" s="1"/>
      <c r="B880" s="1"/>
      <c r="C880" s="1"/>
      <c r="D880" s="20"/>
      <c r="E880" s="20"/>
      <c r="F880" s="20"/>
      <c r="G880" s="20"/>
      <c r="H880" s="1"/>
      <c r="I880" s="1"/>
      <c r="J880" s="1"/>
      <c r="K880" s="1"/>
      <c r="L880" s="1"/>
      <c r="M880" s="1"/>
    </row>
    <row r="881" spans="1:13" ht="15.75" customHeight="1">
      <c r="A881" s="1"/>
      <c r="B881" s="1"/>
      <c r="C881" s="1"/>
      <c r="D881" s="20"/>
      <c r="E881" s="20"/>
      <c r="F881" s="20"/>
      <c r="G881" s="20"/>
      <c r="H881" s="1"/>
      <c r="I881" s="1"/>
      <c r="J881" s="1"/>
      <c r="K881" s="1"/>
      <c r="L881" s="1"/>
      <c r="M881" s="1"/>
    </row>
    <row r="882" spans="1:13" ht="15.75" customHeight="1">
      <c r="A882" s="1"/>
      <c r="B882" s="1"/>
      <c r="C882" s="1"/>
      <c r="D882" s="20"/>
      <c r="E882" s="20"/>
      <c r="F882" s="20"/>
      <c r="G882" s="20"/>
      <c r="H882" s="1"/>
      <c r="I882" s="1"/>
      <c r="J882" s="1"/>
      <c r="K882" s="1"/>
      <c r="L882" s="1"/>
      <c r="M882" s="1"/>
    </row>
    <row r="883" spans="1:13" ht="15.75" customHeight="1">
      <c r="A883" s="1"/>
      <c r="B883" s="1"/>
      <c r="C883" s="1"/>
      <c r="D883" s="20"/>
      <c r="E883" s="20"/>
      <c r="F883" s="20"/>
      <c r="G883" s="20"/>
      <c r="H883" s="1"/>
      <c r="I883" s="1"/>
      <c r="J883" s="1"/>
      <c r="K883" s="1"/>
      <c r="L883" s="1"/>
      <c r="M883" s="1"/>
    </row>
    <row r="884" spans="1:13" ht="15.75" customHeight="1">
      <c r="A884" s="1"/>
      <c r="B884" s="1"/>
      <c r="C884" s="1"/>
      <c r="D884" s="20"/>
      <c r="E884" s="20"/>
      <c r="F884" s="20"/>
      <c r="G884" s="20"/>
      <c r="H884" s="1"/>
      <c r="I884" s="1"/>
      <c r="J884" s="1"/>
      <c r="K884" s="1"/>
      <c r="L884" s="1"/>
      <c r="M884" s="1"/>
    </row>
    <row r="885" spans="1:13" ht="15.75" customHeight="1">
      <c r="A885" s="1"/>
      <c r="B885" s="1"/>
      <c r="C885" s="1"/>
      <c r="D885" s="20"/>
      <c r="E885" s="20"/>
      <c r="F885" s="20"/>
      <c r="G885" s="20"/>
      <c r="H885" s="1"/>
      <c r="I885" s="1"/>
      <c r="J885" s="1"/>
      <c r="K885" s="1"/>
      <c r="L885" s="1"/>
      <c r="M885" s="1"/>
    </row>
    <row r="886" spans="1:13" ht="15.75" customHeight="1">
      <c r="A886" s="1"/>
      <c r="B886" s="1"/>
      <c r="C886" s="1"/>
      <c r="D886" s="20"/>
      <c r="E886" s="20"/>
      <c r="F886" s="20"/>
      <c r="G886" s="20"/>
      <c r="H886" s="1"/>
      <c r="I886" s="1"/>
      <c r="J886" s="1"/>
      <c r="K886" s="1"/>
      <c r="L886" s="1"/>
      <c r="M886" s="1"/>
    </row>
    <row r="887" spans="1:13" ht="15.75" customHeight="1">
      <c r="A887" s="1"/>
      <c r="B887" s="1"/>
      <c r="C887" s="1"/>
      <c r="D887" s="20"/>
      <c r="E887" s="20"/>
      <c r="F887" s="20"/>
      <c r="G887" s="20"/>
      <c r="H887" s="1"/>
      <c r="I887" s="1"/>
      <c r="J887" s="1"/>
      <c r="K887" s="1"/>
      <c r="L887" s="1"/>
      <c r="M887" s="1"/>
    </row>
    <row r="888" spans="1:13" ht="15.75" customHeight="1">
      <c r="A888" s="1"/>
      <c r="B888" s="1"/>
      <c r="C888" s="1"/>
      <c r="D888" s="20"/>
      <c r="E888" s="20"/>
      <c r="F888" s="20"/>
      <c r="G888" s="20"/>
      <c r="H888" s="1"/>
      <c r="I888" s="1"/>
      <c r="J888" s="1"/>
      <c r="K888" s="1"/>
      <c r="L888" s="1"/>
      <c r="M888" s="1"/>
    </row>
    <row r="889" spans="1:13" ht="15.75" customHeight="1">
      <c r="A889" s="1"/>
      <c r="B889" s="1"/>
      <c r="C889" s="1"/>
      <c r="D889" s="20"/>
      <c r="E889" s="20"/>
      <c r="F889" s="20"/>
      <c r="G889" s="20"/>
      <c r="H889" s="1"/>
      <c r="I889" s="1"/>
      <c r="J889" s="1"/>
      <c r="K889" s="1"/>
      <c r="L889" s="1"/>
      <c r="M889" s="1"/>
    </row>
    <row r="890" spans="1:13" ht="15.75" customHeight="1">
      <c r="A890" s="1"/>
      <c r="B890" s="1"/>
      <c r="C890" s="1"/>
      <c r="D890" s="20"/>
      <c r="E890" s="20"/>
      <c r="F890" s="20"/>
      <c r="G890" s="20"/>
      <c r="H890" s="1"/>
      <c r="I890" s="1"/>
      <c r="J890" s="1"/>
      <c r="K890" s="1"/>
      <c r="L890" s="1"/>
      <c r="M890" s="1"/>
    </row>
    <row r="891" spans="1:13" ht="15.75" customHeight="1">
      <c r="A891" s="1"/>
      <c r="B891" s="1"/>
      <c r="C891" s="1"/>
      <c r="D891" s="20"/>
      <c r="E891" s="20"/>
      <c r="F891" s="20"/>
      <c r="G891" s="20"/>
      <c r="H891" s="1"/>
      <c r="I891" s="1"/>
      <c r="J891" s="1"/>
      <c r="K891" s="1"/>
      <c r="L891" s="1"/>
      <c r="M891" s="1"/>
    </row>
    <row r="892" spans="1:13" ht="15.75" customHeight="1">
      <c r="A892" s="1"/>
      <c r="B892" s="1"/>
      <c r="C892" s="1"/>
      <c r="D892" s="20"/>
      <c r="E892" s="20"/>
      <c r="F892" s="20"/>
      <c r="G892" s="20"/>
      <c r="H892" s="1"/>
      <c r="I892" s="1"/>
      <c r="J892" s="1"/>
      <c r="K892" s="1"/>
      <c r="L892" s="1"/>
      <c r="M892" s="1"/>
    </row>
    <row r="893" spans="1:13" ht="15.75" customHeight="1">
      <c r="A893" s="1"/>
      <c r="B893" s="1"/>
      <c r="C893" s="1"/>
      <c r="D893" s="20"/>
      <c r="E893" s="20"/>
      <c r="F893" s="20"/>
      <c r="G893" s="20"/>
      <c r="H893" s="1"/>
      <c r="I893" s="1"/>
      <c r="J893" s="1"/>
      <c r="K893" s="1"/>
      <c r="L893" s="1"/>
      <c r="M893" s="1"/>
    </row>
    <row r="894" spans="1:13" ht="15.75" customHeight="1">
      <c r="A894" s="1"/>
      <c r="B894" s="1"/>
      <c r="C894" s="1"/>
      <c r="D894" s="20"/>
      <c r="E894" s="20"/>
      <c r="F894" s="20"/>
      <c r="G894" s="20"/>
      <c r="H894" s="1"/>
      <c r="I894" s="1"/>
      <c r="J894" s="1"/>
      <c r="K894" s="1"/>
      <c r="L894" s="1"/>
      <c r="M894" s="1"/>
    </row>
    <row r="895" spans="1:13" ht="15.75" customHeight="1">
      <c r="A895" s="1"/>
      <c r="B895" s="1"/>
      <c r="C895" s="1"/>
      <c r="D895" s="20"/>
      <c r="E895" s="20"/>
      <c r="F895" s="20"/>
      <c r="G895" s="20"/>
      <c r="H895" s="1"/>
      <c r="I895" s="1"/>
      <c r="J895" s="1"/>
      <c r="K895" s="1"/>
      <c r="L895" s="1"/>
      <c r="M895" s="1"/>
    </row>
    <row r="896" spans="1:13" ht="15.75" customHeight="1">
      <c r="A896" s="1"/>
      <c r="B896" s="1"/>
      <c r="C896" s="1"/>
      <c r="D896" s="20"/>
      <c r="E896" s="20"/>
      <c r="F896" s="20"/>
      <c r="G896" s="20"/>
      <c r="H896" s="1"/>
      <c r="I896" s="1"/>
      <c r="J896" s="1"/>
      <c r="K896" s="1"/>
      <c r="L896" s="1"/>
      <c r="M896" s="1"/>
    </row>
    <row r="897" spans="1:13" ht="15.75" customHeight="1">
      <c r="A897" s="1"/>
      <c r="B897" s="1"/>
      <c r="C897" s="1"/>
      <c r="D897" s="20"/>
      <c r="E897" s="20"/>
      <c r="F897" s="20"/>
      <c r="G897" s="20"/>
      <c r="H897" s="1"/>
      <c r="I897" s="1"/>
      <c r="J897" s="1"/>
      <c r="K897" s="1"/>
      <c r="L897" s="1"/>
      <c r="M897" s="1"/>
    </row>
    <row r="898" spans="1:13" ht="15.75" customHeight="1">
      <c r="A898" s="1"/>
      <c r="B898" s="1"/>
      <c r="C898" s="1"/>
      <c r="D898" s="20"/>
      <c r="E898" s="20"/>
      <c r="F898" s="20"/>
      <c r="G898" s="20"/>
      <c r="H898" s="1"/>
      <c r="I898" s="1"/>
      <c r="J898" s="1"/>
      <c r="K898" s="1"/>
      <c r="L898" s="1"/>
      <c r="M898" s="1"/>
    </row>
    <row r="899" spans="1:13" ht="15.75" customHeight="1">
      <c r="A899" s="1"/>
      <c r="B899" s="1"/>
      <c r="C899" s="1"/>
      <c r="D899" s="20"/>
      <c r="E899" s="20"/>
      <c r="F899" s="20"/>
      <c r="G899" s="20"/>
      <c r="H899" s="1"/>
      <c r="I899" s="1"/>
      <c r="J899" s="1"/>
      <c r="K899" s="1"/>
      <c r="L899" s="1"/>
      <c r="M899" s="1"/>
    </row>
    <row r="900" spans="1:13" ht="15.75" customHeight="1">
      <c r="A900" s="1"/>
      <c r="B900" s="1"/>
      <c r="C900" s="1"/>
      <c r="D900" s="20"/>
      <c r="E900" s="20"/>
      <c r="F900" s="20"/>
      <c r="G900" s="20"/>
      <c r="H900" s="1"/>
      <c r="I900" s="1"/>
      <c r="J900" s="1"/>
      <c r="K900" s="1"/>
      <c r="L900" s="1"/>
      <c r="M900" s="1"/>
    </row>
    <row r="901" spans="1:13" ht="15.75" customHeight="1">
      <c r="A901" s="1"/>
      <c r="B901" s="1"/>
      <c r="C901" s="1"/>
      <c r="D901" s="20"/>
      <c r="E901" s="20"/>
      <c r="F901" s="20"/>
      <c r="G901" s="20"/>
      <c r="H901" s="1"/>
      <c r="I901" s="1"/>
      <c r="J901" s="1"/>
      <c r="K901" s="1"/>
      <c r="L901" s="1"/>
      <c r="M901" s="1"/>
    </row>
    <row r="902" spans="1:13" ht="15.75" customHeight="1">
      <c r="A902" s="1"/>
      <c r="B902" s="1"/>
      <c r="C902" s="1"/>
      <c r="D902" s="20"/>
      <c r="E902" s="20"/>
      <c r="F902" s="20"/>
      <c r="G902" s="20"/>
      <c r="H902" s="1"/>
      <c r="I902" s="1"/>
      <c r="J902" s="1"/>
      <c r="K902" s="1"/>
      <c r="L902" s="1"/>
      <c r="M902" s="1"/>
    </row>
    <row r="903" spans="1:13" ht="15.75" customHeight="1">
      <c r="A903" s="1"/>
      <c r="B903" s="1"/>
      <c r="C903" s="1"/>
      <c r="D903" s="20"/>
      <c r="E903" s="20"/>
      <c r="F903" s="20"/>
      <c r="G903" s="20"/>
      <c r="H903" s="1"/>
      <c r="I903" s="1"/>
      <c r="J903" s="1"/>
      <c r="K903" s="1"/>
      <c r="L903" s="1"/>
      <c r="M903" s="1"/>
    </row>
    <row r="904" spans="1:13" ht="15.75" customHeight="1">
      <c r="A904" s="1"/>
      <c r="B904" s="1"/>
      <c r="C904" s="1"/>
      <c r="D904" s="20"/>
      <c r="E904" s="20"/>
      <c r="F904" s="20"/>
      <c r="G904" s="20"/>
      <c r="H904" s="1"/>
      <c r="I904" s="1"/>
      <c r="J904" s="1"/>
      <c r="K904" s="1"/>
      <c r="L904" s="1"/>
      <c r="M904" s="1"/>
    </row>
    <row r="905" spans="1:13" ht="15.75" customHeight="1">
      <c r="A905" s="1"/>
      <c r="B905" s="1"/>
      <c r="C905" s="1"/>
      <c r="D905" s="20"/>
      <c r="E905" s="20"/>
      <c r="F905" s="20"/>
      <c r="G905" s="20"/>
      <c r="H905" s="1"/>
      <c r="I905" s="1"/>
      <c r="J905" s="1"/>
      <c r="K905" s="1"/>
      <c r="L905" s="1"/>
      <c r="M905" s="1"/>
    </row>
    <row r="906" spans="1:13" ht="15.75" customHeight="1">
      <c r="A906" s="1"/>
      <c r="B906" s="1"/>
      <c r="C906" s="1"/>
      <c r="D906" s="20"/>
      <c r="E906" s="20"/>
      <c r="F906" s="20"/>
      <c r="G906" s="20"/>
      <c r="H906" s="1"/>
      <c r="I906" s="1"/>
      <c r="J906" s="1"/>
      <c r="K906" s="1"/>
      <c r="L906" s="1"/>
      <c r="M906" s="1"/>
    </row>
    <row r="907" spans="1:13" ht="15.75" customHeight="1">
      <c r="A907" s="1"/>
      <c r="B907" s="1"/>
      <c r="C907" s="1"/>
      <c r="D907" s="20"/>
      <c r="E907" s="20"/>
      <c r="F907" s="20"/>
      <c r="G907" s="20"/>
      <c r="H907" s="1"/>
      <c r="I907" s="1"/>
      <c r="J907" s="1"/>
      <c r="K907" s="1"/>
      <c r="L907" s="1"/>
      <c r="M907" s="1"/>
    </row>
    <row r="908" spans="1:13" ht="15.75" customHeight="1">
      <c r="A908" s="1"/>
      <c r="B908" s="1"/>
      <c r="C908" s="1"/>
      <c r="D908" s="20"/>
      <c r="E908" s="20"/>
      <c r="F908" s="20"/>
      <c r="G908" s="20"/>
      <c r="H908" s="1"/>
      <c r="I908" s="1"/>
      <c r="J908" s="1"/>
      <c r="K908" s="1"/>
      <c r="L908" s="1"/>
      <c r="M908" s="1"/>
    </row>
    <row r="909" spans="1:13" ht="15.75" customHeight="1">
      <c r="A909" s="1"/>
      <c r="B909" s="1"/>
      <c r="C909" s="1"/>
      <c r="D909" s="20"/>
      <c r="E909" s="20"/>
      <c r="F909" s="20"/>
      <c r="G909" s="20"/>
      <c r="H909" s="1"/>
      <c r="I909" s="1"/>
      <c r="J909" s="1"/>
      <c r="K909" s="1"/>
      <c r="L909" s="1"/>
      <c r="M909" s="1"/>
    </row>
    <row r="910" spans="1:13" ht="15.75" customHeight="1">
      <c r="A910" s="1"/>
      <c r="B910" s="1"/>
      <c r="C910" s="1"/>
      <c r="D910" s="20"/>
      <c r="E910" s="20"/>
      <c r="F910" s="20"/>
      <c r="G910" s="20"/>
      <c r="H910" s="1"/>
      <c r="I910" s="1"/>
      <c r="J910" s="1"/>
      <c r="K910" s="1"/>
      <c r="L910" s="1"/>
      <c r="M910" s="1"/>
    </row>
    <row r="911" spans="1:13" ht="15.75" customHeight="1">
      <c r="A911" s="1"/>
      <c r="B911" s="1"/>
      <c r="C911" s="1"/>
      <c r="D911" s="20"/>
      <c r="E911" s="20"/>
      <c r="F911" s="20"/>
      <c r="G911" s="20"/>
      <c r="H911" s="1"/>
      <c r="I911" s="1"/>
      <c r="J911" s="1"/>
      <c r="K911" s="1"/>
      <c r="L911" s="1"/>
      <c r="M911" s="1"/>
    </row>
    <row r="912" spans="1:13" ht="15.75" customHeight="1">
      <c r="A912" s="1"/>
      <c r="B912" s="1"/>
      <c r="C912" s="1"/>
      <c r="D912" s="20"/>
      <c r="E912" s="20"/>
      <c r="F912" s="20"/>
      <c r="G912" s="20"/>
      <c r="H912" s="1"/>
      <c r="I912" s="1"/>
      <c r="J912" s="1"/>
      <c r="K912" s="1"/>
      <c r="L912" s="1"/>
      <c r="M912" s="1"/>
    </row>
    <row r="913" spans="1:13" ht="15.75" customHeight="1">
      <c r="A913" s="1"/>
      <c r="B913" s="1"/>
      <c r="C913" s="1"/>
      <c r="D913" s="20"/>
      <c r="E913" s="20"/>
      <c r="F913" s="20"/>
      <c r="G913" s="20"/>
      <c r="H913" s="1"/>
      <c r="I913" s="1"/>
      <c r="J913" s="1"/>
      <c r="K913" s="1"/>
      <c r="L913" s="1"/>
      <c r="M913" s="1"/>
    </row>
    <row r="914" spans="1:13" ht="15.75" customHeight="1">
      <c r="A914" s="1"/>
      <c r="B914" s="1"/>
      <c r="C914" s="1"/>
      <c r="D914" s="20"/>
      <c r="E914" s="20"/>
      <c r="F914" s="20"/>
      <c r="G914" s="20"/>
      <c r="H914" s="1"/>
      <c r="I914" s="1"/>
      <c r="J914" s="1"/>
      <c r="K914" s="1"/>
      <c r="L914" s="1"/>
      <c r="M914" s="1"/>
    </row>
    <row r="915" spans="1:13" ht="15.75" customHeight="1">
      <c r="A915" s="1"/>
      <c r="B915" s="1"/>
      <c r="C915" s="1"/>
      <c r="D915" s="20"/>
      <c r="E915" s="20"/>
      <c r="F915" s="20"/>
      <c r="G915" s="20"/>
      <c r="H915" s="1"/>
      <c r="I915" s="1"/>
      <c r="J915" s="1"/>
      <c r="K915" s="1"/>
      <c r="L915" s="1"/>
      <c r="M915" s="1"/>
    </row>
    <row r="916" spans="1:13" ht="15.75" customHeight="1">
      <c r="A916" s="1"/>
      <c r="B916" s="1"/>
      <c r="C916" s="1"/>
      <c r="D916" s="20"/>
      <c r="E916" s="20"/>
      <c r="F916" s="20"/>
      <c r="G916" s="20"/>
      <c r="H916" s="1"/>
      <c r="I916" s="1"/>
      <c r="J916" s="1"/>
      <c r="K916" s="1"/>
      <c r="L916" s="1"/>
      <c r="M916" s="1"/>
    </row>
    <row r="917" spans="1:13" ht="15.75" customHeight="1">
      <c r="A917" s="1"/>
      <c r="B917" s="1"/>
      <c r="C917" s="1"/>
      <c r="D917" s="20"/>
      <c r="E917" s="20"/>
      <c r="F917" s="20"/>
      <c r="G917" s="20"/>
      <c r="H917" s="1"/>
      <c r="I917" s="1"/>
      <c r="J917" s="1"/>
      <c r="K917" s="1"/>
      <c r="L917" s="1"/>
      <c r="M917" s="1"/>
    </row>
    <row r="918" spans="1:13" ht="15.75" customHeight="1">
      <c r="A918" s="1"/>
      <c r="B918" s="1"/>
      <c r="C918" s="1"/>
      <c r="D918" s="20"/>
      <c r="E918" s="20"/>
      <c r="F918" s="20"/>
      <c r="G918" s="20"/>
      <c r="H918" s="1"/>
      <c r="I918" s="1"/>
      <c r="J918" s="1"/>
      <c r="K918" s="1"/>
      <c r="L918" s="1"/>
      <c r="M918" s="1"/>
    </row>
    <row r="919" spans="1:13" ht="15.75" customHeight="1">
      <c r="A919" s="1"/>
      <c r="B919" s="1"/>
      <c r="C919" s="1"/>
      <c r="D919" s="20"/>
      <c r="E919" s="20"/>
      <c r="F919" s="20"/>
      <c r="G919" s="20"/>
      <c r="H919" s="1"/>
      <c r="I919" s="1"/>
      <c r="J919" s="1"/>
      <c r="K919" s="1"/>
      <c r="L919" s="1"/>
      <c r="M919" s="1"/>
    </row>
    <row r="920" spans="1:13" ht="15.75" customHeight="1">
      <c r="A920" s="1"/>
      <c r="B920" s="1"/>
      <c r="C920" s="1"/>
      <c r="D920" s="20"/>
      <c r="E920" s="20"/>
      <c r="F920" s="20"/>
      <c r="G920" s="20"/>
      <c r="H920" s="1"/>
      <c r="I920" s="1"/>
      <c r="J920" s="1"/>
      <c r="K920" s="1"/>
      <c r="L920" s="1"/>
      <c r="M920" s="1"/>
    </row>
    <row r="921" spans="1:13" ht="15.75" customHeight="1">
      <c r="A921" s="1"/>
      <c r="B921" s="1"/>
      <c r="C921" s="1"/>
      <c r="D921" s="20"/>
      <c r="E921" s="20"/>
      <c r="F921" s="20"/>
      <c r="G921" s="20"/>
      <c r="H921" s="1"/>
      <c r="I921" s="1"/>
      <c r="J921" s="1"/>
      <c r="K921" s="1"/>
      <c r="L921" s="1"/>
      <c r="M921" s="1"/>
    </row>
    <row r="922" spans="1:13" ht="15.75" customHeight="1">
      <c r="A922" s="1"/>
      <c r="B922" s="1"/>
      <c r="C922" s="1"/>
      <c r="D922" s="20"/>
      <c r="E922" s="20"/>
      <c r="F922" s="20"/>
      <c r="G922" s="20"/>
      <c r="H922" s="1"/>
      <c r="I922" s="1"/>
      <c r="J922" s="1"/>
      <c r="K922" s="1"/>
      <c r="L922" s="1"/>
      <c r="M922" s="1"/>
    </row>
    <row r="923" spans="1:13" ht="15.75" customHeight="1">
      <c r="A923" s="1"/>
      <c r="B923" s="1"/>
      <c r="C923" s="1"/>
      <c r="D923" s="20"/>
      <c r="E923" s="20"/>
      <c r="F923" s="20"/>
      <c r="G923" s="20"/>
      <c r="H923" s="1"/>
      <c r="I923" s="1"/>
      <c r="J923" s="1"/>
      <c r="K923" s="1"/>
      <c r="L923" s="1"/>
      <c r="M923" s="1"/>
    </row>
    <row r="924" spans="1:13" ht="15.75" customHeight="1">
      <c r="A924" s="1"/>
      <c r="B924" s="1"/>
      <c r="C924" s="1"/>
      <c r="D924" s="20"/>
      <c r="E924" s="20"/>
      <c r="F924" s="20"/>
      <c r="G924" s="20"/>
      <c r="H924" s="1"/>
      <c r="I924" s="1"/>
      <c r="J924" s="1"/>
      <c r="K924" s="1"/>
      <c r="L924" s="1"/>
      <c r="M924" s="1"/>
    </row>
    <row r="925" spans="1:13" ht="15.75" customHeight="1">
      <c r="A925" s="1"/>
      <c r="B925" s="1"/>
      <c r="C925" s="1"/>
      <c r="D925" s="20"/>
      <c r="E925" s="20"/>
      <c r="F925" s="20"/>
      <c r="G925" s="20"/>
      <c r="H925" s="1"/>
      <c r="I925" s="1"/>
      <c r="J925" s="1"/>
      <c r="K925" s="1"/>
      <c r="L925" s="1"/>
      <c r="M925" s="1"/>
    </row>
    <row r="926" spans="1:13" ht="15.75" customHeight="1">
      <c r="A926" s="1"/>
      <c r="B926" s="1"/>
      <c r="C926" s="1"/>
      <c r="D926" s="20"/>
      <c r="E926" s="20"/>
      <c r="F926" s="20"/>
      <c r="G926" s="20"/>
      <c r="H926" s="1"/>
      <c r="I926" s="1"/>
      <c r="J926" s="1"/>
      <c r="K926" s="1"/>
      <c r="L926" s="1"/>
      <c r="M926" s="1"/>
    </row>
    <row r="927" spans="1:13" ht="15.75" customHeight="1">
      <c r="A927" s="1"/>
      <c r="B927" s="1"/>
      <c r="C927" s="1"/>
      <c r="D927" s="20"/>
      <c r="E927" s="20"/>
      <c r="F927" s="20"/>
      <c r="G927" s="20"/>
      <c r="H927" s="1"/>
      <c r="I927" s="1"/>
      <c r="J927" s="1"/>
      <c r="K927" s="1"/>
      <c r="L927" s="1"/>
      <c r="M927" s="1"/>
    </row>
    <row r="928" spans="1:13" ht="15.75" customHeight="1">
      <c r="A928" s="1"/>
      <c r="B928" s="1"/>
      <c r="C928" s="1"/>
      <c r="D928" s="20"/>
      <c r="E928" s="20"/>
      <c r="F928" s="20"/>
      <c r="G928" s="20"/>
      <c r="H928" s="1"/>
      <c r="I928" s="1"/>
      <c r="J928" s="1"/>
      <c r="K928" s="1"/>
      <c r="L928" s="1"/>
      <c r="M928" s="1"/>
    </row>
    <row r="929" spans="1:13" ht="15.75" customHeight="1">
      <c r="A929" s="1"/>
      <c r="B929" s="1"/>
      <c r="C929" s="1"/>
      <c r="D929" s="20"/>
      <c r="E929" s="20"/>
      <c r="F929" s="20"/>
      <c r="G929" s="20"/>
      <c r="H929" s="1"/>
      <c r="I929" s="1"/>
      <c r="J929" s="1"/>
      <c r="K929" s="1"/>
      <c r="L929" s="1"/>
      <c r="M929" s="1"/>
    </row>
    <row r="930" spans="1:13" ht="15.75" customHeight="1">
      <c r="A930" s="1"/>
      <c r="B930" s="1"/>
      <c r="C930" s="1"/>
      <c r="D930" s="20"/>
      <c r="E930" s="20"/>
      <c r="F930" s="20"/>
      <c r="G930" s="20"/>
      <c r="H930" s="1"/>
      <c r="I930" s="1"/>
      <c r="J930" s="1"/>
      <c r="K930" s="1"/>
      <c r="L930" s="1"/>
      <c r="M930" s="1"/>
    </row>
    <row r="931" spans="1:13" ht="15.75" customHeight="1">
      <c r="A931" s="1"/>
      <c r="B931" s="1"/>
      <c r="C931" s="1"/>
      <c r="D931" s="20"/>
      <c r="E931" s="20"/>
      <c r="F931" s="20"/>
      <c r="G931" s="20"/>
      <c r="H931" s="1"/>
      <c r="I931" s="1"/>
      <c r="J931" s="1"/>
      <c r="K931" s="1"/>
      <c r="L931" s="1"/>
      <c r="M931" s="1"/>
    </row>
    <row r="932" spans="1:13" ht="15.75" customHeight="1">
      <c r="A932" s="1"/>
      <c r="B932" s="1"/>
      <c r="C932" s="1"/>
      <c r="D932" s="20"/>
      <c r="E932" s="20"/>
      <c r="F932" s="20"/>
      <c r="G932" s="20"/>
      <c r="H932" s="1"/>
      <c r="I932" s="1"/>
      <c r="J932" s="1"/>
      <c r="K932" s="1"/>
      <c r="L932" s="1"/>
      <c r="M932" s="1"/>
    </row>
    <row r="933" spans="1:13" ht="15.75" customHeight="1">
      <c r="A933" s="1"/>
      <c r="B933" s="1"/>
      <c r="C933" s="1"/>
      <c r="D933" s="20"/>
      <c r="E933" s="20"/>
      <c r="F933" s="20"/>
      <c r="G933" s="20"/>
      <c r="H933" s="1"/>
      <c r="I933" s="1"/>
      <c r="J933" s="1"/>
      <c r="K933" s="1"/>
      <c r="L933" s="1"/>
      <c r="M933" s="1"/>
    </row>
    <row r="934" spans="1:13" ht="15.75" customHeight="1">
      <c r="A934" s="1"/>
      <c r="B934" s="1"/>
      <c r="C934" s="1"/>
      <c r="D934" s="20"/>
      <c r="E934" s="20"/>
      <c r="F934" s="20"/>
      <c r="G934" s="20"/>
      <c r="H934" s="1"/>
      <c r="I934" s="1"/>
      <c r="J934" s="1"/>
      <c r="K934" s="1"/>
      <c r="L934" s="1"/>
      <c r="M934" s="1"/>
    </row>
    <row r="935" spans="1:13" ht="15.75" customHeight="1">
      <c r="A935" s="1"/>
      <c r="B935" s="1"/>
      <c r="C935" s="1"/>
      <c r="D935" s="20"/>
      <c r="E935" s="20"/>
      <c r="F935" s="20"/>
      <c r="G935" s="20"/>
      <c r="H935" s="1"/>
      <c r="I935" s="1"/>
      <c r="J935" s="1"/>
      <c r="K935" s="1"/>
      <c r="L935" s="1"/>
      <c r="M935" s="1"/>
    </row>
    <row r="936" spans="1:13" ht="15.75" customHeight="1">
      <c r="A936" s="1"/>
      <c r="B936" s="1"/>
      <c r="C936" s="1"/>
      <c r="D936" s="20"/>
      <c r="E936" s="20"/>
      <c r="F936" s="20"/>
      <c r="G936" s="20"/>
      <c r="H936" s="1"/>
      <c r="I936" s="1"/>
      <c r="J936" s="1"/>
      <c r="K936" s="1"/>
      <c r="L936" s="1"/>
      <c r="M936" s="1"/>
    </row>
    <row r="937" spans="1:13" ht="15.75" customHeight="1">
      <c r="A937" s="1"/>
      <c r="B937" s="1"/>
      <c r="C937" s="1"/>
      <c r="D937" s="20"/>
      <c r="E937" s="20"/>
      <c r="F937" s="20"/>
      <c r="G937" s="20"/>
      <c r="H937" s="1"/>
      <c r="I937" s="1"/>
      <c r="J937" s="1"/>
      <c r="K937" s="1"/>
      <c r="L937" s="1"/>
      <c r="M937" s="1"/>
    </row>
    <row r="938" spans="1:13" ht="15.75" customHeight="1">
      <c r="A938" s="1"/>
      <c r="B938" s="1"/>
      <c r="C938" s="1"/>
      <c r="D938" s="20"/>
      <c r="E938" s="20"/>
      <c r="F938" s="20"/>
      <c r="G938" s="20"/>
      <c r="H938" s="1"/>
      <c r="I938" s="1"/>
      <c r="J938" s="1"/>
      <c r="K938" s="1"/>
      <c r="L938" s="1"/>
      <c r="M938" s="1"/>
    </row>
    <row r="939" spans="1:13" ht="15.75" customHeight="1">
      <c r="A939" s="1"/>
      <c r="B939" s="1"/>
      <c r="C939" s="1"/>
      <c r="D939" s="20"/>
      <c r="E939" s="20"/>
      <c r="F939" s="20"/>
      <c r="G939" s="20"/>
      <c r="H939" s="1"/>
      <c r="I939" s="1"/>
      <c r="J939" s="1"/>
      <c r="K939" s="1"/>
      <c r="L939" s="1"/>
      <c r="M939" s="1"/>
    </row>
    <row r="940" spans="1:13" ht="15.75" customHeight="1">
      <c r="A940" s="1"/>
      <c r="B940" s="1"/>
      <c r="C940" s="1"/>
      <c r="D940" s="20"/>
      <c r="E940" s="20"/>
      <c r="F940" s="20"/>
      <c r="G940" s="20"/>
      <c r="H940" s="1"/>
      <c r="I940" s="1"/>
      <c r="J940" s="1"/>
      <c r="K940" s="1"/>
      <c r="L940" s="1"/>
      <c r="M940" s="1"/>
    </row>
    <row r="941" spans="1:13" ht="15.75" customHeight="1">
      <c r="A941" s="1"/>
      <c r="B941" s="1"/>
      <c r="C941" s="1"/>
      <c r="D941" s="20"/>
      <c r="E941" s="20"/>
      <c r="F941" s="20"/>
      <c r="G941" s="20"/>
      <c r="H941" s="1"/>
      <c r="I941" s="1"/>
      <c r="J941" s="1"/>
      <c r="K941" s="1"/>
      <c r="L941" s="1"/>
      <c r="M941" s="1"/>
    </row>
    <row r="942" spans="1:13" ht="15.75" customHeight="1">
      <c r="A942" s="1"/>
      <c r="B942" s="1"/>
      <c r="C942" s="1"/>
      <c r="D942" s="20"/>
      <c r="E942" s="20"/>
      <c r="F942" s="20"/>
      <c r="G942" s="20"/>
      <c r="H942" s="1"/>
      <c r="I942" s="1"/>
      <c r="J942" s="1"/>
      <c r="K942" s="1"/>
      <c r="L942" s="1"/>
      <c r="M942" s="1"/>
    </row>
    <row r="943" spans="1:13" ht="15.75" customHeight="1">
      <c r="A943" s="1"/>
      <c r="B943" s="1"/>
      <c r="C943" s="1"/>
      <c r="D943" s="20"/>
      <c r="E943" s="20"/>
      <c r="F943" s="20"/>
      <c r="G943" s="20"/>
      <c r="H943" s="1"/>
      <c r="I943" s="1"/>
      <c r="J943" s="1"/>
      <c r="K943" s="1"/>
      <c r="L943" s="1"/>
      <c r="M943" s="1"/>
    </row>
    <row r="944" spans="1:13" ht="15.75" customHeight="1">
      <c r="A944" s="1"/>
      <c r="B944" s="1"/>
      <c r="C944" s="1"/>
      <c r="D944" s="20"/>
      <c r="E944" s="20"/>
      <c r="F944" s="20"/>
      <c r="G944" s="20"/>
      <c r="H944" s="1"/>
      <c r="I944" s="1"/>
      <c r="J944" s="1"/>
      <c r="K944" s="1"/>
      <c r="L944" s="1"/>
      <c r="M944" s="1"/>
    </row>
    <row r="945" spans="1:13" ht="15.75" customHeight="1">
      <c r="A945" s="1"/>
      <c r="B945" s="1"/>
      <c r="C945" s="1"/>
      <c r="D945" s="20"/>
      <c r="E945" s="20"/>
      <c r="F945" s="20"/>
      <c r="G945" s="20"/>
      <c r="H945" s="1"/>
      <c r="I945" s="1"/>
      <c r="J945" s="1"/>
      <c r="K945" s="1"/>
      <c r="L945" s="1"/>
      <c r="M945" s="1"/>
    </row>
    <row r="946" spans="1:13" ht="15.75" customHeight="1">
      <c r="A946" s="1"/>
      <c r="B946" s="1"/>
      <c r="C946" s="1"/>
      <c r="D946" s="20"/>
      <c r="E946" s="20"/>
      <c r="F946" s="20"/>
      <c r="G946" s="20"/>
      <c r="H946" s="1"/>
      <c r="I946" s="1"/>
      <c r="J946" s="1"/>
      <c r="K946" s="1"/>
      <c r="L946" s="1"/>
      <c r="M946" s="1"/>
    </row>
    <row r="947" spans="1:13" ht="15.75" customHeight="1">
      <c r="A947" s="1"/>
      <c r="B947" s="1"/>
      <c r="C947" s="1"/>
      <c r="D947" s="20"/>
      <c r="E947" s="20"/>
      <c r="F947" s="20"/>
      <c r="G947" s="20"/>
      <c r="H947" s="1"/>
      <c r="I947" s="1"/>
      <c r="J947" s="1"/>
      <c r="K947" s="1"/>
      <c r="L947" s="1"/>
      <c r="M947" s="1"/>
    </row>
    <row r="948" spans="1:13" ht="15.75" customHeight="1">
      <c r="A948" s="1"/>
      <c r="B948" s="1"/>
      <c r="C948" s="1"/>
      <c r="D948" s="20"/>
      <c r="E948" s="20"/>
      <c r="F948" s="20"/>
      <c r="G948" s="20"/>
      <c r="H948" s="1"/>
      <c r="I948" s="1"/>
      <c r="J948" s="1"/>
      <c r="K948" s="1"/>
      <c r="L948" s="1"/>
      <c r="M948" s="1"/>
    </row>
    <row r="949" spans="1:13" ht="15.75" customHeight="1">
      <c r="A949" s="1"/>
      <c r="B949" s="1"/>
      <c r="C949" s="1"/>
      <c r="D949" s="20"/>
      <c r="E949" s="20"/>
      <c r="F949" s="20"/>
      <c r="G949" s="20"/>
      <c r="H949" s="1"/>
      <c r="I949" s="1"/>
      <c r="J949" s="1"/>
      <c r="K949" s="1"/>
      <c r="L949" s="1"/>
      <c r="M949" s="1"/>
    </row>
    <row r="950" spans="1:13" ht="15.75" customHeight="1">
      <c r="A950" s="1"/>
      <c r="B950" s="1"/>
      <c r="C950" s="1"/>
      <c r="D950" s="20"/>
      <c r="E950" s="20"/>
      <c r="F950" s="20"/>
      <c r="G950" s="20"/>
      <c r="H950" s="1"/>
      <c r="I950" s="1"/>
      <c r="J950" s="1"/>
      <c r="K950" s="1"/>
      <c r="L950" s="1"/>
      <c r="M950" s="1"/>
    </row>
    <row r="951" spans="1:13" ht="15.75" customHeight="1">
      <c r="A951" s="1"/>
      <c r="B951" s="1"/>
      <c r="C951" s="1"/>
      <c r="D951" s="20"/>
      <c r="E951" s="20"/>
      <c r="F951" s="20"/>
      <c r="G951" s="20"/>
      <c r="H951" s="1"/>
      <c r="I951" s="1"/>
      <c r="J951" s="1"/>
      <c r="K951" s="1"/>
      <c r="L951" s="1"/>
      <c r="M951" s="1"/>
    </row>
    <row r="952" spans="1:13" ht="15.75" customHeight="1">
      <c r="A952" s="1"/>
      <c r="B952" s="1"/>
      <c r="C952" s="1"/>
      <c r="D952" s="20"/>
      <c r="E952" s="20"/>
      <c r="F952" s="20"/>
      <c r="G952" s="20"/>
      <c r="H952" s="1"/>
      <c r="I952" s="1"/>
      <c r="J952" s="1"/>
      <c r="K952" s="1"/>
      <c r="L952" s="1"/>
      <c r="M952" s="1"/>
    </row>
    <row r="953" spans="1:13" ht="15.75" customHeight="1">
      <c r="A953" s="1"/>
      <c r="B953" s="1"/>
      <c r="C953" s="1"/>
      <c r="D953" s="20"/>
      <c r="E953" s="20"/>
      <c r="F953" s="20"/>
      <c r="G953" s="20"/>
      <c r="H953" s="1"/>
      <c r="I953" s="1"/>
      <c r="J953" s="1"/>
      <c r="K953" s="1"/>
      <c r="L953" s="1"/>
      <c r="M953" s="1"/>
    </row>
    <row r="954" spans="1:13" ht="15.75" customHeight="1">
      <c r="A954" s="1"/>
      <c r="B954" s="1"/>
      <c r="C954" s="1"/>
      <c r="D954" s="20"/>
      <c r="E954" s="20"/>
      <c r="F954" s="20"/>
      <c r="G954" s="20"/>
      <c r="H954" s="1"/>
      <c r="I954" s="1"/>
      <c r="J954" s="1"/>
      <c r="K954" s="1"/>
      <c r="L954" s="1"/>
      <c r="M954" s="1"/>
    </row>
    <row r="955" spans="1:13" ht="15.75" customHeight="1">
      <c r="A955" s="1"/>
      <c r="B955" s="1"/>
      <c r="C955" s="1"/>
      <c r="D955" s="20"/>
      <c r="E955" s="20"/>
      <c r="F955" s="20"/>
      <c r="G955" s="20"/>
      <c r="H955" s="1"/>
      <c r="I955" s="1"/>
      <c r="J955" s="1"/>
      <c r="K955" s="1"/>
      <c r="L955" s="1"/>
      <c r="M955" s="1"/>
    </row>
    <row r="956" spans="1:13" ht="15.75" customHeight="1">
      <c r="A956" s="1"/>
      <c r="B956" s="1"/>
      <c r="C956" s="1"/>
      <c r="D956" s="20"/>
      <c r="E956" s="20"/>
      <c r="F956" s="20"/>
      <c r="G956" s="20"/>
      <c r="H956" s="1"/>
      <c r="I956" s="1"/>
      <c r="J956" s="1"/>
      <c r="K956" s="1"/>
      <c r="L956" s="1"/>
      <c r="M956" s="1"/>
    </row>
    <row r="957" spans="1:13" ht="15.75" customHeight="1">
      <c r="A957" s="1"/>
      <c r="B957" s="1"/>
      <c r="C957" s="1"/>
      <c r="D957" s="20"/>
      <c r="E957" s="20"/>
      <c r="F957" s="20"/>
      <c r="G957" s="20"/>
      <c r="H957" s="1"/>
      <c r="I957" s="1"/>
      <c r="J957" s="1"/>
      <c r="K957" s="1"/>
      <c r="L957" s="1"/>
      <c r="M957" s="1"/>
    </row>
    <row r="958" spans="1:13" ht="15.75" customHeight="1">
      <c r="A958" s="1"/>
      <c r="B958" s="1"/>
      <c r="C958" s="1"/>
      <c r="D958" s="20"/>
      <c r="E958" s="20"/>
      <c r="F958" s="20"/>
      <c r="G958" s="20"/>
      <c r="H958" s="1"/>
      <c r="I958" s="1"/>
      <c r="J958" s="1"/>
      <c r="K958" s="1"/>
      <c r="L958" s="1"/>
      <c r="M958" s="1"/>
    </row>
    <row r="959" spans="1:13" ht="15.75" customHeight="1">
      <c r="A959" s="1"/>
      <c r="B959" s="1"/>
      <c r="C959" s="1"/>
      <c r="D959" s="20"/>
      <c r="E959" s="20"/>
      <c r="F959" s="20"/>
      <c r="G959" s="20"/>
      <c r="H959" s="1"/>
      <c r="I959" s="1"/>
      <c r="J959" s="1"/>
      <c r="K959" s="1"/>
      <c r="L959" s="1"/>
      <c r="M959" s="1"/>
    </row>
    <row r="960" spans="1:13" ht="15.75" customHeight="1">
      <c r="A960" s="1"/>
      <c r="B960" s="1"/>
      <c r="C960" s="1"/>
      <c r="D960" s="20"/>
      <c r="E960" s="20"/>
      <c r="F960" s="20"/>
      <c r="G960" s="20"/>
      <c r="H960" s="1"/>
      <c r="I960" s="1"/>
      <c r="J960" s="1"/>
      <c r="K960" s="1"/>
      <c r="L960" s="1"/>
      <c r="M960" s="1"/>
    </row>
    <row r="961" spans="1:13" ht="15.75" customHeight="1">
      <c r="A961" s="1"/>
      <c r="B961" s="1"/>
      <c r="C961" s="1"/>
      <c r="D961" s="20"/>
      <c r="E961" s="20"/>
      <c r="F961" s="20"/>
      <c r="G961" s="20"/>
      <c r="H961" s="1"/>
      <c r="I961" s="1"/>
      <c r="J961" s="1"/>
      <c r="K961" s="1"/>
      <c r="L961" s="1"/>
      <c r="M961" s="1"/>
    </row>
    <row r="962" spans="1:13" ht="15.75" customHeight="1">
      <c r="A962" s="1"/>
      <c r="B962" s="1"/>
      <c r="C962" s="1"/>
      <c r="D962" s="20"/>
      <c r="E962" s="20"/>
      <c r="F962" s="20"/>
      <c r="G962" s="20"/>
      <c r="H962" s="1"/>
      <c r="I962" s="1"/>
      <c r="J962" s="1"/>
      <c r="K962" s="1"/>
      <c r="L962" s="1"/>
      <c r="M962" s="1"/>
    </row>
    <row r="963" spans="1:13" ht="15.75" customHeight="1">
      <c r="A963" s="1"/>
      <c r="B963" s="1"/>
      <c r="C963" s="1"/>
      <c r="D963" s="20"/>
      <c r="E963" s="20"/>
      <c r="F963" s="20"/>
      <c r="G963" s="20"/>
      <c r="H963" s="1"/>
      <c r="I963" s="1"/>
      <c r="J963" s="1"/>
      <c r="K963" s="1"/>
      <c r="L963" s="1"/>
      <c r="M963" s="1"/>
    </row>
    <row r="964" spans="1:13" ht="15.75" customHeight="1">
      <c r="A964" s="1"/>
      <c r="B964" s="1"/>
      <c r="C964" s="1"/>
      <c r="D964" s="20"/>
      <c r="E964" s="20"/>
      <c r="F964" s="20"/>
      <c r="G964" s="20"/>
      <c r="H964" s="1"/>
      <c r="I964" s="1"/>
      <c r="J964" s="1"/>
      <c r="K964" s="1"/>
      <c r="L964" s="1"/>
      <c r="M964" s="1"/>
    </row>
    <row r="965" spans="1:13" ht="15.75" customHeight="1">
      <c r="A965" s="1"/>
      <c r="B965" s="1"/>
      <c r="C965" s="1"/>
      <c r="D965" s="20"/>
      <c r="E965" s="20"/>
      <c r="F965" s="20"/>
      <c r="G965" s="20"/>
      <c r="H965" s="1"/>
      <c r="I965" s="1"/>
      <c r="J965" s="1"/>
      <c r="K965" s="1"/>
      <c r="L965" s="1"/>
      <c r="M965" s="1"/>
    </row>
    <row r="966" spans="1:13" ht="15.75" customHeight="1">
      <c r="A966" s="1"/>
      <c r="B966" s="1"/>
      <c r="C966" s="1"/>
      <c r="D966" s="20"/>
      <c r="E966" s="20"/>
      <c r="F966" s="20"/>
      <c r="G966" s="20"/>
      <c r="H966" s="1"/>
      <c r="I966" s="1"/>
      <c r="J966" s="1"/>
      <c r="K966" s="1"/>
      <c r="L966" s="1"/>
      <c r="M966" s="1"/>
    </row>
    <row r="967" spans="1:13" ht="15.75" customHeight="1">
      <c r="A967" s="1"/>
      <c r="B967" s="1"/>
      <c r="C967" s="1"/>
      <c r="D967" s="20"/>
      <c r="E967" s="20"/>
      <c r="F967" s="20"/>
      <c r="G967" s="20"/>
      <c r="H967" s="1"/>
      <c r="I967" s="1"/>
      <c r="J967" s="1"/>
      <c r="K967" s="1"/>
      <c r="L967" s="1"/>
      <c r="M967" s="1"/>
    </row>
    <row r="968" spans="1:13" ht="15.75" customHeight="1">
      <c r="A968" s="1"/>
      <c r="B968" s="1"/>
      <c r="C968" s="1"/>
      <c r="D968" s="20"/>
      <c r="E968" s="20"/>
      <c r="F968" s="20"/>
      <c r="G968" s="20"/>
      <c r="H968" s="1"/>
      <c r="I968" s="1"/>
      <c r="J968" s="1"/>
      <c r="K968" s="1"/>
      <c r="L968" s="1"/>
      <c r="M968" s="1"/>
    </row>
    <row r="969" spans="1:13" ht="15.75" customHeight="1">
      <c r="A969" s="1"/>
      <c r="B969" s="1"/>
      <c r="C969" s="1"/>
      <c r="D969" s="20"/>
      <c r="E969" s="20"/>
      <c r="F969" s="20"/>
      <c r="G969" s="20"/>
      <c r="H969" s="1"/>
      <c r="I969" s="1"/>
      <c r="J969" s="1"/>
      <c r="K969" s="1"/>
      <c r="L969" s="1"/>
      <c r="M969" s="1"/>
    </row>
    <row r="970" spans="1:13" ht="15.75" customHeight="1">
      <c r="A970" s="1"/>
      <c r="B970" s="1"/>
      <c r="C970" s="1"/>
      <c r="D970" s="20"/>
      <c r="E970" s="20"/>
      <c r="F970" s="20"/>
      <c r="G970" s="20"/>
      <c r="H970" s="1"/>
      <c r="I970" s="1"/>
      <c r="J970" s="1"/>
      <c r="K970" s="1"/>
      <c r="L970" s="1"/>
      <c r="M970" s="1"/>
    </row>
    <row r="971" spans="1:13" ht="15.75" customHeight="1">
      <c r="A971" s="1"/>
      <c r="B971" s="1"/>
      <c r="C971" s="1"/>
      <c r="D971" s="20"/>
      <c r="E971" s="20"/>
      <c r="F971" s="20"/>
      <c r="G971" s="20"/>
      <c r="H971" s="1"/>
      <c r="I971" s="1"/>
      <c r="J971" s="1"/>
      <c r="K971" s="1"/>
      <c r="L971" s="1"/>
      <c r="M971" s="1"/>
    </row>
    <row r="972" spans="1:13" ht="15.75" customHeight="1">
      <c r="A972" s="1"/>
      <c r="B972" s="1"/>
      <c r="C972" s="1"/>
      <c r="D972" s="20"/>
      <c r="E972" s="20"/>
      <c r="F972" s="20"/>
      <c r="G972" s="20"/>
      <c r="H972" s="1"/>
      <c r="I972" s="1"/>
      <c r="J972" s="1"/>
      <c r="K972" s="1"/>
      <c r="L972" s="1"/>
      <c r="M972" s="1"/>
    </row>
    <row r="973" spans="1:13" ht="15.75" customHeight="1">
      <c r="A973" s="1"/>
      <c r="B973" s="1"/>
      <c r="C973" s="1"/>
      <c r="D973" s="20"/>
      <c r="E973" s="20"/>
      <c r="F973" s="20"/>
      <c r="G973" s="20"/>
      <c r="H973" s="1"/>
      <c r="I973" s="1"/>
      <c r="J973" s="1"/>
      <c r="K973" s="1"/>
      <c r="L973" s="1"/>
      <c r="M973" s="1"/>
    </row>
    <row r="974" spans="1:13" ht="15.75" customHeight="1">
      <c r="A974" s="1"/>
      <c r="B974" s="1"/>
      <c r="C974" s="1"/>
      <c r="D974" s="20"/>
      <c r="E974" s="20"/>
      <c r="F974" s="20"/>
      <c r="G974" s="20"/>
      <c r="H974" s="1"/>
      <c r="I974" s="1"/>
      <c r="J974" s="1"/>
      <c r="K974" s="1"/>
      <c r="L974" s="1"/>
      <c r="M974" s="1"/>
    </row>
    <row r="975" spans="1:13" ht="15.75" customHeight="1">
      <c r="A975" s="1"/>
      <c r="B975" s="1"/>
      <c r="C975" s="1"/>
      <c r="D975" s="20"/>
      <c r="E975" s="20"/>
      <c r="F975" s="20"/>
      <c r="G975" s="20"/>
      <c r="H975" s="1"/>
      <c r="I975" s="1"/>
      <c r="J975" s="1"/>
      <c r="K975" s="1"/>
      <c r="L975" s="1"/>
      <c r="M975" s="1"/>
    </row>
    <row r="976" spans="1:13" ht="15.75" customHeight="1">
      <c r="A976" s="1"/>
      <c r="B976" s="1"/>
      <c r="C976" s="1"/>
      <c r="D976" s="20"/>
      <c r="E976" s="20"/>
      <c r="F976" s="20"/>
      <c r="G976" s="20"/>
      <c r="H976" s="1"/>
      <c r="I976" s="1"/>
      <c r="J976" s="1"/>
      <c r="K976" s="1"/>
      <c r="L976" s="1"/>
      <c r="M976" s="1"/>
    </row>
    <row r="977" spans="1:13" ht="15.75" customHeight="1">
      <c r="A977" s="1"/>
      <c r="B977" s="1"/>
      <c r="C977" s="1"/>
      <c r="D977" s="20"/>
      <c r="E977" s="20"/>
      <c r="F977" s="20"/>
      <c r="G977" s="20"/>
      <c r="H977" s="1"/>
      <c r="I977" s="1"/>
      <c r="J977" s="1"/>
      <c r="K977" s="1"/>
      <c r="L977" s="1"/>
      <c r="M977" s="1"/>
    </row>
    <row r="978" spans="1:13" ht="15.75" customHeight="1">
      <c r="A978" s="1"/>
      <c r="B978" s="1"/>
      <c r="C978" s="1"/>
      <c r="D978" s="20"/>
      <c r="E978" s="20"/>
      <c r="F978" s="20"/>
      <c r="G978" s="20"/>
      <c r="H978" s="1"/>
      <c r="I978" s="1"/>
      <c r="J978" s="1"/>
      <c r="K978" s="1"/>
      <c r="L978" s="1"/>
      <c r="M978" s="1"/>
    </row>
    <row r="979" spans="1:13" ht="15.75" customHeight="1">
      <c r="A979" s="1"/>
      <c r="B979" s="1"/>
      <c r="C979" s="1"/>
      <c r="D979" s="20"/>
      <c r="E979" s="20"/>
      <c r="F979" s="20"/>
      <c r="G979" s="20"/>
      <c r="H979" s="1"/>
      <c r="I979" s="1"/>
      <c r="J979" s="1"/>
      <c r="K979" s="1"/>
      <c r="L979" s="1"/>
      <c r="M979" s="1"/>
    </row>
    <row r="980" spans="1:13" ht="15.75" customHeight="1">
      <c r="A980" s="1"/>
      <c r="B980" s="1"/>
      <c r="C980" s="1"/>
      <c r="D980" s="20"/>
      <c r="E980" s="20"/>
      <c r="F980" s="20"/>
      <c r="G980" s="20"/>
      <c r="H980" s="1"/>
      <c r="I980" s="1"/>
      <c r="J980" s="1"/>
      <c r="K980" s="1"/>
      <c r="L980" s="1"/>
      <c r="M980" s="1"/>
    </row>
    <row r="981" spans="1:13" ht="15.75" customHeight="1">
      <c r="A981" s="1"/>
      <c r="B981" s="1"/>
      <c r="C981" s="1"/>
      <c r="D981" s="20"/>
      <c r="E981" s="20"/>
      <c r="F981" s="20"/>
      <c r="G981" s="20"/>
      <c r="H981" s="1"/>
      <c r="I981" s="1"/>
      <c r="J981" s="1"/>
      <c r="K981" s="1"/>
      <c r="L981" s="1"/>
      <c r="M981" s="1"/>
    </row>
    <row r="982" spans="1:13" ht="15.75" customHeight="1">
      <c r="A982" s="1"/>
      <c r="B982" s="1"/>
      <c r="C982" s="1"/>
      <c r="D982" s="20"/>
      <c r="E982" s="20"/>
      <c r="F982" s="20"/>
      <c r="G982" s="20"/>
      <c r="H982" s="1"/>
      <c r="I982" s="1"/>
      <c r="J982" s="1"/>
      <c r="K982" s="1"/>
      <c r="L982" s="1"/>
      <c r="M982" s="1"/>
    </row>
    <row r="983" spans="1:13" ht="15.75" customHeight="1">
      <c r="A983" s="1"/>
      <c r="B983" s="1"/>
      <c r="C983" s="1"/>
      <c r="D983" s="20"/>
      <c r="E983" s="20"/>
      <c r="F983" s="20"/>
      <c r="G983" s="20"/>
      <c r="H983" s="1"/>
      <c r="I983" s="1"/>
      <c r="J983" s="1"/>
      <c r="K983" s="1"/>
      <c r="L983" s="1"/>
      <c r="M983" s="1"/>
    </row>
    <row r="984" spans="1:13" ht="15.75" customHeight="1">
      <c r="A984" s="1"/>
      <c r="B984" s="1"/>
      <c r="C984" s="1"/>
      <c r="D984" s="20"/>
      <c r="E984" s="20"/>
      <c r="F984" s="20"/>
      <c r="G984" s="20"/>
      <c r="H984" s="1"/>
      <c r="I984" s="1"/>
      <c r="J984" s="1"/>
      <c r="K984" s="1"/>
      <c r="L984" s="1"/>
      <c r="M984" s="1"/>
    </row>
    <row r="985" spans="1:13" ht="15.75" customHeight="1">
      <c r="A985" s="1"/>
      <c r="B985" s="1"/>
      <c r="C985" s="1"/>
      <c r="D985" s="20"/>
      <c r="E985" s="20"/>
      <c r="F985" s="20"/>
      <c r="G985" s="20"/>
      <c r="H985" s="1"/>
      <c r="I985" s="1"/>
      <c r="J985" s="1"/>
      <c r="K985" s="1"/>
      <c r="L985" s="1"/>
      <c r="M985" s="1"/>
    </row>
    <row r="986" spans="1:13" ht="15.75" customHeight="1">
      <c r="A986" s="1"/>
      <c r="B986" s="1"/>
      <c r="C986" s="1"/>
      <c r="D986" s="20"/>
      <c r="E986" s="20"/>
      <c r="F986" s="20"/>
      <c r="G986" s="20"/>
      <c r="H986" s="1"/>
      <c r="I986" s="1"/>
      <c r="J986" s="1"/>
      <c r="K986" s="1"/>
      <c r="L986" s="1"/>
      <c r="M986" s="1"/>
    </row>
    <row r="987" spans="1:13" ht="15.75" customHeight="1">
      <c r="A987" s="1"/>
      <c r="B987" s="1"/>
      <c r="C987" s="1"/>
      <c r="D987" s="20"/>
      <c r="E987" s="20"/>
      <c r="F987" s="20"/>
      <c r="G987" s="20"/>
      <c r="H987" s="1"/>
      <c r="I987" s="1"/>
      <c r="J987" s="1"/>
      <c r="K987" s="1"/>
      <c r="L987" s="1"/>
      <c r="M987" s="1"/>
    </row>
    <row r="988" spans="1:13" ht="15.75" customHeight="1">
      <c r="A988" s="1"/>
      <c r="B988" s="1"/>
      <c r="C988" s="1"/>
      <c r="D988" s="20"/>
      <c r="E988" s="20"/>
      <c r="F988" s="20"/>
      <c r="G988" s="20"/>
      <c r="H988" s="1"/>
      <c r="I988" s="1"/>
      <c r="J988" s="1"/>
      <c r="K988" s="1"/>
      <c r="L988" s="1"/>
      <c r="M988" s="1"/>
    </row>
    <row r="989" spans="1:13" ht="15.75" customHeight="1">
      <c r="A989" s="1"/>
      <c r="B989" s="1"/>
      <c r="C989" s="1"/>
      <c r="D989" s="20"/>
      <c r="E989" s="20"/>
      <c r="F989" s="20"/>
      <c r="G989" s="20"/>
      <c r="H989" s="1"/>
      <c r="I989" s="1"/>
      <c r="J989" s="1"/>
      <c r="K989" s="1"/>
      <c r="L989" s="1"/>
      <c r="M989" s="1"/>
    </row>
    <row r="990" spans="1:13" ht="15.75" customHeight="1">
      <c r="A990" s="1"/>
      <c r="B990" s="1"/>
      <c r="C990" s="1"/>
      <c r="D990" s="20"/>
      <c r="E990" s="20"/>
      <c r="F990" s="20"/>
      <c r="G990" s="20"/>
      <c r="H990" s="1"/>
      <c r="I990" s="1"/>
      <c r="J990" s="1"/>
      <c r="K990" s="1"/>
      <c r="L990" s="1"/>
      <c r="M990" s="1"/>
    </row>
    <row r="991" spans="1:13" ht="15.75" customHeight="1">
      <c r="A991" s="1"/>
      <c r="B991" s="1"/>
      <c r="C991" s="1"/>
      <c r="D991" s="20"/>
      <c r="E991" s="20"/>
      <c r="F991" s="20"/>
      <c r="G991" s="20"/>
      <c r="H991" s="1"/>
      <c r="I991" s="1"/>
      <c r="J991" s="1"/>
      <c r="K991" s="1"/>
      <c r="L991" s="1"/>
      <c r="M991" s="1"/>
    </row>
    <row r="992" spans="1:13" ht="15.75" customHeight="1">
      <c r="A992" s="1"/>
      <c r="B992" s="1"/>
      <c r="C992" s="1"/>
      <c r="D992" s="20"/>
      <c r="E992" s="20"/>
      <c r="F992" s="20"/>
      <c r="G992" s="20"/>
      <c r="H992" s="1"/>
      <c r="I992" s="1"/>
      <c r="J992" s="1"/>
      <c r="K992" s="1"/>
      <c r="L992" s="1"/>
      <c r="M992" s="1"/>
    </row>
    <row r="993" spans="1:13" ht="15.75" customHeight="1">
      <c r="A993" s="1"/>
      <c r="B993" s="1"/>
      <c r="C993" s="1"/>
      <c r="D993" s="20"/>
      <c r="E993" s="20"/>
      <c r="F993" s="20"/>
      <c r="G993" s="20"/>
      <c r="H993" s="1"/>
      <c r="I993" s="1"/>
      <c r="J993" s="1"/>
      <c r="K993" s="1"/>
      <c r="L993" s="1"/>
      <c r="M993" s="1"/>
    </row>
    <row r="994" spans="1:13" ht="15.75" customHeight="1">
      <c r="A994" s="1"/>
      <c r="B994" s="1"/>
      <c r="C994" s="1"/>
      <c r="D994" s="20"/>
      <c r="E994" s="20"/>
      <c r="F994" s="20"/>
      <c r="G994" s="20"/>
      <c r="H994" s="1"/>
      <c r="I994" s="1"/>
      <c r="J994" s="1"/>
      <c r="K994" s="1"/>
      <c r="L994" s="1"/>
      <c r="M994" s="1"/>
    </row>
    <row r="995" spans="1:13" ht="15.75" customHeight="1">
      <c r="A995" s="1"/>
      <c r="B995" s="1"/>
      <c r="C995" s="1"/>
      <c r="D995" s="20"/>
      <c r="E995" s="20"/>
      <c r="F995" s="20"/>
      <c r="G995" s="20"/>
      <c r="H995" s="1"/>
      <c r="I995" s="1"/>
      <c r="J995" s="1"/>
      <c r="K995" s="1"/>
      <c r="L995" s="1"/>
      <c r="M995" s="1"/>
    </row>
    <row r="996" spans="1:13" ht="15.75" customHeight="1">
      <c r="A996" s="1"/>
      <c r="B996" s="1"/>
      <c r="C996" s="1"/>
      <c r="D996" s="20"/>
      <c r="E996" s="20"/>
      <c r="F996" s="20"/>
      <c r="G996" s="20"/>
      <c r="H996" s="1"/>
      <c r="I996" s="1"/>
      <c r="J996" s="1"/>
      <c r="K996" s="1"/>
      <c r="L996" s="1"/>
      <c r="M996" s="1"/>
    </row>
    <row r="997" spans="1:13" ht="15.75" customHeight="1">
      <c r="A997" s="1"/>
      <c r="B997" s="1"/>
      <c r="C997" s="1"/>
      <c r="D997" s="20"/>
      <c r="E997" s="20"/>
      <c r="F997" s="20"/>
      <c r="G997" s="20"/>
      <c r="H997" s="1"/>
      <c r="I997" s="1"/>
      <c r="J997" s="1"/>
      <c r="K997" s="1"/>
      <c r="L997" s="1"/>
      <c r="M997" s="1"/>
    </row>
    <row r="998" spans="1:13" ht="15.75" customHeight="1">
      <c r="A998" s="1"/>
      <c r="B998" s="1"/>
      <c r="C998" s="1"/>
      <c r="D998" s="20"/>
      <c r="E998" s="20"/>
      <c r="F998" s="20"/>
      <c r="G998" s="20"/>
      <c r="H998" s="1"/>
      <c r="I998" s="1"/>
      <c r="J998" s="1"/>
      <c r="K998" s="1"/>
      <c r="L998" s="1"/>
      <c r="M998" s="1"/>
    </row>
    <row r="999" spans="1:13" ht="15.75" customHeight="1">
      <c r="A999" s="1"/>
      <c r="B999" s="1"/>
      <c r="C999" s="1"/>
      <c r="D999" s="20"/>
      <c r="E999" s="20"/>
      <c r="F999" s="20"/>
      <c r="G999" s="20"/>
      <c r="H999" s="1"/>
      <c r="I999" s="1"/>
      <c r="J999" s="1"/>
      <c r="K999" s="1"/>
      <c r="L999" s="1"/>
      <c r="M999" s="1"/>
    </row>
    <row r="1000" spans="1:13" ht="15.75" customHeight="1">
      <c r="A1000" s="1"/>
      <c r="B1000" s="1"/>
      <c r="C1000" s="1"/>
      <c r="D1000" s="20"/>
      <c r="E1000" s="20"/>
      <c r="F1000" s="20"/>
      <c r="G1000" s="20"/>
      <c r="H1000" s="1"/>
      <c r="I1000" s="1"/>
      <c r="J1000" s="1"/>
      <c r="K1000" s="1"/>
      <c r="L1000" s="1"/>
      <c r="M1000" s="1"/>
    </row>
    <row r="1001" spans="1:13" ht="15.75" customHeight="1">
      <c r="A1001" s="1"/>
      <c r="B1001" s="1"/>
      <c r="C1001" s="1"/>
      <c r="D1001" s="20"/>
      <c r="E1001" s="20"/>
      <c r="F1001" s="20"/>
      <c r="G1001" s="20"/>
      <c r="H1001" s="1"/>
      <c r="I1001" s="1"/>
      <c r="J1001" s="1"/>
      <c r="K1001" s="1"/>
      <c r="L1001" s="1"/>
      <c r="M1001" s="1"/>
    </row>
    <row r="1002" spans="1:13" ht="15.75" customHeight="1">
      <c r="A1002" s="1"/>
      <c r="B1002" s="1"/>
      <c r="C1002" s="1"/>
      <c r="D1002" s="20"/>
      <c r="E1002" s="20"/>
      <c r="F1002" s="20"/>
      <c r="G1002" s="20"/>
      <c r="H1002" s="1"/>
      <c r="I1002" s="1"/>
      <c r="J1002" s="1"/>
      <c r="K1002" s="1"/>
      <c r="L1002" s="1"/>
      <c r="M1002" s="1"/>
    </row>
    <row r="1003" spans="1:13" ht="15.75" customHeight="1">
      <c r="A1003" s="1"/>
      <c r="B1003" s="1"/>
      <c r="C1003" s="1"/>
      <c r="D1003" s="20"/>
      <c r="E1003" s="20"/>
      <c r="F1003" s="20"/>
      <c r="G1003" s="20"/>
      <c r="H1003" s="1"/>
      <c r="I1003" s="1"/>
      <c r="J1003" s="1"/>
      <c r="K1003" s="1"/>
      <c r="L1003" s="1"/>
      <c r="M1003" s="1"/>
    </row>
    <row r="1004" spans="1:13" ht="15.75" customHeight="1">
      <c r="A1004" s="1"/>
      <c r="B1004" s="1"/>
      <c r="C1004" s="1"/>
      <c r="D1004" s="20"/>
      <c r="E1004" s="20"/>
      <c r="F1004" s="20"/>
      <c r="G1004" s="20"/>
      <c r="H1004" s="1"/>
      <c r="I1004" s="1"/>
      <c r="J1004" s="1"/>
      <c r="K1004" s="1"/>
      <c r="L1004" s="1"/>
      <c r="M1004" s="1"/>
    </row>
    <row r="1005" spans="1:13" ht="15.75" customHeight="1">
      <c r="A1005" s="1"/>
      <c r="B1005" s="1"/>
      <c r="C1005" s="1"/>
      <c r="D1005" s="20"/>
      <c r="E1005" s="20"/>
      <c r="F1005" s="20"/>
      <c r="G1005" s="20"/>
      <c r="H1005" s="1"/>
      <c r="I1005" s="1"/>
      <c r="J1005" s="1"/>
      <c r="K1005" s="1"/>
      <c r="L1005" s="1"/>
      <c r="M1005" s="1"/>
    </row>
    <row r="1006" spans="1:13" ht="15.75" customHeight="1">
      <c r="A1006" s="1"/>
      <c r="B1006" s="1"/>
      <c r="C1006" s="1"/>
      <c r="D1006" s="20"/>
      <c r="E1006" s="20"/>
      <c r="F1006" s="20"/>
      <c r="G1006" s="20"/>
      <c r="H1006" s="1"/>
      <c r="I1006" s="1"/>
      <c r="J1006" s="1"/>
      <c r="K1006" s="1"/>
      <c r="L1006" s="1"/>
      <c r="M1006" s="1"/>
    </row>
    <row r="1007" spans="1:13" ht="15.75" customHeight="1">
      <c r="A1007" s="1"/>
      <c r="B1007" s="1"/>
      <c r="C1007" s="1"/>
      <c r="D1007" s="20"/>
      <c r="E1007" s="20"/>
      <c r="F1007" s="20"/>
      <c r="G1007" s="20"/>
      <c r="H1007" s="1"/>
      <c r="I1007" s="1"/>
      <c r="J1007" s="1"/>
      <c r="K1007" s="1"/>
      <c r="L1007" s="1"/>
      <c r="M1007" s="1"/>
    </row>
    <row r="1008" spans="1:13" ht="15.75" customHeight="1">
      <c r="A1008" s="1"/>
      <c r="B1008" s="1"/>
      <c r="C1008" s="1"/>
      <c r="D1008" s="20"/>
      <c r="E1008" s="20"/>
      <c r="F1008" s="20"/>
      <c r="G1008" s="20"/>
      <c r="H1008" s="1"/>
      <c r="I1008" s="1"/>
      <c r="J1008" s="1"/>
      <c r="K1008" s="1"/>
      <c r="L1008" s="1"/>
      <c r="M1008" s="1"/>
    </row>
    <row r="1009" spans="1:13" ht="15.75" customHeight="1">
      <c r="A1009" s="1"/>
      <c r="B1009" s="1"/>
      <c r="C1009" s="1"/>
      <c r="D1009" s="20"/>
      <c r="E1009" s="20"/>
      <c r="F1009" s="20"/>
      <c r="G1009" s="20"/>
      <c r="H1009" s="1"/>
      <c r="I1009" s="1"/>
      <c r="J1009" s="1"/>
      <c r="K1009" s="1"/>
      <c r="L1009" s="1"/>
      <c r="M1009" s="1"/>
    </row>
    <row r="1010" spans="1:13" ht="15.75" customHeight="1">
      <c r="A1010" s="1"/>
      <c r="B1010" s="1"/>
      <c r="C1010" s="1"/>
      <c r="D1010" s="20"/>
      <c r="E1010" s="20"/>
      <c r="F1010" s="20"/>
      <c r="G1010" s="20"/>
      <c r="H1010" s="1"/>
      <c r="I1010" s="1"/>
      <c r="J1010" s="1"/>
      <c r="K1010" s="1"/>
      <c r="L1010" s="1"/>
      <c r="M1010" s="1"/>
    </row>
    <row r="1011" spans="1:13" ht="15.75" customHeight="1">
      <c r="A1011" s="1"/>
      <c r="B1011" s="1"/>
      <c r="C1011" s="1"/>
      <c r="D1011" s="20"/>
      <c r="E1011" s="20"/>
      <c r="F1011" s="20"/>
      <c r="G1011" s="20"/>
      <c r="H1011" s="1"/>
      <c r="I1011" s="1"/>
      <c r="J1011" s="1"/>
      <c r="K1011" s="1"/>
      <c r="L1011" s="1"/>
      <c r="M1011" s="1"/>
    </row>
    <row r="1012" spans="1:13" ht="15.75" customHeight="1">
      <c r="A1012" s="1"/>
      <c r="B1012" s="1"/>
      <c r="C1012" s="1"/>
      <c r="D1012" s="20"/>
      <c r="E1012" s="20"/>
      <c r="F1012" s="20"/>
      <c r="G1012" s="20"/>
      <c r="H1012" s="1"/>
      <c r="I1012" s="1"/>
      <c r="J1012" s="1"/>
      <c r="K1012" s="1"/>
      <c r="L1012" s="1"/>
      <c r="M1012" s="1"/>
    </row>
    <row r="1013" spans="1:13" ht="15.75" customHeight="1">
      <c r="A1013" s="1"/>
      <c r="B1013" s="1"/>
      <c r="C1013" s="1"/>
      <c r="D1013" s="20"/>
      <c r="E1013" s="20"/>
      <c r="F1013" s="20"/>
      <c r="G1013" s="20"/>
      <c r="H1013" s="1"/>
      <c r="I1013" s="1"/>
      <c r="J1013" s="1"/>
      <c r="K1013" s="1"/>
      <c r="L1013" s="1"/>
      <c r="M1013" s="1"/>
    </row>
    <row r="1014" spans="1:13" ht="15.75" customHeight="1">
      <c r="A1014" s="1"/>
      <c r="B1014" s="1"/>
      <c r="C1014" s="1"/>
      <c r="D1014" s="20"/>
      <c r="E1014" s="20"/>
      <c r="F1014" s="20"/>
      <c r="G1014" s="20"/>
      <c r="H1014" s="1"/>
      <c r="I1014" s="1"/>
      <c r="J1014" s="1"/>
      <c r="K1014" s="1"/>
      <c r="L1014" s="1"/>
      <c r="M1014" s="1"/>
    </row>
    <row r="1015" spans="1:13" ht="15.75" customHeight="1">
      <c r="A1015" s="1"/>
      <c r="B1015" s="1"/>
      <c r="C1015" s="1"/>
      <c r="D1015" s="20"/>
      <c r="E1015" s="20"/>
      <c r="F1015" s="20"/>
      <c r="G1015" s="20"/>
      <c r="H1015" s="1"/>
      <c r="I1015" s="1"/>
      <c r="J1015" s="1"/>
      <c r="K1015" s="1"/>
      <c r="L1015" s="1"/>
      <c r="M1015" s="1"/>
    </row>
    <row r="1016" spans="1:13" ht="15.75" customHeight="1">
      <c r="A1016" s="1"/>
      <c r="B1016" s="1"/>
      <c r="C1016" s="1"/>
      <c r="D1016" s="20"/>
      <c r="E1016" s="20"/>
      <c r="F1016" s="20"/>
      <c r="G1016" s="20"/>
      <c r="H1016" s="1"/>
      <c r="I1016" s="1"/>
      <c r="J1016" s="1"/>
      <c r="K1016" s="1"/>
      <c r="L1016" s="1"/>
      <c r="M1016" s="1"/>
    </row>
    <row r="1017" spans="1:13" ht="15.75" customHeight="1">
      <c r="A1017" s="1"/>
      <c r="B1017" s="1"/>
      <c r="C1017" s="1"/>
      <c r="D1017" s="20"/>
      <c r="E1017" s="20"/>
      <c r="F1017" s="20"/>
      <c r="G1017" s="20"/>
      <c r="H1017" s="1"/>
      <c r="I1017" s="1"/>
      <c r="J1017" s="1"/>
      <c r="K1017" s="1"/>
      <c r="L1017" s="1"/>
      <c r="M1017" s="1"/>
    </row>
    <row r="1018" spans="1:13" ht="15.75" customHeight="1">
      <c r="A1018" s="1"/>
      <c r="B1018" s="1"/>
      <c r="C1018" s="1"/>
      <c r="D1018" s="20"/>
      <c r="E1018" s="20"/>
      <c r="F1018" s="20"/>
      <c r="G1018" s="20"/>
      <c r="H1018" s="1"/>
      <c r="I1018" s="1"/>
      <c r="J1018" s="1"/>
      <c r="K1018" s="1"/>
      <c r="L1018" s="1"/>
      <c r="M1018" s="1"/>
    </row>
    <row r="1019" spans="1:13" ht="15.75" customHeight="1">
      <c r="A1019" s="1"/>
      <c r="B1019" s="1"/>
      <c r="C1019" s="1"/>
      <c r="D1019" s="20"/>
      <c r="E1019" s="20"/>
      <c r="F1019" s="20"/>
      <c r="G1019" s="20"/>
      <c r="H1019" s="1"/>
      <c r="I1019" s="1"/>
      <c r="J1019" s="1"/>
      <c r="K1019" s="1"/>
      <c r="L1019" s="1"/>
      <c r="M1019" s="1"/>
    </row>
    <row r="1020" spans="1:13" ht="15.75" customHeight="1">
      <c r="A1020" s="1"/>
      <c r="B1020" s="1"/>
      <c r="C1020" s="1"/>
      <c r="D1020" s="20"/>
      <c r="E1020" s="20"/>
      <c r="F1020" s="20"/>
      <c r="G1020" s="20"/>
      <c r="H1020" s="1"/>
      <c r="I1020" s="1"/>
      <c r="J1020" s="1"/>
      <c r="K1020" s="1"/>
      <c r="L1020" s="1"/>
      <c r="M1020" s="1"/>
    </row>
    <row r="1021" spans="1:13" ht="15.75" customHeight="1">
      <c r="A1021" s="1"/>
      <c r="B1021" s="1"/>
      <c r="C1021" s="1"/>
      <c r="D1021" s="20"/>
      <c r="E1021" s="20"/>
      <c r="F1021" s="20"/>
      <c r="G1021" s="20"/>
      <c r="H1021" s="1"/>
      <c r="I1021" s="1"/>
      <c r="J1021" s="1"/>
      <c r="K1021" s="1"/>
      <c r="L1021" s="1"/>
      <c r="M1021" s="1"/>
    </row>
    <row r="1022" spans="1:13" ht="15.75" customHeight="1">
      <c r="A1022" s="1"/>
      <c r="B1022" s="1"/>
      <c r="C1022" s="1"/>
      <c r="D1022" s="20"/>
      <c r="E1022" s="20"/>
      <c r="F1022" s="20"/>
      <c r="G1022" s="20"/>
      <c r="H1022" s="1"/>
      <c r="I1022" s="1"/>
      <c r="J1022" s="1"/>
      <c r="K1022" s="1"/>
      <c r="L1022" s="1"/>
      <c r="M1022" s="1"/>
    </row>
    <row r="1023" spans="1:13" ht="15.75" customHeight="1">
      <c r="A1023" s="1"/>
      <c r="B1023" s="1"/>
      <c r="C1023" s="1"/>
      <c r="D1023" s="20"/>
      <c r="E1023" s="20"/>
      <c r="F1023" s="20"/>
      <c r="G1023" s="20"/>
      <c r="H1023" s="1"/>
      <c r="I1023" s="1"/>
      <c r="J1023" s="1"/>
      <c r="K1023" s="1"/>
      <c r="L1023" s="1"/>
      <c r="M1023" s="1"/>
    </row>
    <row r="1024" spans="1:13" ht="15.75" customHeight="1">
      <c r="A1024" s="1"/>
      <c r="B1024" s="1"/>
      <c r="C1024" s="1"/>
      <c r="D1024" s="20"/>
      <c r="E1024" s="20"/>
      <c r="F1024" s="20"/>
      <c r="G1024" s="20"/>
      <c r="H1024" s="1"/>
      <c r="I1024" s="1"/>
      <c r="J1024" s="1"/>
      <c r="K1024" s="1"/>
      <c r="L1024" s="1"/>
      <c r="M1024" s="1"/>
    </row>
    <row r="1025" spans="1:13" ht="15.75" customHeight="1">
      <c r="A1025" s="1"/>
      <c r="B1025" s="1"/>
      <c r="C1025" s="1"/>
      <c r="D1025" s="20"/>
      <c r="E1025" s="20"/>
      <c r="F1025" s="20"/>
      <c r="G1025" s="20"/>
      <c r="H1025" s="1"/>
      <c r="I1025" s="1"/>
      <c r="J1025" s="1"/>
      <c r="K1025" s="1"/>
      <c r="L1025" s="1"/>
      <c r="M1025" s="1"/>
    </row>
    <row r="1026" spans="1:13" ht="15.75" customHeight="1">
      <c r="A1026" s="1"/>
      <c r="B1026" s="1"/>
      <c r="C1026" s="1"/>
      <c r="D1026" s="20"/>
      <c r="E1026" s="20"/>
      <c r="F1026" s="20"/>
      <c r="G1026" s="20"/>
      <c r="H1026" s="1"/>
      <c r="I1026" s="1"/>
      <c r="J1026" s="1"/>
      <c r="K1026" s="1"/>
      <c r="L1026" s="1"/>
      <c r="M1026" s="1"/>
    </row>
    <row r="1027" spans="1:13" ht="15.75" customHeight="1">
      <c r="A1027" s="1"/>
      <c r="B1027" s="1"/>
      <c r="C1027" s="1"/>
      <c r="D1027" s="20"/>
      <c r="E1027" s="20"/>
      <c r="F1027" s="20"/>
      <c r="G1027" s="20"/>
      <c r="H1027" s="1"/>
      <c r="I1027" s="1"/>
      <c r="J1027" s="1"/>
      <c r="K1027" s="1"/>
      <c r="L1027" s="1"/>
      <c r="M1027" s="1"/>
    </row>
    <row r="1028" spans="1:13" ht="15.75" customHeight="1">
      <c r="A1028" s="1"/>
      <c r="B1028" s="1"/>
      <c r="C1028" s="1"/>
      <c r="D1028" s="20"/>
      <c r="E1028" s="20"/>
      <c r="F1028" s="20"/>
      <c r="G1028" s="20"/>
      <c r="H1028" s="1"/>
      <c r="I1028" s="1"/>
      <c r="J1028" s="1"/>
      <c r="K1028" s="1"/>
      <c r="L1028" s="1"/>
      <c r="M1028" s="1"/>
    </row>
    <row r="1029" spans="1:13" ht="15.75" customHeight="1">
      <c r="A1029" s="1"/>
      <c r="B1029" s="1"/>
      <c r="C1029" s="1"/>
      <c r="D1029" s="20"/>
      <c r="E1029" s="20"/>
      <c r="F1029" s="20"/>
      <c r="G1029" s="20"/>
      <c r="H1029" s="1"/>
      <c r="I1029" s="1"/>
      <c r="J1029" s="1"/>
      <c r="K1029" s="1"/>
      <c r="L1029" s="1"/>
      <c r="M1029" s="1"/>
    </row>
    <row r="1030" spans="1:13" ht="15.75" customHeight="1">
      <c r="A1030" s="1"/>
      <c r="B1030" s="1"/>
      <c r="C1030" s="1"/>
      <c r="D1030" s="20"/>
      <c r="E1030" s="20"/>
      <c r="F1030" s="20"/>
      <c r="G1030" s="20"/>
      <c r="H1030" s="1"/>
      <c r="I1030" s="1"/>
      <c r="J1030" s="1"/>
      <c r="K1030" s="1"/>
      <c r="L1030" s="1"/>
      <c r="M1030" s="1"/>
    </row>
    <row r="1031" spans="1:13" ht="15.75" customHeight="1">
      <c r="A1031" s="1"/>
      <c r="B1031" s="1"/>
      <c r="C1031" s="1"/>
      <c r="D1031" s="20"/>
      <c r="E1031" s="20"/>
      <c r="F1031" s="20"/>
      <c r="G1031" s="20"/>
      <c r="H1031" s="1"/>
      <c r="I1031" s="1"/>
      <c r="J1031" s="1"/>
      <c r="K1031" s="1"/>
      <c r="L1031" s="1"/>
      <c r="M1031" s="1"/>
    </row>
    <row r="1032" spans="1:13" ht="15.75" customHeight="1">
      <c r="A1032" s="1"/>
      <c r="B1032" s="1"/>
      <c r="C1032" s="1"/>
      <c r="D1032" s="20"/>
      <c r="E1032" s="20"/>
      <c r="F1032" s="20"/>
      <c r="G1032" s="20"/>
      <c r="H1032" s="1"/>
      <c r="I1032" s="1"/>
      <c r="J1032" s="1"/>
      <c r="K1032" s="1"/>
      <c r="L1032" s="1"/>
      <c r="M1032" s="1"/>
    </row>
    <row r="1033" spans="1:13" ht="15.75" customHeight="1">
      <c r="A1033" s="1"/>
      <c r="B1033" s="1"/>
      <c r="C1033" s="1"/>
      <c r="D1033" s="20"/>
      <c r="E1033" s="20"/>
      <c r="F1033" s="20"/>
      <c r="G1033" s="20"/>
      <c r="H1033" s="1"/>
      <c r="I1033" s="1"/>
      <c r="J1033" s="1"/>
      <c r="K1033" s="1"/>
      <c r="L1033" s="1"/>
      <c r="M1033" s="1"/>
    </row>
    <row r="1034" spans="1:13" ht="15.75" customHeight="1">
      <c r="A1034" s="1"/>
      <c r="B1034" s="1"/>
      <c r="C1034" s="1"/>
      <c r="D1034" s="20"/>
      <c r="E1034" s="20"/>
      <c r="F1034" s="20"/>
      <c r="G1034" s="20"/>
      <c r="H1034" s="1"/>
      <c r="I1034" s="1"/>
      <c r="J1034" s="1"/>
      <c r="K1034" s="1"/>
      <c r="L1034" s="1"/>
      <c r="M1034" s="1"/>
    </row>
    <row r="1035" spans="1:13" ht="15.75" customHeight="1">
      <c r="A1035" s="1"/>
      <c r="B1035" s="1"/>
      <c r="C1035" s="1"/>
      <c r="D1035" s="20"/>
      <c r="E1035" s="20"/>
      <c r="F1035" s="20"/>
      <c r="G1035" s="20"/>
      <c r="H1035" s="1"/>
      <c r="I1035" s="1"/>
      <c r="J1035" s="1"/>
      <c r="K1035" s="1"/>
      <c r="L1035" s="1"/>
      <c r="M1035" s="1"/>
    </row>
    <row r="1036" spans="1:13" ht="15.75" customHeight="1">
      <c r="A1036" s="1"/>
      <c r="B1036" s="1"/>
      <c r="C1036" s="1"/>
      <c r="D1036" s="20"/>
      <c r="E1036" s="20"/>
      <c r="F1036" s="20"/>
      <c r="G1036" s="20"/>
      <c r="H1036" s="1"/>
      <c r="I1036" s="1"/>
      <c r="J1036" s="1"/>
      <c r="K1036" s="1"/>
      <c r="L1036" s="1"/>
      <c r="M1036" s="1"/>
    </row>
    <row r="1037" spans="1:13" ht="15.75" customHeight="1">
      <c r="A1037" s="1"/>
      <c r="B1037" s="1"/>
      <c r="C1037" s="1"/>
      <c r="D1037" s="20"/>
      <c r="E1037" s="20"/>
      <c r="F1037" s="20"/>
      <c r="G1037" s="20"/>
      <c r="H1037" s="1"/>
      <c r="I1037" s="1"/>
      <c r="J1037" s="1"/>
      <c r="K1037" s="1"/>
      <c r="L1037" s="1"/>
      <c r="M1037" s="1"/>
    </row>
    <row r="1038" spans="1:13" ht="15.75" customHeight="1">
      <c r="A1038" s="1"/>
      <c r="B1038" s="1"/>
      <c r="C1038" s="1"/>
      <c r="D1038" s="20"/>
      <c r="E1038" s="20"/>
      <c r="F1038" s="20"/>
      <c r="G1038" s="20"/>
      <c r="H1038" s="1"/>
      <c r="I1038" s="1"/>
      <c r="J1038" s="1"/>
      <c r="K1038" s="1"/>
      <c r="L1038" s="1"/>
      <c r="M1038" s="1"/>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E699"/>
  </sheetPr>
  <dimension ref="A1:L1000"/>
  <sheetViews>
    <sheetView workbookViewId="0"/>
  </sheetViews>
  <sheetFormatPr defaultColWidth="12.6640625" defaultRowHeight="15" customHeight="1"/>
  <cols>
    <col min="1" max="1" width="3" customWidth="1"/>
    <col min="2" max="2" width="2.44140625" customWidth="1"/>
    <col min="3" max="3" width="45.21875" customWidth="1"/>
    <col min="4" max="4" width="19.21875" customWidth="1"/>
    <col min="5" max="8" width="17.44140625" customWidth="1"/>
    <col min="9" max="10" width="13.77734375" customWidth="1"/>
    <col min="11" max="11" width="4.77734375" customWidth="1"/>
    <col min="12" max="12" width="3.44140625" customWidth="1"/>
    <col min="13" max="26" width="12.44140625" customWidth="1"/>
  </cols>
  <sheetData>
    <row r="1" spans="1:12" ht="14.25" customHeight="1">
      <c r="A1" s="619"/>
      <c r="B1" s="52"/>
      <c r="C1" s="636" t="s">
        <v>6</v>
      </c>
      <c r="D1" s="653"/>
      <c r="E1" s="653"/>
      <c r="F1" s="653"/>
      <c r="G1" s="653"/>
      <c r="H1" s="653"/>
      <c r="I1" s="653"/>
      <c r="J1" s="653"/>
      <c r="K1" s="653"/>
      <c r="L1" s="654"/>
    </row>
    <row r="2" spans="1:12" ht="14.25" customHeight="1">
      <c r="A2" s="619"/>
      <c r="B2" s="619"/>
      <c r="C2" s="4"/>
      <c r="D2" s="21"/>
      <c r="E2" s="21"/>
      <c r="F2" s="21"/>
      <c r="G2" s="21"/>
      <c r="H2" s="21"/>
      <c r="I2" s="21"/>
      <c r="J2" s="22"/>
      <c r="K2" s="619"/>
      <c r="L2" s="619"/>
    </row>
    <row r="3" spans="1:12" ht="14.25" customHeight="1">
      <c r="A3" s="619"/>
      <c r="B3" s="23"/>
      <c r="C3" s="250"/>
      <c r="D3" s="251"/>
      <c r="E3" s="251"/>
      <c r="F3" s="251"/>
      <c r="G3" s="251"/>
      <c r="H3" s="251"/>
      <c r="I3" s="251"/>
      <c r="J3" s="511"/>
      <c r="K3" s="249"/>
      <c r="L3" s="375"/>
    </row>
    <row r="4" spans="1:12" ht="24.75" customHeight="1">
      <c r="A4" s="24"/>
      <c r="B4" s="253"/>
      <c r="C4" s="512" t="s">
        <v>740</v>
      </c>
      <c r="D4" s="256"/>
      <c r="E4" s="256"/>
      <c r="F4" s="256"/>
      <c r="G4" s="256"/>
      <c r="H4" s="256"/>
      <c r="I4" s="256"/>
      <c r="J4" s="300"/>
      <c r="K4" s="376"/>
      <c r="L4" s="377"/>
    </row>
    <row r="5" spans="1:12" ht="14.25" customHeight="1">
      <c r="A5" s="24"/>
      <c r="B5" s="253"/>
      <c r="C5" s="255"/>
      <c r="D5" s="256"/>
      <c r="E5" s="256"/>
      <c r="F5" s="256"/>
      <c r="G5" s="256"/>
      <c r="H5" s="256"/>
      <c r="I5" s="256"/>
      <c r="J5" s="300"/>
      <c r="K5" s="376"/>
      <c r="L5" s="377"/>
    </row>
    <row r="6" spans="1:12" ht="14.25" customHeight="1">
      <c r="A6" s="24"/>
      <c r="B6" s="253"/>
      <c r="C6" s="255"/>
      <c r="D6" s="256"/>
      <c r="E6" s="256"/>
      <c r="F6" s="256"/>
      <c r="G6" s="256"/>
      <c r="H6" s="256"/>
      <c r="I6" s="256"/>
      <c r="J6" s="300"/>
      <c r="K6" s="376"/>
      <c r="L6" s="377"/>
    </row>
    <row r="7" spans="1:12" ht="14.25" customHeight="1">
      <c r="A7" s="24"/>
      <c r="B7" s="253"/>
      <c r="C7" s="255"/>
      <c r="D7" s="256"/>
      <c r="E7" s="256"/>
      <c r="F7" s="256"/>
      <c r="G7" s="256"/>
      <c r="H7" s="256"/>
      <c r="I7" s="256"/>
      <c r="J7" s="300"/>
      <c r="K7" s="376"/>
      <c r="L7" s="377"/>
    </row>
    <row r="8" spans="1:12" ht="14.25" customHeight="1">
      <c r="A8" s="24"/>
      <c r="B8" s="253"/>
      <c r="C8" s="255"/>
      <c r="D8" s="256"/>
      <c r="E8" s="256"/>
      <c r="F8" s="256"/>
      <c r="G8" s="256"/>
      <c r="H8" s="256"/>
      <c r="I8" s="256"/>
      <c r="J8" s="300"/>
      <c r="K8" s="376"/>
      <c r="L8" s="377"/>
    </row>
    <row r="9" spans="1:12" ht="14.25" customHeight="1">
      <c r="A9" s="24"/>
      <c r="B9" s="253"/>
      <c r="C9" s="255"/>
      <c r="D9" s="256"/>
      <c r="E9" s="256"/>
      <c r="F9" s="256"/>
      <c r="G9" s="256"/>
      <c r="H9" s="256"/>
      <c r="I9" s="256"/>
      <c r="J9" s="300"/>
      <c r="K9" s="376"/>
      <c r="L9" s="377"/>
    </row>
    <row r="10" spans="1:12" ht="14.25" customHeight="1">
      <c r="A10" s="24"/>
      <c r="B10" s="253"/>
      <c r="C10" s="255"/>
      <c r="D10" s="256"/>
      <c r="E10" s="256"/>
      <c r="F10" s="256"/>
      <c r="G10" s="256"/>
      <c r="H10" s="256"/>
      <c r="I10" s="256"/>
      <c r="J10" s="300"/>
      <c r="K10" s="376"/>
      <c r="L10" s="377"/>
    </row>
    <row r="11" spans="1:12" ht="14.25" customHeight="1">
      <c r="A11" s="24"/>
      <c r="B11" s="253"/>
      <c r="C11" s="255"/>
      <c r="D11" s="256"/>
      <c r="E11" s="256"/>
      <c r="F11" s="256"/>
      <c r="G11" s="256"/>
      <c r="H11" s="256"/>
      <c r="I11" s="256"/>
      <c r="J11" s="300"/>
      <c r="K11" s="376"/>
      <c r="L11" s="377"/>
    </row>
    <row r="12" spans="1:12" ht="14.25" customHeight="1">
      <c r="A12" s="24"/>
      <c r="B12" s="253"/>
      <c r="C12" s="255"/>
      <c r="D12" s="256"/>
      <c r="E12" s="256"/>
      <c r="F12" s="256"/>
      <c r="G12" s="256"/>
      <c r="H12" s="256"/>
      <c r="I12" s="256"/>
      <c r="J12" s="300"/>
      <c r="K12" s="376"/>
      <c r="L12" s="377"/>
    </row>
    <row r="13" spans="1:12" ht="14.25" customHeight="1">
      <c r="A13" s="24"/>
      <c r="B13" s="253"/>
      <c r="C13" s="255"/>
      <c r="D13" s="256"/>
      <c r="E13" s="256"/>
      <c r="F13" s="256"/>
      <c r="G13" s="256"/>
      <c r="H13" s="256"/>
      <c r="I13" s="256"/>
      <c r="J13" s="300"/>
      <c r="K13" s="376"/>
      <c r="L13" s="377"/>
    </row>
    <row r="14" spans="1:12" ht="14.25" customHeight="1">
      <c r="A14" s="24"/>
      <c r="B14" s="253"/>
      <c r="C14" s="255"/>
      <c r="D14" s="256"/>
      <c r="E14" s="256"/>
      <c r="F14" s="256"/>
      <c r="G14" s="256"/>
      <c r="H14" s="256"/>
      <c r="I14" s="256"/>
      <c r="J14" s="300"/>
      <c r="K14" s="376"/>
      <c r="L14" s="377"/>
    </row>
    <row r="15" spans="1:12" ht="14.25" customHeight="1">
      <c r="A15" s="24"/>
      <c r="B15" s="253"/>
      <c r="C15" s="255"/>
      <c r="D15" s="256"/>
      <c r="E15" s="256"/>
      <c r="F15" s="256"/>
      <c r="G15" s="256"/>
      <c r="H15" s="256"/>
      <c r="I15" s="256"/>
      <c r="J15" s="300"/>
      <c r="K15" s="376"/>
      <c r="L15" s="377"/>
    </row>
    <row r="16" spans="1:12" ht="14.25" customHeight="1">
      <c r="A16" s="24"/>
      <c r="B16" s="253"/>
      <c r="C16" s="255"/>
      <c r="D16" s="256"/>
      <c r="E16" s="256"/>
      <c r="F16" s="256"/>
      <c r="G16" s="256"/>
      <c r="H16" s="256"/>
      <c r="I16" s="256"/>
      <c r="J16" s="300"/>
      <c r="K16" s="376"/>
      <c r="L16" s="377"/>
    </row>
    <row r="17" spans="1:12" ht="14.25" customHeight="1">
      <c r="A17" s="24"/>
      <c r="B17" s="253"/>
      <c r="C17" s="255"/>
      <c r="D17" s="256"/>
      <c r="E17" s="256"/>
      <c r="F17" s="256"/>
      <c r="G17" s="256"/>
      <c r="H17" s="256"/>
      <c r="I17" s="256"/>
      <c r="J17" s="300"/>
      <c r="K17" s="376"/>
      <c r="L17" s="377"/>
    </row>
    <row r="18" spans="1:12" ht="14.25" customHeight="1">
      <c r="A18" s="24"/>
      <c r="B18" s="253"/>
      <c r="C18" s="255"/>
      <c r="D18" s="256"/>
      <c r="E18" s="256"/>
      <c r="F18" s="256"/>
      <c r="G18" s="256"/>
      <c r="H18" s="256"/>
      <c r="I18" s="256"/>
      <c r="J18" s="300"/>
      <c r="K18" s="376"/>
      <c r="L18" s="377"/>
    </row>
    <row r="19" spans="1:12" ht="14.25" customHeight="1">
      <c r="A19" s="24"/>
      <c r="B19" s="253"/>
      <c r="C19" s="255"/>
      <c r="D19" s="256"/>
      <c r="E19" s="256"/>
      <c r="F19" s="256"/>
      <c r="G19" s="256"/>
      <c r="H19" s="256"/>
      <c r="I19" s="256"/>
      <c r="J19" s="300"/>
      <c r="K19" s="376"/>
      <c r="L19" s="377"/>
    </row>
    <row r="20" spans="1:12" ht="14.25" customHeight="1">
      <c r="A20" s="24"/>
      <c r="B20" s="253"/>
      <c r="C20" s="255"/>
      <c r="D20" s="256"/>
      <c r="E20" s="256"/>
      <c r="F20" s="256"/>
      <c r="G20" s="256"/>
      <c r="H20" s="256"/>
      <c r="I20" s="256"/>
      <c r="J20" s="300"/>
      <c r="K20" s="376"/>
      <c r="L20" s="377"/>
    </row>
    <row r="21" spans="1:12" ht="14.25" customHeight="1">
      <c r="A21" s="24"/>
      <c r="B21" s="253"/>
      <c r="C21" s="255"/>
      <c r="D21" s="256"/>
      <c r="E21" s="256"/>
      <c r="F21" s="256"/>
      <c r="G21" s="256"/>
      <c r="H21" s="256"/>
      <c r="I21" s="256"/>
      <c r="J21" s="300"/>
      <c r="K21" s="376"/>
      <c r="L21" s="377"/>
    </row>
    <row r="22" spans="1:12" ht="14.25" customHeight="1">
      <c r="A22" s="24"/>
      <c r="B22" s="253"/>
      <c r="C22" s="255"/>
      <c r="D22" s="256"/>
      <c r="E22" s="256"/>
      <c r="F22" s="256"/>
      <c r="G22" s="256"/>
      <c r="H22" s="256"/>
      <c r="I22" s="256"/>
      <c r="J22" s="300"/>
      <c r="K22" s="376"/>
      <c r="L22" s="377"/>
    </row>
    <row r="23" spans="1:12" ht="14.25" customHeight="1">
      <c r="A23" s="24"/>
      <c r="B23" s="253"/>
      <c r="C23" s="255"/>
      <c r="D23" s="256"/>
      <c r="E23" s="256"/>
      <c r="F23" s="256"/>
      <c r="G23" s="256"/>
      <c r="H23" s="256"/>
      <c r="I23" s="256"/>
      <c r="J23" s="300"/>
      <c r="K23" s="376"/>
      <c r="L23" s="377"/>
    </row>
    <row r="24" spans="1:12" ht="14.25" customHeight="1">
      <c r="A24" s="24"/>
      <c r="B24" s="253"/>
      <c r="C24" s="255"/>
      <c r="D24" s="256"/>
      <c r="E24" s="256"/>
      <c r="F24" s="256"/>
      <c r="G24" s="256"/>
      <c r="H24" s="256"/>
      <c r="I24" s="256"/>
      <c r="J24" s="300"/>
      <c r="K24" s="376"/>
      <c r="L24" s="377"/>
    </row>
    <row r="25" spans="1:12" ht="14.25" customHeight="1">
      <c r="A25" s="24"/>
      <c r="B25" s="253"/>
      <c r="C25" s="255"/>
      <c r="D25" s="256"/>
      <c r="E25" s="256"/>
      <c r="F25" s="256"/>
      <c r="G25" s="256"/>
      <c r="H25" s="256"/>
      <c r="I25" s="256"/>
      <c r="J25" s="300"/>
      <c r="K25" s="376"/>
      <c r="L25" s="377"/>
    </row>
    <row r="26" spans="1:12" ht="14.25" customHeight="1">
      <c r="A26" s="24"/>
      <c r="B26" s="253"/>
      <c r="C26" s="255"/>
      <c r="D26" s="256"/>
      <c r="E26" s="256"/>
      <c r="F26" s="256"/>
      <c r="G26" s="256"/>
      <c r="H26" s="256"/>
      <c r="I26" s="256"/>
      <c r="J26" s="300"/>
      <c r="K26" s="376"/>
      <c r="L26" s="377"/>
    </row>
    <row r="27" spans="1:12" ht="14.25" customHeight="1">
      <c r="A27" s="24"/>
      <c r="B27" s="253"/>
      <c r="C27" s="255"/>
      <c r="D27" s="256"/>
      <c r="E27" s="256"/>
      <c r="F27" s="256"/>
      <c r="G27" s="256"/>
      <c r="H27" s="256"/>
      <c r="I27" s="256"/>
      <c r="J27" s="300"/>
      <c r="K27" s="376"/>
      <c r="L27" s="377"/>
    </row>
    <row r="28" spans="1:12" ht="14.25" customHeight="1">
      <c r="A28" s="24"/>
      <c r="B28" s="253"/>
      <c r="C28" s="255"/>
      <c r="D28" s="256"/>
      <c r="E28" s="256"/>
      <c r="F28" s="256"/>
      <c r="G28" s="256"/>
      <c r="H28" s="256"/>
      <c r="I28" s="256"/>
      <c r="J28" s="300"/>
      <c r="K28" s="376"/>
      <c r="L28" s="377"/>
    </row>
    <row r="29" spans="1:12" ht="14.25" customHeight="1">
      <c r="A29" s="24"/>
      <c r="B29" s="253"/>
      <c r="C29" s="255"/>
      <c r="D29" s="256"/>
      <c r="E29" s="256"/>
      <c r="F29" s="256"/>
      <c r="G29" s="256"/>
      <c r="H29" s="256"/>
      <c r="I29" s="256"/>
      <c r="J29" s="300"/>
      <c r="K29" s="376"/>
      <c r="L29" s="377"/>
    </row>
    <row r="30" spans="1:12" ht="14.25" customHeight="1">
      <c r="A30" s="24"/>
      <c r="B30" s="253"/>
      <c r="C30" s="255"/>
      <c r="D30" s="256"/>
      <c r="E30" s="256"/>
      <c r="F30" s="256"/>
      <c r="G30" s="256"/>
      <c r="H30" s="256"/>
      <c r="I30" s="256"/>
      <c r="J30" s="300"/>
      <c r="K30" s="376"/>
      <c r="L30" s="377"/>
    </row>
    <row r="31" spans="1:12" ht="14.25" customHeight="1">
      <c r="A31" s="24"/>
      <c r="B31" s="253"/>
      <c r="C31" s="255"/>
      <c r="D31" s="256"/>
      <c r="E31" s="256"/>
      <c r="F31" s="256"/>
      <c r="G31" s="256"/>
      <c r="H31" s="256"/>
      <c r="I31" s="256"/>
      <c r="J31" s="300"/>
      <c r="K31" s="376"/>
      <c r="L31" s="377"/>
    </row>
    <row r="32" spans="1:12" ht="14.25" customHeight="1">
      <c r="A32" s="24"/>
      <c r="B32" s="253"/>
      <c r="C32" s="255"/>
      <c r="D32" s="256"/>
      <c r="E32" s="256"/>
      <c r="F32" s="256"/>
      <c r="G32" s="256"/>
      <c r="H32" s="256"/>
      <c r="I32" s="256"/>
      <c r="J32" s="300"/>
      <c r="K32" s="376"/>
      <c r="L32" s="377"/>
    </row>
    <row r="33" spans="1:12" ht="14.25" customHeight="1">
      <c r="A33" s="24"/>
      <c r="B33" s="253"/>
      <c r="C33" s="255"/>
      <c r="D33" s="256"/>
      <c r="E33" s="256"/>
      <c r="F33" s="256"/>
      <c r="G33" s="256"/>
      <c r="H33" s="256"/>
      <c r="I33" s="256"/>
      <c r="J33" s="300"/>
      <c r="K33" s="376"/>
      <c r="L33" s="377"/>
    </row>
    <row r="34" spans="1:12" ht="14.25" customHeight="1">
      <c r="A34" s="24"/>
      <c r="B34" s="253"/>
      <c r="C34" s="255"/>
      <c r="D34" s="256"/>
      <c r="E34" s="256"/>
      <c r="F34" s="256"/>
      <c r="G34" s="256"/>
      <c r="H34" s="256"/>
      <c r="I34" s="256"/>
      <c r="J34" s="300"/>
      <c r="K34" s="376"/>
      <c r="L34" s="377"/>
    </row>
    <row r="35" spans="1:12" ht="14.25" customHeight="1">
      <c r="A35" s="24"/>
      <c r="B35" s="253"/>
      <c r="C35" s="255"/>
      <c r="D35" s="256"/>
      <c r="E35" s="256"/>
      <c r="F35" s="256"/>
      <c r="G35" s="256"/>
      <c r="H35" s="256"/>
      <c r="I35" s="256"/>
      <c r="J35" s="300"/>
      <c r="K35" s="376"/>
      <c r="L35" s="377"/>
    </row>
    <row r="36" spans="1:12" ht="14.25" customHeight="1">
      <c r="A36" s="24"/>
      <c r="B36" s="253"/>
      <c r="C36" s="255"/>
      <c r="D36" s="256"/>
      <c r="E36" s="256"/>
      <c r="F36" s="256"/>
      <c r="G36" s="256"/>
      <c r="H36" s="256"/>
      <c r="I36" s="256"/>
      <c r="J36" s="300"/>
      <c r="K36" s="376"/>
      <c r="L36" s="377"/>
    </row>
    <row r="37" spans="1:12" ht="14.25" customHeight="1">
      <c r="A37" s="24"/>
      <c r="B37" s="253"/>
      <c r="C37" s="255"/>
      <c r="D37" s="256"/>
      <c r="E37" s="256"/>
      <c r="F37" s="256"/>
      <c r="G37" s="256"/>
      <c r="H37" s="256"/>
      <c r="I37" s="256"/>
      <c r="J37" s="300"/>
      <c r="K37" s="376"/>
      <c r="L37" s="377"/>
    </row>
    <row r="38" spans="1:12" ht="14.25" customHeight="1">
      <c r="A38" s="24"/>
      <c r="B38" s="253"/>
      <c r="C38" s="255"/>
      <c r="D38" s="256"/>
      <c r="E38" s="256"/>
      <c r="F38" s="256"/>
      <c r="G38" s="256"/>
      <c r="H38" s="256"/>
      <c r="I38" s="256"/>
      <c r="J38" s="300"/>
      <c r="K38" s="376"/>
      <c r="L38" s="377"/>
    </row>
    <row r="39" spans="1:12" ht="14.25" customHeight="1">
      <c r="A39" s="24"/>
      <c r="B39" s="253"/>
      <c r="C39" s="255"/>
      <c r="D39" s="256"/>
      <c r="E39" s="256"/>
      <c r="F39" s="256"/>
      <c r="G39" s="256"/>
      <c r="H39" s="256"/>
      <c r="I39" s="256"/>
      <c r="J39" s="300"/>
      <c r="K39" s="376"/>
      <c r="L39" s="377"/>
    </row>
    <row r="40" spans="1:12" ht="14.25" customHeight="1">
      <c r="A40" s="24"/>
      <c r="B40" s="253"/>
      <c r="C40" s="255"/>
      <c r="D40" s="256"/>
      <c r="E40" s="256"/>
      <c r="F40" s="256"/>
      <c r="G40" s="256"/>
      <c r="H40" s="256"/>
      <c r="I40" s="256"/>
      <c r="J40" s="300"/>
      <c r="K40" s="376"/>
      <c r="L40" s="377"/>
    </row>
    <row r="41" spans="1:12" ht="14.25" customHeight="1">
      <c r="A41" s="24"/>
      <c r="B41" s="253"/>
      <c r="C41" s="255"/>
      <c r="D41" s="256"/>
      <c r="E41" s="256"/>
      <c r="F41" s="256"/>
      <c r="G41" s="256"/>
      <c r="H41" s="256"/>
      <c r="I41" s="256"/>
      <c r="J41" s="300"/>
      <c r="K41" s="376"/>
      <c r="L41" s="377"/>
    </row>
    <row r="42" spans="1:12" ht="14.25" customHeight="1">
      <c r="A42" s="24"/>
      <c r="B42" s="253"/>
      <c r="C42" s="255"/>
      <c r="D42" s="256"/>
      <c r="E42" s="256"/>
      <c r="F42" s="256"/>
      <c r="G42" s="256"/>
      <c r="H42" s="256"/>
      <c r="I42" s="256"/>
      <c r="J42" s="300"/>
      <c r="K42" s="376"/>
      <c r="L42" s="377"/>
    </row>
    <row r="43" spans="1:12" ht="14.25" customHeight="1">
      <c r="A43" s="24"/>
      <c r="B43" s="253"/>
      <c r="C43" s="255"/>
      <c r="D43" s="256"/>
      <c r="E43" s="256"/>
      <c r="F43" s="256"/>
      <c r="G43" s="256"/>
      <c r="H43" s="256"/>
      <c r="I43" s="256"/>
      <c r="J43" s="300"/>
      <c r="K43" s="376"/>
      <c r="L43" s="377"/>
    </row>
    <row r="44" spans="1:12" ht="14.25" customHeight="1">
      <c r="A44" s="24"/>
      <c r="B44" s="253"/>
      <c r="C44" s="255"/>
      <c r="D44" s="256"/>
      <c r="E44" s="256"/>
      <c r="F44" s="256"/>
      <c r="G44" s="256"/>
      <c r="H44" s="256"/>
      <c r="I44" s="256"/>
      <c r="J44" s="300"/>
      <c r="K44" s="376"/>
      <c r="L44" s="377"/>
    </row>
    <row r="45" spans="1:12" ht="14.25" customHeight="1">
      <c r="A45" s="24"/>
      <c r="B45" s="253"/>
      <c r="C45" s="255"/>
      <c r="D45" s="256"/>
      <c r="E45" s="256"/>
      <c r="F45" s="256"/>
      <c r="G45" s="256"/>
      <c r="H45" s="256"/>
      <c r="I45" s="256"/>
      <c r="J45" s="300"/>
      <c r="K45" s="376"/>
      <c r="L45" s="377"/>
    </row>
    <row r="46" spans="1:12" ht="14.25" customHeight="1">
      <c r="A46" s="24"/>
      <c r="B46" s="253"/>
      <c r="C46" s="255"/>
      <c r="D46" s="256"/>
      <c r="E46" s="256"/>
      <c r="F46" s="256"/>
      <c r="G46" s="256"/>
      <c r="H46" s="256"/>
      <c r="I46" s="256"/>
      <c r="J46" s="300"/>
      <c r="K46" s="376"/>
      <c r="L46" s="377"/>
    </row>
    <row r="47" spans="1:12" ht="14.25" customHeight="1">
      <c r="A47" s="24"/>
      <c r="B47" s="253"/>
      <c r="C47" s="255"/>
      <c r="D47" s="256"/>
      <c r="E47" s="256"/>
      <c r="F47" s="256"/>
      <c r="G47" s="256"/>
      <c r="H47" s="256"/>
      <c r="I47" s="256"/>
      <c r="J47" s="300"/>
      <c r="K47" s="376"/>
      <c r="L47" s="377"/>
    </row>
    <row r="48" spans="1:12" ht="14.25" customHeight="1">
      <c r="A48" s="24"/>
      <c r="B48" s="253"/>
      <c r="C48" s="255"/>
      <c r="D48" s="256"/>
      <c r="E48" s="256"/>
      <c r="F48" s="256"/>
      <c r="G48" s="256"/>
      <c r="H48" s="256"/>
      <c r="I48" s="256"/>
      <c r="J48" s="300"/>
      <c r="K48" s="376"/>
      <c r="L48" s="377"/>
    </row>
    <row r="49" spans="1:12" ht="14.25" customHeight="1">
      <c r="A49" s="24"/>
      <c r="B49" s="253"/>
      <c r="C49" s="255"/>
      <c r="D49" s="256"/>
      <c r="E49" s="256"/>
      <c r="F49" s="256"/>
      <c r="G49" s="256"/>
      <c r="H49" s="256"/>
      <c r="I49" s="256"/>
      <c r="J49" s="300"/>
      <c r="K49" s="376"/>
      <c r="L49" s="377"/>
    </row>
    <row r="50" spans="1:12" ht="14.25" customHeight="1">
      <c r="A50" s="24"/>
      <c r="B50" s="253"/>
      <c r="C50" s="255"/>
      <c r="D50" s="256"/>
      <c r="E50" s="256"/>
      <c r="F50" s="256"/>
      <c r="G50" s="256"/>
      <c r="H50" s="256"/>
      <c r="I50" s="256"/>
      <c r="J50" s="300"/>
      <c r="K50" s="376"/>
      <c r="L50" s="377"/>
    </row>
    <row r="51" spans="1:12" ht="14.25" customHeight="1">
      <c r="A51" s="24"/>
      <c r="B51" s="253"/>
      <c r="C51" s="255"/>
      <c r="D51" s="256"/>
      <c r="E51" s="256"/>
      <c r="F51" s="256"/>
      <c r="G51" s="256"/>
      <c r="H51" s="256"/>
      <c r="I51" s="256"/>
      <c r="J51" s="300"/>
      <c r="K51" s="376"/>
      <c r="L51" s="377"/>
    </row>
    <row r="52" spans="1:12" ht="14.25" customHeight="1">
      <c r="A52" s="24"/>
      <c r="B52" s="253"/>
      <c r="C52" s="255"/>
      <c r="D52" s="256"/>
      <c r="E52" s="256"/>
      <c r="F52" s="256"/>
      <c r="G52" s="256"/>
      <c r="H52" s="256"/>
      <c r="I52" s="256"/>
      <c r="J52" s="300"/>
      <c r="K52" s="376"/>
      <c r="L52" s="377"/>
    </row>
    <row r="53" spans="1:12" ht="14.25" customHeight="1">
      <c r="A53" s="24"/>
      <c r="B53" s="253"/>
      <c r="C53" s="255"/>
      <c r="D53" s="256"/>
      <c r="E53" s="256"/>
      <c r="F53" s="256"/>
      <c r="G53" s="256"/>
      <c r="H53" s="256"/>
      <c r="I53" s="256"/>
      <c r="J53" s="300"/>
      <c r="K53" s="376"/>
      <c r="L53" s="377"/>
    </row>
    <row r="54" spans="1:12" ht="14.25" customHeight="1">
      <c r="A54" s="24"/>
      <c r="B54" s="253"/>
      <c r="C54" s="255"/>
      <c r="D54" s="256"/>
      <c r="E54" s="256"/>
      <c r="F54" s="256"/>
      <c r="G54" s="256"/>
      <c r="H54" s="256"/>
      <c r="I54" s="256"/>
      <c r="J54" s="300"/>
      <c r="K54" s="376"/>
      <c r="L54" s="377"/>
    </row>
    <row r="55" spans="1:12" ht="14.25" customHeight="1">
      <c r="A55" s="24"/>
      <c r="B55" s="253"/>
      <c r="C55" s="255"/>
      <c r="D55" s="256"/>
      <c r="E55" s="256"/>
      <c r="F55" s="256"/>
      <c r="G55" s="256"/>
      <c r="H55" s="256"/>
      <c r="I55" s="256"/>
      <c r="J55" s="300"/>
      <c r="K55" s="376"/>
      <c r="L55" s="377"/>
    </row>
    <row r="56" spans="1:12" ht="14.25" customHeight="1">
      <c r="A56" s="24"/>
      <c r="B56" s="253"/>
      <c r="C56" s="255"/>
      <c r="D56" s="256"/>
      <c r="E56" s="256"/>
      <c r="F56" s="256"/>
      <c r="G56" s="256"/>
      <c r="H56" s="256"/>
      <c r="I56" s="256"/>
      <c r="J56" s="300"/>
      <c r="K56" s="376"/>
      <c r="L56" s="377"/>
    </row>
    <row r="57" spans="1:12" ht="14.25" customHeight="1">
      <c r="A57" s="24"/>
      <c r="B57" s="253"/>
      <c r="C57" s="255"/>
      <c r="D57" s="256"/>
      <c r="E57" s="256"/>
      <c r="F57" s="256"/>
      <c r="G57" s="256"/>
      <c r="H57" s="256"/>
      <c r="I57" s="256"/>
      <c r="J57" s="300"/>
      <c r="K57" s="376"/>
      <c r="L57" s="377"/>
    </row>
    <row r="58" spans="1:12" ht="14.25" customHeight="1">
      <c r="A58" s="24"/>
      <c r="B58" s="253"/>
      <c r="C58" s="255"/>
      <c r="D58" s="256"/>
      <c r="E58" s="256"/>
      <c r="F58" s="256"/>
      <c r="G58" s="256"/>
      <c r="H58" s="256"/>
      <c r="I58" s="256"/>
      <c r="J58" s="300"/>
      <c r="K58" s="376"/>
      <c r="L58" s="377"/>
    </row>
    <row r="59" spans="1:12" ht="14.25" customHeight="1">
      <c r="A59" s="24"/>
      <c r="B59" s="253"/>
      <c r="C59" s="255"/>
      <c r="D59" s="256"/>
      <c r="E59" s="256"/>
      <c r="F59" s="256"/>
      <c r="G59" s="256"/>
      <c r="H59" s="256"/>
      <c r="I59" s="256"/>
      <c r="J59" s="300"/>
      <c r="K59" s="376"/>
      <c r="L59" s="377"/>
    </row>
    <row r="60" spans="1:12" ht="14.25" customHeight="1">
      <c r="A60" s="24"/>
      <c r="B60" s="253"/>
      <c r="C60" s="255"/>
      <c r="D60" s="256"/>
      <c r="E60" s="256"/>
      <c r="F60" s="256"/>
      <c r="G60" s="256"/>
      <c r="H60" s="256"/>
      <c r="I60" s="256"/>
      <c r="J60" s="300"/>
      <c r="K60" s="376"/>
      <c r="L60" s="377"/>
    </row>
    <row r="61" spans="1:12" ht="14.25" customHeight="1">
      <c r="A61" s="24"/>
      <c r="B61" s="253"/>
      <c r="C61" s="255"/>
      <c r="D61" s="256"/>
      <c r="E61" s="256"/>
      <c r="F61" s="256"/>
      <c r="G61" s="256"/>
      <c r="H61" s="256"/>
      <c r="I61" s="256"/>
      <c r="J61" s="300"/>
      <c r="K61" s="376"/>
      <c r="L61" s="377"/>
    </row>
    <row r="62" spans="1:12" ht="14.25" customHeight="1">
      <c r="A62" s="24"/>
      <c r="B62" s="253"/>
      <c r="C62" s="255"/>
      <c r="D62" s="256"/>
      <c r="E62" s="256"/>
      <c r="F62" s="256"/>
      <c r="G62" s="256"/>
      <c r="H62" s="256"/>
      <c r="I62" s="256"/>
      <c r="J62" s="300"/>
      <c r="K62" s="376"/>
      <c r="L62" s="377"/>
    </row>
    <row r="63" spans="1:12" ht="14.25" customHeight="1">
      <c r="A63" s="24"/>
      <c r="B63" s="253"/>
      <c r="C63" s="255"/>
      <c r="D63" s="256"/>
      <c r="E63" s="256"/>
      <c r="F63" s="256"/>
      <c r="G63" s="256"/>
      <c r="H63" s="256"/>
      <c r="I63" s="256"/>
      <c r="J63" s="300"/>
      <c r="K63" s="376"/>
      <c r="L63" s="377"/>
    </row>
    <row r="64" spans="1:12" ht="14.25" customHeight="1">
      <c r="A64" s="24"/>
      <c r="B64" s="253"/>
      <c r="C64" s="255"/>
      <c r="D64" s="256"/>
      <c r="E64" s="256"/>
      <c r="F64" s="256"/>
      <c r="G64" s="256"/>
      <c r="H64" s="256"/>
      <c r="I64" s="256"/>
      <c r="J64" s="300"/>
      <c r="K64" s="376"/>
      <c r="L64" s="377"/>
    </row>
    <row r="65" spans="1:12" ht="14.25" customHeight="1">
      <c r="A65" s="24"/>
      <c r="B65" s="253"/>
      <c r="C65" s="255"/>
      <c r="D65" s="256"/>
      <c r="E65" s="256"/>
      <c r="F65" s="256"/>
      <c r="G65" s="256"/>
      <c r="H65" s="256"/>
      <c r="I65" s="256"/>
      <c r="J65" s="300"/>
      <c r="K65" s="376"/>
      <c r="L65" s="377"/>
    </row>
    <row r="66" spans="1:12" ht="14.25" customHeight="1">
      <c r="A66" s="24"/>
      <c r="B66" s="253"/>
      <c r="C66" s="255"/>
      <c r="D66" s="256"/>
      <c r="E66" s="256"/>
      <c r="F66" s="256"/>
      <c r="G66" s="256"/>
      <c r="H66" s="256"/>
      <c r="I66" s="256"/>
      <c r="J66" s="300"/>
      <c r="K66" s="376"/>
      <c r="L66" s="377"/>
    </row>
    <row r="67" spans="1:12" ht="14.25" customHeight="1">
      <c r="A67" s="24"/>
      <c r="B67" s="253"/>
      <c r="C67" s="255"/>
      <c r="D67" s="256"/>
      <c r="E67" s="256"/>
      <c r="F67" s="256"/>
      <c r="G67" s="256"/>
      <c r="H67" s="256"/>
      <c r="I67" s="256"/>
      <c r="J67" s="300"/>
      <c r="K67" s="376"/>
      <c r="L67" s="377"/>
    </row>
    <row r="68" spans="1:12" ht="14.25" customHeight="1">
      <c r="A68" s="24"/>
      <c r="B68" s="253"/>
      <c r="C68" s="255"/>
      <c r="D68" s="256"/>
      <c r="E68" s="256"/>
      <c r="F68" s="256"/>
      <c r="G68" s="256"/>
      <c r="H68" s="256"/>
      <c r="I68" s="256"/>
      <c r="J68" s="300"/>
      <c r="K68" s="376"/>
      <c r="L68" s="377"/>
    </row>
    <row r="69" spans="1:12" ht="14.25" customHeight="1">
      <c r="A69" s="24"/>
      <c r="B69" s="253"/>
      <c r="C69" s="255"/>
      <c r="D69" s="256"/>
      <c r="E69" s="256"/>
      <c r="F69" s="256"/>
      <c r="G69" s="256"/>
      <c r="H69" s="256"/>
      <c r="I69" s="256"/>
      <c r="J69" s="300"/>
      <c r="K69" s="376"/>
      <c r="L69" s="377"/>
    </row>
    <row r="70" spans="1:12" ht="14.25" customHeight="1">
      <c r="A70" s="24"/>
      <c r="B70" s="253"/>
      <c r="C70" s="255"/>
      <c r="D70" s="256"/>
      <c r="E70" s="256"/>
      <c r="F70" s="256"/>
      <c r="G70" s="256"/>
      <c r="H70" s="256"/>
      <c r="I70" s="256"/>
      <c r="J70" s="300"/>
      <c r="K70" s="376"/>
      <c r="L70" s="377"/>
    </row>
    <row r="71" spans="1:12" ht="14.25" customHeight="1">
      <c r="A71" s="24"/>
      <c r="B71" s="253"/>
      <c r="C71" s="255"/>
      <c r="D71" s="256"/>
      <c r="E71" s="256"/>
      <c r="F71" s="256"/>
      <c r="G71" s="256"/>
      <c r="H71" s="256"/>
      <c r="I71" s="256"/>
      <c r="J71" s="300"/>
      <c r="K71" s="376"/>
      <c r="L71" s="377"/>
    </row>
    <row r="72" spans="1:12" ht="14.25" customHeight="1">
      <c r="A72" s="24"/>
      <c r="B72" s="253"/>
      <c r="C72" s="255"/>
      <c r="D72" s="256"/>
      <c r="E72" s="256"/>
      <c r="F72" s="256"/>
      <c r="G72" s="256"/>
      <c r="H72" s="256"/>
      <c r="I72" s="256"/>
      <c r="J72" s="300"/>
      <c r="K72" s="376"/>
      <c r="L72" s="377"/>
    </row>
    <row r="73" spans="1:12" ht="14.25" customHeight="1">
      <c r="A73" s="24"/>
      <c r="B73" s="253"/>
      <c r="C73" s="255"/>
      <c r="D73" s="256"/>
      <c r="E73" s="256"/>
      <c r="F73" s="256"/>
      <c r="G73" s="256"/>
      <c r="H73" s="256"/>
      <c r="I73" s="256"/>
      <c r="J73" s="300"/>
      <c r="K73" s="376"/>
      <c r="L73" s="377"/>
    </row>
    <row r="74" spans="1:12" ht="14.25" customHeight="1">
      <c r="A74" s="24"/>
      <c r="B74" s="253"/>
      <c r="C74" s="255"/>
      <c r="D74" s="256"/>
      <c r="E74" s="256"/>
      <c r="F74" s="256"/>
      <c r="G74" s="256"/>
      <c r="H74" s="256"/>
      <c r="I74" s="256"/>
      <c r="J74" s="300"/>
      <c r="K74" s="376"/>
      <c r="L74" s="377"/>
    </row>
    <row r="75" spans="1:12" ht="14.25" customHeight="1">
      <c r="A75" s="24"/>
      <c r="B75" s="253"/>
      <c r="C75" s="255"/>
      <c r="D75" s="256"/>
      <c r="E75" s="256"/>
      <c r="F75" s="256"/>
      <c r="G75" s="256"/>
      <c r="H75" s="256"/>
      <c r="I75" s="256"/>
      <c r="J75" s="300"/>
      <c r="K75" s="376"/>
      <c r="L75" s="377"/>
    </row>
    <row r="76" spans="1:12" ht="14.25" customHeight="1">
      <c r="A76" s="24"/>
      <c r="B76" s="253"/>
      <c r="C76" s="255"/>
      <c r="D76" s="256"/>
      <c r="E76" s="256"/>
      <c r="F76" s="256"/>
      <c r="G76" s="256"/>
      <c r="H76" s="256"/>
      <c r="I76" s="256"/>
      <c r="J76" s="300"/>
      <c r="K76" s="376"/>
      <c r="L76" s="377"/>
    </row>
    <row r="77" spans="1:12" ht="14.25" customHeight="1">
      <c r="A77" s="24"/>
      <c r="B77" s="253"/>
      <c r="C77" s="255"/>
      <c r="D77" s="256"/>
      <c r="E77" s="256"/>
      <c r="F77" s="256"/>
      <c r="G77" s="256"/>
      <c r="H77" s="256"/>
      <c r="I77" s="256"/>
      <c r="J77" s="300"/>
      <c r="K77" s="376"/>
      <c r="L77" s="377"/>
    </row>
    <row r="78" spans="1:12" ht="14.25" customHeight="1">
      <c r="A78" s="24"/>
      <c r="B78" s="253"/>
      <c r="C78" s="255"/>
      <c r="D78" s="256"/>
      <c r="E78" s="256"/>
      <c r="F78" s="256"/>
      <c r="G78" s="256"/>
      <c r="H78" s="256"/>
      <c r="I78" s="256"/>
      <c r="J78" s="300"/>
      <c r="K78" s="376"/>
      <c r="L78" s="377"/>
    </row>
    <row r="79" spans="1:12" ht="14.25" customHeight="1">
      <c r="A79" s="24"/>
      <c r="B79" s="253"/>
      <c r="C79" s="255"/>
      <c r="D79" s="256"/>
      <c r="E79" s="256"/>
      <c r="F79" s="256"/>
      <c r="G79" s="256"/>
      <c r="H79" s="256"/>
      <c r="I79" s="256"/>
      <c r="J79" s="300"/>
      <c r="K79" s="376"/>
      <c r="L79" s="377"/>
    </row>
    <row r="80" spans="1:12" ht="14.25" customHeight="1">
      <c r="A80" s="24"/>
      <c r="B80" s="253"/>
      <c r="C80" s="255"/>
      <c r="D80" s="256"/>
      <c r="E80" s="256"/>
      <c r="F80" s="256"/>
      <c r="G80" s="256"/>
      <c r="H80" s="256"/>
      <c r="I80" s="256"/>
      <c r="J80" s="300"/>
      <c r="K80" s="376"/>
      <c r="L80" s="377"/>
    </row>
    <row r="81" spans="1:12" ht="14.25" customHeight="1">
      <c r="A81" s="24"/>
      <c r="B81" s="253"/>
      <c r="C81" s="255"/>
      <c r="D81" s="256"/>
      <c r="E81" s="256"/>
      <c r="F81" s="256"/>
      <c r="G81" s="256"/>
      <c r="H81" s="256"/>
      <c r="I81" s="256"/>
      <c r="J81" s="300"/>
      <c r="K81" s="376"/>
      <c r="L81" s="377"/>
    </row>
    <row r="82" spans="1:12" ht="14.25" customHeight="1">
      <c r="A82" s="24"/>
      <c r="B82" s="253"/>
      <c r="C82" s="255"/>
      <c r="D82" s="256"/>
      <c r="E82" s="256"/>
      <c r="F82" s="256"/>
      <c r="G82" s="256"/>
      <c r="H82" s="256"/>
      <c r="I82" s="256"/>
      <c r="J82" s="300"/>
      <c r="K82" s="376"/>
      <c r="L82" s="377"/>
    </row>
    <row r="83" spans="1:12" ht="14.25" customHeight="1">
      <c r="A83" s="24"/>
      <c r="B83" s="253"/>
      <c r="C83" s="255"/>
      <c r="D83" s="256"/>
      <c r="E83" s="256"/>
      <c r="F83" s="256"/>
      <c r="G83" s="256"/>
      <c r="H83" s="256"/>
      <c r="I83" s="256"/>
      <c r="J83" s="300"/>
      <c r="K83" s="376"/>
      <c r="L83" s="377"/>
    </row>
    <row r="84" spans="1:12" ht="14.25" customHeight="1">
      <c r="A84" s="24"/>
      <c r="B84" s="253"/>
      <c r="C84" s="255"/>
      <c r="D84" s="256"/>
      <c r="E84" s="256"/>
      <c r="F84" s="256"/>
      <c r="G84" s="256"/>
      <c r="H84" s="256"/>
      <c r="I84" s="256"/>
      <c r="J84" s="300"/>
      <c r="K84" s="376"/>
      <c r="L84" s="377"/>
    </row>
    <row r="85" spans="1:12" ht="14.25" customHeight="1">
      <c r="A85" s="24"/>
      <c r="B85" s="253"/>
      <c r="C85" s="255"/>
      <c r="D85" s="256"/>
      <c r="E85" s="256"/>
      <c r="F85" s="256"/>
      <c r="G85" s="256"/>
      <c r="H85" s="256"/>
      <c r="I85" s="256"/>
      <c r="J85" s="300"/>
      <c r="K85" s="376"/>
      <c r="L85" s="377"/>
    </row>
    <row r="86" spans="1:12" ht="14.25" customHeight="1">
      <c r="A86" s="24"/>
      <c r="B86" s="253"/>
      <c r="C86" s="255"/>
      <c r="D86" s="256"/>
      <c r="E86" s="256"/>
      <c r="F86" s="256"/>
      <c r="G86" s="256"/>
      <c r="H86" s="256"/>
      <c r="I86" s="256"/>
      <c r="J86" s="300"/>
      <c r="K86" s="376"/>
      <c r="L86" s="377"/>
    </row>
    <row r="87" spans="1:12" ht="14.25" customHeight="1">
      <c r="A87" s="24"/>
      <c r="B87" s="253"/>
      <c r="C87" s="255"/>
      <c r="D87" s="256"/>
      <c r="E87" s="256"/>
      <c r="F87" s="256"/>
      <c r="G87" s="256"/>
      <c r="H87" s="256"/>
      <c r="I87" s="256"/>
      <c r="J87" s="300"/>
      <c r="K87" s="376"/>
      <c r="L87" s="377"/>
    </row>
    <row r="88" spans="1:12" ht="14.25" customHeight="1">
      <c r="A88" s="24"/>
      <c r="B88" s="253"/>
      <c r="C88" s="255"/>
      <c r="D88" s="256"/>
      <c r="E88" s="256"/>
      <c r="F88" s="256"/>
      <c r="G88" s="256"/>
      <c r="H88" s="256"/>
      <c r="I88" s="256"/>
      <c r="J88" s="300"/>
      <c r="K88" s="376"/>
      <c r="L88" s="377"/>
    </row>
    <row r="89" spans="1:12" ht="14.25" customHeight="1">
      <c r="A89" s="24"/>
      <c r="B89" s="253"/>
      <c r="C89" s="255"/>
      <c r="D89" s="256"/>
      <c r="E89" s="256"/>
      <c r="F89" s="256"/>
      <c r="G89" s="256"/>
      <c r="H89" s="256"/>
      <c r="I89" s="256"/>
      <c r="J89" s="300"/>
      <c r="K89" s="376"/>
      <c r="L89" s="377"/>
    </row>
    <row r="90" spans="1:12" ht="14.25" customHeight="1">
      <c r="A90" s="24"/>
      <c r="B90" s="253"/>
      <c r="C90" s="255"/>
      <c r="D90" s="256"/>
      <c r="E90" s="256"/>
      <c r="F90" s="256"/>
      <c r="G90" s="256"/>
      <c r="H90" s="256"/>
      <c r="I90" s="256"/>
      <c r="J90" s="300"/>
      <c r="K90" s="376"/>
      <c r="L90" s="377"/>
    </row>
    <row r="91" spans="1:12" ht="14.25" customHeight="1">
      <c r="A91" s="24"/>
      <c r="B91" s="253"/>
      <c r="C91" s="255"/>
      <c r="D91" s="256"/>
      <c r="E91" s="256"/>
      <c r="F91" s="256"/>
      <c r="G91" s="256"/>
      <c r="H91" s="256"/>
      <c r="I91" s="256"/>
      <c r="J91" s="300"/>
      <c r="K91" s="376"/>
      <c r="L91" s="377"/>
    </row>
    <row r="92" spans="1:12" ht="14.25" customHeight="1">
      <c r="A92" s="24"/>
      <c r="B92" s="253"/>
      <c r="C92" s="255"/>
      <c r="D92" s="256"/>
      <c r="E92" s="256"/>
      <c r="F92" s="256"/>
      <c r="G92" s="256"/>
      <c r="H92" s="256"/>
      <c r="I92" s="256"/>
      <c r="J92" s="300"/>
      <c r="K92" s="376"/>
      <c r="L92" s="377"/>
    </row>
    <row r="93" spans="1:12" ht="14.25" customHeight="1">
      <c r="A93" s="24"/>
      <c r="B93" s="253"/>
      <c r="C93" s="255"/>
      <c r="D93" s="256"/>
      <c r="E93" s="256"/>
      <c r="F93" s="256"/>
      <c r="G93" s="256"/>
      <c r="H93" s="256"/>
      <c r="I93" s="256"/>
      <c r="J93" s="300"/>
      <c r="K93" s="376"/>
      <c r="L93" s="377"/>
    </row>
    <row r="94" spans="1:12" ht="14.25" customHeight="1">
      <c r="A94" s="24"/>
      <c r="B94" s="253"/>
      <c r="C94" s="255"/>
      <c r="D94" s="256"/>
      <c r="E94" s="256"/>
      <c r="F94" s="256"/>
      <c r="G94" s="256"/>
      <c r="H94" s="256"/>
      <c r="I94" s="256"/>
      <c r="J94" s="300"/>
      <c r="K94" s="376"/>
      <c r="L94" s="377"/>
    </row>
    <row r="95" spans="1:12" ht="14.25" customHeight="1">
      <c r="A95" s="24"/>
      <c r="B95" s="253"/>
      <c r="C95" s="255"/>
      <c r="D95" s="256"/>
      <c r="E95" s="256"/>
      <c r="F95" s="256"/>
      <c r="G95" s="256"/>
      <c r="H95" s="256"/>
      <c r="I95" s="256"/>
      <c r="J95" s="300"/>
      <c r="K95" s="376"/>
      <c r="L95" s="377"/>
    </row>
    <row r="96" spans="1:12" ht="14.25" customHeight="1">
      <c r="A96" s="24"/>
      <c r="B96" s="253"/>
      <c r="C96" s="255"/>
      <c r="D96" s="256"/>
      <c r="E96" s="256"/>
      <c r="F96" s="256"/>
      <c r="G96" s="256"/>
      <c r="H96" s="256"/>
      <c r="I96" s="256"/>
      <c r="J96" s="300"/>
      <c r="K96" s="376"/>
      <c r="L96" s="377"/>
    </row>
    <row r="97" spans="1:12" ht="14.25" customHeight="1">
      <c r="A97" s="24"/>
      <c r="B97" s="253"/>
      <c r="C97" s="255"/>
      <c r="D97" s="256"/>
      <c r="E97" s="256"/>
      <c r="F97" s="256"/>
      <c r="G97" s="256"/>
      <c r="H97" s="256"/>
      <c r="I97" s="256"/>
      <c r="J97" s="300"/>
      <c r="K97" s="376"/>
      <c r="L97" s="377"/>
    </row>
    <row r="98" spans="1:12" ht="14.25" customHeight="1">
      <c r="A98" s="24"/>
      <c r="B98" s="253"/>
      <c r="C98" s="255"/>
      <c r="D98" s="256"/>
      <c r="E98" s="256"/>
      <c r="F98" s="256"/>
      <c r="G98" s="256"/>
      <c r="H98" s="256"/>
      <c r="I98" s="256"/>
      <c r="J98" s="300"/>
      <c r="K98" s="376"/>
      <c r="L98" s="377"/>
    </row>
    <row r="99" spans="1:12" ht="14.25" customHeight="1">
      <c r="A99" s="24"/>
      <c r="B99" s="253"/>
      <c r="C99" s="255"/>
      <c r="D99" s="256"/>
      <c r="E99" s="256"/>
      <c r="F99" s="256"/>
      <c r="G99" s="256"/>
      <c r="H99" s="256"/>
      <c r="I99" s="256"/>
      <c r="J99" s="300"/>
      <c r="K99" s="376"/>
      <c r="L99" s="377"/>
    </row>
    <row r="100" spans="1:12" ht="14.25" customHeight="1">
      <c r="A100" s="24"/>
      <c r="B100" s="253"/>
      <c r="C100" s="255"/>
      <c r="D100" s="256"/>
      <c r="E100" s="256"/>
      <c r="F100" s="256"/>
      <c r="G100" s="256"/>
      <c r="H100" s="256"/>
      <c r="I100" s="256"/>
      <c r="J100" s="300"/>
      <c r="K100" s="376"/>
      <c r="L100" s="377"/>
    </row>
    <row r="101" spans="1:12" ht="14.25" customHeight="1">
      <c r="A101" s="24"/>
      <c r="B101" s="253"/>
      <c r="C101" s="255"/>
      <c r="D101" s="256"/>
      <c r="E101" s="256"/>
      <c r="F101" s="256"/>
      <c r="G101" s="256"/>
      <c r="H101" s="256"/>
      <c r="I101" s="256"/>
      <c r="J101" s="300"/>
      <c r="K101" s="376"/>
      <c r="L101" s="377"/>
    </row>
    <row r="102" spans="1:12" ht="14.25" customHeight="1">
      <c r="A102" s="24"/>
      <c r="B102" s="253"/>
      <c r="C102" s="255"/>
      <c r="D102" s="256"/>
      <c r="E102" s="256"/>
      <c r="F102" s="256"/>
      <c r="G102" s="256"/>
      <c r="H102" s="256"/>
      <c r="I102" s="256"/>
      <c r="J102" s="300"/>
      <c r="K102" s="376"/>
      <c r="L102" s="377"/>
    </row>
    <row r="103" spans="1:12" ht="14.25" customHeight="1">
      <c r="A103" s="24"/>
      <c r="B103" s="253"/>
      <c r="C103" s="255"/>
      <c r="D103" s="256"/>
      <c r="E103" s="256"/>
      <c r="F103" s="256"/>
      <c r="G103" s="256"/>
      <c r="H103" s="256"/>
      <c r="I103" s="256"/>
      <c r="J103" s="300"/>
      <c r="K103" s="376"/>
      <c r="L103" s="377"/>
    </row>
    <row r="104" spans="1:12" ht="14.25" customHeight="1">
      <c r="A104" s="24"/>
      <c r="B104" s="253"/>
      <c r="C104" s="255"/>
      <c r="D104" s="256"/>
      <c r="E104" s="256"/>
      <c r="F104" s="256"/>
      <c r="G104" s="256"/>
      <c r="H104" s="256"/>
      <c r="I104" s="256"/>
      <c r="J104" s="300"/>
      <c r="K104" s="376"/>
      <c r="L104" s="377"/>
    </row>
    <row r="105" spans="1:12" ht="14.25" customHeight="1">
      <c r="A105" s="24"/>
      <c r="B105" s="253"/>
      <c r="C105" s="255"/>
      <c r="D105" s="256"/>
      <c r="E105" s="256"/>
      <c r="F105" s="256"/>
      <c r="G105" s="256"/>
      <c r="H105" s="256"/>
      <c r="I105" s="256"/>
      <c r="J105" s="300"/>
      <c r="K105" s="376"/>
      <c r="L105" s="377"/>
    </row>
    <row r="106" spans="1:12" ht="14.25" customHeight="1">
      <c r="A106" s="24"/>
      <c r="B106" s="253"/>
      <c r="C106" s="255"/>
      <c r="D106" s="256"/>
      <c r="E106" s="256"/>
      <c r="F106" s="256"/>
      <c r="G106" s="256"/>
      <c r="H106" s="256"/>
      <c r="I106" s="256"/>
      <c r="J106" s="300"/>
      <c r="K106" s="376"/>
      <c r="L106" s="377"/>
    </row>
    <row r="107" spans="1:12" ht="14.25" customHeight="1">
      <c r="A107" s="24"/>
      <c r="B107" s="253"/>
      <c r="C107" s="255"/>
      <c r="D107" s="256"/>
      <c r="E107" s="256"/>
      <c r="F107" s="256"/>
      <c r="G107" s="256"/>
      <c r="H107" s="256"/>
      <c r="I107" s="256"/>
      <c r="J107" s="300"/>
      <c r="K107" s="376"/>
      <c r="L107" s="377"/>
    </row>
    <row r="108" spans="1:12" ht="14.25" customHeight="1">
      <c r="A108" s="24"/>
      <c r="B108" s="253"/>
      <c r="C108" s="255"/>
      <c r="D108" s="256"/>
      <c r="E108" s="256"/>
      <c r="F108" s="256"/>
      <c r="G108" s="256"/>
      <c r="H108" s="256"/>
      <c r="I108" s="256"/>
      <c r="J108" s="300"/>
      <c r="K108" s="376"/>
      <c r="L108" s="377"/>
    </row>
    <row r="109" spans="1:12" ht="14.25" customHeight="1">
      <c r="A109" s="24"/>
      <c r="B109" s="253"/>
      <c r="C109" s="255"/>
      <c r="D109" s="256"/>
      <c r="E109" s="256"/>
      <c r="F109" s="256"/>
      <c r="G109" s="256"/>
      <c r="H109" s="256"/>
      <c r="I109" s="256"/>
      <c r="J109" s="300"/>
      <c r="K109" s="376"/>
      <c r="L109" s="377"/>
    </row>
    <row r="110" spans="1:12" ht="14.25" customHeight="1">
      <c r="A110" s="24"/>
      <c r="B110" s="253"/>
      <c r="C110" s="255"/>
      <c r="D110" s="256"/>
      <c r="E110" s="256"/>
      <c r="F110" s="256"/>
      <c r="G110" s="256"/>
      <c r="H110" s="256"/>
      <c r="I110" s="256"/>
      <c r="J110" s="300"/>
      <c r="K110" s="376"/>
      <c r="L110" s="377"/>
    </row>
    <row r="111" spans="1:12" ht="14.25" customHeight="1">
      <c r="A111" s="24"/>
      <c r="B111" s="253"/>
      <c r="C111" s="255"/>
      <c r="D111" s="256"/>
      <c r="E111" s="256"/>
      <c r="F111" s="256"/>
      <c r="G111" s="256"/>
      <c r="H111" s="256"/>
      <c r="I111" s="256"/>
      <c r="J111" s="300"/>
      <c r="K111" s="376"/>
      <c r="L111" s="377"/>
    </row>
    <row r="112" spans="1:12" ht="14.25" customHeight="1">
      <c r="A112" s="24"/>
      <c r="B112" s="253"/>
      <c r="C112" s="255"/>
      <c r="D112" s="256"/>
      <c r="E112" s="256"/>
      <c r="F112" s="256"/>
      <c r="G112" s="256"/>
      <c r="H112" s="256"/>
      <c r="I112" s="256"/>
      <c r="J112" s="300"/>
      <c r="K112" s="376"/>
      <c r="L112" s="377"/>
    </row>
    <row r="113" spans="1:12" ht="14.25" customHeight="1">
      <c r="A113" s="24"/>
      <c r="B113" s="253"/>
      <c r="C113" s="255"/>
      <c r="D113" s="256"/>
      <c r="E113" s="256"/>
      <c r="F113" s="256"/>
      <c r="G113" s="256"/>
      <c r="H113" s="256"/>
      <c r="I113" s="256"/>
      <c r="J113" s="300"/>
      <c r="K113" s="376"/>
      <c r="L113" s="377"/>
    </row>
    <row r="114" spans="1:12" ht="14.25" customHeight="1">
      <c r="A114" s="24"/>
      <c r="B114" s="253"/>
      <c r="C114" s="255"/>
      <c r="D114" s="256"/>
      <c r="E114" s="256"/>
      <c r="F114" s="256"/>
      <c r="G114" s="256"/>
      <c r="H114" s="256"/>
      <c r="I114" s="256"/>
      <c r="J114" s="300"/>
      <c r="K114" s="376"/>
      <c r="L114" s="377"/>
    </row>
    <row r="115" spans="1:12" ht="14.25" customHeight="1">
      <c r="A115" s="24"/>
      <c r="B115" s="253"/>
      <c r="C115" s="255"/>
      <c r="D115" s="256"/>
      <c r="E115" s="256"/>
      <c r="F115" s="256"/>
      <c r="G115" s="256"/>
      <c r="H115" s="256"/>
      <c r="I115" s="256"/>
      <c r="J115" s="300"/>
      <c r="K115" s="376"/>
      <c r="L115" s="377"/>
    </row>
    <row r="116" spans="1:12" ht="14.25" customHeight="1">
      <c r="A116" s="24"/>
      <c r="B116" s="253"/>
      <c r="C116" s="255"/>
      <c r="D116" s="256"/>
      <c r="E116" s="256"/>
      <c r="F116" s="256"/>
      <c r="G116" s="256"/>
      <c r="H116" s="256"/>
      <c r="I116" s="256"/>
      <c r="J116" s="300"/>
      <c r="K116" s="376"/>
      <c r="L116" s="377"/>
    </row>
    <row r="117" spans="1:12" ht="14.25" customHeight="1">
      <c r="A117" s="24"/>
      <c r="B117" s="253"/>
      <c r="C117" s="255"/>
      <c r="D117" s="256"/>
      <c r="E117" s="256"/>
      <c r="F117" s="256"/>
      <c r="G117" s="256"/>
      <c r="H117" s="256"/>
      <c r="I117" s="256"/>
      <c r="J117" s="300"/>
      <c r="K117" s="376"/>
      <c r="L117" s="377"/>
    </row>
    <row r="118" spans="1:12" ht="14.25" customHeight="1">
      <c r="A118" s="24"/>
      <c r="B118" s="253"/>
      <c r="C118" s="255"/>
      <c r="D118" s="256"/>
      <c r="E118" s="256"/>
      <c r="F118" s="256"/>
      <c r="G118" s="256"/>
      <c r="H118" s="256"/>
      <c r="I118" s="256"/>
      <c r="J118" s="300"/>
      <c r="K118" s="376"/>
      <c r="L118" s="377"/>
    </row>
    <row r="119" spans="1:12" ht="14.25" customHeight="1">
      <c r="A119" s="24"/>
      <c r="B119" s="253"/>
      <c r="C119" s="255"/>
      <c r="D119" s="256"/>
      <c r="E119" s="256"/>
      <c r="F119" s="256"/>
      <c r="G119" s="256"/>
      <c r="H119" s="256"/>
      <c r="I119" s="256"/>
      <c r="J119" s="300"/>
      <c r="K119" s="376"/>
      <c r="L119" s="377"/>
    </row>
    <row r="120" spans="1:12" ht="14.25" customHeight="1">
      <c r="A120" s="24"/>
      <c r="B120" s="253"/>
      <c r="C120" s="255"/>
      <c r="D120" s="256"/>
      <c r="E120" s="256"/>
      <c r="F120" s="256"/>
      <c r="G120" s="256"/>
      <c r="H120" s="256"/>
      <c r="I120" s="256"/>
      <c r="J120" s="300"/>
      <c r="K120" s="376"/>
      <c r="L120" s="377"/>
    </row>
    <row r="121" spans="1:12" ht="14.25" customHeight="1">
      <c r="A121" s="24"/>
      <c r="B121" s="253"/>
      <c r="C121" s="255"/>
      <c r="D121" s="256"/>
      <c r="E121" s="256"/>
      <c r="F121" s="256"/>
      <c r="G121" s="256"/>
      <c r="H121" s="256"/>
      <c r="I121" s="256"/>
      <c r="J121" s="300"/>
      <c r="K121" s="376"/>
      <c r="L121" s="377"/>
    </row>
    <row r="122" spans="1:12" ht="14.25" customHeight="1">
      <c r="A122" s="24"/>
      <c r="B122" s="253"/>
      <c r="C122" s="255"/>
      <c r="D122" s="256"/>
      <c r="E122" s="256"/>
      <c r="F122" s="256"/>
      <c r="G122" s="256"/>
      <c r="H122" s="256"/>
      <c r="I122" s="256"/>
      <c r="J122" s="300"/>
      <c r="K122" s="376"/>
      <c r="L122" s="377"/>
    </row>
    <row r="123" spans="1:12" ht="14.25" customHeight="1">
      <c r="A123" s="24"/>
      <c r="B123" s="253"/>
      <c r="C123" s="255"/>
      <c r="D123" s="256"/>
      <c r="E123" s="256"/>
      <c r="F123" s="256"/>
      <c r="G123" s="256"/>
      <c r="H123" s="256"/>
      <c r="I123" s="256"/>
      <c r="J123" s="300"/>
      <c r="K123" s="376"/>
      <c r="L123" s="377"/>
    </row>
    <row r="124" spans="1:12" ht="14.25" customHeight="1">
      <c r="A124" s="24"/>
      <c r="B124" s="253"/>
      <c r="C124" s="255"/>
      <c r="D124" s="256"/>
      <c r="E124" s="256"/>
      <c r="F124" s="256"/>
      <c r="G124" s="256"/>
      <c r="H124" s="256"/>
      <c r="I124" s="256"/>
      <c r="J124" s="300"/>
      <c r="K124" s="376"/>
      <c r="L124" s="377"/>
    </row>
    <row r="125" spans="1:12" ht="14.25" customHeight="1">
      <c r="A125" s="24"/>
      <c r="B125" s="253"/>
      <c r="C125" s="255"/>
      <c r="D125" s="256"/>
      <c r="E125" s="256"/>
      <c r="F125" s="256"/>
      <c r="G125" s="256"/>
      <c r="H125" s="256"/>
      <c r="I125" s="256"/>
      <c r="J125" s="300"/>
      <c r="K125" s="376"/>
      <c r="L125" s="377"/>
    </row>
    <row r="126" spans="1:12" ht="14.25" customHeight="1">
      <c r="A126" s="24"/>
      <c r="B126" s="253"/>
      <c r="C126" s="255"/>
      <c r="D126" s="256"/>
      <c r="E126" s="256"/>
      <c r="F126" s="256"/>
      <c r="G126" s="256"/>
      <c r="H126" s="256"/>
      <c r="I126" s="256"/>
      <c r="J126" s="300"/>
      <c r="K126" s="376"/>
      <c r="L126" s="377"/>
    </row>
    <row r="127" spans="1:12" ht="14.25" customHeight="1">
      <c r="A127" s="24"/>
      <c r="B127" s="253"/>
      <c r="C127" s="255"/>
      <c r="D127" s="256"/>
      <c r="E127" s="256"/>
      <c r="F127" s="256"/>
      <c r="G127" s="256"/>
      <c r="H127" s="256"/>
      <c r="I127" s="256"/>
      <c r="J127" s="300"/>
      <c r="K127" s="376"/>
      <c r="L127" s="377"/>
    </row>
    <row r="128" spans="1:12" ht="14.25" customHeight="1">
      <c r="A128" s="24"/>
      <c r="B128" s="253"/>
      <c r="C128" s="255"/>
      <c r="D128" s="256"/>
      <c r="E128" s="256"/>
      <c r="F128" s="256"/>
      <c r="G128" s="256"/>
      <c r="H128" s="256"/>
      <c r="I128" s="256"/>
      <c r="J128" s="300"/>
      <c r="K128" s="376"/>
      <c r="L128" s="377"/>
    </row>
    <row r="129" spans="1:12" ht="14.25" customHeight="1">
      <c r="A129" s="24"/>
      <c r="B129" s="253"/>
      <c r="C129" s="255"/>
      <c r="D129" s="256"/>
      <c r="E129" s="256"/>
      <c r="F129" s="256"/>
      <c r="G129" s="256"/>
      <c r="H129" s="256"/>
      <c r="I129" s="256"/>
      <c r="J129" s="300"/>
      <c r="K129" s="376"/>
      <c r="L129" s="377"/>
    </row>
    <row r="130" spans="1:12" ht="14.25" customHeight="1">
      <c r="A130" s="24"/>
      <c r="B130" s="253"/>
      <c r="C130" s="255"/>
      <c r="D130" s="256"/>
      <c r="E130" s="256"/>
      <c r="F130" s="256"/>
      <c r="G130" s="256"/>
      <c r="H130" s="256"/>
      <c r="I130" s="256"/>
      <c r="J130" s="300"/>
      <c r="K130" s="376"/>
      <c r="L130" s="377"/>
    </row>
    <row r="131" spans="1:12" ht="14.25" customHeight="1">
      <c r="A131" s="24"/>
      <c r="B131" s="253"/>
      <c r="C131" s="255"/>
      <c r="D131" s="256"/>
      <c r="E131" s="256"/>
      <c r="F131" s="256"/>
      <c r="G131" s="256"/>
      <c r="H131" s="256"/>
      <c r="I131" s="256"/>
      <c r="J131" s="300"/>
      <c r="K131" s="376"/>
      <c r="L131" s="377"/>
    </row>
    <row r="132" spans="1:12" ht="14.25" customHeight="1">
      <c r="A132" s="24"/>
      <c r="B132" s="253"/>
      <c r="C132" s="255"/>
      <c r="D132" s="256"/>
      <c r="E132" s="256"/>
      <c r="F132" s="256"/>
      <c r="G132" s="256"/>
      <c r="H132" s="256"/>
      <c r="I132" s="256"/>
      <c r="J132" s="300"/>
      <c r="K132" s="376"/>
      <c r="L132" s="377"/>
    </row>
    <row r="133" spans="1:12" ht="14.25" customHeight="1">
      <c r="A133" s="24"/>
      <c r="B133" s="253"/>
      <c r="C133" s="255"/>
      <c r="D133" s="256"/>
      <c r="E133" s="256"/>
      <c r="F133" s="256"/>
      <c r="G133" s="256"/>
      <c r="H133" s="256"/>
      <c r="I133" s="256"/>
      <c r="J133" s="300"/>
      <c r="K133" s="376"/>
      <c r="L133" s="377"/>
    </row>
    <row r="134" spans="1:12" ht="14.25" customHeight="1">
      <c r="A134" s="24"/>
      <c r="B134" s="253"/>
      <c r="C134" s="255"/>
      <c r="D134" s="256"/>
      <c r="E134" s="256"/>
      <c r="F134" s="256"/>
      <c r="G134" s="256"/>
      <c r="H134" s="256"/>
      <c r="I134" s="256"/>
      <c r="J134" s="300"/>
      <c r="K134" s="376"/>
      <c r="L134" s="377"/>
    </row>
    <row r="135" spans="1:12" ht="14.25" customHeight="1">
      <c r="A135" s="24"/>
      <c r="B135" s="253"/>
      <c r="C135" s="255"/>
      <c r="D135" s="256"/>
      <c r="E135" s="256"/>
      <c r="F135" s="256"/>
      <c r="G135" s="256"/>
      <c r="H135" s="256"/>
      <c r="I135" s="256"/>
      <c r="J135" s="300"/>
      <c r="K135" s="376"/>
      <c r="L135" s="377"/>
    </row>
    <row r="136" spans="1:12" ht="14.25" customHeight="1">
      <c r="A136" s="24"/>
      <c r="B136" s="253"/>
      <c r="C136" s="255"/>
      <c r="D136" s="256"/>
      <c r="E136" s="256"/>
      <c r="F136" s="256"/>
      <c r="G136" s="256"/>
      <c r="H136" s="256"/>
      <c r="I136" s="256"/>
      <c r="J136" s="300"/>
      <c r="K136" s="376"/>
      <c r="L136" s="377"/>
    </row>
    <row r="137" spans="1:12" ht="14.25" customHeight="1">
      <c r="A137" s="24"/>
      <c r="B137" s="253"/>
      <c r="C137" s="255"/>
      <c r="D137" s="256"/>
      <c r="E137" s="256"/>
      <c r="F137" s="256"/>
      <c r="G137" s="256"/>
      <c r="H137" s="256"/>
      <c r="I137" s="256"/>
      <c r="J137" s="300"/>
      <c r="K137" s="376"/>
      <c r="L137" s="377"/>
    </row>
    <row r="138" spans="1:12" ht="14.25" customHeight="1">
      <c r="A138" s="24"/>
      <c r="B138" s="253"/>
      <c r="C138" s="255"/>
      <c r="D138" s="256"/>
      <c r="E138" s="256"/>
      <c r="F138" s="256"/>
      <c r="G138" s="256"/>
      <c r="H138" s="256"/>
      <c r="I138" s="256"/>
      <c r="J138" s="300"/>
      <c r="K138" s="376"/>
      <c r="L138" s="377"/>
    </row>
    <row r="139" spans="1:12" ht="14.25" customHeight="1">
      <c r="A139" s="24"/>
      <c r="B139" s="253"/>
      <c r="C139" s="255"/>
      <c r="D139" s="256"/>
      <c r="E139" s="256"/>
      <c r="F139" s="256"/>
      <c r="G139" s="256"/>
      <c r="H139" s="256"/>
      <c r="I139" s="256"/>
      <c r="J139" s="300"/>
      <c r="K139" s="376"/>
      <c r="L139" s="377"/>
    </row>
    <row r="140" spans="1:12" ht="14.25" customHeight="1">
      <c r="A140" s="24"/>
      <c r="B140" s="253"/>
      <c r="C140" s="255"/>
      <c r="D140" s="256"/>
      <c r="E140" s="256"/>
      <c r="F140" s="256"/>
      <c r="G140" s="256"/>
      <c r="H140" s="256"/>
      <c r="I140" s="256"/>
      <c r="J140" s="300"/>
      <c r="K140" s="376"/>
      <c r="L140" s="377"/>
    </row>
    <row r="141" spans="1:12" ht="14.25" customHeight="1">
      <c r="A141" s="24"/>
      <c r="B141" s="253"/>
      <c r="C141" s="255"/>
      <c r="D141" s="256"/>
      <c r="E141" s="256"/>
      <c r="F141" s="256"/>
      <c r="G141" s="256"/>
      <c r="H141" s="256"/>
      <c r="I141" s="256"/>
      <c r="J141" s="300"/>
      <c r="K141" s="376"/>
      <c r="L141" s="377"/>
    </row>
    <row r="142" spans="1:12" ht="14.25" customHeight="1">
      <c r="A142" s="24"/>
      <c r="B142" s="253"/>
      <c r="C142" s="255"/>
      <c r="D142" s="256"/>
      <c r="E142" s="256"/>
      <c r="F142" s="256"/>
      <c r="G142" s="256"/>
      <c r="H142" s="256"/>
      <c r="I142" s="256"/>
      <c r="J142" s="300"/>
      <c r="K142" s="376"/>
      <c r="L142" s="377"/>
    </row>
    <row r="143" spans="1:12" ht="14.25" customHeight="1">
      <c r="A143" s="24"/>
      <c r="B143" s="253"/>
      <c r="C143" s="255"/>
      <c r="D143" s="256"/>
      <c r="E143" s="256"/>
      <c r="F143" s="256"/>
      <c r="G143" s="256"/>
      <c r="H143" s="256"/>
      <c r="I143" s="256"/>
      <c r="J143" s="300"/>
      <c r="K143" s="376"/>
      <c r="L143" s="377"/>
    </row>
    <row r="144" spans="1:12" ht="14.25" customHeight="1">
      <c r="A144" s="24"/>
      <c r="B144" s="253"/>
      <c r="C144" s="255"/>
      <c r="D144" s="256"/>
      <c r="E144" s="256"/>
      <c r="F144" s="256"/>
      <c r="G144" s="256"/>
      <c r="H144" s="256"/>
      <c r="I144" s="256"/>
      <c r="J144" s="300"/>
      <c r="K144" s="376"/>
      <c r="L144" s="377"/>
    </row>
    <row r="145" spans="1:12" ht="14.25" customHeight="1">
      <c r="A145" s="24"/>
      <c r="B145" s="253"/>
      <c r="C145" s="255"/>
      <c r="D145" s="256"/>
      <c r="E145" s="256"/>
      <c r="F145" s="256"/>
      <c r="G145" s="256"/>
      <c r="H145" s="256"/>
      <c r="I145" s="256"/>
      <c r="J145" s="300"/>
      <c r="K145" s="376"/>
      <c r="L145" s="377"/>
    </row>
    <row r="146" spans="1:12" ht="14.25" customHeight="1">
      <c r="A146" s="24"/>
      <c r="B146" s="253"/>
      <c r="C146" s="255"/>
      <c r="D146" s="256"/>
      <c r="E146" s="256"/>
      <c r="F146" s="256"/>
      <c r="G146" s="256"/>
      <c r="H146" s="256"/>
      <c r="I146" s="256"/>
      <c r="J146" s="300"/>
      <c r="K146" s="376"/>
      <c r="L146" s="377"/>
    </row>
    <row r="147" spans="1:12" ht="14.25" customHeight="1">
      <c r="A147" s="24"/>
      <c r="B147" s="253"/>
      <c r="C147" s="255"/>
      <c r="D147" s="256"/>
      <c r="E147" s="256"/>
      <c r="F147" s="256"/>
      <c r="G147" s="256"/>
      <c r="H147" s="256"/>
      <c r="I147" s="256"/>
      <c r="J147" s="300"/>
      <c r="K147" s="376"/>
      <c r="L147" s="377"/>
    </row>
    <row r="148" spans="1:12" ht="14.25" customHeight="1">
      <c r="A148" s="24"/>
      <c r="B148" s="253"/>
      <c r="C148" s="255"/>
      <c r="D148" s="256"/>
      <c r="E148" s="256"/>
      <c r="F148" s="256"/>
      <c r="G148" s="256"/>
      <c r="H148" s="256"/>
      <c r="I148" s="256"/>
      <c r="J148" s="300"/>
      <c r="K148" s="376"/>
      <c r="L148" s="377"/>
    </row>
    <row r="149" spans="1:12" ht="14.25" customHeight="1">
      <c r="A149" s="24"/>
      <c r="B149" s="253"/>
      <c r="C149" s="255"/>
      <c r="D149" s="256"/>
      <c r="E149" s="256"/>
      <c r="F149" s="256"/>
      <c r="G149" s="256"/>
      <c r="H149" s="256"/>
      <c r="I149" s="256"/>
      <c r="J149" s="300"/>
      <c r="K149" s="376"/>
      <c r="L149" s="377"/>
    </row>
    <row r="150" spans="1:12" ht="14.25" customHeight="1">
      <c r="A150" s="24"/>
      <c r="B150" s="253"/>
      <c r="C150" s="255"/>
      <c r="D150" s="256"/>
      <c r="E150" s="256"/>
      <c r="F150" s="256"/>
      <c r="G150" s="256"/>
      <c r="H150" s="256"/>
      <c r="I150" s="256"/>
      <c r="J150" s="300"/>
      <c r="K150" s="376"/>
      <c r="L150" s="377"/>
    </row>
    <row r="151" spans="1:12" ht="14.25" customHeight="1">
      <c r="A151" s="24"/>
      <c r="B151" s="253"/>
      <c r="C151" s="255"/>
      <c r="D151" s="256"/>
      <c r="E151" s="256"/>
      <c r="F151" s="256"/>
      <c r="G151" s="256"/>
      <c r="H151" s="256"/>
      <c r="I151" s="256"/>
      <c r="J151" s="300"/>
      <c r="K151" s="376"/>
      <c r="L151" s="377"/>
    </row>
    <row r="152" spans="1:12" ht="14.25" customHeight="1">
      <c r="A152" s="24"/>
      <c r="B152" s="253"/>
      <c r="C152" s="255"/>
      <c r="D152" s="256"/>
      <c r="E152" s="256"/>
      <c r="F152" s="256"/>
      <c r="G152" s="256"/>
      <c r="H152" s="256"/>
      <c r="I152" s="256"/>
      <c r="J152" s="300"/>
      <c r="K152" s="376"/>
      <c r="L152" s="377"/>
    </row>
    <row r="153" spans="1:12" ht="14.25" customHeight="1">
      <c r="A153" s="24"/>
      <c r="B153" s="253"/>
      <c r="C153" s="255"/>
      <c r="D153" s="256"/>
      <c r="E153" s="256"/>
      <c r="F153" s="256"/>
      <c r="G153" s="256"/>
      <c r="H153" s="256"/>
      <c r="I153" s="256"/>
      <c r="J153" s="300"/>
      <c r="K153" s="376"/>
      <c r="L153" s="377"/>
    </row>
    <row r="154" spans="1:12" ht="14.25" customHeight="1">
      <c r="A154" s="24"/>
      <c r="B154" s="253"/>
      <c r="C154" s="255"/>
      <c r="D154" s="256"/>
      <c r="E154" s="256"/>
      <c r="F154" s="256"/>
      <c r="G154" s="256"/>
      <c r="H154" s="256"/>
      <c r="I154" s="256"/>
      <c r="J154" s="300"/>
      <c r="K154" s="376"/>
      <c r="L154" s="377"/>
    </row>
    <row r="155" spans="1:12" ht="14.25" customHeight="1">
      <c r="A155" s="24"/>
      <c r="B155" s="253"/>
      <c r="C155" s="255"/>
      <c r="D155" s="256"/>
      <c r="E155" s="256"/>
      <c r="F155" s="256"/>
      <c r="G155" s="256"/>
      <c r="H155" s="256"/>
      <c r="I155" s="256"/>
      <c r="J155" s="300"/>
      <c r="K155" s="376"/>
      <c r="L155" s="377"/>
    </row>
    <row r="156" spans="1:12" ht="14.25" customHeight="1">
      <c r="A156" s="24"/>
      <c r="B156" s="253"/>
      <c r="C156" s="255"/>
      <c r="D156" s="256"/>
      <c r="E156" s="256"/>
      <c r="F156" s="256"/>
      <c r="G156" s="256"/>
      <c r="H156" s="256"/>
      <c r="I156" s="256"/>
      <c r="J156" s="300"/>
      <c r="K156" s="376"/>
      <c r="L156" s="377"/>
    </row>
    <row r="157" spans="1:12" ht="14.25" customHeight="1">
      <c r="A157" s="24"/>
      <c r="B157" s="253"/>
      <c r="C157" s="255"/>
      <c r="D157" s="256"/>
      <c r="E157" s="256"/>
      <c r="F157" s="256"/>
      <c r="G157" s="256"/>
      <c r="H157" s="256"/>
      <c r="I157" s="256"/>
      <c r="J157" s="300"/>
      <c r="K157" s="376"/>
      <c r="L157" s="377"/>
    </row>
    <row r="158" spans="1:12" ht="14.25" customHeight="1">
      <c r="A158" s="24"/>
      <c r="B158" s="253"/>
      <c r="C158" s="255"/>
      <c r="D158" s="256"/>
      <c r="E158" s="256"/>
      <c r="F158" s="256"/>
      <c r="G158" s="256"/>
      <c r="H158" s="256"/>
      <c r="I158" s="256"/>
      <c r="J158" s="300"/>
      <c r="K158" s="376"/>
      <c r="L158" s="377"/>
    </row>
    <row r="159" spans="1:12" ht="14.25" customHeight="1">
      <c r="A159" s="24"/>
      <c r="B159" s="253"/>
      <c r="C159" s="255"/>
      <c r="D159" s="256"/>
      <c r="E159" s="256"/>
      <c r="F159" s="256"/>
      <c r="G159" s="256"/>
      <c r="H159" s="256"/>
      <c r="I159" s="256"/>
      <c r="J159" s="300"/>
      <c r="K159" s="376"/>
      <c r="L159" s="377"/>
    </row>
    <row r="160" spans="1:12" ht="14.25" customHeight="1">
      <c r="A160" s="24"/>
      <c r="B160" s="253"/>
      <c r="C160" s="255"/>
      <c r="D160" s="256"/>
      <c r="E160" s="256"/>
      <c r="F160" s="256"/>
      <c r="G160" s="256"/>
      <c r="H160" s="256"/>
      <c r="I160" s="256"/>
      <c r="J160" s="300"/>
      <c r="K160" s="376"/>
      <c r="L160" s="377"/>
    </row>
    <row r="161" spans="1:12" ht="14.25" customHeight="1">
      <c r="A161" s="24"/>
      <c r="B161" s="253"/>
      <c r="C161" s="255"/>
      <c r="D161" s="256"/>
      <c r="E161" s="256"/>
      <c r="F161" s="256"/>
      <c r="G161" s="256"/>
      <c r="H161" s="256"/>
      <c r="I161" s="256"/>
      <c r="J161" s="300"/>
      <c r="K161" s="376"/>
      <c r="L161" s="377"/>
    </row>
    <row r="162" spans="1:12" ht="14.25" customHeight="1">
      <c r="A162" s="619"/>
      <c r="B162" s="253"/>
      <c r="C162" s="378"/>
      <c r="D162" s="388"/>
      <c r="E162" s="388"/>
      <c r="F162" s="388"/>
      <c r="G162" s="388"/>
      <c r="H162" s="388"/>
      <c r="I162" s="388"/>
      <c r="J162" s="513"/>
      <c r="K162" s="258"/>
      <c r="L162" s="377"/>
    </row>
    <row r="163" spans="1:12" ht="24.75" customHeight="1">
      <c r="A163" s="619"/>
      <c r="B163" s="253"/>
      <c r="C163" s="512" t="s">
        <v>741</v>
      </c>
      <c r="D163" s="256"/>
      <c r="E163" s="256"/>
      <c r="F163" s="256"/>
      <c r="G163" s="256"/>
      <c r="H163" s="256"/>
      <c r="I163" s="256"/>
      <c r="J163" s="300"/>
      <c r="K163" s="376"/>
      <c r="L163" s="377"/>
    </row>
    <row r="164" spans="1:12" ht="14.25" customHeight="1">
      <c r="A164" s="619"/>
      <c r="B164" s="253"/>
      <c r="C164" s="512"/>
      <c r="D164" s="256"/>
      <c r="E164" s="256"/>
      <c r="F164" s="256"/>
      <c r="G164" s="256"/>
      <c r="H164" s="256"/>
      <c r="I164" s="256"/>
      <c r="J164" s="300"/>
      <c r="K164" s="376"/>
      <c r="L164" s="377"/>
    </row>
    <row r="165" spans="1:12" ht="14.25" customHeight="1">
      <c r="A165" s="619"/>
      <c r="B165" s="253"/>
      <c r="C165" s="386"/>
      <c r="D165" s="256"/>
      <c r="E165" s="256"/>
      <c r="F165" s="256"/>
      <c r="G165" s="256"/>
      <c r="H165" s="256"/>
      <c r="I165" s="256"/>
      <c r="J165" s="300"/>
      <c r="K165" s="376"/>
      <c r="L165" s="377"/>
    </row>
    <row r="166" spans="1:12" ht="14.25" customHeight="1">
      <c r="A166" s="619"/>
      <c r="B166" s="253"/>
      <c r="C166" s="259"/>
      <c r="D166" s="256"/>
      <c r="E166" s="256"/>
      <c r="F166" s="256"/>
      <c r="G166" s="256"/>
      <c r="H166" s="256"/>
      <c r="I166" s="256"/>
      <c r="J166" s="300"/>
      <c r="K166" s="376"/>
      <c r="L166" s="377"/>
    </row>
    <row r="167" spans="1:12" ht="14.25" customHeight="1">
      <c r="A167" s="619"/>
      <c r="B167" s="253"/>
      <c r="C167" s="259"/>
      <c r="D167" s="256"/>
      <c r="E167" s="256"/>
      <c r="F167" s="256"/>
      <c r="G167" s="256"/>
      <c r="H167" s="256"/>
      <c r="I167" s="256"/>
      <c r="J167" s="300"/>
      <c r="K167" s="376"/>
      <c r="L167" s="377"/>
    </row>
    <row r="168" spans="1:12" ht="14.25" customHeight="1">
      <c r="A168" s="619"/>
      <c r="B168" s="253"/>
      <c r="C168" s="259"/>
      <c r="D168" s="256"/>
      <c r="E168" s="26"/>
      <c r="F168" s="26"/>
      <c r="G168" s="26"/>
      <c r="H168" s="26"/>
      <c r="I168" s="26"/>
      <c r="J168" s="134"/>
      <c r="K168" s="56"/>
      <c r="L168" s="377"/>
    </row>
    <row r="169" spans="1:12" ht="14.25" customHeight="1">
      <c r="A169" s="619"/>
      <c r="B169" s="253"/>
      <c r="C169" s="259"/>
      <c r="D169" s="26"/>
      <c r="E169" s="26"/>
      <c r="F169" s="26"/>
      <c r="G169" s="26"/>
      <c r="H169" s="26"/>
      <c r="I169" s="26"/>
      <c r="J169" s="134"/>
      <c r="K169" s="56"/>
      <c r="L169" s="377"/>
    </row>
    <row r="170" spans="1:12" ht="14.25" customHeight="1">
      <c r="A170" s="619"/>
      <c r="B170" s="253"/>
      <c r="C170" s="259"/>
      <c r="D170" s="26"/>
      <c r="E170" s="26"/>
      <c r="F170" s="26"/>
      <c r="G170" s="26"/>
      <c r="H170" s="26"/>
      <c r="I170" s="26"/>
      <c r="J170" s="134"/>
      <c r="K170" s="56"/>
      <c r="L170" s="377"/>
    </row>
    <row r="171" spans="1:12" ht="14.25" customHeight="1">
      <c r="A171" s="619"/>
      <c r="B171" s="253"/>
      <c r="C171" s="259"/>
      <c r="D171" s="26"/>
      <c r="E171" s="26"/>
      <c r="F171" s="26"/>
      <c r="G171" s="26"/>
      <c r="H171" s="26"/>
      <c r="I171" s="26"/>
      <c r="J171" s="134"/>
      <c r="K171" s="56"/>
      <c r="L171" s="377"/>
    </row>
    <row r="172" spans="1:12" ht="14.25" customHeight="1">
      <c r="A172" s="619"/>
      <c r="B172" s="253"/>
      <c r="C172" s="259"/>
      <c r="D172" s="26"/>
      <c r="E172" s="26"/>
      <c r="F172" s="26"/>
      <c r="G172" s="26"/>
      <c r="H172" s="26"/>
      <c r="I172" s="26"/>
      <c r="J172" s="134"/>
      <c r="K172" s="56"/>
      <c r="L172" s="377"/>
    </row>
    <row r="173" spans="1:12" ht="14.25" customHeight="1">
      <c r="A173" s="619"/>
      <c r="B173" s="253"/>
      <c r="C173" s="259"/>
      <c r="D173" s="26"/>
      <c r="E173" s="26"/>
      <c r="F173" s="26"/>
      <c r="G173" s="26"/>
      <c r="H173" s="26"/>
      <c r="I173" s="26"/>
      <c r="J173" s="134"/>
      <c r="K173" s="56"/>
      <c r="L173" s="377"/>
    </row>
    <row r="174" spans="1:12" ht="14.25" customHeight="1">
      <c r="A174" s="619"/>
      <c r="B174" s="253"/>
      <c r="C174" s="259"/>
      <c r="D174" s="26"/>
      <c r="E174" s="26"/>
      <c r="F174" s="26"/>
      <c r="G174" s="26"/>
      <c r="H174" s="26"/>
      <c r="I174" s="26"/>
      <c r="J174" s="134"/>
      <c r="K174" s="56"/>
      <c r="L174" s="377"/>
    </row>
    <row r="175" spans="1:12" ht="14.25" customHeight="1">
      <c r="A175" s="619"/>
      <c r="B175" s="253"/>
      <c r="C175" s="259"/>
      <c r="D175" s="26"/>
      <c r="E175" s="26"/>
      <c r="F175" s="26"/>
      <c r="G175" s="26"/>
      <c r="H175" s="26"/>
      <c r="I175" s="26"/>
      <c r="J175" s="134"/>
      <c r="K175" s="56"/>
      <c r="L175" s="377"/>
    </row>
    <row r="176" spans="1:12" ht="14.25" customHeight="1">
      <c r="A176" s="619"/>
      <c r="B176" s="253"/>
      <c r="C176" s="259"/>
      <c r="D176" s="26"/>
      <c r="E176" s="256"/>
      <c r="F176" s="256"/>
      <c r="G176" s="256"/>
      <c r="H176" s="256"/>
      <c r="I176" s="256"/>
      <c r="J176" s="300"/>
      <c r="K176" s="376"/>
      <c r="L176" s="377"/>
    </row>
    <row r="177" spans="1:12" ht="14.25" customHeight="1">
      <c r="A177" s="619"/>
      <c r="B177" s="253"/>
      <c r="C177" s="259"/>
      <c r="D177" s="26"/>
      <c r="E177" s="256"/>
      <c r="F177" s="256"/>
      <c r="G177" s="256"/>
      <c r="H177" s="256"/>
      <c r="I177" s="256"/>
      <c r="J177" s="514"/>
      <c r="K177" s="56"/>
      <c r="L177" s="377"/>
    </row>
    <row r="178" spans="1:12" ht="14.25" customHeight="1">
      <c r="A178" s="619"/>
      <c r="B178" s="253"/>
      <c r="C178" s="259"/>
      <c r="D178" s="26"/>
      <c r="E178" s="256"/>
      <c r="F178" s="256"/>
      <c r="G178" s="256"/>
      <c r="H178" s="256"/>
      <c r="I178" s="256"/>
      <c r="J178" s="514"/>
      <c r="K178" s="376"/>
      <c r="L178" s="377"/>
    </row>
    <row r="179" spans="1:12" ht="14.25" customHeight="1">
      <c r="A179" s="619"/>
      <c r="B179" s="253"/>
      <c r="C179" s="259"/>
      <c r="D179" s="26"/>
      <c r="E179" s="256"/>
      <c r="F179" s="256"/>
      <c r="G179" s="256"/>
      <c r="H179" s="256"/>
      <c r="I179" s="256"/>
      <c r="J179" s="514"/>
      <c r="K179" s="376"/>
      <c r="L179" s="377"/>
    </row>
    <row r="180" spans="1:12" ht="14.25" customHeight="1">
      <c r="A180" s="619"/>
      <c r="B180" s="253"/>
      <c r="C180" s="259"/>
      <c r="D180" s="26"/>
      <c r="E180" s="256"/>
      <c r="F180" s="256"/>
      <c r="G180" s="256"/>
      <c r="H180" s="256"/>
      <c r="I180" s="256"/>
      <c r="J180" s="514"/>
      <c r="K180" s="387"/>
      <c r="L180" s="377"/>
    </row>
    <row r="181" spans="1:12" ht="14.25" customHeight="1">
      <c r="A181" s="619"/>
      <c r="B181" s="253"/>
      <c r="C181" s="259"/>
      <c r="D181" s="26"/>
      <c r="E181" s="256"/>
      <c r="F181" s="256"/>
      <c r="G181" s="256"/>
      <c r="H181" s="256"/>
      <c r="I181" s="256"/>
      <c r="J181" s="514"/>
      <c r="K181" s="387"/>
      <c r="L181" s="377"/>
    </row>
    <row r="182" spans="1:12" ht="14.25" customHeight="1">
      <c r="A182" s="619"/>
      <c r="B182" s="253"/>
      <c r="C182" s="259"/>
      <c r="D182" s="26"/>
      <c r="E182" s="256"/>
      <c r="F182" s="256"/>
      <c r="G182" s="256"/>
      <c r="H182" s="256"/>
      <c r="I182" s="256"/>
      <c r="J182" s="514"/>
      <c r="K182" s="387"/>
      <c r="L182" s="377"/>
    </row>
    <row r="183" spans="1:12" ht="14.25" customHeight="1">
      <c r="A183" s="619"/>
      <c r="B183" s="253"/>
      <c r="C183" s="259"/>
      <c r="D183" s="256"/>
      <c r="E183" s="256"/>
      <c r="F183" s="256"/>
      <c r="G183" s="256"/>
      <c r="H183" s="256"/>
      <c r="I183" s="256"/>
      <c r="J183" s="514"/>
      <c r="K183" s="387"/>
      <c r="L183" s="377"/>
    </row>
    <row r="184" spans="1:12" ht="14.25" customHeight="1">
      <c r="A184" s="619"/>
      <c r="B184" s="253"/>
      <c r="C184" s="259"/>
      <c r="D184" s="256"/>
      <c r="E184" s="256"/>
      <c r="F184" s="256"/>
      <c r="G184" s="256"/>
      <c r="H184" s="256"/>
      <c r="I184" s="256"/>
      <c r="J184" s="514"/>
      <c r="K184" s="387"/>
      <c r="L184" s="377"/>
    </row>
    <row r="185" spans="1:12" ht="14.25" customHeight="1">
      <c r="A185" s="619"/>
      <c r="B185" s="253"/>
      <c r="C185" s="259"/>
      <c r="D185" s="256"/>
      <c r="E185" s="256"/>
      <c r="F185" s="256"/>
      <c r="G185" s="256"/>
      <c r="H185" s="256"/>
      <c r="I185" s="256"/>
      <c r="J185" s="514"/>
      <c r="K185" s="376"/>
      <c r="L185" s="377"/>
    </row>
    <row r="186" spans="1:12" ht="14.25" customHeight="1">
      <c r="A186" s="619"/>
      <c r="B186" s="253"/>
      <c r="C186" s="259"/>
      <c r="D186" s="256"/>
      <c r="E186" s="256"/>
      <c r="F186" s="256"/>
      <c r="G186" s="256"/>
      <c r="H186" s="256"/>
      <c r="I186" s="256"/>
      <c r="J186" s="300"/>
      <c r="K186" s="376"/>
      <c r="L186" s="377"/>
    </row>
    <row r="187" spans="1:12" ht="14.25" customHeight="1">
      <c r="A187" s="619"/>
      <c r="B187" s="253"/>
      <c r="C187" s="259"/>
      <c r="D187" s="256"/>
      <c r="E187" s="256"/>
      <c r="F187" s="256"/>
      <c r="G187" s="256"/>
      <c r="H187" s="256"/>
      <c r="I187" s="256"/>
      <c r="J187" s="300"/>
      <c r="K187" s="376"/>
      <c r="L187" s="377"/>
    </row>
    <row r="188" spans="1:12" ht="14.25" customHeight="1">
      <c r="A188" s="619"/>
      <c r="B188" s="253"/>
      <c r="C188" s="259"/>
      <c r="D188" s="256"/>
      <c r="E188" s="256"/>
      <c r="F188" s="256"/>
      <c r="G188" s="256"/>
      <c r="H188" s="256"/>
      <c r="I188" s="256"/>
      <c r="J188" s="300"/>
      <c r="K188" s="376"/>
      <c r="L188" s="377"/>
    </row>
    <row r="189" spans="1:12" ht="14.25" customHeight="1">
      <c r="A189" s="619"/>
      <c r="B189" s="253"/>
      <c r="C189" s="378"/>
      <c r="D189" s="388"/>
      <c r="E189" s="388"/>
      <c r="F189" s="388"/>
      <c r="G189" s="388"/>
      <c r="H189" s="388"/>
      <c r="I189" s="388"/>
      <c r="J189" s="513"/>
      <c r="K189" s="258"/>
      <c r="L189" s="377"/>
    </row>
    <row r="190" spans="1:12" ht="21" customHeight="1">
      <c r="A190" s="619"/>
      <c r="B190" s="253"/>
      <c r="C190" s="512" t="s">
        <v>242</v>
      </c>
      <c r="D190" s="256"/>
      <c r="E190" s="256"/>
      <c r="F190" s="256"/>
      <c r="G190" s="256"/>
      <c r="H190" s="256"/>
      <c r="I190" s="256"/>
      <c r="J190" s="300"/>
      <c r="K190" s="376"/>
      <c r="L190" s="377"/>
    </row>
    <row r="191" spans="1:12" ht="21" customHeight="1">
      <c r="A191" s="619"/>
      <c r="B191" s="253"/>
      <c r="C191" s="512"/>
      <c r="D191" s="256"/>
      <c r="E191" s="256"/>
      <c r="F191" s="256"/>
      <c r="G191" s="256"/>
      <c r="H191" s="256"/>
      <c r="I191" s="256"/>
      <c r="J191" s="300"/>
      <c r="K191" s="376"/>
      <c r="L191" s="377"/>
    </row>
    <row r="192" spans="1:12" ht="21" customHeight="1">
      <c r="A192" s="619"/>
      <c r="B192" s="253"/>
      <c r="C192" s="512"/>
      <c r="D192" s="256"/>
      <c r="E192" s="256"/>
      <c r="F192" s="256"/>
      <c r="G192" s="256"/>
      <c r="H192" s="256"/>
      <c r="I192" s="256"/>
      <c r="J192" s="300"/>
      <c r="K192" s="376"/>
      <c r="L192" s="377"/>
    </row>
    <row r="193" spans="1:12" ht="21" customHeight="1">
      <c r="A193" s="619"/>
      <c r="B193" s="253"/>
      <c r="C193" s="512"/>
      <c r="D193" s="256"/>
      <c r="E193" s="256"/>
      <c r="F193" s="256"/>
      <c r="G193" s="256"/>
      <c r="H193" s="256"/>
      <c r="I193" s="256"/>
      <c r="J193" s="300"/>
      <c r="K193" s="376"/>
      <c r="L193" s="377"/>
    </row>
    <row r="194" spans="1:12" ht="21" customHeight="1">
      <c r="A194" s="619"/>
      <c r="B194" s="253"/>
      <c r="C194" s="512"/>
      <c r="D194" s="256"/>
      <c r="E194" s="256"/>
      <c r="F194" s="256"/>
      <c r="G194" s="256"/>
      <c r="H194" s="256"/>
      <c r="I194" s="256"/>
      <c r="J194" s="300"/>
      <c r="K194" s="376"/>
      <c r="L194" s="377"/>
    </row>
    <row r="195" spans="1:12" ht="21" customHeight="1">
      <c r="A195" s="619"/>
      <c r="B195" s="253"/>
      <c r="C195" s="512"/>
      <c r="D195" s="256"/>
      <c r="E195" s="256"/>
      <c r="F195" s="256"/>
      <c r="G195" s="256"/>
      <c r="H195" s="256"/>
      <c r="I195" s="256"/>
      <c r="J195" s="300"/>
      <c r="K195" s="376"/>
      <c r="L195" s="377"/>
    </row>
    <row r="196" spans="1:12" ht="21" customHeight="1">
      <c r="A196" s="619"/>
      <c r="B196" s="253"/>
      <c r="C196" s="512"/>
      <c r="D196" s="256"/>
      <c r="E196" s="256"/>
      <c r="F196" s="256"/>
      <c r="G196" s="256"/>
      <c r="H196" s="256"/>
      <c r="I196" s="256"/>
      <c r="J196" s="300"/>
      <c r="K196" s="376"/>
      <c r="L196" s="377"/>
    </row>
    <row r="197" spans="1:12" ht="21" customHeight="1">
      <c r="A197" s="619"/>
      <c r="B197" s="253"/>
      <c r="C197" s="512"/>
      <c r="D197" s="256"/>
      <c r="E197" s="256"/>
      <c r="F197" s="256"/>
      <c r="G197" s="256"/>
      <c r="H197" s="256"/>
      <c r="I197" s="256"/>
      <c r="J197" s="300"/>
      <c r="K197" s="376"/>
      <c r="L197" s="377"/>
    </row>
    <row r="198" spans="1:12" ht="21" customHeight="1">
      <c r="A198" s="619"/>
      <c r="B198" s="253"/>
      <c r="C198" s="512"/>
      <c r="D198" s="256"/>
      <c r="E198" s="256"/>
      <c r="F198" s="256"/>
      <c r="G198" s="256"/>
      <c r="H198" s="256"/>
      <c r="I198" s="256"/>
      <c r="J198" s="300"/>
      <c r="K198" s="376"/>
      <c r="L198" s="377"/>
    </row>
    <row r="199" spans="1:12" ht="21" customHeight="1">
      <c r="A199" s="619"/>
      <c r="B199" s="253"/>
      <c r="C199" s="512"/>
      <c r="D199" s="256"/>
      <c r="E199" s="256"/>
      <c r="F199" s="256"/>
      <c r="G199" s="256"/>
      <c r="H199" s="256"/>
      <c r="I199" s="256"/>
      <c r="J199" s="300"/>
      <c r="K199" s="376"/>
      <c r="L199" s="377"/>
    </row>
    <row r="200" spans="1:12" ht="21" customHeight="1">
      <c r="A200" s="619"/>
      <c r="B200" s="253"/>
      <c r="C200" s="512"/>
      <c r="D200" s="256"/>
      <c r="E200" s="256"/>
      <c r="F200" s="256"/>
      <c r="G200" s="256"/>
      <c r="H200" s="256"/>
      <c r="I200" s="256"/>
      <c r="J200" s="300"/>
      <c r="K200" s="376"/>
      <c r="L200" s="377"/>
    </row>
    <row r="201" spans="1:12" ht="21" customHeight="1">
      <c r="A201" s="619"/>
      <c r="B201" s="253"/>
      <c r="C201" s="512"/>
      <c r="D201" s="256"/>
      <c r="E201" s="256"/>
      <c r="F201" s="256"/>
      <c r="G201" s="256"/>
      <c r="H201" s="256"/>
      <c r="I201" s="256"/>
      <c r="J201" s="300"/>
      <c r="K201" s="376"/>
      <c r="L201" s="377"/>
    </row>
    <row r="202" spans="1:12" ht="21" customHeight="1">
      <c r="A202" s="619"/>
      <c r="B202" s="253"/>
      <c r="C202" s="512"/>
      <c r="D202" s="256"/>
      <c r="E202" s="256"/>
      <c r="F202" s="256"/>
      <c r="G202" s="256"/>
      <c r="H202" s="256"/>
      <c r="I202" s="256"/>
      <c r="J202" s="300"/>
      <c r="K202" s="376"/>
      <c r="L202" s="377"/>
    </row>
    <row r="203" spans="1:12" ht="21" customHeight="1">
      <c r="A203" s="619"/>
      <c r="B203" s="253"/>
      <c r="C203" s="512"/>
      <c r="D203" s="256"/>
      <c r="E203" s="256"/>
      <c r="F203" s="256"/>
      <c r="G203" s="256"/>
      <c r="H203" s="256"/>
      <c r="I203" s="256"/>
      <c r="J203" s="300"/>
      <c r="K203" s="376"/>
      <c r="L203" s="377"/>
    </row>
    <row r="204" spans="1:12" ht="14.25" customHeight="1">
      <c r="A204" s="619"/>
      <c r="B204" s="253"/>
      <c r="C204" s="378"/>
      <c r="D204" s="388"/>
      <c r="E204" s="388"/>
      <c r="F204" s="388"/>
      <c r="G204" s="388"/>
      <c r="H204" s="388"/>
      <c r="I204" s="388"/>
      <c r="J204" s="513"/>
      <c r="K204" s="258"/>
      <c r="L204" s="377"/>
    </row>
    <row r="205" spans="1:12" ht="19.5" customHeight="1">
      <c r="A205" s="619"/>
      <c r="B205" s="253"/>
      <c r="C205" s="512" t="s">
        <v>262</v>
      </c>
      <c r="D205" s="256"/>
      <c r="E205" s="256"/>
      <c r="F205" s="256"/>
      <c r="G205" s="256"/>
      <c r="H205" s="256"/>
      <c r="I205" s="256"/>
      <c r="J205" s="300"/>
      <c r="K205" s="376"/>
      <c r="L205" s="377"/>
    </row>
    <row r="206" spans="1:12" ht="14.25" customHeight="1">
      <c r="A206" s="619"/>
      <c r="B206" s="253"/>
      <c r="C206" s="281"/>
      <c r="D206" s="256"/>
      <c r="E206" s="256"/>
      <c r="F206" s="256"/>
      <c r="G206" s="256"/>
      <c r="H206" s="256"/>
      <c r="I206" s="256"/>
      <c r="J206" s="300"/>
      <c r="K206" s="376"/>
      <c r="L206" s="377"/>
    </row>
    <row r="207" spans="1:12" ht="14.25" customHeight="1">
      <c r="A207" s="1"/>
      <c r="B207" s="253"/>
      <c r="C207" s="259"/>
      <c r="D207" s="256"/>
      <c r="E207" s="256"/>
      <c r="F207" s="256"/>
      <c r="G207" s="256"/>
      <c r="H207" s="256"/>
      <c r="I207" s="256"/>
      <c r="J207" s="300"/>
      <c r="K207" s="376"/>
      <c r="L207" s="377"/>
    </row>
    <row r="208" spans="1:12" ht="14.25" customHeight="1">
      <c r="A208" s="1"/>
      <c r="B208" s="253"/>
      <c r="C208" s="259"/>
      <c r="D208" s="256"/>
      <c r="E208" s="256"/>
      <c r="F208" s="256"/>
      <c r="G208" s="256"/>
      <c r="H208" s="256"/>
      <c r="I208" s="256"/>
      <c r="J208" s="300"/>
      <c r="K208" s="376"/>
      <c r="L208" s="377"/>
    </row>
    <row r="209" spans="1:12" ht="14.25" customHeight="1">
      <c r="A209" s="1"/>
      <c r="B209" s="253"/>
      <c r="C209" s="259"/>
      <c r="D209" s="256"/>
      <c r="E209" s="256"/>
      <c r="F209" s="256"/>
      <c r="G209" s="256"/>
      <c r="H209" s="256"/>
      <c r="I209" s="256"/>
      <c r="J209" s="300"/>
      <c r="K209" s="376"/>
      <c r="L209" s="377"/>
    </row>
    <row r="210" spans="1:12" ht="14.25" customHeight="1">
      <c r="A210" s="1"/>
      <c r="B210" s="253"/>
      <c r="C210" s="259"/>
      <c r="D210" s="256"/>
      <c r="E210" s="256"/>
      <c r="F210" s="256"/>
      <c r="G210" s="256"/>
      <c r="H210" s="256"/>
      <c r="I210" s="256"/>
      <c r="J210" s="300"/>
      <c r="K210" s="376"/>
      <c r="L210" s="377"/>
    </row>
    <row r="211" spans="1:12" ht="14.25" customHeight="1">
      <c r="A211" s="1"/>
      <c r="B211" s="253"/>
      <c r="C211" s="259"/>
      <c r="D211" s="256"/>
      <c r="E211" s="256"/>
      <c r="F211" s="256"/>
      <c r="G211" s="256"/>
      <c r="H211" s="256"/>
      <c r="I211" s="256"/>
      <c r="J211" s="300"/>
      <c r="K211" s="376"/>
      <c r="L211" s="377"/>
    </row>
    <row r="212" spans="1:12" ht="14.25" customHeight="1">
      <c r="A212" s="1"/>
      <c r="B212" s="253"/>
      <c r="C212" s="256"/>
      <c r="D212" s="256"/>
      <c r="E212" s="256"/>
      <c r="F212" s="256"/>
      <c r="G212" s="256"/>
      <c r="H212" s="256"/>
      <c r="I212" s="256"/>
      <c r="J212" s="300"/>
      <c r="K212" s="376"/>
      <c r="L212" s="377"/>
    </row>
    <row r="213" spans="1:12" ht="14.25" customHeight="1">
      <c r="A213" s="1"/>
      <c r="B213" s="253"/>
      <c r="C213" s="256"/>
      <c r="D213" s="256"/>
      <c r="E213" s="256"/>
      <c r="F213" s="256"/>
      <c r="G213" s="256"/>
      <c r="H213" s="256"/>
      <c r="I213" s="256"/>
      <c r="J213" s="300"/>
      <c r="K213" s="376"/>
      <c r="L213" s="377"/>
    </row>
    <row r="214" spans="1:12" ht="14.25" customHeight="1">
      <c r="A214" s="1"/>
      <c r="B214" s="253"/>
      <c r="C214" s="259"/>
      <c r="D214" s="256"/>
      <c r="E214" s="256"/>
      <c r="F214" s="256"/>
      <c r="G214" s="256"/>
      <c r="H214" s="256"/>
      <c r="I214" s="256"/>
      <c r="J214" s="300"/>
      <c r="K214" s="376"/>
      <c r="L214" s="377"/>
    </row>
    <row r="215" spans="1:12" ht="14.25" customHeight="1">
      <c r="A215" s="1"/>
      <c r="B215" s="253"/>
      <c r="C215" s="256"/>
      <c r="D215" s="256"/>
      <c r="E215" s="256"/>
      <c r="F215" s="256"/>
      <c r="G215" s="256"/>
      <c r="H215" s="256"/>
      <c r="I215" s="256"/>
      <c r="J215" s="300"/>
      <c r="K215" s="376"/>
      <c r="L215" s="377"/>
    </row>
    <row r="216" spans="1:12" ht="14.25" customHeight="1">
      <c r="A216" s="1"/>
      <c r="B216" s="253"/>
      <c r="C216" s="259"/>
      <c r="D216" s="256"/>
      <c r="E216" s="256"/>
      <c r="F216" s="256"/>
      <c r="G216" s="256"/>
      <c r="H216" s="256"/>
      <c r="I216" s="256"/>
      <c r="J216" s="300"/>
      <c r="K216" s="376"/>
      <c r="L216" s="377"/>
    </row>
    <row r="217" spans="1:12" ht="14.25" customHeight="1">
      <c r="A217" s="1"/>
      <c r="B217" s="253"/>
      <c r="C217" s="281"/>
      <c r="D217" s="256"/>
      <c r="E217" s="256"/>
      <c r="F217" s="256"/>
      <c r="G217" s="256"/>
      <c r="H217" s="256"/>
      <c r="I217" s="256"/>
      <c r="J217" s="300"/>
      <c r="K217" s="376"/>
      <c r="L217" s="377"/>
    </row>
    <row r="218" spans="1:12" ht="14.25" customHeight="1">
      <c r="A218" s="619"/>
      <c r="B218" s="253"/>
      <c r="C218" s="259"/>
      <c r="D218" s="256"/>
      <c r="E218" s="256"/>
      <c r="F218" s="256"/>
      <c r="G218" s="256"/>
      <c r="H218" s="256"/>
      <c r="I218" s="256"/>
      <c r="J218" s="300"/>
      <c r="K218" s="376"/>
      <c r="L218" s="377"/>
    </row>
    <row r="219" spans="1:12" ht="14.25" customHeight="1">
      <c r="A219" s="619"/>
      <c r="B219" s="253"/>
      <c r="C219" s="259"/>
      <c r="D219" s="256"/>
      <c r="E219" s="256"/>
      <c r="F219" s="256"/>
      <c r="G219" s="256"/>
      <c r="H219" s="256"/>
      <c r="I219" s="256"/>
      <c r="J219" s="300"/>
      <c r="K219" s="376"/>
      <c r="L219" s="377"/>
    </row>
    <row r="220" spans="1:12" ht="14.25" customHeight="1">
      <c r="A220" s="619"/>
      <c r="B220" s="253"/>
      <c r="C220" s="259"/>
      <c r="D220" s="256"/>
      <c r="E220" s="256"/>
      <c r="F220" s="256"/>
      <c r="G220" s="256"/>
      <c r="H220" s="256"/>
      <c r="I220" s="256"/>
      <c r="J220" s="300"/>
      <c r="K220" s="376"/>
      <c r="L220" s="377"/>
    </row>
    <row r="221" spans="1:12" ht="14.25" customHeight="1">
      <c r="A221" s="619"/>
      <c r="B221" s="253"/>
      <c r="C221" s="259"/>
      <c r="D221" s="256"/>
      <c r="E221" s="256"/>
      <c r="F221" s="256"/>
      <c r="G221" s="256"/>
      <c r="H221" s="256"/>
      <c r="I221" s="256"/>
      <c r="J221" s="300"/>
      <c r="K221" s="376"/>
      <c r="L221" s="377"/>
    </row>
    <row r="222" spans="1:12" ht="14.25" customHeight="1">
      <c r="A222" s="619"/>
      <c r="B222" s="253"/>
      <c r="C222" s="259"/>
      <c r="D222" s="256"/>
      <c r="E222" s="256"/>
      <c r="F222" s="256"/>
      <c r="G222" s="256"/>
      <c r="H222" s="256"/>
      <c r="I222" s="256"/>
      <c r="J222" s="300"/>
      <c r="K222" s="376"/>
      <c r="L222" s="377"/>
    </row>
    <row r="223" spans="1:12" ht="14.25" customHeight="1">
      <c r="A223" s="619"/>
      <c r="B223" s="253"/>
      <c r="C223" s="259"/>
      <c r="D223" s="256"/>
      <c r="E223" s="256"/>
      <c r="F223" s="256"/>
      <c r="G223" s="256"/>
      <c r="H223" s="256"/>
      <c r="I223" s="256"/>
      <c r="J223" s="300"/>
      <c r="K223" s="376"/>
      <c r="L223" s="377"/>
    </row>
    <row r="224" spans="1:12" ht="14.25" customHeight="1">
      <c r="A224" s="619"/>
      <c r="B224" s="253"/>
      <c r="C224" s="259"/>
      <c r="D224" s="256"/>
      <c r="E224" s="256"/>
      <c r="F224" s="256"/>
      <c r="G224" s="256"/>
      <c r="H224" s="256"/>
      <c r="I224" s="256"/>
      <c r="J224" s="300"/>
      <c r="K224" s="376"/>
      <c r="L224" s="377"/>
    </row>
    <row r="225" spans="1:12" ht="14.25" customHeight="1">
      <c r="A225" s="619"/>
      <c r="B225" s="253"/>
      <c r="C225" s="259"/>
      <c r="D225" s="256"/>
      <c r="E225" s="256"/>
      <c r="F225" s="256"/>
      <c r="G225" s="256"/>
      <c r="H225" s="256"/>
      <c r="I225" s="256"/>
      <c r="J225" s="300"/>
      <c r="K225" s="515"/>
      <c r="L225" s="377"/>
    </row>
    <row r="226" spans="1:12" ht="14.25" customHeight="1">
      <c r="A226" s="619"/>
      <c r="B226" s="253"/>
      <c r="C226" s="259"/>
      <c r="D226" s="256"/>
      <c r="E226" s="256"/>
      <c r="F226" s="256"/>
      <c r="G226" s="256"/>
      <c r="H226" s="256"/>
      <c r="I226" s="256"/>
      <c r="J226" s="300"/>
      <c r="K226" s="515"/>
      <c r="L226" s="377"/>
    </row>
    <row r="227" spans="1:12" ht="14.25" customHeight="1">
      <c r="A227" s="619"/>
      <c r="B227" s="253"/>
      <c r="C227" s="259"/>
      <c r="D227" s="256"/>
      <c r="E227" s="256"/>
      <c r="F227" s="256"/>
      <c r="G227" s="256"/>
      <c r="H227" s="256"/>
      <c r="I227" s="256"/>
      <c r="J227" s="300"/>
      <c r="K227" s="515"/>
      <c r="L227" s="377"/>
    </row>
    <row r="228" spans="1:12" ht="14.25" customHeight="1">
      <c r="A228" s="619"/>
      <c r="B228" s="253"/>
      <c r="C228" s="259"/>
      <c r="D228" s="256"/>
      <c r="E228" s="256"/>
      <c r="F228" s="256"/>
      <c r="G228" s="256"/>
      <c r="H228" s="256"/>
      <c r="I228" s="256"/>
      <c r="J228" s="300"/>
      <c r="K228" s="515"/>
      <c r="L228" s="377"/>
    </row>
    <row r="229" spans="1:12" ht="14.25" customHeight="1">
      <c r="A229" s="619"/>
      <c r="B229" s="253"/>
      <c r="C229" s="259"/>
      <c r="D229" s="256"/>
      <c r="E229" s="256"/>
      <c r="F229" s="256"/>
      <c r="G229" s="256"/>
      <c r="H229" s="256"/>
      <c r="I229" s="256"/>
      <c r="J229" s="300"/>
      <c r="K229" s="515"/>
      <c r="L229" s="377"/>
    </row>
    <row r="230" spans="1:12" ht="14.25" customHeight="1">
      <c r="A230" s="619"/>
      <c r="B230" s="253"/>
      <c r="C230" s="259"/>
      <c r="D230" s="256"/>
      <c r="E230" s="256"/>
      <c r="F230" s="256"/>
      <c r="G230" s="256"/>
      <c r="H230" s="256"/>
      <c r="I230" s="256"/>
      <c r="J230" s="300"/>
      <c r="K230" s="515"/>
      <c r="L230" s="377"/>
    </row>
    <row r="231" spans="1:12" ht="14.25" customHeight="1">
      <c r="A231" s="619"/>
      <c r="B231" s="253"/>
      <c r="C231" s="259"/>
      <c r="D231" s="256"/>
      <c r="E231" s="256"/>
      <c r="F231" s="256"/>
      <c r="G231" s="256"/>
      <c r="H231" s="256"/>
      <c r="I231" s="256"/>
      <c r="J231" s="300"/>
      <c r="K231" s="515"/>
      <c r="L231" s="377"/>
    </row>
    <row r="232" spans="1:12" ht="14.25" customHeight="1">
      <c r="A232" s="619"/>
      <c r="B232" s="253"/>
      <c r="C232" s="259"/>
      <c r="D232" s="256"/>
      <c r="E232" s="256"/>
      <c r="F232" s="256"/>
      <c r="G232" s="256"/>
      <c r="H232" s="256"/>
      <c r="I232" s="256"/>
      <c r="J232" s="300"/>
      <c r="K232" s="376"/>
      <c r="L232" s="377"/>
    </row>
    <row r="233" spans="1:12" ht="14.25" customHeight="1">
      <c r="A233" s="619"/>
      <c r="B233" s="253"/>
      <c r="C233" s="259"/>
      <c r="D233" s="256"/>
      <c r="E233" s="256"/>
      <c r="F233" s="256"/>
      <c r="G233" s="256"/>
      <c r="H233" s="256"/>
      <c r="I233" s="256"/>
      <c r="J233" s="300"/>
      <c r="K233" s="376"/>
      <c r="L233" s="377"/>
    </row>
    <row r="234" spans="1:12" ht="14.25" customHeight="1">
      <c r="A234" s="1"/>
      <c r="B234" s="253"/>
      <c r="C234" s="259"/>
      <c r="D234" s="256"/>
      <c r="E234" s="256"/>
      <c r="F234" s="256"/>
      <c r="G234" s="256"/>
      <c r="H234" s="256"/>
      <c r="I234" s="256"/>
      <c r="J234" s="300"/>
      <c r="K234" s="376"/>
      <c r="L234" s="377"/>
    </row>
    <row r="235" spans="1:12" ht="14.25" customHeight="1">
      <c r="A235" s="619"/>
      <c r="B235" s="253"/>
      <c r="C235" s="259"/>
      <c r="D235" s="256"/>
      <c r="E235" s="256"/>
      <c r="F235" s="256"/>
      <c r="G235" s="256"/>
      <c r="H235" s="256"/>
      <c r="I235" s="256"/>
      <c r="J235" s="300"/>
      <c r="K235" s="376"/>
      <c r="L235" s="377"/>
    </row>
    <row r="236" spans="1:12" ht="14.25" customHeight="1">
      <c r="A236" s="619"/>
      <c r="B236" s="253"/>
      <c r="C236" s="259"/>
      <c r="D236" s="256"/>
      <c r="E236" s="256"/>
      <c r="F236" s="256"/>
      <c r="G236" s="256"/>
      <c r="H236" s="256"/>
      <c r="I236" s="256"/>
      <c r="J236" s="300"/>
      <c r="K236" s="376"/>
      <c r="L236" s="377"/>
    </row>
    <row r="237" spans="1:12" ht="14.25" customHeight="1">
      <c r="A237" s="619"/>
      <c r="B237" s="253"/>
      <c r="C237" s="259"/>
      <c r="D237" s="256"/>
      <c r="E237" s="256"/>
      <c r="F237" s="256"/>
      <c r="G237" s="256"/>
      <c r="H237" s="256"/>
      <c r="I237" s="256"/>
      <c r="J237" s="300"/>
      <c r="K237" s="376"/>
      <c r="L237" s="377"/>
    </row>
    <row r="238" spans="1:12" ht="14.25" customHeight="1">
      <c r="A238" s="619"/>
      <c r="B238" s="253"/>
      <c r="C238" s="259"/>
      <c r="D238" s="256"/>
      <c r="E238" s="256"/>
      <c r="F238" s="256"/>
      <c r="G238" s="256"/>
      <c r="H238" s="256"/>
      <c r="I238" s="256"/>
      <c r="J238" s="300"/>
      <c r="K238" s="376"/>
      <c r="L238" s="377"/>
    </row>
    <row r="239" spans="1:12" ht="14.25" customHeight="1">
      <c r="A239" s="619"/>
      <c r="B239" s="253"/>
      <c r="C239" s="259"/>
      <c r="D239" s="256"/>
      <c r="E239" s="256"/>
      <c r="F239" s="256"/>
      <c r="G239" s="256"/>
      <c r="H239" s="256"/>
      <c r="I239" s="256"/>
      <c r="J239" s="300"/>
      <c r="K239" s="376"/>
      <c r="L239" s="377"/>
    </row>
    <row r="240" spans="1:12" ht="14.25" customHeight="1">
      <c r="A240" s="619"/>
      <c r="B240" s="253"/>
      <c r="C240" s="259"/>
      <c r="D240" s="256"/>
      <c r="E240" s="256"/>
      <c r="F240" s="256"/>
      <c r="G240" s="256"/>
      <c r="H240" s="256"/>
      <c r="I240" s="256"/>
      <c r="J240" s="300"/>
      <c r="K240" s="376"/>
      <c r="L240" s="377"/>
    </row>
    <row r="241" spans="1:12" ht="14.25" customHeight="1">
      <c r="A241" s="619"/>
      <c r="B241" s="253"/>
      <c r="C241" s="259"/>
      <c r="D241" s="256"/>
      <c r="E241" s="256"/>
      <c r="F241" s="256"/>
      <c r="G241" s="256"/>
      <c r="H241" s="256"/>
      <c r="I241" s="256"/>
      <c r="J241" s="300"/>
      <c r="K241" s="376"/>
      <c r="L241" s="377"/>
    </row>
    <row r="242" spans="1:12" ht="14.25" customHeight="1">
      <c r="A242" s="619"/>
      <c r="B242" s="253"/>
      <c r="C242" s="259"/>
      <c r="D242" s="256"/>
      <c r="E242" s="256"/>
      <c r="F242" s="256"/>
      <c r="G242" s="256"/>
      <c r="H242" s="256"/>
      <c r="I242" s="256"/>
      <c r="J242" s="300"/>
      <c r="K242" s="376"/>
      <c r="L242" s="377"/>
    </row>
    <row r="243" spans="1:12" ht="14.25" customHeight="1">
      <c r="A243" s="619"/>
      <c r="B243" s="253"/>
      <c r="C243" s="259"/>
      <c r="D243" s="256"/>
      <c r="E243" s="256"/>
      <c r="F243" s="256"/>
      <c r="G243" s="256"/>
      <c r="H243" s="256"/>
      <c r="I243" s="256"/>
      <c r="J243" s="300"/>
      <c r="K243" s="376"/>
      <c r="L243" s="377"/>
    </row>
    <row r="244" spans="1:12" ht="14.25" customHeight="1">
      <c r="A244" s="619"/>
      <c r="B244" s="253"/>
      <c r="C244" s="259"/>
      <c r="D244" s="256"/>
      <c r="E244" s="256"/>
      <c r="F244" s="256"/>
      <c r="G244" s="256"/>
      <c r="H244" s="256"/>
      <c r="I244" s="256"/>
      <c r="J244" s="300"/>
      <c r="K244" s="376"/>
      <c r="L244" s="377"/>
    </row>
    <row r="245" spans="1:12" ht="14.25" customHeight="1">
      <c r="A245" s="619"/>
      <c r="B245" s="253"/>
      <c r="C245" s="259"/>
      <c r="D245" s="256"/>
      <c r="E245" s="256"/>
      <c r="F245" s="256"/>
      <c r="G245" s="256"/>
      <c r="H245" s="256"/>
      <c r="I245" s="256"/>
      <c r="J245" s="300"/>
      <c r="K245" s="376"/>
      <c r="L245" s="377"/>
    </row>
    <row r="246" spans="1:12" ht="14.25" customHeight="1">
      <c r="A246" s="619"/>
      <c r="B246" s="253"/>
      <c r="C246" s="259"/>
      <c r="D246" s="256"/>
      <c r="E246" s="256"/>
      <c r="F246" s="256"/>
      <c r="G246" s="256"/>
      <c r="H246" s="256"/>
      <c r="I246" s="256"/>
      <c r="J246" s="300"/>
      <c r="K246" s="376"/>
      <c r="L246" s="377"/>
    </row>
    <row r="247" spans="1:12" ht="14.25" customHeight="1">
      <c r="A247" s="619"/>
      <c r="B247" s="253"/>
      <c r="C247" s="259"/>
      <c r="D247" s="256"/>
      <c r="E247" s="256"/>
      <c r="F247" s="256"/>
      <c r="G247" s="256"/>
      <c r="H247" s="256"/>
      <c r="I247" s="256"/>
      <c r="J247" s="300"/>
      <c r="K247" s="376"/>
      <c r="L247" s="377"/>
    </row>
    <row r="248" spans="1:12" ht="14.25" customHeight="1">
      <c r="A248" s="619"/>
      <c r="B248" s="253"/>
      <c r="C248" s="259"/>
      <c r="D248" s="256"/>
      <c r="E248" s="256"/>
      <c r="F248" s="256"/>
      <c r="G248" s="256"/>
      <c r="H248" s="256"/>
      <c r="I248" s="256"/>
      <c r="J248" s="300"/>
      <c r="K248" s="376"/>
      <c r="L248" s="377"/>
    </row>
    <row r="249" spans="1:12" ht="14.25" customHeight="1">
      <c r="A249" s="619"/>
      <c r="B249" s="253"/>
      <c r="C249" s="259"/>
      <c r="D249" s="256"/>
      <c r="E249" s="256"/>
      <c r="F249" s="256"/>
      <c r="G249" s="256"/>
      <c r="H249" s="256"/>
      <c r="I249" s="256"/>
      <c r="J249" s="300"/>
      <c r="K249" s="376"/>
      <c r="L249" s="377"/>
    </row>
    <row r="250" spans="1:12" ht="14.25" customHeight="1">
      <c r="A250" s="619"/>
      <c r="B250" s="253"/>
      <c r="C250" s="259"/>
      <c r="D250" s="256"/>
      <c r="E250" s="256"/>
      <c r="F250" s="256"/>
      <c r="G250" s="256"/>
      <c r="H250" s="256"/>
      <c r="I250" s="256"/>
      <c r="J250" s="300"/>
      <c r="K250" s="376"/>
      <c r="L250" s="377"/>
    </row>
    <row r="251" spans="1:12" ht="14.25" customHeight="1">
      <c r="A251" s="619"/>
      <c r="B251" s="253"/>
      <c r="C251" s="259"/>
      <c r="D251" s="256"/>
      <c r="E251" s="256"/>
      <c r="F251" s="256"/>
      <c r="G251" s="256"/>
      <c r="H251" s="256"/>
      <c r="I251" s="256"/>
      <c r="J251" s="300"/>
      <c r="K251" s="376"/>
      <c r="L251" s="377"/>
    </row>
    <row r="252" spans="1:12" ht="14.25" customHeight="1">
      <c r="A252" s="619"/>
      <c r="B252" s="253"/>
      <c r="C252" s="259"/>
      <c r="D252" s="256"/>
      <c r="E252" s="256"/>
      <c r="F252" s="256"/>
      <c r="G252" s="256"/>
      <c r="H252" s="256"/>
      <c r="I252" s="256"/>
      <c r="J252" s="300"/>
      <c r="K252" s="376"/>
      <c r="L252" s="377"/>
    </row>
    <row r="253" spans="1:12" ht="14.25" customHeight="1">
      <c r="A253" s="619"/>
      <c r="B253" s="253"/>
      <c r="C253" s="259"/>
      <c r="D253" s="256"/>
      <c r="E253" s="256"/>
      <c r="F253" s="256"/>
      <c r="G253" s="256"/>
      <c r="H253" s="256"/>
      <c r="I253" s="256"/>
      <c r="J253" s="300"/>
      <c r="K253" s="376"/>
      <c r="L253" s="377"/>
    </row>
    <row r="254" spans="1:12" ht="14.25" customHeight="1">
      <c r="A254" s="619"/>
      <c r="B254" s="253"/>
      <c r="C254" s="259"/>
      <c r="D254" s="256"/>
      <c r="E254" s="256"/>
      <c r="F254" s="256"/>
      <c r="G254" s="256"/>
      <c r="H254" s="256"/>
      <c r="I254" s="256"/>
      <c r="J254" s="300"/>
      <c r="K254" s="376"/>
      <c r="L254" s="377"/>
    </row>
    <row r="255" spans="1:12" ht="14.25" customHeight="1">
      <c r="A255" s="619"/>
      <c r="B255" s="253"/>
      <c r="C255" s="259"/>
      <c r="D255" s="256"/>
      <c r="E255" s="256"/>
      <c r="F255" s="256"/>
      <c r="G255" s="256"/>
      <c r="H255" s="256"/>
      <c r="I255" s="256"/>
      <c r="J255" s="300"/>
      <c r="K255" s="376"/>
      <c r="L255" s="377"/>
    </row>
    <row r="256" spans="1:12" ht="14.25" customHeight="1">
      <c r="A256" s="619"/>
      <c r="B256" s="253"/>
      <c r="C256" s="259"/>
      <c r="D256" s="256"/>
      <c r="E256" s="256"/>
      <c r="F256" s="256"/>
      <c r="G256" s="256"/>
      <c r="H256" s="256"/>
      <c r="I256" s="256"/>
      <c r="J256" s="300"/>
      <c r="K256" s="376"/>
      <c r="L256" s="377"/>
    </row>
    <row r="257" spans="1:12" ht="14.25" customHeight="1">
      <c r="A257" s="619"/>
      <c r="B257" s="253"/>
      <c r="C257" s="259"/>
      <c r="D257" s="256"/>
      <c r="E257" s="256"/>
      <c r="F257" s="256"/>
      <c r="G257" s="256"/>
      <c r="H257" s="256"/>
      <c r="I257" s="256"/>
      <c r="J257" s="300"/>
      <c r="K257" s="376"/>
      <c r="L257" s="377"/>
    </row>
    <row r="258" spans="1:12" ht="14.25" customHeight="1">
      <c r="A258" s="619"/>
      <c r="B258" s="253"/>
      <c r="C258" s="259"/>
      <c r="D258" s="256"/>
      <c r="E258" s="256"/>
      <c r="F258" s="256"/>
      <c r="G258" s="256"/>
      <c r="H258" s="256"/>
      <c r="I258" s="256"/>
      <c r="J258" s="300"/>
      <c r="K258" s="376"/>
      <c r="L258" s="377"/>
    </row>
    <row r="259" spans="1:12" ht="14.25" customHeight="1">
      <c r="A259" s="619"/>
      <c r="B259" s="253"/>
      <c r="C259" s="319"/>
      <c r="D259" s="256"/>
      <c r="E259" s="256"/>
      <c r="F259" s="256"/>
      <c r="G259" s="256"/>
      <c r="H259" s="256"/>
      <c r="I259" s="256"/>
      <c r="J259" s="300"/>
      <c r="K259" s="376"/>
      <c r="L259" s="377"/>
    </row>
    <row r="260" spans="1:12" ht="14.25" customHeight="1">
      <c r="A260" s="619"/>
      <c r="B260" s="253"/>
      <c r="C260" s="259"/>
      <c r="D260" s="256"/>
      <c r="E260" s="256"/>
      <c r="F260" s="256"/>
      <c r="G260" s="256"/>
      <c r="H260" s="256"/>
      <c r="I260" s="256"/>
      <c r="J260" s="300"/>
      <c r="K260" s="376"/>
      <c r="L260" s="377"/>
    </row>
    <row r="261" spans="1:12" ht="14.25" customHeight="1">
      <c r="A261" s="619"/>
      <c r="B261" s="253"/>
      <c r="C261" s="378"/>
      <c r="D261" s="388"/>
      <c r="E261" s="388"/>
      <c r="F261" s="388"/>
      <c r="G261" s="388"/>
      <c r="H261" s="388"/>
      <c r="I261" s="388"/>
      <c r="J261" s="513"/>
      <c r="K261" s="258"/>
      <c r="L261" s="377"/>
    </row>
    <row r="262" spans="1:12" ht="21" customHeight="1">
      <c r="A262" s="619"/>
      <c r="B262" s="253"/>
      <c r="C262" s="516" t="s">
        <v>301</v>
      </c>
      <c r="D262" s="256"/>
      <c r="E262" s="256"/>
      <c r="F262" s="256"/>
      <c r="G262" s="256"/>
      <c r="H262" s="256"/>
      <c r="I262" s="256"/>
      <c r="J262" s="300"/>
      <c r="K262" s="376"/>
      <c r="L262" s="377"/>
    </row>
    <row r="263" spans="1:12" ht="21" customHeight="1">
      <c r="A263" s="619"/>
      <c r="B263" s="253"/>
      <c r="C263" s="516"/>
      <c r="D263" s="256"/>
      <c r="E263" s="256"/>
      <c r="F263" s="256"/>
      <c r="G263" s="256"/>
      <c r="H263" s="256"/>
      <c r="I263" s="256"/>
      <c r="J263" s="300"/>
      <c r="K263" s="376"/>
      <c r="L263" s="377"/>
    </row>
    <row r="264" spans="1:12" ht="21" customHeight="1">
      <c r="A264" s="619"/>
      <c r="B264" s="253"/>
      <c r="C264" s="516"/>
      <c r="D264" s="256"/>
      <c r="E264" s="256"/>
      <c r="F264" s="256"/>
      <c r="G264" s="256"/>
      <c r="H264" s="256"/>
      <c r="I264" s="256"/>
      <c r="J264" s="300"/>
      <c r="K264" s="376"/>
      <c r="L264" s="377"/>
    </row>
    <row r="265" spans="1:12" ht="21" customHeight="1">
      <c r="A265" s="619"/>
      <c r="B265" s="253"/>
      <c r="C265" s="516"/>
      <c r="D265" s="256"/>
      <c r="E265" s="256"/>
      <c r="F265" s="256"/>
      <c r="G265" s="256"/>
      <c r="H265" s="256"/>
      <c r="I265" s="256"/>
      <c r="J265" s="300"/>
      <c r="K265" s="376"/>
      <c r="L265" s="377"/>
    </row>
    <row r="266" spans="1:12" ht="21" customHeight="1">
      <c r="A266" s="619"/>
      <c r="B266" s="253"/>
      <c r="C266" s="516"/>
      <c r="D266" s="256"/>
      <c r="E266" s="256"/>
      <c r="F266" s="256"/>
      <c r="G266" s="256"/>
      <c r="H266" s="256"/>
      <c r="I266" s="256"/>
      <c r="J266" s="300"/>
      <c r="K266" s="376"/>
      <c r="L266" s="377"/>
    </row>
    <row r="267" spans="1:12" ht="21" customHeight="1">
      <c r="A267" s="619"/>
      <c r="B267" s="253"/>
      <c r="C267" s="516"/>
      <c r="D267" s="256"/>
      <c r="E267" s="256"/>
      <c r="F267" s="256"/>
      <c r="G267" s="256"/>
      <c r="H267" s="256"/>
      <c r="I267" s="256"/>
      <c r="J267" s="300"/>
      <c r="K267" s="376"/>
      <c r="L267" s="377"/>
    </row>
    <row r="268" spans="1:12" ht="21" customHeight="1">
      <c r="A268" s="619"/>
      <c r="B268" s="253"/>
      <c r="C268" s="516"/>
      <c r="D268" s="256"/>
      <c r="E268" s="256"/>
      <c r="F268" s="256"/>
      <c r="G268" s="256"/>
      <c r="H268" s="256"/>
      <c r="I268" s="256"/>
      <c r="J268" s="300"/>
      <c r="K268" s="376"/>
      <c r="L268" s="377"/>
    </row>
    <row r="269" spans="1:12" ht="21" customHeight="1">
      <c r="A269" s="619"/>
      <c r="B269" s="253"/>
      <c r="C269" s="516"/>
      <c r="D269" s="256"/>
      <c r="E269" s="256"/>
      <c r="F269" s="256"/>
      <c r="G269" s="256"/>
      <c r="H269" s="256"/>
      <c r="I269" s="256"/>
      <c r="J269" s="300"/>
      <c r="K269" s="376"/>
      <c r="L269" s="377"/>
    </row>
    <row r="270" spans="1:12" ht="21" customHeight="1">
      <c r="A270" s="619"/>
      <c r="B270" s="253"/>
      <c r="C270" s="516"/>
      <c r="D270" s="256"/>
      <c r="E270" s="256"/>
      <c r="F270" s="256"/>
      <c r="G270" s="256"/>
      <c r="H270" s="256"/>
      <c r="I270" s="256"/>
      <c r="J270" s="300"/>
      <c r="K270" s="376"/>
      <c r="L270" s="377"/>
    </row>
    <row r="271" spans="1:12" ht="21" customHeight="1">
      <c r="A271" s="619"/>
      <c r="B271" s="253"/>
      <c r="C271" s="516"/>
      <c r="D271" s="256"/>
      <c r="E271" s="256"/>
      <c r="F271" s="256"/>
      <c r="G271" s="256"/>
      <c r="H271" s="256"/>
      <c r="I271" s="256"/>
      <c r="J271" s="300"/>
      <c r="K271" s="376"/>
      <c r="L271" s="377"/>
    </row>
    <row r="272" spans="1:12" ht="21" customHeight="1">
      <c r="A272" s="619"/>
      <c r="B272" s="253"/>
      <c r="C272" s="516"/>
      <c r="D272" s="256"/>
      <c r="E272" s="256"/>
      <c r="F272" s="256"/>
      <c r="G272" s="256"/>
      <c r="H272" s="256"/>
      <c r="I272" s="256"/>
      <c r="J272" s="300"/>
      <c r="K272" s="376"/>
      <c r="L272" s="377"/>
    </row>
    <row r="273" spans="1:12" ht="21" customHeight="1">
      <c r="A273" s="619"/>
      <c r="B273" s="253"/>
      <c r="C273" s="516"/>
      <c r="D273" s="256"/>
      <c r="E273" s="256"/>
      <c r="F273" s="256"/>
      <c r="G273" s="256"/>
      <c r="H273" s="256"/>
      <c r="I273" s="256"/>
      <c r="J273" s="300"/>
      <c r="K273" s="376"/>
      <c r="L273" s="377"/>
    </row>
    <row r="274" spans="1:12" ht="21" customHeight="1">
      <c r="A274" s="619"/>
      <c r="B274" s="253"/>
      <c r="C274" s="516"/>
      <c r="D274" s="256"/>
      <c r="E274" s="256"/>
      <c r="F274" s="256"/>
      <c r="G274" s="256"/>
      <c r="H274" s="256"/>
      <c r="I274" s="256"/>
      <c r="J274" s="300"/>
      <c r="K274" s="376"/>
      <c r="L274" s="377"/>
    </row>
    <row r="275" spans="1:12" ht="21" customHeight="1">
      <c r="A275" s="619"/>
      <c r="B275" s="253"/>
      <c r="C275" s="516"/>
      <c r="D275" s="256"/>
      <c r="E275" s="256"/>
      <c r="F275" s="256"/>
      <c r="G275" s="256"/>
      <c r="H275" s="256"/>
      <c r="I275" s="256"/>
      <c r="J275" s="300"/>
      <c r="K275" s="376"/>
      <c r="L275" s="377"/>
    </row>
    <row r="276" spans="1:12" ht="21" customHeight="1">
      <c r="A276" s="619"/>
      <c r="B276" s="253"/>
      <c r="C276" s="516"/>
      <c r="D276" s="256"/>
      <c r="E276" s="256"/>
      <c r="F276" s="256"/>
      <c r="G276" s="256"/>
      <c r="H276" s="256"/>
      <c r="I276" s="256"/>
      <c r="J276" s="300"/>
      <c r="K276" s="376"/>
      <c r="L276" s="377"/>
    </row>
    <row r="277" spans="1:12" ht="21" customHeight="1">
      <c r="A277" s="619"/>
      <c r="B277" s="253"/>
      <c r="C277" s="516"/>
      <c r="D277" s="256"/>
      <c r="E277" s="256"/>
      <c r="F277" s="256"/>
      <c r="G277" s="256"/>
      <c r="H277" s="256"/>
      <c r="I277" s="256"/>
      <c r="J277" s="300"/>
      <c r="K277" s="376"/>
      <c r="L277" s="377"/>
    </row>
    <row r="278" spans="1:12" ht="21" customHeight="1">
      <c r="A278" s="619"/>
      <c r="B278" s="253"/>
      <c r="C278" s="516"/>
      <c r="D278" s="256"/>
      <c r="E278" s="256"/>
      <c r="F278" s="256"/>
      <c r="G278" s="256"/>
      <c r="H278" s="256"/>
      <c r="I278" s="256"/>
      <c r="J278" s="300"/>
      <c r="K278" s="376"/>
      <c r="L278" s="377"/>
    </row>
    <row r="279" spans="1:12" ht="21" customHeight="1">
      <c r="A279" s="619"/>
      <c r="B279" s="253"/>
      <c r="C279" s="516"/>
      <c r="D279" s="256"/>
      <c r="E279" s="256"/>
      <c r="F279" s="256"/>
      <c r="G279" s="256"/>
      <c r="H279" s="256"/>
      <c r="I279" s="256"/>
      <c r="J279" s="300"/>
      <c r="K279" s="376"/>
      <c r="L279" s="377"/>
    </row>
    <row r="280" spans="1:12" ht="21" customHeight="1">
      <c r="A280" s="619"/>
      <c r="B280" s="253"/>
      <c r="C280" s="516"/>
      <c r="D280" s="256"/>
      <c r="E280" s="256"/>
      <c r="F280" s="256"/>
      <c r="G280" s="256"/>
      <c r="H280" s="256"/>
      <c r="I280" s="256"/>
      <c r="J280" s="300"/>
      <c r="K280" s="376"/>
      <c r="L280" s="377"/>
    </row>
    <row r="281" spans="1:12" ht="21" customHeight="1">
      <c r="A281" s="619"/>
      <c r="B281" s="253"/>
      <c r="C281" s="516"/>
      <c r="D281" s="256"/>
      <c r="E281" s="256"/>
      <c r="F281" s="256"/>
      <c r="G281" s="256"/>
      <c r="H281" s="256"/>
      <c r="I281" s="256"/>
      <c r="J281" s="300"/>
      <c r="K281" s="376"/>
      <c r="L281" s="377"/>
    </row>
    <row r="282" spans="1:12" ht="21" customHeight="1">
      <c r="A282" s="619"/>
      <c r="B282" s="253"/>
      <c r="C282" s="516"/>
      <c r="D282" s="256"/>
      <c r="E282" s="256"/>
      <c r="F282" s="256"/>
      <c r="G282" s="256"/>
      <c r="H282" s="256"/>
      <c r="I282" s="256"/>
      <c r="J282" s="300"/>
      <c r="K282" s="376"/>
      <c r="L282" s="377"/>
    </row>
    <row r="283" spans="1:12" ht="21" customHeight="1">
      <c r="A283" s="619"/>
      <c r="B283" s="253"/>
      <c r="C283" s="516"/>
      <c r="D283" s="256"/>
      <c r="E283" s="256"/>
      <c r="F283" s="256"/>
      <c r="G283" s="256"/>
      <c r="H283" s="256"/>
      <c r="I283" s="256"/>
      <c r="J283" s="300"/>
      <c r="K283" s="376"/>
      <c r="L283" s="377"/>
    </row>
    <row r="284" spans="1:12" ht="21" customHeight="1">
      <c r="A284" s="619"/>
      <c r="B284" s="253"/>
      <c r="C284" s="516"/>
      <c r="D284" s="256"/>
      <c r="E284" s="256"/>
      <c r="F284" s="256"/>
      <c r="G284" s="256"/>
      <c r="H284" s="256"/>
      <c r="I284" s="256"/>
      <c r="J284" s="300"/>
      <c r="K284" s="376"/>
      <c r="L284" s="377"/>
    </row>
    <row r="285" spans="1:12" ht="21" customHeight="1">
      <c r="A285" s="619"/>
      <c r="B285" s="253"/>
      <c r="C285" s="516"/>
      <c r="D285" s="256"/>
      <c r="E285" s="256"/>
      <c r="F285" s="256"/>
      <c r="G285" s="256"/>
      <c r="H285" s="256"/>
      <c r="I285" s="256"/>
      <c r="J285" s="300"/>
      <c r="K285" s="376"/>
      <c r="L285" s="377"/>
    </row>
    <row r="286" spans="1:12" ht="21" customHeight="1">
      <c r="A286" s="619"/>
      <c r="B286" s="253"/>
      <c r="C286" s="516"/>
      <c r="D286" s="256"/>
      <c r="E286" s="256"/>
      <c r="F286" s="256"/>
      <c r="G286" s="256"/>
      <c r="H286" s="256"/>
      <c r="I286" s="256"/>
      <c r="J286" s="300"/>
      <c r="K286" s="376"/>
      <c r="L286" s="377"/>
    </row>
    <row r="287" spans="1:12" ht="21" customHeight="1">
      <c r="A287" s="619"/>
      <c r="B287" s="253"/>
      <c r="C287" s="516"/>
      <c r="D287" s="256"/>
      <c r="E287" s="256"/>
      <c r="F287" s="256"/>
      <c r="G287" s="256"/>
      <c r="H287" s="256"/>
      <c r="I287" s="256"/>
      <c r="J287" s="300"/>
      <c r="K287" s="376"/>
      <c r="L287" s="377"/>
    </row>
    <row r="288" spans="1:12" ht="21" customHeight="1">
      <c r="A288" s="619"/>
      <c r="B288" s="253"/>
      <c r="C288" s="516"/>
      <c r="D288" s="256"/>
      <c r="E288" s="256"/>
      <c r="F288" s="256"/>
      <c r="G288" s="256"/>
      <c r="H288" s="256"/>
      <c r="I288" s="256"/>
      <c r="J288" s="300"/>
      <c r="K288" s="376"/>
      <c r="L288" s="377"/>
    </row>
    <row r="289" spans="1:12" ht="21" customHeight="1">
      <c r="A289" s="619"/>
      <c r="B289" s="253"/>
      <c r="C289" s="516"/>
      <c r="D289" s="256"/>
      <c r="E289" s="256"/>
      <c r="F289" s="256"/>
      <c r="G289" s="256"/>
      <c r="H289" s="256"/>
      <c r="I289" s="256"/>
      <c r="J289" s="300"/>
      <c r="K289" s="376"/>
      <c r="L289" s="377"/>
    </row>
    <row r="290" spans="1:12" ht="21" customHeight="1">
      <c r="A290" s="619"/>
      <c r="B290" s="253"/>
      <c r="C290" s="516"/>
      <c r="D290" s="256"/>
      <c r="E290" s="256"/>
      <c r="F290" s="256"/>
      <c r="G290" s="256"/>
      <c r="H290" s="256"/>
      <c r="I290" s="256"/>
      <c r="J290" s="300"/>
      <c r="K290" s="376"/>
      <c r="L290" s="377"/>
    </row>
    <row r="291" spans="1:12" ht="21" customHeight="1">
      <c r="A291" s="619"/>
      <c r="B291" s="253"/>
      <c r="C291" s="516"/>
      <c r="D291" s="256"/>
      <c r="E291" s="256"/>
      <c r="F291" s="256"/>
      <c r="G291" s="256"/>
      <c r="H291" s="256"/>
      <c r="I291" s="256"/>
      <c r="J291" s="300"/>
      <c r="K291" s="376"/>
      <c r="L291" s="377"/>
    </row>
    <row r="292" spans="1:12" ht="21" customHeight="1">
      <c r="A292" s="619"/>
      <c r="B292" s="253"/>
      <c r="C292" s="516"/>
      <c r="D292" s="256"/>
      <c r="E292" s="256"/>
      <c r="F292" s="256"/>
      <c r="G292" s="256"/>
      <c r="H292" s="256"/>
      <c r="I292" s="256"/>
      <c r="J292" s="300"/>
      <c r="K292" s="376"/>
      <c r="L292" s="377"/>
    </row>
    <row r="293" spans="1:12" ht="21" customHeight="1">
      <c r="A293" s="619"/>
      <c r="B293" s="253"/>
      <c r="C293" s="516"/>
      <c r="D293" s="256"/>
      <c r="E293" s="256"/>
      <c r="F293" s="256"/>
      <c r="G293" s="256"/>
      <c r="H293" s="256"/>
      <c r="I293" s="256"/>
      <c r="J293" s="300"/>
      <c r="K293" s="376"/>
      <c r="L293" s="377"/>
    </row>
    <row r="294" spans="1:12" ht="21" customHeight="1">
      <c r="A294" s="619"/>
      <c r="B294" s="253"/>
      <c r="C294" s="516"/>
      <c r="D294" s="256"/>
      <c r="E294" s="256"/>
      <c r="F294" s="256"/>
      <c r="G294" s="256"/>
      <c r="H294" s="256"/>
      <c r="I294" s="256"/>
      <c r="J294" s="300"/>
      <c r="K294" s="376"/>
      <c r="L294" s="377"/>
    </row>
    <row r="295" spans="1:12" ht="21" customHeight="1">
      <c r="A295" s="619"/>
      <c r="B295" s="253"/>
      <c r="C295" s="516"/>
      <c r="D295" s="256"/>
      <c r="E295" s="256"/>
      <c r="F295" s="256"/>
      <c r="G295" s="256"/>
      <c r="H295" s="256"/>
      <c r="I295" s="256"/>
      <c r="J295" s="300"/>
      <c r="K295" s="376"/>
      <c r="L295" s="377"/>
    </row>
    <row r="296" spans="1:12" ht="21" customHeight="1">
      <c r="A296" s="619"/>
      <c r="B296" s="253"/>
      <c r="C296" s="516"/>
      <c r="D296" s="256"/>
      <c r="E296" s="256"/>
      <c r="F296" s="256"/>
      <c r="G296" s="256"/>
      <c r="H296" s="256"/>
      <c r="I296" s="256"/>
      <c r="J296" s="300"/>
      <c r="K296" s="376"/>
      <c r="L296" s="377"/>
    </row>
    <row r="297" spans="1:12" ht="21" customHeight="1">
      <c r="A297" s="619"/>
      <c r="B297" s="253"/>
      <c r="C297" s="516"/>
      <c r="D297" s="256"/>
      <c r="E297" s="256"/>
      <c r="F297" s="256"/>
      <c r="G297" s="256"/>
      <c r="H297" s="256"/>
      <c r="I297" s="256"/>
      <c r="J297" s="300"/>
      <c r="K297" s="376"/>
      <c r="L297" s="377"/>
    </row>
    <row r="298" spans="1:12" ht="21" customHeight="1">
      <c r="A298" s="619"/>
      <c r="B298" s="253"/>
      <c r="C298" s="516"/>
      <c r="D298" s="256"/>
      <c r="E298" s="256"/>
      <c r="F298" s="256"/>
      <c r="G298" s="256"/>
      <c r="H298" s="256"/>
      <c r="I298" s="256"/>
      <c r="J298" s="300"/>
      <c r="K298" s="376"/>
      <c r="L298" s="377"/>
    </row>
    <row r="299" spans="1:12" ht="21" customHeight="1">
      <c r="A299" s="619"/>
      <c r="B299" s="253"/>
      <c r="C299" s="516"/>
      <c r="D299" s="256"/>
      <c r="E299" s="256"/>
      <c r="F299" s="256"/>
      <c r="G299" s="256"/>
      <c r="H299" s="256"/>
      <c r="I299" s="256"/>
      <c r="J299" s="300"/>
      <c r="K299" s="376"/>
      <c r="L299" s="377"/>
    </row>
    <row r="300" spans="1:12" ht="21" customHeight="1">
      <c r="A300" s="619"/>
      <c r="B300" s="253"/>
      <c r="C300" s="516"/>
      <c r="D300" s="256"/>
      <c r="E300" s="256"/>
      <c r="F300" s="256"/>
      <c r="G300" s="256"/>
      <c r="H300" s="256"/>
      <c r="I300" s="256"/>
      <c r="J300" s="300"/>
      <c r="K300" s="376"/>
      <c r="L300" s="377"/>
    </row>
    <row r="301" spans="1:12" ht="21" customHeight="1">
      <c r="A301" s="619"/>
      <c r="B301" s="253"/>
      <c r="C301" s="516"/>
      <c r="D301" s="256"/>
      <c r="E301" s="256"/>
      <c r="F301" s="256"/>
      <c r="G301" s="256"/>
      <c r="H301" s="256"/>
      <c r="I301" s="256"/>
      <c r="J301" s="300"/>
      <c r="K301" s="376"/>
      <c r="L301" s="377"/>
    </row>
    <row r="302" spans="1:12" ht="21" customHeight="1">
      <c r="A302" s="619"/>
      <c r="B302" s="253"/>
      <c r="C302" s="516"/>
      <c r="D302" s="256"/>
      <c r="E302" s="256"/>
      <c r="F302" s="256"/>
      <c r="G302" s="256"/>
      <c r="H302" s="256"/>
      <c r="I302" s="256"/>
      <c r="J302" s="300"/>
      <c r="K302" s="376"/>
      <c r="L302" s="377"/>
    </row>
    <row r="303" spans="1:12" ht="21" customHeight="1">
      <c r="A303" s="619"/>
      <c r="B303" s="253"/>
      <c r="C303" s="516"/>
      <c r="D303" s="256"/>
      <c r="E303" s="256"/>
      <c r="F303" s="256"/>
      <c r="G303" s="256"/>
      <c r="H303" s="256"/>
      <c r="I303" s="256"/>
      <c r="J303" s="300"/>
      <c r="K303" s="376"/>
      <c r="L303" s="377"/>
    </row>
    <row r="304" spans="1:12" ht="21" customHeight="1">
      <c r="A304" s="619"/>
      <c r="B304" s="253"/>
      <c r="C304" s="516"/>
      <c r="D304" s="256"/>
      <c r="E304" s="256"/>
      <c r="F304" s="256"/>
      <c r="G304" s="256"/>
      <c r="H304" s="256"/>
      <c r="I304" s="256"/>
      <c r="J304" s="300"/>
      <c r="K304" s="376"/>
      <c r="L304" s="377"/>
    </row>
    <row r="305" spans="1:12" ht="21" customHeight="1">
      <c r="A305" s="619"/>
      <c r="B305" s="253"/>
      <c r="C305" s="516"/>
      <c r="D305" s="256"/>
      <c r="E305" s="256"/>
      <c r="F305" s="256"/>
      <c r="G305" s="256"/>
      <c r="H305" s="256"/>
      <c r="I305" s="256"/>
      <c r="J305" s="300"/>
      <c r="K305" s="376"/>
      <c r="L305" s="377"/>
    </row>
    <row r="306" spans="1:12" ht="21" customHeight="1">
      <c r="A306" s="619"/>
      <c r="B306" s="253"/>
      <c r="C306" s="516"/>
      <c r="D306" s="256"/>
      <c r="E306" s="256"/>
      <c r="F306" s="256"/>
      <c r="G306" s="256"/>
      <c r="H306" s="256"/>
      <c r="I306" s="256"/>
      <c r="J306" s="300"/>
      <c r="K306" s="376"/>
      <c r="L306" s="377"/>
    </row>
    <row r="307" spans="1:12" ht="21" customHeight="1">
      <c r="A307" s="619"/>
      <c r="B307" s="253"/>
      <c r="C307" s="516"/>
      <c r="D307" s="256"/>
      <c r="E307" s="256"/>
      <c r="F307" s="256"/>
      <c r="G307" s="256"/>
      <c r="H307" s="256"/>
      <c r="I307" s="256"/>
      <c r="J307" s="300"/>
      <c r="K307" s="376"/>
      <c r="L307" s="377"/>
    </row>
    <row r="308" spans="1:12" ht="21" customHeight="1">
      <c r="A308" s="619"/>
      <c r="B308" s="253"/>
      <c r="C308" s="516"/>
      <c r="D308" s="256"/>
      <c r="E308" s="256"/>
      <c r="F308" s="256"/>
      <c r="G308" s="256"/>
      <c r="H308" s="256"/>
      <c r="I308" s="256"/>
      <c r="J308" s="300"/>
      <c r="K308" s="376"/>
      <c r="L308" s="377"/>
    </row>
    <row r="309" spans="1:12" ht="21" customHeight="1">
      <c r="A309" s="619"/>
      <c r="B309" s="253"/>
      <c r="C309" s="516"/>
      <c r="D309" s="256"/>
      <c r="E309" s="256"/>
      <c r="F309" s="256"/>
      <c r="G309" s="256"/>
      <c r="H309" s="256"/>
      <c r="I309" s="256"/>
      <c r="J309" s="300"/>
      <c r="K309" s="376"/>
      <c r="L309" s="377"/>
    </row>
    <row r="310" spans="1:12" ht="21" customHeight="1">
      <c r="A310" s="619"/>
      <c r="B310" s="253"/>
      <c r="C310" s="516"/>
      <c r="D310" s="256"/>
      <c r="E310" s="256"/>
      <c r="F310" s="256"/>
      <c r="G310" s="256"/>
      <c r="H310" s="256"/>
      <c r="I310" s="256"/>
      <c r="J310" s="300"/>
      <c r="K310" s="376"/>
      <c r="L310" s="377"/>
    </row>
    <row r="311" spans="1:12" ht="21" customHeight="1">
      <c r="A311" s="619"/>
      <c r="B311" s="253"/>
      <c r="C311" s="516"/>
      <c r="D311" s="256"/>
      <c r="E311" s="256"/>
      <c r="F311" s="256"/>
      <c r="G311" s="256"/>
      <c r="H311" s="256"/>
      <c r="I311" s="256"/>
      <c r="J311" s="300"/>
      <c r="K311" s="376"/>
      <c r="L311" s="377"/>
    </row>
    <row r="312" spans="1:12" ht="21" customHeight="1">
      <c r="A312" s="619"/>
      <c r="B312" s="253"/>
      <c r="C312" s="516"/>
      <c r="D312" s="256"/>
      <c r="E312" s="256"/>
      <c r="F312" s="256"/>
      <c r="G312" s="256"/>
      <c r="H312" s="256"/>
      <c r="I312" s="256"/>
      <c r="J312" s="300"/>
      <c r="K312" s="376"/>
      <c r="L312" s="377"/>
    </row>
    <row r="313" spans="1:12" ht="21" customHeight="1">
      <c r="A313" s="619"/>
      <c r="B313" s="253"/>
      <c r="C313" s="516"/>
      <c r="D313" s="256"/>
      <c r="E313" s="256"/>
      <c r="F313" s="256"/>
      <c r="G313" s="256"/>
      <c r="H313" s="256"/>
      <c r="I313" s="256"/>
      <c r="J313" s="300"/>
      <c r="K313" s="376"/>
      <c r="L313" s="377"/>
    </row>
    <row r="314" spans="1:12" ht="21" customHeight="1">
      <c r="A314" s="619"/>
      <c r="B314" s="253"/>
      <c r="C314" s="516"/>
      <c r="D314" s="256"/>
      <c r="E314" s="256"/>
      <c r="F314" s="256"/>
      <c r="G314" s="256"/>
      <c r="H314" s="256"/>
      <c r="I314" s="256"/>
      <c r="J314" s="300"/>
      <c r="K314" s="376"/>
      <c r="L314" s="377"/>
    </row>
    <row r="315" spans="1:12" ht="21" customHeight="1">
      <c r="A315" s="619"/>
      <c r="B315" s="253"/>
      <c r="C315" s="516"/>
      <c r="D315" s="256"/>
      <c r="E315" s="256"/>
      <c r="F315" s="256"/>
      <c r="G315" s="256"/>
      <c r="H315" s="256"/>
      <c r="I315" s="256"/>
      <c r="J315" s="300"/>
      <c r="K315" s="376"/>
      <c r="L315" s="377"/>
    </row>
    <row r="316" spans="1:12" ht="21" customHeight="1">
      <c r="A316" s="619"/>
      <c r="B316" s="253"/>
      <c r="C316" s="516"/>
      <c r="D316" s="256"/>
      <c r="E316" s="256"/>
      <c r="F316" s="256"/>
      <c r="G316" s="256"/>
      <c r="H316" s="256"/>
      <c r="I316" s="256"/>
      <c r="J316" s="300"/>
      <c r="K316" s="376"/>
      <c r="L316" s="377"/>
    </row>
    <row r="317" spans="1:12" ht="21" customHeight="1">
      <c r="A317" s="619"/>
      <c r="B317" s="253"/>
      <c r="C317" s="516"/>
      <c r="D317" s="256"/>
      <c r="E317" s="256"/>
      <c r="F317" s="256"/>
      <c r="G317" s="256"/>
      <c r="H317" s="256"/>
      <c r="I317" s="256"/>
      <c r="J317" s="300"/>
      <c r="K317" s="376"/>
      <c r="L317" s="377"/>
    </row>
    <row r="318" spans="1:12" ht="21" customHeight="1">
      <c r="A318" s="619"/>
      <c r="B318" s="253"/>
      <c r="C318" s="516"/>
      <c r="D318" s="256"/>
      <c r="E318" s="256"/>
      <c r="F318" s="256"/>
      <c r="G318" s="256"/>
      <c r="H318" s="256"/>
      <c r="I318" s="256"/>
      <c r="J318" s="300"/>
      <c r="K318" s="376"/>
      <c r="L318" s="377"/>
    </row>
    <row r="319" spans="1:12" ht="21" customHeight="1">
      <c r="A319" s="619"/>
      <c r="B319" s="253"/>
      <c r="C319" s="516"/>
      <c r="D319" s="256"/>
      <c r="E319" s="256"/>
      <c r="F319" s="256"/>
      <c r="G319" s="256"/>
      <c r="H319" s="256"/>
      <c r="I319" s="256"/>
      <c r="J319" s="300"/>
      <c r="K319" s="376"/>
      <c r="L319" s="377"/>
    </row>
    <row r="320" spans="1:12" ht="21" customHeight="1">
      <c r="A320" s="619"/>
      <c r="B320" s="253"/>
      <c r="C320" s="516"/>
      <c r="D320" s="256"/>
      <c r="E320" s="256"/>
      <c r="F320" s="256"/>
      <c r="G320" s="256"/>
      <c r="H320" s="256"/>
      <c r="I320" s="256"/>
      <c r="J320" s="300"/>
      <c r="K320" s="376"/>
      <c r="L320" s="377"/>
    </row>
    <row r="321" spans="1:12" ht="21" customHeight="1">
      <c r="A321" s="619"/>
      <c r="B321" s="253"/>
      <c r="C321" s="516"/>
      <c r="D321" s="256"/>
      <c r="E321" s="256"/>
      <c r="F321" s="256"/>
      <c r="G321" s="256"/>
      <c r="H321" s="256"/>
      <c r="I321" s="256"/>
      <c r="J321" s="300"/>
      <c r="K321" s="376"/>
      <c r="L321" s="377"/>
    </row>
    <row r="322" spans="1:12" ht="21" customHeight="1">
      <c r="A322" s="619"/>
      <c r="B322" s="253"/>
      <c r="C322" s="516"/>
      <c r="D322" s="256"/>
      <c r="E322" s="256"/>
      <c r="F322" s="256"/>
      <c r="G322" s="256"/>
      <c r="H322" s="256"/>
      <c r="I322" s="256"/>
      <c r="J322" s="300"/>
      <c r="K322" s="376"/>
      <c r="L322" s="377"/>
    </row>
    <row r="323" spans="1:12" ht="21" customHeight="1">
      <c r="A323" s="619"/>
      <c r="B323" s="253"/>
      <c r="C323" s="516"/>
      <c r="D323" s="256"/>
      <c r="E323" s="256"/>
      <c r="F323" s="256"/>
      <c r="G323" s="256"/>
      <c r="H323" s="256"/>
      <c r="I323" s="256"/>
      <c r="J323" s="300"/>
      <c r="K323" s="376"/>
      <c r="L323" s="377"/>
    </row>
    <row r="324" spans="1:12" ht="21" customHeight="1">
      <c r="A324" s="619"/>
      <c r="B324" s="253"/>
      <c r="C324" s="516"/>
      <c r="D324" s="256"/>
      <c r="E324" s="256"/>
      <c r="F324" s="256"/>
      <c r="G324" s="256"/>
      <c r="H324" s="256"/>
      <c r="I324" s="256"/>
      <c r="J324" s="300"/>
      <c r="K324" s="376"/>
      <c r="L324" s="377"/>
    </row>
    <row r="325" spans="1:12" ht="21" customHeight="1">
      <c r="A325" s="619"/>
      <c r="B325" s="253"/>
      <c r="C325" s="516"/>
      <c r="D325" s="256"/>
      <c r="E325" s="256"/>
      <c r="F325" s="256"/>
      <c r="G325" s="256"/>
      <c r="H325" s="256"/>
      <c r="I325" s="256"/>
      <c r="J325" s="300"/>
      <c r="K325" s="376"/>
      <c r="L325" s="377"/>
    </row>
    <row r="326" spans="1:12" ht="21" customHeight="1">
      <c r="A326" s="619"/>
      <c r="B326" s="253"/>
      <c r="C326" s="516"/>
      <c r="D326" s="256"/>
      <c r="E326" s="256"/>
      <c r="F326" s="256"/>
      <c r="G326" s="256"/>
      <c r="H326" s="256"/>
      <c r="I326" s="256"/>
      <c r="J326" s="300"/>
      <c r="K326" s="376"/>
      <c r="L326" s="377"/>
    </row>
    <row r="327" spans="1:12" ht="14.25" customHeight="1">
      <c r="A327" s="619"/>
      <c r="B327" s="253"/>
      <c r="C327" s="516"/>
      <c r="D327" s="256"/>
      <c r="E327" s="256"/>
      <c r="F327" s="256"/>
      <c r="G327" s="256"/>
      <c r="H327" s="256"/>
      <c r="I327" s="256"/>
      <c r="J327" s="300"/>
      <c r="K327" s="376"/>
      <c r="L327" s="377"/>
    </row>
    <row r="328" spans="1:12" ht="14.25" customHeight="1">
      <c r="A328" s="619"/>
      <c r="B328" s="253"/>
      <c r="C328" s="516"/>
      <c r="D328" s="256"/>
      <c r="E328" s="256"/>
      <c r="F328" s="256"/>
      <c r="G328" s="256"/>
      <c r="H328" s="256"/>
      <c r="I328" s="256"/>
      <c r="J328" s="300"/>
      <c r="K328" s="376"/>
      <c r="L328" s="377"/>
    </row>
    <row r="329" spans="1:12" ht="14.25" customHeight="1">
      <c r="A329" s="619"/>
      <c r="B329" s="253"/>
      <c r="C329" s="516"/>
      <c r="D329" s="256"/>
      <c r="E329" s="256"/>
      <c r="F329" s="256"/>
      <c r="G329" s="256"/>
      <c r="H329" s="256"/>
      <c r="I329" s="256"/>
      <c r="J329" s="300"/>
      <c r="K329" s="376"/>
      <c r="L329" s="377"/>
    </row>
    <row r="330" spans="1:12" ht="14.25" customHeight="1">
      <c r="A330" s="619"/>
      <c r="B330" s="253"/>
      <c r="C330" s="516"/>
      <c r="D330" s="256"/>
      <c r="E330" s="256"/>
      <c r="F330" s="256"/>
      <c r="G330" s="256"/>
      <c r="H330" s="256"/>
      <c r="I330" s="256"/>
      <c r="J330" s="300"/>
      <c r="K330" s="376"/>
      <c r="L330" s="377"/>
    </row>
    <row r="331" spans="1:12" ht="14.25" customHeight="1">
      <c r="A331" s="619"/>
      <c r="B331" s="253"/>
      <c r="C331" s="516"/>
      <c r="D331" s="256"/>
      <c r="E331" s="256"/>
      <c r="F331" s="256"/>
      <c r="G331" s="256"/>
      <c r="H331" s="256"/>
      <c r="I331" s="256"/>
      <c r="J331" s="300"/>
      <c r="K331" s="376"/>
      <c r="L331" s="377"/>
    </row>
    <row r="332" spans="1:12" ht="14.25" customHeight="1">
      <c r="A332" s="619"/>
      <c r="B332" s="253"/>
      <c r="C332" s="516"/>
      <c r="D332" s="256"/>
      <c r="E332" s="256"/>
      <c r="F332" s="256"/>
      <c r="G332" s="256"/>
      <c r="H332" s="256"/>
      <c r="I332" s="256"/>
      <c r="J332" s="300"/>
      <c r="K332" s="376"/>
      <c r="L332" s="377"/>
    </row>
    <row r="333" spans="1:12" ht="14.25" customHeight="1">
      <c r="A333" s="619"/>
      <c r="B333" s="253"/>
      <c r="C333" s="516"/>
      <c r="D333" s="256"/>
      <c r="E333" s="256"/>
      <c r="F333" s="256"/>
      <c r="G333" s="256"/>
      <c r="H333" s="256"/>
      <c r="I333" s="256"/>
      <c r="J333" s="300"/>
      <c r="K333" s="376"/>
      <c r="L333" s="377"/>
    </row>
    <row r="334" spans="1:12" ht="14.25" customHeight="1">
      <c r="A334" s="619"/>
      <c r="B334" s="253"/>
      <c r="C334" s="516"/>
      <c r="D334" s="256"/>
      <c r="E334" s="256"/>
      <c r="F334" s="256"/>
      <c r="G334" s="256"/>
      <c r="H334" s="256"/>
      <c r="I334" s="256"/>
      <c r="J334" s="300"/>
      <c r="K334" s="376"/>
      <c r="L334" s="377"/>
    </row>
    <row r="335" spans="1:12" ht="14.25" customHeight="1">
      <c r="A335" s="619"/>
      <c r="B335" s="253"/>
      <c r="C335" s="516"/>
      <c r="D335" s="256"/>
      <c r="E335" s="256"/>
      <c r="F335" s="256"/>
      <c r="G335" s="256"/>
      <c r="H335" s="256"/>
      <c r="I335" s="256"/>
      <c r="J335" s="300"/>
      <c r="K335" s="376"/>
      <c r="L335" s="377"/>
    </row>
    <row r="336" spans="1:12" ht="14.25" customHeight="1">
      <c r="A336" s="619"/>
      <c r="B336" s="253"/>
      <c r="C336" s="516"/>
      <c r="D336" s="256"/>
      <c r="E336" s="256"/>
      <c r="F336" s="256"/>
      <c r="G336" s="256"/>
      <c r="H336" s="256"/>
      <c r="I336" s="256"/>
      <c r="J336" s="300"/>
      <c r="K336" s="376"/>
      <c r="L336" s="377"/>
    </row>
    <row r="337" spans="1:12" ht="14.25" customHeight="1">
      <c r="A337" s="619"/>
      <c r="B337" s="253"/>
      <c r="C337" s="516"/>
      <c r="D337" s="256"/>
      <c r="E337" s="256"/>
      <c r="F337" s="256"/>
      <c r="G337" s="256"/>
      <c r="H337" s="256"/>
      <c r="I337" s="256"/>
      <c r="J337" s="300"/>
      <c r="K337" s="376"/>
      <c r="L337" s="377"/>
    </row>
    <row r="338" spans="1:12" ht="14.25" customHeight="1">
      <c r="A338" s="619"/>
      <c r="B338" s="253"/>
      <c r="C338" s="516"/>
      <c r="D338" s="256"/>
      <c r="E338" s="256"/>
      <c r="F338" s="256"/>
      <c r="G338" s="256"/>
      <c r="H338" s="256"/>
      <c r="I338" s="256"/>
      <c r="J338" s="300"/>
      <c r="K338" s="376"/>
      <c r="L338" s="377"/>
    </row>
    <row r="339" spans="1:12" ht="14.25" customHeight="1">
      <c r="A339" s="619"/>
      <c r="B339" s="253"/>
      <c r="C339" s="516"/>
      <c r="D339" s="256"/>
      <c r="E339" s="256"/>
      <c r="F339" s="256"/>
      <c r="G339" s="256"/>
      <c r="H339" s="256"/>
      <c r="I339" s="256"/>
      <c r="J339" s="300"/>
      <c r="K339" s="376"/>
      <c r="L339" s="377"/>
    </row>
    <row r="340" spans="1:12" ht="14.25" customHeight="1">
      <c r="A340" s="619"/>
      <c r="B340" s="253"/>
      <c r="C340" s="516"/>
      <c r="D340" s="256"/>
      <c r="E340" s="256"/>
      <c r="F340" s="256"/>
      <c r="G340" s="256"/>
      <c r="H340" s="256"/>
      <c r="I340" s="256"/>
      <c r="J340" s="300"/>
      <c r="K340" s="376"/>
      <c r="L340" s="377"/>
    </row>
    <row r="341" spans="1:12" ht="14.25" customHeight="1">
      <c r="A341" s="619"/>
      <c r="B341" s="253"/>
      <c r="C341" s="516"/>
      <c r="D341" s="256"/>
      <c r="E341" s="256"/>
      <c r="F341" s="256"/>
      <c r="G341" s="256"/>
      <c r="H341" s="256"/>
      <c r="I341" s="256"/>
      <c r="J341" s="300"/>
      <c r="K341" s="376"/>
      <c r="L341" s="377"/>
    </row>
    <row r="342" spans="1:12" ht="14.25" customHeight="1">
      <c r="A342" s="619"/>
      <c r="B342" s="253"/>
      <c r="C342" s="516"/>
      <c r="D342" s="256"/>
      <c r="E342" s="256"/>
      <c r="F342" s="256"/>
      <c r="G342" s="256"/>
      <c r="H342" s="256"/>
      <c r="I342" s="256"/>
      <c r="J342" s="300"/>
      <c r="K342" s="376"/>
      <c r="L342" s="377"/>
    </row>
    <row r="343" spans="1:12" ht="14.25" customHeight="1">
      <c r="A343" s="619"/>
      <c r="B343" s="253"/>
      <c r="C343" s="516"/>
      <c r="D343" s="256"/>
      <c r="E343" s="256"/>
      <c r="F343" s="256"/>
      <c r="G343" s="256"/>
      <c r="H343" s="256"/>
      <c r="I343" s="256"/>
      <c r="J343" s="300"/>
      <c r="K343" s="376"/>
      <c r="L343" s="377"/>
    </row>
    <row r="344" spans="1:12" ht="14.25" customHeight="1">
      <c r="A344" s="619"/>
      <c r="B344" s="253"/>
      <c r="C344" s="516"/>
      <c r="D344" s="256"/>
      <c r="E344" s="256"/>
      <c r="F344" s="256"/>
      <c r="G344" s="256"/>
      <c r="H344" s="256"/>
      <c r="I344" s="256"/>
      <c r="J344" s="300"/>
      <c r="K344" s="376"/>
      <c r="L344" s="377"/>
    </row>
    <row r="345" spans="1:12" ht="14.25" customHeight="1">
      <c r="A345" s="619"/>
      <c r="B345" s="253"/>
      <c r="C345" s="516"/>
      <c r="D345" s="256"/>
      <c r="E345" s="256"/>
      <c r="F345" s="256"/>
      <c r="G345" s="256"/>
      <c r="H345" s="256"/>
      <c r="I345" s="256"/>
      <c r="J345" s="300"/>
      <c r="K345" s="376"/>
      <c r="L345" s="377"/>
    </row>
    <row r="346" spans="1:12" ht="14.25" customHeight="1">
      <c r="A346" s="619"/>
      <c r="B346" s="253"/>
      <c r="C346" s="516"/>
      <c r="D346" s="256"/>
      <c r="E346" s="256"/>
      <c r="F346" s="256"/>
      <c r="G346" s="256"/>
      <c r="H346" s="256"/>
      <c r="I346" s="256"/>
      <c r="J346" s="300"/>
      <c r="K346" s="376"/>
      <c r="L346" s="377"/>
    </row>
    <row r="347" spans="1:12" ht="14.25" customHeight="1">
      <c r="A347" s="619"/>
      <c r="B347" s="253"/>
      <c r="C347" s="516"/>
      <c r="D347" s="256"/>
      <c r="E347" s="256"/>
      <c r="F347" s="256"/>
      <c r="G347" s="256"/>
      <c r="H347" s="256"/>
      <c r="I347" s="256"/>
      <c r="J347" s="300"/>
      <c r="K347" s="376"/>
      <c r="L347" s="377"/>
    </row>
    <row r="348" spans="1:12" ht="14.25" customHeight="1">
      <c r="A348" s="619"/>
      <c r="B348" s="253"/>
      <c r="C348" s="516"/>
      <c r="D348" s="256"/>
      <c r="E348" s="256"/>
      <c r="F348" s="256"/>
      <c r="G348" s="256"/>
      <c r="H348" s="256"/>
      <c r="I348" s="256"/>
      <c r="J348" s="300"/>
      <c r="K348" s="376"/>
      <c r="L348" s="377"/>
    </row>
    <row r="349" spans="1:12" ht="14.25" customHeight="1">
      <c r="A349" s="619"/>
      <c r="B349" s="253"/>
      <c r="C349" s="516"/>
      <c r="D349" s="256"/>
      <c r="E349" s="256"/>
      <c r="F349" s="256"/>
      <c r="G349" s="256"/>
      <c r="H349" s="256"/>
      <c r="I349" s="256"/>
      <c r="J349" s="300"/>
      <c r="K349" s="376"/>
      <c r="L349" s="377"/>
    </row>
    <row r="350" spans="1:12" ht="14.25" customHeight="1">
      <c r="A350" s="619"/>
      <c r="B350" s="253"/>
      <c r="C350" s="516"/>
      <c r="D350" s="256"/>
      <c r="E350" s="256"/>
      <c r="F350" s="256"/>
      <c r="G350" s="256"/>
      <c r="H350" s="256"/>
      <c r="I350" s="256"/>
      <c r="J350" s="300"/>
      <c r="K350" s="376"/>
      <c r="L350" s="377"/>
    </row>
    <row r="351" spans="1:12" ht="14.25" customHeight="1">
      <c r="A351" s="619"/>
      <c r="B351" s="253"/>
      <c r="C351" s="516"/>
      <c r="D351" s="256"/>
      <c r="E351" s="256"/>
      <c r="F351" s="256"/>
      <c r="G351" s="256"/>
      <c r="H351" s="256"/>
      <c r="I351" s="256"/>
      <c r="J351" s="300"/>
      <c r="K351" s="376"/>
      <c r="L351" s="377"/>
    </row>
    <row r="352" spans="1:12" ht="14.25" customHeight="1">
      <c r="A352" s="619"/>
      <c r="B352" s="253"/>
      <c r="C352" s="516"/>
      <c r="D352" s="256"/>
      <c r="E352" s="256"/>
      <c r="F352" s="256"/>
      <c r="G352" s="256"/>
      <c r="H352" s="256"/>
      <c r="I352" s="256"/>
      <c r="J352" s="300"/>
      <c r="K352" s="376"/>
      <c r="L352" s="377"/>
    </row>
    <row r="353" spans="1:12" ht="14.25" customHeight="1">
      <c r="A353" s="619"/>
      <c r="B353" s="253"/>
      <c r="C353" s="516"/>
      <c r="D353" s="256"/>
      <c r="E353" s="256"/>
      <c r="F353" s="256"/>
      <c r="G353" s="256"/>
      <c r="H353" s="256"/>
      <c r="I353" s="256"/>
      <c r="J353" s="300"/>
      <c r="K353" s="376"/>
      <c r="L353" s="377"/>
    </row>
    <row r="354" spans="1:12" ht="14.25" customHeight="1">
      <c r="A354" s="619"/>
      <c r="B354" s="253"/>
      <c r="C354" s="516"/>
      <c r="D354" s="256"/>
      <c r="E354" s="256"/>
      <c r="F354" s="256"/>
      <c r="G354" s="256"/>
      <c r="H354" s="256"/>
      <c r="I354" s="256"/>
      <c r="J354" s="300"/>
      <c r="K354" s="376"/>
      <c r="L354" s="377"/>
    </row>
    <row r="355" spans="1:12" ht="14.25" customHeight="1">
      <c r="A355" s="619"/>
      <c r="B355" s="253"/>
      <c r="C355" s="516"/>
      <c r="D355" s="256"/>
      <c r="E355" s="256"/>
      <c r="F355" s="256"/>
      <c r="G355" s="256"/>
      <c r="H355" s="256"/>
      <c r="I355" s="256"/>
      <c r="J355" s="300"/>
      <c r="K355" s="376"/>
      <c r="L355" s="377"/>
    </row>
    <row r="356" spans="1:12" ht="14.25" customHeight="1">
      <c r="A356" s="619"/>
      <c r="B356" s="253"/>
      <c r="C356" s="516"/>
      <c r="D356" s="256"/>
      <c r="E356" s="256"/>
      <c r="F356" s="256"/>
      <c r="G356" s="256"/>
      <c r="H356" s="256"/>
      <c r="I356" s="256"/>
      <c r="J356" s="300"/>
      <c r="K356" s="376"/>
      <c r="L356" s="377"/>
    </row>
    <row r="357" spans="1:12" ht="14.25" customHeight="1">
      <c r="A357" s="619"/>
      <c r="B357" s="253"/>
      <c r="C357" s="516"/>
      <c r="D357" s="256"/>
      <c r="E357" s="256"/>
      <c r="F357" s="256"/>
      <c r="G357" s="256"/>
      <c r="H357" s="256"/>
      <c r="I357" s="256"/>
      <c r="J357" s="300"/>
      <c r="K357" s="376"/>
      <c r="L357" s="377"/>
    </row>
    <row r="358" spans="1:12" ht="14.25" customHeight="1">
      <c r="A358" s="619"/>
      <c r="B358" s="253"/>
      <c r="C358" s="516"/>
      <c r="D358" s="256"/>
      <c r="E358" s="256"/>
      <c r="F358" s="256"/>
      <c r="G358" s="256"/>
      <c r="H358" s="256"/>
      <c r="I358" s="256"/>
      <c r="J358" s="300"/>
      <c r="K358" s="376"/>
      <c r="L358" s="377"/>
    </row>
    <row r="359" spans="1:12" ht="14.25" customHeight="1">
      <c r="A359" s="619"/>
      <c r="B359" s="253"/>
      <c r="C359" s="516"/>
      <c r="D359" s="256"/>
      <c r="E359" s="256"/>
      <c r="F359" s="256"/>
      <c r="G359" s="256"/>
      <c r="H359" s="256"/>
      <c r="I359" s="256"/>
      <c r="J359" s="300"/>
      <c r="K359" s="376"/>
      <c r="L359" s="377"/>
    </row>
    <row r="360" spans="1:12" ht="14.25" customHeight="1">
      <c r="A360" s="619"/>
      <c r="B360" s="253"/>
      <c r="C360" s="516"/>
      <c r="D360" s="256"/>
      <c r="E360" s="256"/>
      <c r="F360" s="256"/>
      <c r="G360" s="256"/>
      <c r="H360" s="256"/>
      <c r="I360" s="256"/>
      <c r="J360" s="300"/>
      <c r="K360" s="376"/>
      <c r="L360" s="377"/>
    </row>
    <row r="361" spans="1:12" ht="14.25" customHeight="1">
      <c r="A361" s="619"/>
      <c r="B361" s="253"/>
      <c r="C361" s="516"/>
      <c r="D361" s="256"/>
      <c r="E361" s="256"/>
      <c r="F361" s="256"/>
      <c r="G361" s="256"/>
      <c r="H361" s="256"/>
      <c r="I361" s="256"/>
      <c r="J361" s="300"/>
      <c r="K361" s="376"/>
      <c r="L361" s="377"/>
    </row>
    <row r="362" spans="1:12" ht="14.25" customHeight="1">
      <c r="A362" s="619"/>
      <c r="B362" s="253"/>
      <c r="C362" s="516"/>
      <c r="D362" s="256"/>
      <c r="E362" s="256"/>
      <c r="F362" s="256"/>
      <c r="G362" s="256"/>
      <c r="H362" s="256"/>
      <c r="I362" s="256"/>
      <c r="J362" s="300"/>
      <c r="K362" s="376"/>
      <c r="L362" s="377"/>
    </row>
    <row r="363" spans="1:12" ht="14.25" customHeight="1">
      <c r="A363" s="619"/>
      <c r="B363" s="253"/>
      <c r="C363" s="516"/>
      <c r="D363" s="256"/>
      <c r="E363" s="256"/>
      <c r="F363" s="256"/>
      <c r="G363" s="256"/>
      <c r="H363" s="256"/>
      <c r="I363" s="256"/>
      <c r="J363" s="300"/>
      <c r="K363" s="376"/>
      <c r="L363" s="377"/>
    </row>
    <row r="364" spans="1:12" ht="14.25" customHeight="1">
      <c r="A364" s="619"/>
      <c r="B364" s="253"/>
      <c r="C364" s="516"/>
      <c r="D364" s="256"/>
      <c r="E364" s="256"/>
      <c r="F364" s="256"/>
      <c r="G364" s="256"/>
      <c r="H364" s="256"/>
      <c r="I364" s="256"/>
      <c r="J364" s="300"/>
      <c r="K364" s="376"/>
      <c r="L364" s="377"/>
    </row>
    <row r="365" spans="1:12" ht="14.25" customHeight="1">
      <c r="A365" s="619"/>
      <c r="B365" s="253"/>
      <c r="C365" s="516"/>
      <c r="D365" s="256"/>
      <c r="E365" s="256"/>
      <c r="F365" s="256"/>
      <c r="G365" s="256"/>
      <c r="H365" s="256"/>
      <c r="I365" s="256"/>
      <c r="J365" s="300"/>
      <c r="K365" s="376"/>
      <c r="L365" s="377"/>
    </row>
    <row r="366" spans="1:12" ht="14.25" customHeight="1">
      <c r="A366" s="619"/>
      <c r="B366" s="253"/>
      <c r="C366" s="516"/>
      <c r="D366" s="256"/>
      <c r="E366" s="256"/>
      <c r="F366" s="256"/>
      <c r="G366" s="256"/>
      <c r="H366" s="256"/>
      <c r="I366" s="256"/>
      <c r="J366" s="300"/>
      <c r="K366" s="376"/>
      <c r="L366" s="377"/>
    </row>
    <row r="367" spans="1:12" ht="14.25" customHeight="1">
      <c r="A367" s="619"/>
      <c r="B367" s="253"/>
      <c r="C367" s="516"/>
      <c r="D367" s="256"/>
      <c r="E367" s="256"/>
      <c r="F367" s="256"/>
      <c r="G367" s="256"/>
      <c r="H367" s="256"/>
      <c r="I367" s="256"/>
      <c r="J367" s="300"/>
      <c r="K367" s="376"/>
      <c r="L367" s="377"/>
    </row>
    <row r="368" spans="1:12" ht="14.25" customHeight="1">
      <c r="A368" s="619"/>
      <c r="B368" s="253"/>
      <c r="C368" s="516"/>
      <c r="D368" s="256"/>
      <c r="E368" s="256"/>
      <c r="F368" s="256"/>
      <c r="G368" s="256"/>
      <c r="H368" s="256"/>
      <c r="I368" s="256"/>
      <c r="J368" s="300"/>
      <c r="K368" s="376"/>
      <c r="L368" s="377"/>
    </row>
    <row r="369" spans="1:12" ht="14.25" customHeight="1">
      <c r="A369" s="619"/>
      <c r="B369" s="253"/>
      <c r="C369" s="516"/>
      <c r="D369" s="256"/>
      <c r="E369" s="256"/>
      <c r="F369" s="256"/>
      <c r="G369" s="256"/>
      <c r="H369" s="256"/>
      <c r="I369" s="256"/>
      <c r="J369" s="300"/>
      <c r="K369" s="376"/>
      <c r="L369" s="377"/>
    </row>
    <row r="370" spans="1:12" ht="14.25" customHeight="1">
      <c r="A370" s="619"/>
      <c r="B370" s="253"/>
      <c r="C370" s="516"/>
      <c r="D370" s="256"/>
      <c r="E370" s="256"/>
      <c r="F370" s="256"/>
      <c r="G370" s="256"/>
      <c r="H370" s="256"/>
      <c r="I370" s="256"/>
      <c r="J370" s="300"/>
      <c r="K370" s="376"/>
      <c r="L370" s="377"/>
    </row>
    <row r="371" spans="1:12" ht="14.25" customHeight="1">
      <c r="A371" s="619"/>
      <c r="B371" s="253"/>
      <c r="C371" s="516"/>
      <c r="D371" s="256"/>
      <c r="E371" s="256"/>
      <c r="F371" s="256"/>
      <c r="G371" s="256"/>
      <c r="H371" s="256"/>
      <c r="I371" s="256"/>
      <c r="J371" s="300"/>
      <c r="K371" s="376"/>
      <c r="L371" s="377"/>
    </row>
    <row r="372" spans="1:12" ht="14.25" customHeight="1">
      <c r="A372" s="619"/>
      <c r="B372" s="253"/>
      <c r="C372" s="516"/>
      <c r="D372" s="256"/>
      <c r="E372" s="256"/>
      <c r="F372" s="256"/>
      <c r="G372" s="256"/>
      <c r="H372" s="256"/>
      <c r="I372" s="256"/>
      <c r="J372" s="300"/>
      <c r="K372" s="376"/>
      <c r="L372" s="377"/>
    </row>
    <row r="373" spans="1:12" ht="14.25" customHeight="1">
      <c r="A373" s="619"/>
      <c r="B373" s="253"/>
      <c r="C373" s="516"/>
      <c r="D373" s="256"/>
      <c r="E373" s="256"/>
      <c r="F373" s="256"/>
      <c r="G373" s="256"/>
      <c r="H373" s="256"/>
      <c r="I373" s="256"/>
      <c r="J373" s="300"/>
      <c r="K373" s="376"/>
      <c r="L373" s="377"/>
    </row>
    <row r="374" spans="1:12" ht="14.25" customHeight="1">
      <c r="A374" s="619"/>
      <c r="B374" s="253"/>
      <c r="C374" s="516"/>
      <c r="D374" s="256"/>
      <c r="E374" s="256"/>
      <c r="F374" s="256"/>
      <c r="G374" s="256"/>
      <c r="H374" s="256"/>
      <c r="I374" s="256"/>
      <c r="J374" s="300"/>
      <c r="K374" s="376"/>
      <c r="L374" s="377"/>
    </row>
    <row r="375" spans="1:12" ht="14.25" customHeight="1">
      <c r="A375" s="619"/>
      <c r="B375" s="253"/>
      <c r="C375" s="516"/>
      <c r="D375" s="256"/>
      <c r="E375" s="256"/>
      <c r="F375" s="256"/>
      <c r="G375" s="256"/>
      <c r="H375" s="256"/>
      <c r="I375" s="256"/>
      <c r="J375" s="300"/>
      <c r="K375" s="376"/>
      <c r="L375" s="377"/>
    </row>
    <row r="376" spans="1:12" ht="14.25" customHeight="1">
      <c r="A376" s="619"/>
      <c r="B376" s="253"/>
      <c r="C376" s="516"/>
      <c r="D376" s="256"/>
      <c r="E376" s="256"/>
      <c r="F376" s="256"/>
      <c r="G376" s="256"/>
      <c r="H376" s="256"/>
      <c r="I376" s="256"/>
      <c r="J376" s="300"/>
      <c r="K376" s="376"/>
      <c r="L376" s="377"/>
    </row>
    <row r="377" spans="1:12" ht="14.25" customHeight="1">
      <c r="A377" s="619"/>
      <c r="B377" s="253"/>
      <c r="C377" s="516"/>
      <c r="D377" s="256"/>
      <c r="E377" s="256"/>
      <c r="F377" s="256"/>
      <c r="G377" s="256"/>
      <c r="H377" s="256"/>
      <c r="I377" s="256"/>
      <c r="J377" s="300"/>
      <c r="K377" s="376"/>
      <c r="L377" s="377"/>
    </row>
    <row r="378" spans="1:12" ht="14.25" customHeight="1">
      <c r="A378" s="619"/>
      <c r="B378" s="253"/>
      <c r="C378" s="516"/>
      <c r="D378" s="256"/>
      <c r="E378" s="256"/>
      <c r="F378" s="256"/>
      <c r="G378" s="256"/>
      <c r="H378" s="256"/>
      <c r="I378" s="256"/>
      <c r="J378" s="300"/>
      <c r="K378" s="376"/>
      <c r="L378" s="377"/>
    </row>
    <row r="379" spans="1:12" ht="14.25" customHeight="1">
      <c r="A379" s="619"/>
      <c r="B379" s="253"/>
      <c r="C379" s="516"/>
      <c r="D379" s="256"/>
      <c r="E379" s="256"/>
      <c r="F379" s="256"/>
      <c r="G379" s="256"/>
      <c r="H379" s="256"/>
      <c r="I379" s="256"/>
      <c r="J379" s="300"/>
      <c r="K379" s="376"/>
      <c r="L379" s="377"/>
    </row>
    <row r="380" spans="1:12" ht="14.25" customHeight="1">
      <c r="A380" s="619"/>
      <c r="B380" s="253"/>
      <c r="C380" s="516"/>
      <c r="D380" s="256"/>
      <c r="E380" s="256"/>
      <c r="F380" s="256"/>
      <c r="G380" s="256"/>
      <c r="H380" s="256"/>
      <c r="I380" s="256"/>
      <c r="J380" s="300"/>
      <c r="K380" s="376"/>
      <c r="L380" s="377"/>
    </row>
    <row r="381" spans="1:12" ht="14.25" customHeight="1">
      <c r="A381" s="619"/>
      <c r="B381" s="253"/>
      <c r="C381" s="516"/>
      <c r="D381" s="256"/>
      <c r="E381" s="256"/>
      <c r="F381" s="256"/>
      <c r="G381" s="256"/>
      <c r="H381" s="256"/>
      <c r="I381" s="256"/>
      <c r="J381" s="300"/>
      <c r="K381" s="376"/>
      <c r="L381" s="377"/>
    </row>
    <row r="382" spans="1:12" ht="14.25" customHeight="1">
      <c r="A382" s="619"/>
      <c r="B382" s="253"/>
      <c r="C382" s="516"/>
      <c r="D382" s="256"/>
      <c r="E382" s="256"/>
      <c r="F382" s="256"/>
      <c r="G382" s="256"/>
      <c r="H382" s="256"/>
      <c r="I382" s="256"/>
      <c r="J382" s="300"/>
      <c r="K382" s="376"/>
      <c r="L382" s="377"/>
    </row>
    <row r="383" spans="1:12" ht="14.25" customHeight="1">
      <c r="A383" s="619"/>
      <c r="B383" s="253"/>
      <c r="C383" s="516"/>
      <c r="D383" s="256"/>
      <c r="E383" s="256"/>
      <c r="F383" s="256"/>
      <c r="G383" s="256"/>
      <c r="H383" s="256"/>
      <c r="I383" s="256"/>
      <c r="J383" s="300"/>
      <c r="K383" s="376"/>
      <c r="L383" s="377"/>
    </row>
    <row r="384" spans="1:12" ht="14.25" customHeight="1">
      <c r="A384" s="619"/>
      <c r="B384" s="253"/>
      <c r="C384" s="516"/>
      <c r="D384" s="256"/>
      <c r="E384" s="256"/>
      <c r="F384" s="256"/>
      <c r="G384" s="256"/>
      <c r="H384" s="256"/>
      <c r="I384" s="256"/>
      <c r="J384" s="300"/>
      <c r="K384" s="376"/>
      <c r="L384" s="377"/>
    </row>
    <row r="385" spans="1:12" ht="14.25" customHeight="1">
      <c r="A385" s="619"/>
      <c r="B385" s="253"/>
      <c r="C385" s="516"/>
      <c r="D385" s="256"/>
      <c r="E385" s="256"/>
      <c r="F385" s="256"/>
      <c r="G385" s="256"/>
      <c r="H385" s="256"/>
      <c r="I385" s="256"/>
      <c r="J385" s="300"/>
      <c r="K385" s="376"/>
      <c r="L385" s="377"/>
    </row>
    <row r="386" spans="1:12" ht="14.25" customHeight="1">
      <c r="A386" s="619"/>
      <c r="B386" s="253"/>
      <c r="C386" s="516"/>
      <c r="D386" s="256"/>
      <c r="E386" s="256"/>
      <c r="F386" s="256"/>
      <c r="G386" s="256"/>
      <c r="H386" s="256"/>
      <c r="I386" s="256"/>
      <c r="J386" s="300"/>
      <c r="K386" s="376"/>
      <c r="L386" s="377"/>
    </row>
    <row r="387" spans="1:12" ht="14.25" customHeight="1">
      <c r="A387" s="619"/>
      <c r="B387" s="253"/>
      <c r="C387" s="516"/>
      <c r="D387" s="256"/>
      <c r="E387" s="256"/>
      <c r="F387" s="256"/>
      <c r="G387" s="256"/>
      <c r="H387" s="256"/>
      <c r="I387" s="256"/>
      <c r="J387" s="300"/>
      <c r="K387" s="376"/>
      <c r="L387" s="377"/>
    </row>
    <row r="388" spans="1:12" ht="14.25" customHeight="1">
      <c r="A388" s="619"/>
      <c r="B388" s="253"/>
      <c r="C388" s="516"/>
      <c r="D388" s="256"/>
      <c r="E388" s="256"/>
      <c r="F388" s="256"/>
      <c r="G388" s="256"/>
      <c r="H388" s="256"/>
      <c r="I388" s="256"/>
      <c r="J388" s="300"/>
      <c r="K388" s="376"/>
      <c r="L388" s="377"/>
    </row>
    <row r="389" spans="1:12" ht="14.25" customHeight="1">
      <c r="A389" s="619"/>
      <c r="B389" s="253"/>
      <c r="C389" s="516"/>
      <c r="D389" s="256"/>
      <c r="E389" s="256"/>
      <c r="F389" s="256"/>
      <c r="G389" s="256"/>
      <c r="H389" s="256"/>
      <c r="I389" s="256"/>
      <c r="J389" s="300"/>
      <c r="K389" s="376"/>
      <c r="L389" s="377"/>
    </row>
    <row r="390" spans="1:12" ht="14.25" customHeight="1">
      <c r="A390" s="619"/>
      <c r="B390" s="253"/>
      <c r="C390" s="516"/>
      <c r="D390" s="256"/>
      <c r="E390" s="256"/>
      <c r="F390" s="256"/>
      <c r="G390" s="256"/>
      <c r="H390" s="256"/>
      <c r="I390" s="256"/>
      <c r="J390" s="300"/>
      <c r="K390" s="376"/>
      <c r="L390" s="377"/>
    </row>
    <row r="391" spans="1:12" ht="14.25" customHeight="1">
      <c r="A391" s="619"/>
      <c r="B391" s="253"/>
      <c r="C391" s="516"/>
      <c r="D391" s="256"/>
      <c r="E391" s="256"/>
      <c r="F391" s="256"/>
      <c r="G391" s="256"/>
      <c r="H391" s="256"/>
      <c r="I391" s="256"/>
      <c r="J391" s="300"/>
      <c r="K391" s="376"/>
      <c r="L391" s="377"/>
    </row>
    <row r="392" spans="1:12" ht="14.25" customHeight="1">
      <c r="A392" s="619"/>
      <c r="B392" s="253"/>
      <c r="C392" s="516"/>
      <c r="D392" s="256"/>
      <c r="E392" s="256"/>
      <c r="F392" s="256"/>
      <c r="G392" s="256"/>
      <c r="H392" s="256"/>
      <c r="I392" s="256"/>
      <c r="J392" s="300"/>
      <c r="K392" s="376"/>
      <c r="L392" s="377"/>
    </row>
    <row r="393" spans="1:12" ht="14.25" customHeight="1">
      <c r="A393" s="619"/>
      <c r="B393" s="253"/>
      <c r="C393" s="516"/>
      <c r="D393" s="256"/>
      <c r="E393" s="256"/>
      <c r="F393" s="256"/>
      <c r="G393" s="256"/>
      <c r="H393" s="256"/>
      <c r="I393" s="256"/>
      <c r="J393" s="300"/>
      <c r="K393" s="376"/>
      <c r="L393" s="377"/>
    </row>
    <row r="394" spans="1:12" ht="14.25" customHeight="1">
      <c r="A394" s="619"/>
      <c r="B394" s="253"/>
      <c r="C394" s="516"/>
      <c r="D394" s="256"/>
      <c r="E394" s="256"/>
      <c r="F394" s="256"/>
      <c r="G394" s="256"/>
      <c r="H394" s="256"/>
      <c r="I394" s="256"/>
      <c r="J394" s="300"/>
      <c r="K394" s="376"/>
      <c r="L394" s="377"/>
    </row>
    <row r="395" spans="1:12" ht="14.25" customHeight="1">
      <c r="A395" s="619"/>
      <c r="B395" s="253"/>
      <c r="C395" s="516"/>
      <c r="D395" s="256"/>
      <c r="E395" s="256"/>
      <c r="F395" s="256"/>
      <c r="G395" s="256"/>
      <c r="H395" s="256"/>
      <c r="I395" s="256"/>
      <c r="J395" s="300"/>
      <c r="K395" s="376"/>
      <c r="L395" s="377"/>
    </row>
    <row r="396" spans="1:12" ht="14.25" customHeight="1">
      <c r="A396" s="619"/>
      <c r="B396" s="253"/>
      <c r="C396" s="516"/>
      <c r="D396" s="256"/>
      <c r="E396" s="256"/>
      <c r="F396" s="256"/>
      <c r="G396" s="256"/>
      <c r="H396" s="256"/>
      <c r="I396" s="256"/>
      <c r="J396" s="300"/>
      <c r="K396" s="376"/>
      <c r="L396" s="377"/>
    </row>
    <row r="397" spans="1:12" ht="14.25" customHeight="1">
      <c r="A397" s="619"/>
      <c r="B397" s="253"/>
      <c r="C397" s="516"/>
      <c r="D397" s="256"/>
      <c r="E397" s="256"/>
      <c r="F397" s="256"/>
      <c r="G397" s="256"/>
      <c r="H397" s="256"/>
      <c r="I397" s="256"/>
      <c r="J397" s="300"/>
      <c r="K397" s="376"/>
      <c r="L397" s="377"/>
    </row>
    <row r="398" spans="1:12" ht="14.25" customHeight="1">
      <c r="A398" s="619"/>
      <c r="B398" s="253"/>
      <c r="C398" s="516"/>
      <c r="D398" s="256"/>
      <c r="E398" s="256"/>
      <c r="F398" s="256"/>
      <c r="G398" s="256"/>
      <c r="H398" s="256"/>
      <c r="I398" s="256"/>
      <c r="J398" s="300"/>
      <c r="K398" s="376"/>
      <c r="L398" s="377"/>
    </row>
    <row r="399" spans="1:12" ht="14.25" customHeight="1">
      <c r="A399" s="619"/>
      <c r="B399" s="253"/>
      <c r="C399" s="516"/>
      <c r="D399" s="256"/>
      <c r="E399" s="256"/>
      <c r="F399" s="256"/>
      <c r="G399" s="256"/>
      <c r="H399" s="256"/>
      <c r="I399" s="256"/>
      <c r="J399" s="300"/>
      <c r="K399" s="376"/>
      <c r="L399" s="377"/>
    </row>
    <row r="400" spans="1:12" ht="14.25" customHeight="1">
      <c r="A400" s="619"/>
      <c r="B400" s="253"/>
      <c r="C400" s="516"/>
      <c r="D400" s="256"/>
      <c r="E400" s="256"/>
      <c r="F400" s="256"/>
      <c r="G400" s="256"/>
      <c r="H400" s="256"/>
      <c r="I400" s="256"/>
      <c r="J400" s="300"/>
      <c r="K400" s="376"/>
      <c r="L400" s="377"/>
    </row>
    <row r="401" spans="1:12" ht="14.25" customHeight="1">
      <c r="A401" s="619"/>
      <c r="B401" s="253"/>
      <c r="C401" s="516"/>
      <c r="D401" s="256"/>
      <c r="E401" s="256"/>
      <c r="F401" s="256"/>
      <c r="G401" s="256"/>
      <c r="H401" s="256"/>
      <c r="I401" s="256"/>
      <c r="J401" s="300"/>
      <c r="K401" s="376"/>
      <c r="L401" s="377"/>
    </row>
    <row r="402" spans="1:12" ht="14.25" customHeight="1">
      <c r="A402" s="619"/>
      <c r="B402" s="253"/>
      <c r="C402" s="516"/>
      <c r="D402" s="256"/>
      <c r="E402" s="256"/>
      <c r="F402" s="256"/>
      <c r="G402" s="256"/>
      <c r="H402" s="256"/>
      <c r="I402" s="256"/>
      <c r="J402" s="300"/>
      <c r="K402" s="376"/>
      <c r="L402" s="377"/>
    </row>
    <row r="403" spans="1:12" ht="14.25" customHeight="1">
      <c r="A403" s="619"/>
      <c r="B403" s="253"/>
      <c r="C403" s="516"/>
      <c r="D403" s="256"/>
      <c r="E403" s="256"/>
      <c r="F403" s="256"/>
      <c r="G403" s="256"/>
      <c r="H403" s="256"/>
      <c r="I403" s="256"/>
      <c r="J403" s="300"/>
      <c r="K403" s="376"/>
      <c r="L403" s="377"/>
    </row>
    <row r="404" spans="1:12" ht="14.25" customHeight="1">
      <c r="A404" s="619"/>
      <c r="B404" s="253"/>
      <c r="C404" s="516"/>
      <c r="D404" s="256"/>
      <c r="E404" s="256"/>
      <c r="F404" s="256"/>
      <c r="G404" s="256"/>
      <c r="H404" s="256"/>
      <c r="I404" s="256"/>
      <c r="J404" s="300"/>
      <c r="K404" s="376"/>
      <c r="L404" s="377"/>
    </row>
    <row r="405" spans="1:12" ht="14.25" customHeight="1">
      <c r="A405" s="619"/>
      <c r="B405" s="253"/>
      <c r="C405" s="516"/>
      <c r="D405" s="256"/>
      <c r="E405" s="256"/>
      <c r="F405" s="256"/>
      <c r="G405" s="256"/>
      <c r="H405" s="256"/>
      <c r="I405" s="256"/>
      <c r="J405" s="300"/>
      <c r="K405" s="376"/>
      <c r="L405" s="377"/>
    </row>
    <row r="406" spans="1:12" ht="14.25" customHeight="1">
      <c r="A406" s="619"/>
      <c r="B406" s="253"/>
      <c r="C406" s="516"/>
      <c r="D406" s="256"/>
      <c r="E406" s="256"/>
      <c r="F406" s="256"/>
      <c r="G406" s="256"/>
      <c r="H406" s="256"/>
      <c r="I406" s="256"/>
      <c r="J406" s="300"/>
      <c r="K406" s="376"/>
      <c r="L406" s="377"/>
    </row>
    <row r="407" spans="1:12" ht="14.25" customHeight="1">
      <c r="A407" s="619"/>
      <c r="B407" s="253"/>
      <c r="C407" s="516"/>
      <c r="D407" s="256"/>
      <c r="E407" s="256"/>
      <c r="F407" s="256"/>
      <c r="G407" s="256"/>
      <c r="H407" s="256"/>
      <c r="I407" s="256"/>
      <c r="J407" s="300"/>
      <c r="K407" s="376"/>
      <c r="L407" s="377"/>
    </row>
    <row r="408" spans="1:12" ht="14.25" customHeight="1">
      <c r="A408" s="619"/>
      <c r="B408" s="253"/>
      <c r="C408" s="516"/>
      <c r="D408" s="256"/>
      <c r="E408" s="256"/>
      <c r="F408" s="256"/>
      <c r="G408" s="256"/>
      <c r="H408" s="256"/>
      <c r="I408" s="256"/>
      <c r="J408" s="300"/>
      <c r="K408" s="376"/>
      <c r="L408" s="377"/>
    </row>
    <row r="409" spans="1:12" ht="14.25" customHeight="1">
      <c r="A409" s="619"/>
      <c r="B409" s="253"/>
      <c r="C409" s="516"/>
      <c r="D409" s="256"/>
      <c r="E409" s="256"/>
      <c r="F409" s="256"/>
      <c r="G409" s="256"/>
      <c r="H409" s="256"/>
      <c r="I409" s="256"/>
      <c r="J409" s="300"/>
      <c r="K409" s="376"/>
      <c r="L409" s="377"/>
    </row>
    <row r="410" spans="1:12" ht="14.25" customHeight="1">
      <c r="A410" s="619"/>
      <c r="B410" s="253"/>
      <c r="C410" s="516"/>
      <c r="D410" s="256"/>
      <c r="E410" s="256"/>
      <c r="F410" s="256"/>
      <c r="G410" s="256"/>
      <c r="H410" s="256"/>
      <c r="I410" s="256"/>
      <c r="J410" s="300"/>
      <c r="K410" s="376"/>
      <c r="L410" s="377"/>
    </row>
    <row r="411" spans="1:12" ht="14.25" customHeight="1">
      <c r="A411" s="619"/>
      <c r="B411" s="253"/>
      <c r="C411" s="516"/>
      <c r="D411" s="256"/>
      <c r="E411" s="256"/>
      <c r="F411" s="256"/>
      <c r="G411" s="256"/>
      <c r="H411" s="256"/>
      <c r="I411" s="256"/>
      <c r="J411" s="300"/>
      <c r="K411" s="376"/>
      <c r="L411" s="377"/>
    </row>
    <row r="412" spans="1:12" ht="14.25" customHeight="1">
      <c r="A412" s="619"/>
      <c r="B412" s="253"/>
      <c r="C412" s="516"/>
      <c r="D412" s="256"/>
      <c r="E412" s="256"/>
      <c r="F412" s="256"/>
      <c r="G412" s="256"/>
      <c r="H412" s="256"/>
      <c r="I412" s="256"/>
      <c r="J412" s="300"/>
      <c r="K412" s="376"/>
      <c r="L412" s="377"/>
    </row>
    <row r="413" spans="1:12" ht="14.25" customHeight="1">
      <c r="A413" s="619"/>
      <c r="B413" s="253"/>
      <c r="C413" s="516"/>
      <c r="D413" s="256"/>
      <c r="E413" s="256"/>
      <c r="F413" s="256"/>
      <c r="G413" s="256"/>
      <c r="H413" s="256"/>
      <c r="I413" s="256"/>
      <c r="J413" s="300"/>
      <c r="K413" s="376"/>
      <c r="L413" s="377"/>
    </row>
    <row r="414" spans="1:12" ht="14.25" customHeight="1">
      <c r="A414" s="619"/>
      <c r="B414" s="253"/>
      <c r="C414" s="516"/>
      <c r="D414" s="256"/>
      <c r="E414" s="256"/>
      <c r="F414" s="256"/>
      <c r="G414" s="256"/>
      <c r="H414" s="256"/>
      <c r="I414" s="256"/>
      <c r="J414" s="300"/>
      <c r="K414" s="376"/>
      <c r="L414" s="377"/>
    </row>
    <row r="415" spans="1:12" ht="14.25" customHeight="1">
      <c r="A415" s="619"/>
      <c r="B415" s="253"/>
      <c r="C415" s="516"/>
      <c r="D415" s="256"/>
      <c r="E415" s="256"/>
      <c r="F415" s="256"/>
      <c r="G415" s="256"/>
      <c r="H415" s="256"/>
      <c r="I415" s="256"/>
      <c r="J415" s="300"/>
      <c r="K415" s="376"/>
      <c r="L415" s="377"/>
    </row>
    <row r="416" spans="1:12" ht="14.25" customHeight="1">
      <c r="A416" s="619"/>
      <c r="B416" s="253"/>
      <c r="C416" s="516"/>
      <c r="D416" s="256"/>
      <c r="E416" s="256"/>
      <c r="F416" s="256"/>
      <c r="G416" s="256"/>
      <c r="H416" s="256"/>
      <c r="I416" s="256"/>
      <c r="J416" s="300"/>
      <c r="K416" s="376"/>
      <c r="L416" s="377"/>
    </row>
    <row r="417" spans="1:12" ht="14.25" customHeight="1">
      <c r="A417" s="619"/>
      <c r="B417" s="253"/>
      <c r="C417" s="516"/>
      <c r="D417" s="256"/>
      <c r="E417" s="256"/>
      <c r="F417" s="256"/>
      <c r="G417" s="256"/>
      <c r="H417" s="256"/>
      <c r="I417" s="256"/>
      <c r="J417" s="300"/>
      <c r="K417" s="376"/>
      <c r="L417" s="377"/>
    </row>
    <row r="418" spans="1:12" ht="14.25" customHeight="1">
      <c r="A418" s="619"/>
      <c r="B418" s="253"/>
      <c r="C418" s="516"/>
      <c r="D418" s="256"/>
      <c r="E418" s="256"/>
      <c r="F418" s="256"/>
      <c r="G418" s="256"/>
      <c r="H418" s="256"/>
      <c r="I418" s="256"/>
      <c r="J418" s="300"/>
      <c r="K418" s="376"/>
      <c r="L418" s="377"/>
    </row>
    <row r="419" spans="1:12" ht="14.25" customHeight="1">
      <c r="A419" s="619"/>
      <c r="B419" s="253"/>
      <c r="C419" s="516"/>
      <c r="D419" s="256"/>
      <c r="E419" s="256"/>
      <c r="F419" s="256"/>
      <c r="G419" s="256"/>
      <c r="H419" s="256"/>
      <c r="I419" s="256"/>
      <c r="J419" s="300"/>
      <c r="K419" s="376"/>
      <c r="L419" s="377"/>
    </row>
    <row r="420" spans="1:12" ht="14.25" customHeight="1">
      <c r="A420" s="619"/>
      <c r="B420" s="253"/>
      <c r="C420" s="516"/>
      <c r="D420" s="256"/>
      <c r="E420" s="256"/>
      <c r="F420" s="256"/>
      <c r="G420" s="256"/>
      <c r="H420" s="256"/>
      <c r="I420" s="256"/>
      <c r="J420" s="300"/>
      <c r="K420" s="376"/>
      <c r="L420" s="377"/>
    </row>
    <row r="421" spans="1:12" ht="14.25" customHeight="1">
      <c r="A421" s="619"/>
      <c r="B421" s="253"/>
      <c r="C421" s="516"/>
      <c r="D421" s="256"/>
      <c r="E421" s="256"/>
      <c r="F421" s="256"/>
      <c r="G421" s="256"/>
      <c r="H421" s="256"/>
      <c r="I421" s="256"/>
      <c r="J421" s="300"/>
      <c r="K421" s="376"/>
      <c r="L421" s="377"/>
    </row>
    <row r="422" spans="1:12" ht="14.25" customHeight="1">
      <c r="A422" s="619"/>
      <c r="B422" s="253"/>
      <c r="C422" s="516"/>
      <c r="D422" s="256"/>
      <c r="E422" s="256"/>
      <c r="F422" s="256"/>
      <c r="G422" s="256"/>
      <c r="H422" s="256"/>
      <c r="I422" s="256"/>
      <c r="J422" s="300"/>
      <c r="K422" s="376"/>
      <c r="L422" s="377"/>
    </row>
    <row r="423" spans="1:12" ht="14.25" customHeight="1">
      <c r="A423" s="619"/>
      <c r="B423" s="253"/>
      <c r="C423" s="516"/>
      <c r="D423" s="256"/>
      <c r="E423" s="256"/>
      <c r="F423" s="256"/>
      <c r="G423" s="256"/>
      <c r="H423" s="256"/>
      <c r="I423" s="256"/>
      <c r="J423" s="300"/>
      <c r="K423" s="376"/>
      <c r="L423" s="377"/>
    </row>
    <row r="424" spans="1:12" ht="14.25" customHeight="1">
      <c r="A424" s="619"/>
      <c r="B424" s="253"/>
      <c r="C424" s="516"/>
      <c r="D424" s="256"/>
      <c r="E424" s="256"/>
      <c r="F424" s="256"/>
      <c r="G424" s="256"/>
      <c r="H424" s="256"/>
      <c r="I424" s="256"/>
      <c r="J424" s="300"/>
      <c r="K424" s="376"/>
      <c r="L424" s="377"/>
    </row>
    <row r="425" spans="1:12" ht="14.25" customHeight="1">
      <c r="A425" s="619"/>
      <c r="B425" s="253"/>
      <c r="C425" s="516"/>
      <c r="D425" s="256"/>
      <c r="E425" s="256"/>
      <c r="F425" s="256"/>
      <c r="G425" s="256"/>
      <c r="H425" s="256"/>
      <c r="I425" s="256"/>
      <c r="J425" s="300"/>
      <c r="K425" s="376"/>
      <c r="L425" s="377"/>
    </row>
    <row r="426" spans="1:12" ht="14.25" customHeight="1">
      <c r="A426" s="619"/>
      <c r="B426" s="253"/>
      <c r="C426" s="516"/>
      <c r="D426" s="256"/>
      <c r="E426" s="256"/>
      <c r="F426" s="256"/>
      <c r="G426" s="256"/>
      <c r="H426" s="256"/>
      <c r="I426" s="256"/>
      <c r="J426" s="300"/>
      <c r="K426" s="376"/>
      <c r="L426" s="377"/>
    </row>
    <row r="427" spans="1:12" ht="14.25" customHeight="1">
      <c r="A427" s="619"/>
      <c r="B427" s="253"/>
      <c r="C427" s="516"/>
      <c r="D427" s="256"/>
      <c r="E427" s="256"/>
      <c r="F427" s="256"/>
      <c r="G427" s="256"/>
      <c r="H427" s="256"/>
      <c r="I427" s="256"/>
      <c r="J427" s="300"/>
      <c r="K427" s="376"/>
      <c r="L427" s="377"/>
    </row>
    <row r="428" spans="1:12" ht="14.25" customHeight="1">
      <c r="A428" s="619"/>
      <c r="B428" s="253"/>
      <c r="C428" s="516"/>
      <c r="D428" s="256"/>
      <c r="E428" s="256"/>
      <c r="F428" s="256"/>
      <c r="G428" s="256"/>
      <c r="H428" s="256"/>
      <c r="I428" s="256"/>
      <c r="J428" s="300"/>
      <c r="K428" s="376"/>
      <c r="L428" s="377"/>
    </row>
    <row r="429" spans="1:12" ht="14.25" customHeight="1">
      <c r="A429" s="619"/>
      <c r="B429" s="253"/>
      <c r="C429" s="516"/>
      <c r="D429" s="256"/>
      <c r="E429" s="256"/>
      <c r="F429" s="256"/>
      <c r="G429" s="256"/>
      <c r="H429" s="256"/>
      <c r="I429" s="256"/>
      <c r="J429" s="300"/>
      <c r="K429" s="376"/>
      <c r="L429" s="377"/>
    </row>
    <row r="430" spans="1:12" ht="14.25" customHeight="1">
      <c r="A430" s="619"/>
      <c r="B430" s="253"/>
      <c r="C430" s="516"/>
      <c r="D430" s="256"/>
      <c r="E430" s="256"/>
      <c r="F430" s="256"/>
      <c r="G430" s="256"/>
      <c r="H430" s="256"/>
      <c r="I430" s="256"/>
      <c r="J430" s="300"/>
      <c r="K430" s="376"/>
      <c r="L430" s="377"/>
    </row>
    <row r="431" spans="1:12" ht="14.25" customHeight="1">
      <c r="A431" s="619"/>
      <c r="B431" s="253"/>
      <c r="C431" s="516"/>
      <c r="D431" s="256"/>
      <c r="E431" s="256"/>
      <c r="F431" s="256"/>
      <c r="G431" s="256"/>
      <c r="H431" s="256"/>
      <c r="I431" s="256"/>
      <c r="J431" s="300"/>
      <c r="K431" s="376"/>
      <c r="L431" s="377"/>
    </row>
    <row r="432" spans="1:12" ht="14.25" customHeight="1">
      <c r="A432" s="619"/>
      <c r="B432" s="253"/>
      <c r="C432" s="516"/>
      <c r="D432" s="256"/>
      <c r="E432" s="256"/>
      <c r="F432" s="256"/>
      <c r="G432" s="256"/>
      <c r="H432" s="256"/>
      <c r="I432" s="256"/>
      <c r="J432" s="300"/>
      <c r="K432" s="376"/>
      <c r="L432" s="377"/>
    </row>
    <row r="433" spans="1:12" ht="14.25" customHeight="1">
      <c r="A433" s="619"/>
      <c r="B433" s="253"/>
      <c r="C433" s="516"/>
      <c r="D433" s="256"/>
      <c r="E433" s="256"/>
      <c r="F433" s="256"/>
      <c r="G433" s="256"/>
      <c r="H433" s="256"/>
      <c r="I433" s="256"/>
      <c r="J433" s="300"/>
      <c r="K433" s="376"/>
      <c r="L433" s="377"/>
    </row>
    <row r="434" spans="1:12" ht="14.25" customHeight="1">
      <c r="A434" s="619"/>
      <c r="B434" s="253"/>
      <c r="C434" s="516"/>
      <c r="D434" s="256"/>
      <c r="E434" s="256"/>
      <c r="F434" s="256"/>
      <c r="G434" s="256"/>
      <c r="H434" s="256"/>
      <c r="I434" s="256"/>
      <c r="J434" s="300"/>
      <c r="K434" s="376"/>
      <c r="L434" s="377"/>
    </row>
    <row r="435" spans="1:12" ht="14.25" customHeight="1">
      <c r="A435" s="619"/>
      <c r="B435" s="253"/>
      <c r="C435" s="516"/>
      <c r="D435" s="256"/>
      <c r="E435" s="256"/>
      <c r="F435" s="256"/>
      <c r="G435" s="256"/>
      <c r="H435" s="256"/>
      <c r="I435" s="256"/>
      <c r="J435" s="300"/>
      <c r="K435" s="376"/>
      <c r="L435" s="377"/>
    </row>
    <row r="436" spans="1:12" ht="14.25" customHeight="1">
      <c r="A436" s="619"/>
      <c r="B436" s="253"/>
      <c r="C436" s="516"/>
      <c r="D436" s="256"/>
      <c r="E436" s="256"/>
      <c r="F436" s="256"/>
      <c r="G436" s="256"/>
      <c r="H436" s="256"/>
      <c r="I436" s="256"/>
      <c r="J436" s="300"/>
      <c r="K436" s="376"/>
      <c r="L436" s="377"/>
    </row>
    <row r="437" spans="1:12" ht="14.25" customHeight="1">
      <c r="A437" s="619"/>
      <c r="B437" s="253"/>
      <c r="C437" s="516"/>
      <c r="D437" s="256"/>
      <c r="E437" s="256"/>
      <c r="F437" s="256"/>
      <c r="G437" s="256"/>
      <c r="H437" s="256"/>
      <c r="I437" s="256"/>
      <c r="J437" s="300"/>
      <c r="K437" s="376"/>
      <c r="L437" s="377"/>
    </row>
    <row r="438" spans="1:12" ht="13.5" customHeight="1">
      <c r="A438" s="619"/>
      <c r="B438" s="253"/>
      <c r="C438" s="516"/>
      <c r="D438" s="256"/>
      <c r="E438" s="256"/>
      <c r="F438" s="256"/>
      <c r="G438" s="256"/>
      <c r="H438" s="256"/>
      <c r="I438" s="256"/>
      <c r="J438" s="300"/>
      <c r="K438" s="376"/>
      <c r="L438" s="377"/>
    </row>
    <row r="439" spans="1:12" ht="14.25" customHeight="1">
      <c r="A439" s="619"/>
      <c r="B439" s="253"/>
      <c r="C439" s="516"/>
      <c r="D439" s="256"/>
      <c r="E439" s="256"/>
      <c r="F439" s="256"/>
      <c r="G439" s="256"/>
      <c r="H439" s="256"/>
      <c r="I439" s="256"/>
      <c r="J439" s="300"/>
      <c r="K439" s="376"/>
      <c r="L439" s="377"/>
    </row>
    <row r="440" spans="1:12" ht="14.25" customHeight="1">
      <c r="A440" s="619"/>
      <c r="B440" s="253"/>
      <c r="C440" s="378"/>
      <c r="D440" s="378"/>
      <c r="E440" s="378"/>
      <c r="F440" s="378"/>
      <c r="G440" s="378"/>
      <c r="H440" s="378"/>
      <c r="I440" s="378"/>
      <c r="J440" s="517"/>
      <c r="K440" s="378"/>
      <c r="L440" s="377"/>
    </row>
    <row r="441" spans="1:12" ht="14.25" customHeight="1">
      <c r="A441" s="619"/>
      <c r="B441" s="253"/>
      <c r="C441" s="281" t="s">
        <v>323</v>
      </c>
      <c r="D441" s="256"/>
      <c r="E441" s="256"/>
      <c r="F441" s="256"/>
      <c r="G441" s="256"/>
      <c r="H441" s="256"/>
      <c r="I441" s="256"/>
      <c r="J441" s="300"/>
      <c r="K441" s="376"/>
      <c r="L441" s="377"/>
    </row>
    <row r="442" spans="1:12" ht="14.25" customHeight="1">
      <c r="A442" s="619"/>
      <c r="B442" s="253"/>
      <c r="C442" s="281"/>
      <c r="D442" s="256"/>
      <c r="E442" s="256"/>
      <c r="F442" s="256"/>
      <c r="G442" s="256"/>
      <c r="H442" s="256"/>
      <c r="I442" s="256"/>
      <c r="J442" s="300"/>
      <c r="K442" s="376"/>
      <c r="L442" s="377"/>
    </row>
    <row r="443" spans="1:12" ht="14.25" customHeight="1">
      <c r="A443" s="619"/>
      <c r="B443" s="253"/>
      <c r="C443" s="281"/>
      <c r="D443" s="256"/>
      <c r="E443" s="256"/>
      <c r="F443" s="256"/>
      <c r="G443" s="256"/>
      <c r="H443" s="256"/>
      <c r="I443" s="256"/>
      <c r="J443" s="300"/>
      <c r="K443" s="376"/>
      <c r="L443" s="377"/>
    </row>
    <row r="444" spans="1:12" ht="14.25" customHeight="1">
      <c r="A444" s="619"/>
      <c r="B444" s="253"/>
      <c r="C444" s="281"/>
      <c r="D444" s="256"/>
      <c r="E444" s="256"/>
      <c r="F444" s="256"/>
      <c r="G444" s="256"/>
      <c r="H444" s="256"/>
      <c r="I444" s="256"/>
      <c r="J444" s="300"/>
      <c r="K444" s="376"/>
      <c r="L444" s="377"/>
    </row>
    <row r="445" spans="1:12" ht="14.25" customHeight="1">
      <c r="A445" s="619"/>
      <c r="B445" s="253"/>
      <c r="C445" s="281"/>
      <c r="D445" s="256"/>
      <c r="E445" s="256"/>
      <c r="F445" s="256"/>
      <c r="G445" s="256"/>
      <c r="H445" s="256"/>
      <c r="I445" s="256"/>
      <c r="J445" s="300"/>
      <c r="K445" s="376"/>
      <c r="L445" s="377"/>
    </row>
    <row r="446" spans="1:12" ht="14.25" customHeight="1">
      <c r="A446" s="619"/>
      <c r="B446" s="253"/>
      <c r="C446" s="281"/>
      <c r="D446" s="256"/>
      <c r="E446" s="256"/>
      <c r="F446" s="256"/>
      <c r="G446" s="256"/>
      <c r="H446" s="256"/>
      <c r="I446" s="256"/>
      <c r="J446" s="300"/>
      <c r="K446" s="376"/>
      <c r="L446" s="377"/>
    </row>
    <row r="447" spans="1:12" ht="14.25" customHeight="1">
      <c r="A447" s="619"/>
      <c r="B447" s="253"/>
      <c r="C447" s="281"/>
      <c r="D447" s="256"/>
      <c r="E447" s="256"/>
      <c r="F447" s="256"/>
      <c r="G447" s="256"/>
      <c r="H447" s="256"/>
      <c r="I447" s="256"/>
      <c r="J447" s="300"/>
      <c r="K447" s="376"/>
      <c r="L447" s="377"/>
    </row>
    <row r="448" spans="1:12" ht="14.25" customHeight="1">
      <c r="A448" s="619"/>
      <c r="B448" s="253"/>
      <c r="C448" s="281"/>
      <c r="D448" s="256"/>
      <c r="E448" s="256"/>
      <c r="F448" s="256"/>
      <c r="G448" s="256"/>
      <c r="H448" s="256"/>
      <c r="I448" s="256"/>
      <c r="J448" s="300"/>
      <c r="K448" s="376"/>
      <c r="L448" s="377"/>
    </row>
    <row r="449" spans="1:12" ht="14.25" customHeight="1">
      <c r="A449" s="619"/>
      <c r="B449" s="253"/>
      <c r="C449" s="281"/>
      <c r="D449" s="256"/>
      <c r="E449" s="256"/>
      <c r="F449" s="256"/>
      <c r="G449" s="256"/>
      <c r="H449" s="256"/>
      <c r="I449" s="256"/>
      <c r="J449" s="300"/>
      <c r="K449" s="376"/>
      <c r="L449" s="377"/>
    </row>
    <row r="450" spans="1:12" ht="14.25" customHeight="1">
      <c r="A450" s="619"/>
      <c r="B450" s="253"/>
      <c r="C450" s="281"/>
      <c r="D450" s="256"/>
      <c r="E450" s="256"/>
      <c r="F450" s="256"/>
      <c r="G450" s="256"/>
      <c r="H450" s="256"/>
      <c r="I450" s="256"/>
      <c r="J450" s="300"/>
      <c r="K450" s="376"/>
      <c r="L450" s="377"/>
    </row>
    <row r="451" spans="1:12" ht="14.25" customHeight="1">
      <c r="A451" s="619"/>
      <c r="B451" s="253"/>
      <c r="C451" s="281"/>
      <c r="D451" s="256"/>
      <c r="E451" s="256"/>
      <c r="F451" s="256"/>
      <c r="G451" s="256"/>
      <c r="H451" s="256"/>
      <c r="I451" s="256"/>
      <c r="J451" s="300"/>
      <c r="K451" s="376"/>
      <c r="L451" s="377"/>
    </row>
    <row r="452" spans="1:12" ht="14.25" customHeight="1">
      <c r="A452" s="619"/>
      <c r="B452" s="253"/>
      <c r="C452" s="281"/>
      <c r="D452" s="256"/>
      <c r="E452" s="256"/>
      <c r="F452" s="256"/>
      <c r="G452" s="256"/>
      <c r="H452" s="256"/>
      <c r="I452" s="256"/>
      <c r="J452" s="300"/>
      <c r="K452" s="376"/>
      <c r="L452" s="377"/>
    </row>
    <row r="453" spans="1:12" ht="14.25" customHeight="1">
      <c r="A453" s="619"/>
      <c r="B453" s="253"/>
      <c r="C453" s="281"/>
      <c r="D453" s="256"/>
      <c r="E453" s="256"/>
      <c r="F453" s="256"/>
      <c r="G453" s="256"/>
      <c r="H453" s="256"/>
      <c r="I453" s="256"/>
      <c r="J453" s="300"/>
      <c r="K453" s="376"/>
      <c r="L453" s="377"/>
    </row>
    <row r="454" spans="1:12" ht="14.25" customHeight="1">
      <c r="A454" s="619"/>
      <c r="B454" s="253"/>
      <c r="C454" s="281"/>
      <c r="D454" s="256"/>
      <c r="E454" s="256"/>
      <c r="F454" s="256"/>
      <c r="G454" s="256"/>
      <c r="H454" s="256"/>
      <c r="I454" s="256"/>
      <c r="J454" s="300"/>
      <c r="K454" s="376"/>
      <c r="L454" s="377"/>
    </row>
    <row r="455" spans="1:12" ht="14.25" customHeight="1">
      <c r="A455" s="619"/>
      <c r="B455" s="253"/>
      <c r="C455" s="281"/>
      <c r="D455" s="256"/>
      <c r="E455" s="256"/>
      <c r="F455" s="256"/>
      <c r="G455" s="256"/>
      <c r="H455" s="256"/>
      <c r="I455" s="256"/>
      <c r="J455" s="300"/>
      <c r="K455" s="376"/>
      <c r="L455" s="377"/>
    </row>
    <row r="456" spans="1:12" ht="14.25" customHeight="1">
      <c r="A456" s="619"/>
      <c r="B456" s="253"/>
      <c r="C456" s="281"/>
      <c r="D456" s="256"/>
      <c r="E456" s="256"/>
      <c r="F456" s="256"/>
      <c r="G456" s="256"/>
      <c r="H456" s="256"/>
      <c r="I456" s="256"/>
      <c r="J456" s="300"/>
      <c r="K456" s="376"/>
      <c r="L456" s="377"/>
    </row>
    <row r="457" spans="1:12" ht="14.25" customHeight="1">
      <c r="A457" s="619"/>
      <c r="B457" s="253"/>
      <c r="C457" s="281"/>
      <c r="D457" s="256"/>
      <c r="E457" s="256"/>
      <c r="F457" s="256"/>
      <c r="G457" s="256"/>
      <c r="H457" s="256"/>
      <c r="I457" s="256"/>
      <c r="J457" s="300"/>
      <c r="K457" s="376"/>
      <c r="L457" s="377"/>
    </row>
    <row r="458" spans="1:12" ht="14.25" customHeight="1">
      <c r="A458" s="619"/>
      <c r="B458" s="253"/>
      <c r="C458" s="281"/>
      <c r="D458" s="256"/>
      <c r="E458" s="256"/>
      <c r="F458" s="256"/>
      <c r="G458" s="256"/>
      <c r="H458" s="256"/>
      <c r="I458" s="256"/>
      <c r="J458" s="300"/>
      <c r="K458" s="376"/>
      <c r="L458" s="377"/>
    </row>
    <row r="459" spans="1:12" ht="14.25" customHeight="1">
      <c r="A459" s="619"/>
      <c r="B459" s="253"/>
      <c r="C459" s="281"/>
      <c r="D459" s="256"/>
      <c r="E459" s="256"/>
      <c r="F459" s="256"/>
      <c r="G459" s="256"/>
      <c r="H459" s="256"/>
      <c r="I459" s="256"/>
      <c r="J459" s="300"/>
      <c r="K459" s="376"/>
      <c r="L459" s="377"/>
    </row>
    <row r="460" spans="1:12" ht="14.25" customHeight="1">
      <c r="A460" s="619"/>
      <c r="B460" s="253"/>
      <c r="C460" s="281"/>
      <c r="D460" s="256"/>
      <c r="E460" s="256"/>
      <c r="F460" s="256"/>
      <c r="G460" s="256"/>
      <c r="H460" s="256"/>
      <c r="I460" s="256"/>
      <c r="J460" s="300"/>
      <c r="K460" s="376"/>
      <c r="L460" s="377"/>
    </row>
    <row r="461" spans="1:12" ht="14.25" customHeight="1">
      <c r="A461" s="619"/>
      <c r="B461" s="253"/>
      <c r="C461" s="281"/>
      <c r="D461" s="256"/>
      <c r="E461" s="256"/>
      <c r="F461" s="256"/>
      <c r="G461" s="256"/>
      <c r="H461" s="256"/>
      <c r="I461" s="256"/>
      <c r="J461" s="300"/>
      <c r="K461" s="376"/>
      <c r="L461" s="377"/>
    </row>
    <row r="462" spans="1:12" ht="14.25" customHeight="1">
      <c r="A462" s="619"/>
      <c r="B462" s="253"/>
      <c r="C462" s="281"/>
      <c r="D462" s="256"/>
      <c r="E462" s="256"/>
      <c r="F462" s="256"/>
      <c r="G462" s="256"/>
      <c r="H462" s="256"/>
      <c r="I462" s="256"/>
      <c r="J462" s="300"/>
      <c r="K462" s="376"/>
      <c r="L462" s="377"/>
    </row>
    <row r="463" spans="1:12" ht="14.25" customHeight="1">
      <c r="A463" s="619"/>
      <c r="B463" s="253"/>
      <c r="C463" s="281"/>
      <c r="D463" s="256"/>
      <c r="E463" s="256"/>
      <c r="F463" s="256"/>
      <c r="G463" s="256"/>
      <c r="H463" s="256"/>
      <c r="I463" s="256"/>
      <c r="J463" s="300"/>
      <c r="K463" s="376"/>
      <c r="L463" s="377"/>
    </row>
    <row r="464" spans="1:12" ht="14.25" customHeight="1">
      <c r="A464" s="619"/>
      <c r="B464" s="253"/>
      <c r="C464" s="281"/>
      <c r="D464" s="256"/>
      <c r="E464" s="256"/>
      <c r="F464" s="256"/>
      <c r="G464" s="256"/>
      <c r="H464" s="256"/>
      <c r="I464" s="256"/>
      <c r="J464" s="300"/>
      <c r="K464" s="376"/>
      <c r="L464" s="377"/>
    </row>
    <row r="465" spans="1:12" ht="14.25" customHeight="1">
      <c r="A465" s="619"/>
      <c r="B465" s="253"/>
      <c r="C465" s="281"/>
      <c r="D465" s="256"/>
      <c r="E465" s="256"/>
      <c r="F465" s="256"/>
      <c r="G465" s="256"/>
      <c r="H465" s="256"/>
      <c r="I465" s="256"/>
      <c r="J465" s="300"/>
      <c r="K465" s="376"/>
      <c r="L465" s="377"/>
    </row>
    <row r="466" spans="1:12" ht="14.25" customHeight="1">
      <c r="A466" s="619"/>
      <c r="B466" s="253"/>
      <c r="C466" s="281"/>
      <c r="D466" s="256"/>
      <c r="E466" s="256"/>
      <c r="F466" s="256"/>
      <c r="G466" s="256"/>
      <c r="H466" s="256"/>
      <c r="I466" s="256"/>
      <c r="J466" s="300"/>
      <c r="K466" s="376"/>
      <c r="L466" s="377"/>
    </row>
    <row r="467" spans="1:12" ht="14.25" customHeight="1">
      <c r="A467" s="619"/>
      <c r="B467" s="253"/>
      <c r="C467" s="281"/>
      <c r="D467" s="256"/>
      <c r="E467" s="256"/>
      <c r="F467" s="256"/>
      <c r="G467" s="256"/>
      <c r="H467" s="256"/>
      <c r="I467" s="256"/>
      <c r="J467" s="300"/>
      <c r="K467" s="376"/>
      <c r="L467" s="377"/>
    </row>
    <row r="468" spans="1:12" ht="14.25" customHeight="1">
      <c r="A468" s="619"/>
      <c r="B468" s="253"/>
      <c r="C468" s="281"/>
      <c r="D468" s="256"/>
      <c r="E468" s="256"/>
      <c r="F468" s="256"/>
      <c r="G468" s="256"/>
      <c r="H468" s="256"/>
      <c r="I468" s="256"/>
      <c r="J468" s="300"/>
      <c r="K468" s="376"/>
      <c r="L468" s="377"/>
    </row>
    <row r="469" spans="1:12" ht="14.25" customHeight="1">
      <c r="A469" s="619"/>
      <c r="B469" s="253"/>
      <c r="C469" s="281"/>
      <c r="D469" s="256"/>
      <c r="E469" s="256"/>
      <c r="F469" s="256"/>
      <c r="G469" s="256"/>
      <c r="H469" s="256"/>
      <c r="I469" s="256"/>
      <c r="J469" s="300"/>
      <c r="K469" s="376"/>
      <c r="L469" s="377"/>
    </row>
    <row r="470" spans="1:12" ht="14.25" customHeight="1">
      <c r="A470" s="619"/>
      <c r="B470" s="253"/>
      <c r="C470" s="281"/>
      <c r="D470" s="256"/>
      <c r="E470" s="256"/>
      <c r="F470" s="256"/>
      <c r="G470" s="256"/>
      <c r="H470" s="256"/>
      <c r="I470" s="256"/>
      <c r="J470" s="300"/>
      <c r="K470" s="376"/>
      <c r="L470" s="377"/>
    </row>
    <row r="471" spans="1:12" ht="14.25" customHeight="1">
      <c r="A471" s="619"/>
      <c r="B471" s="253"/>
      <c r="C471" s="281"/>
      <c r="D471" s="256"/>
      <c r="E471" s="256"/>
      <c r="F471" s="256"/>
      <c r="G471" s="256"/>
      <c r="H471" s="256"/>
      <c r="I471" s="256"/>
      <c r="J471" s="300"/>
      <c r="K471" s="376"/>
      <c r="L471" s="377"/>
    </row>
    <row r="472" spans="1:12" ht="14.25" customHeight="1">
      <c r="A472" s="619"/>
      <c r="B472" s="253"/>
      <c r="C472" s="281"/>
      <c r="D472" s="256"/>
      <c r="E472" s="256"/>
      <c r="F472" s="256"/>
      <c r="G472" s="256"/>
      <c r="H472" s="256"/>
      <c r="I472" s="256"/>
      <c r="J472" s="300"/>
      <c r="K472" s="376"/>
      <c r="L472" s="377"/>
    </row>
    <row r="473" spans="1:12" ht="14.25" customHeight="1">
      <c r="A473" s="619"/>
      <c r="B473" s="253"/>
      <c r="C473" s="281"/>
      <c r="D473" s="256"/>
      <c r="E473" s="256"/>
      <c r="F473" s="256"/>
      <c r="G473" s="256"/>
      <c r="H473" s="256"/>
      <c r="I473" s="256"/>
      <c r="J473" s="300"/>
      <c r="K473" s="376"/>
      <c r="L473" s="377"/>
    </row>
    <row r="474" spans="1:12" ht="14.25" customHeight="1">
      <c r="A474" s="619"/>
      <c r="B474" s="253"/>
      <c r="C474" s="281"/>
      <c r="D474" s="256"/>
      <c r="E474" s="256"/>
      <c r="F474" s="256"/>
      <c r="G474" s="256"/>
      <c r="H474" s="256"/>
      <c r="I474" s="256"/>
      <c r="J474" s="300"/>
      <c r="K474" s="376"/>
      <c r="L474" s="377"/>
    </row>
    <row r="475" spans="1:12" ht="14.25" customHeight="1">
      <c r="A475" s="619"/>
      <c r="B475" s="253"/>
      <c r="C475" s="281"/>
      <c r="D475" s="256"/>
      <c r="E475" s="256"/>
      <c r="F475" s="256"/>
      <c r="G475" s="256"/>
      <c r="H475" s="256"/>
      <c r="I475" s="256"/>
      <c r="J475" s="300"/>
      <c r="K475" s="376"/>
      <c r="L475" s="377"/>
    </row>
    <row r="476" spans="1:12" ht="14.25" customHeight="1">
      <c r="A476" s="619"/>
      <c r="B476" s="253"/>
      <c r="C476" s="281"/>
      <c r="D476" s="256"/>
      <c r="E476" s="256"/>
      <c r="F476" s="256"/>
      <c r="G476" s="256"/>
      <c r="H476" s="256"/>
      <c r="I476" s="256"/>
      <c r="J476" s="300"/>
      <c r="K476" s="376"/>
      <c r="L476" s="377"/>
    </row>
    <row r="477" spans="1:12" ht="14.25" customHeight="1">
      <c r="A477" s="619"/>
      <c r="B477" s="253"/>
      <c r="C477" s="281"/>
      <c r="D477" s="256"/>
      <c r="E477" s="256"/>
      <c r="F477" s="256"/>
      <c r="G477" s="256"/>
      <c r="H477" s="256"/>
      <c r="I477" s="256"/>
      <c r="J477" s="300"/>
      <c r="K477" s="376"/>
      <c r="L477" s="377"/>
    </row>
    <row r="478" spans="1:12" ht="14.25" customHeight="1">
      <c r="A478" s="619"/>
      <c r="B478" s="253"/>
      <c r="C478" s="281"/>
      <c r="D478" s="256"/>
      <c r="E478" s="256"/>
      <c r="F478" s="256"/>
      <c r="G478" s="256"/>
      <c r="H478" s="256"/>
      <c r="I478" s="256"/>
      <c r="J478" s="300"/>
      <c r="K478" s="376"/>
      <c r="L478" s="377"/>
    </row>
    <row r="479" spans="1:12" ht="14.25" customHeight="1">
      <c r="A479" s="619"/>
      <c r="B479" s="253"/>
      <c r="C479" s="281"/>
      <c r="D479" s="256"/>
      <c r="E479" s="256"/>
      <c r="F479" s="256"/>
      <c r="G479" s="256"/>
      <c r="H479" s="256"/>
      <c r="I479" s="256"/>
      <c r="J479" s="300"/>
      <c r="K479" s="376"/>
      <c r="L479" s="377"/>
    </row>
    <row r="480" spans="1:12" ht="14.25" customHeight="1">
      <c r="A480" s="619"/>
      <c r="B480" s="253"/>
      <c r="C480" s="281"/>
      <c r="D480" s="256"/>
      <c r="E480" s="256"/>
      <c r="F480" s="256"/>
      <c r="G480" s="256"/>
      <c r="H480" s="256"/>
      <c r="I480" s="256"/>
      <c r="J480" s="300"/>
      <c r="K480" s="376"/>
      <c r="L480" s="377"/>
    </row>
    <row r="481" spans="1:12" ht="14.25" customHeight="1">
      <c r="A481" s="619"/>
      <c r="B481" s="253"/>
      <c r="C481" s="281"/>
      <c r="D481" s="256"/>
      <c r="E481" s="256"/>
      <c r="F481" s="256"/>
      <c r="G481" s="256"/>
      <c r="H481" s="256"/>
      <c r="I481" s="256"/>
      <c r="J481" s="300"/>
      <c r="K481" s="376"/>
      <c r="L481" s="377"/>
    </row>
    <row r="482" spans="1:12" ht="14.25" customHeight="1">
      <c r="A482" s="619"/>
      <c r="B482" s="253"/>
      <c r="C482" s="281"/>
      <c r="D482" s="256"/>
      <c r="E482" s="256"/>
      <c r="F482" s="256"/>
      <c r="G482" s="256"/>
      <c r="H482" s="256"/>
      <c r="I482" s="256"/>
      <c r="J482" s="300"/>
      <c r="K482" s="376"/>
      <c r="L482" s="377"/>
    </row>
    <row r="483" spans="1:12" ht="14.25" customHeight="1">
      <c r="A483" s="619"/>
      <c r="B483" s="253"/>
      <c r="C483" s="378"/>
      <c r="D483" s="388"/>
      <c r="E483" s="388"/>
      <c r="F483" s="388"/>
      <c r="G483" s="388"/>
      <c r="H483" s="388"/>
      <c r="I483" s="388"/>
      <c r="J483" s="518"/>
      <c r="K483" s="258"/>
      <c r="L483" s="377"/>
    </row>
    <row r="484" spans="1:12" ht="14.25" customHeight="1">
      <c r="A484" s="619"/>
      <c r="B484" s="253"/>
      <c r="C484" s="281" t="s">
        <v>341</v>
      </c>
      <c r="D484" s="256"/>
      <c r="E484" s="256"/>
      <c r="F484" s="256"/>
      <c r="G484" s="256"/>
      <c r="H484" s="256"/>
      <c r="I484" s="256"/>
      <c r="J484" s="300"/>
      <c r="K484" s="376"/>
      <c r="L484" s="377"/>
    </row>
    <row r="485" spans="1:12" ht="14.25" customHeight="1">
      <c r="A485" s="619"/>
      <c r="B485" s="253"/>
      <c r="C485" s="281"/>
      <c r="D485" s="256"/>
      <c r="E485" s="256"/>
      <c r="F485" s="256"/>
      <c r="G485" s="256"/>
      <c r="H485" s="256"/>
      <c r="I485" s="256"/>
      <c r="J485" s="300"/>
      <c r="K485" s="376"/>
      <c r="L485" s="377"/>
    </row>
    <row r="486" spans="1:12" ht="14.25" customHeight="1">
      <c r="A486" s="619"/>
      <c r="B486" s="253"/>
      <c r="C486" s="281"/>
      <c r="D486" s="256"/>
      <c r="E486" s="256"/>
      <c r="F486" s="256"/>
      <c r="G486" s="256"/>
      <c r="H486" s="256"/>
      <c r="I486" s="256"/>
      <c r="J486" s="300"/>
      <c r="K486" s="376"/>
      <c r="L486" s="377"/>
    </row>
    <row r="487" spans="1:12" ht="14.25" customHeight="1">
      <c r="A487" s="619"/>
      <c r="B487" s="253"/>
      <c r="C487" s="281"/>
      <c r="D487" s="256"/>
      <c r="E487" s="256"/>
      <c r="F487" s="256"/>
      <c r="G487" s="256"/>
      <c r="H487" s="256"/>
      <c r="I487" s="256"/>
      <c r="J487" s="300"/>
      <c r="K487" s="376"/>
      <c r="L487" s="377"/>
    </row>
    <row r="488" spans="1:12" ht="14.25" customHeight="1">
      <c r="A488" s="619"/>
      <c r="B488" s="253"/>
      <c r="C488" s="281"/>
      <c r="D488" s="256"/>
      <c r="E488" s="256"/>
      <c r="F488" s="256"/>
      <c r="G488" s="256"/>
      <c r="H488" s="256"/>
      <c r="I488" s="256"/>
      <c r="J488" s="300"/>
      <c r="K488" s="376"/>
      <c r="L488" s="377"/>
    </row>
    <row r="489" spans="1:12" ht="14.25" customHeight="1">
      <c r="A489" s="619"/>
      <c r="B489" s="253"/>
      <c r="C489" s="281"/>
      <c r="D489" s="256"/>
      <c r="E489" s="256"/>
      <c r="F489" s="256"/>
      <c r="G489" s="256"/>
      <c r="H489" s="256"/>
      <c r="I489" s="256"/>
      <c r="J489" s="300"/>
      <c r="K489" s="376"/>
      <c r="L489" s="377"/>
    </row>
    <row r="490" spans="1:12" ht="14.25" customHeight="1">
      <c r="A490" s="619"/>
      <c r="B490" s="253"/>
      <c r="C490" s="281"/>
      <c r="D490" s="256"/>
      <c r="E490" s="256"/>
      <c r="F490" s="256"/>
      <c r="G490" s="256"/>
      <c r="H490" s="256"/>
      <c r="I490" s="256"/>
      <c r="J490" s="300"/>
      <c r="K490" s="376"/>
      <c r="L490" s="377"/>
    </row>
    <row r="491" spans="1:12" ht="14.25" customHeight="1">
      <c r="A491" s="619"/>
      <c r="B491" s="253"/>
      <c r="C491" s="281"/>
      <c r="D491" s="256"/>
      <c r="E491" s="256"/>
      <c r="F491" s="256"/>
      <c r="G491" s="256"/>
      <c r="H491" s="256"/>
      <c r="I491" s="256"/>
      <c r="J491" s="300"/>
      <c r="K491" s="376"/>
      <c r="L491" s="377"/>
    </row>
    <row r="492" spans="1:12" ht="14.25" customHeight="1">
      <c r="A492" s="619"/>
      <c r="B492" s="253"/>
      <c r="C492" s="281"/>
      <c r="D492" s="256"/>
      <c r="E492" s="256"/>
      <c r="F492" s="256"/>
      <c r="G492" s="256"/>
      <c r="H492" s="256"/>
      <c r="I492" s="256"/>
      <c r="J492" s="300"/>
      <c r="K492" s="376"/>
      <c r="L492" s="377"/>
    </row>
    <row r="493" spans="1:12" ht="14.25" customHeight="1">
      <c r="A493" s="619"/>
      <c r="B493" s="253"/>
      <c r="C493" s="281"/>
      <c r="D493" s="256"/>
      <c r="E493" s="256"/>
      <c r="F493" s="256"/>
      <c r="G493" s="256"/>
      <c r="H493" s="256"/>
      <c r="I493" s="256"/>
      <c r="J493" s="300"/>
      <c r="K493" s="376"/>
      <c r="L493" s="377"/>
    </row>
    <row r="494" spans="1:12" ht="14.25" customHeight="1">
      <c r="A494" s="619"/>
      <c r="B494" s="253"/>
      <c r="C494" s="281"/>
      <c r="D494" s="256"/>
      <c r="E494" s="256"/>
      <c r="F494" s="256"/>
      <c r="G494" s="256"/>
      <c r="H494" s="256"/>
      <c r="I494" s="256"/>
      <c r="J494" s="300"/>
      <c r="K494" s="376"/>
      <c r="L494" s="377"/>
    </row>
    <row r="495" spans="1:12" ht="14.25" customHeight="1">
      <c r="A495" s="619"/>
      <c r="B495" s="253"/>
      <c r="C495" s="281"/>
      <c r="D495" s="256"/>
      <c r="E495" s="256"/>
      <c r="F495" s="256"/>
      <c r="G495" s="256"/>
      <c r="H495" s="256"/>
      <c r="I495" s="256"/>
      <c r="J495" s="300"/>
      <c r="K495" s="376"/>
      <c r="L495" s="377"/>
    </row>
    <row r="496" spans="1:12" ht="14.25" customHeight="1">
      <c r="A496" s="619"/>
      <c r="B496" s="253"/>
      <c r="C496" s="281"/>
      <c r="D496" s="256"/>
      <c r="E496" s="256"/>
      <c r="F496" s="256"/>
      <c r="G496" s="256"/>
      <c r="H496" s="256"/>
      <c r="I496" s="256"/>
      <c r="J496" s="300"/>
      <c r="K496" s="376"/>
      <c r="L496" s="377"/>
    </row>
    <row r="497" spans="1:12" ht="14.25" customHeight="1">
      <c r="A497" s="619"/>
      <c r="B497" s="253"/>
      <c r="C497" s="281"/>
      <c r="D497" s="256"/>
      <c r="E497" s="256"/>
      <c r="F497" s="256"/>
      <c r="G497" s="256"/>
      <c r="H497" s="256"/>
      <c r="I497" s="256"/>
      <c r="J497" s="300"/>
      <c r="K497" s="376"/>
      <c r="L497" s="377"/>
    </row>
    <row r="498" spans="1:12" ht="14.25" customHeight="1">
      <c r="A498" s="619"/>
      <c r="B498" s="253"/>
      <c r="C498" s="281"/>
      <c r="D498" s="256"/>
      <c r="E498" s="256"/>
      <c r="F498" s="256"/>
      <c r="G498" s="256"/>
      <c r="H498" s="256"/>
      <c r="I498" s="256"/>
      <c r="J498" s="300"/>
      <c r="K498" s="376"/>
      <c r="L498" s="377"/>
    </row>
    <row r="499" spans="1:12" ht="14.25" customHeight="1">
      <c r="A499" s="619"/>
      <c r="B499" s="253"/>
      <c r="C499" s="281"/>
      <c r="D499" s="256"/>
      <c r="E499" s="256"/>
      <c r="F499" s="256"/>
      <c r="G499" s="256"/>
      <c r="H499" s="256"/>
      <c r="I499" s="256"/>
      <c r="J499" s="300"/>
      <c r="K499" s="376"/>
      <c r="L499" s="377"/>
    </row>
    <row r="500" spans="1:12" ht="14.25" customHeight="1">
      <c r="A500" s="619"/>
      <c r="B500" s="253"/>
      <c r="C500" s="281"/>
      <c r="D500" s="256"/>
      <c r="E500" s="256"/>
      <c r="F500" s="256"/>
      <c r="G500" s="256"/>
      <c r="H500" s="256"/>
      <c r="I500" s="256"/>
      <c r="J500" s="300"/>
      <c r="K500" s="376"/>
      <c r="L500" s="377"/>
    </row>
    <row r="501" spans="1:12" ht="14.25" customHeight="1">
      <c r="A501" s="619"/>
      <c r="B501" s="253"/>
      <c r="C501" s="281"/>
      <c r="D501" s="256"/>
      <c r="E501" s="256"/>
      <c r="F501" s="256"/>
      <c r="G501" s="256"/>
      <c r="H501" s="256"/>
      <c r="I501" s="256"/>
      <c r="J501" s="300"/>
      <c r="K501" s="376"/>
      <c r="L501" s="377"/>
    </row>
    <row r="502" spans="1:12" ht="14.25" customHeight="1">
      <c r="A502" s="619"/>
      <c r="B502" s="253"/>
      <c r="C502" s="259"/>
      <c r="D502" s="256"/>
      <c r="E502" s="256"/>
      <c r="F502" s="256"/>
      <c r="G502" s="256"/>
      <c r="H502" s="256"/>
      <c r="I502" s="256"/>
      <c r="J502" s="256"/>
      <c r="K502" s="376"/>
      <c r="L502" s="377"/>
    </row>
    <row r="503" spans="1:12" ht="14.25" customHeight="1">
      <c r="A503" s="619"/>
      <c r="B503" s="253"/>
      <c r="C503" s="378"/>
      <c r="D503" s="388"/>
      <c r="E503" s="388"/>
      <c r="F503" s="388"/>
      <c r="G503" s="388"/>
      <c r="H503" s="388"/>
      <c r="I503" s="388"/>
      <c r="J503" s="518"/>
      <c r="K503" s="258"/>
      <c r="L503" s="377"/>
    </row>
    <row r="504" spans="1:12" ht="14.25" customHeight="1">
      <c r="A504" s="619"/>
      <c r="B504" s="253"/>
      <c r="C504" s="281" t="s">
        <v>346</v>
      </c>
      <c r="D504" s="256"/>
      <c r="E504" s="256"/>
      <c r="F504" s="256"/>
      <c r="G504" s="256"/>
      <c r="H504" s="256"/>
      <c r="I504" s="256"/>
      <c r="J504" s="300"/>
      <c r="K504" s="376"/>
      <c r="L504" s="377"/>
    </row>
    <row r="505" spans="1:12" ht="14.25" customHeight="1">
      <c r="A505" s="619"/>
      <c r="B505" s="253"/>
      <c r="C505" s="281"/>
      <c r="D505" s="256"/>
      <c r="E505" s="256"/>
      <c r="F505" s="256"/>
      <c r="G505" s="256"/>
      <c r="H505" s="256"/>
      <c r="I505" s="256"/>
      <c r="J505" s="300"/>
      <c r="K505" s="376"/>
      <c r="L505" s="377"/>
    </row>
    <row r="506" spans="1:12" ht="14.25" customHeight="1">
      <c r="A506" s="619"/>
      <c r="B506" s="253"/>
      <c r="C506" s="281"/>
      <c r="D506" s="256"/>
      <c r="E506" s="256"/>
      <c r="F506" s="256"/>
      <c r="G506" s="256"/>
      <c r="H506" s="256"/>
      <c r="I506" s="256"/>
      <c r="J506" s="300"/>
      <c r="K506" s="376"/>
      <c r="L506" s="377"/>
    </row>
    <row r="507" spans="1:12" ht="14.25" customHeight="1">
      <c r="A507" s="619"/>
      <c r="B507" s="253"/>
      <c r="C507" s="281"/>
      <c r="D507" s="256"/>
      <c r="E507" s="256"/>
      <c r="F507" s="256"/>
      <c r="G507" s="256"/>
      <c r="H507" s="256"/>
      <c r="I507" s="256"/>
      <c r="J507" s="300"/>
      <c r="K507" s="376"/>
      <c r="L507" s="377"/>
    </row>
    <row r="508" spans="1:12" ht="14.25" customHeight="1">
      <c r="A508" s="619"/>
      <c r="B508" s="253"/>
      <c r="C508" s="281"/>
      <c r="D508" s="256"/>
      <c r="E508" s="256"/>
      <c r="F508" s="256"/>
      <c r="G508" s="256"/>
      <c r="H508" s="256"/>
      <c r="I508" s="256"/>
      <c r="J508" s="300"/>
      <c r="K508" s="376"/>
      <c r="L508" s="377"/>
    </row>
    <row r="509" spans="1:12" ht="14.25" customHeight="1">
      <c r="A509" s="619"/>
      <c r="B509" s="253"/>
      <c r="C509" s="281"/>
      <c r="D509" s="256"/>
      <c r="E509" s="256"/>
      <c r="F509" s="256"/>
      <c r="G509" s="256"/>
      <c r="H509" s="256"/>
      <c r="I509" s="256"/>
      <c r="J509" s="300"/>
      <c r="K509" s="376"/>
      <c r="L509" s="377"/>
    </row>
    <row r="510" spans="1:12" ht="14.25" customHeight="1">
      <c r="A510" s="619"/>
      <c r="B510" s="253"/>
      <c r="C510" s="281"/>
      <c r="D510" s="256"/>
      <c r="E510" s="256"/>
      <c r="F510" s="256"/>
      <c r="G510" s="256"/>
      <c r="H510" s="256"/>
      <c r="I510" s="256"/>
      <c r="J510" s="300"/>
      <c r="K510" s="376"/>
      <c r="L510" s="377"/>
    </row>
    <row r="511" spans="1:12" ht="14.25" customHeight="1">
      <c r="A511" s="619"/>
      <c r="B511" s="253"/>
      <c r="C511" s="281"/>
      <c r="D511" s="256"/>
      <c r="E511" s="256"/>
      <c r="F511" s="256"/>
      <c r="G511" s="256"/>
      <c r="H511" s="256"/>
      <c r="I511" s="256"/>
      <c r="J511" s="300"/>
      <c r="K511" s="376"/>
      <c r="L511" s="377"/>
    </row>
    <row r="512" spans="1:12" ht="14.25" customHeight="1">
      <c r="A512" s="619"/>
      <c r="B512" s="253"/>
      <c r="C512" s="281"/>
      <c r="D512" s="256"/>
      <c r="E512" s="256"/>
      <c r="F512" s="256"/>
      <c r="G512" s="256"/>
      <c r="H512" s="256"/>
      <c r="I512" s="256"/>
      <c r="J512" s="300"/>
      <c r="K512" s="376"/>
      <c r="L512" s="377"/>
    </row>
    <row r="513" spans="1:12" ht="14.25" customHeight="1">
      <c r="A513" s="619"/>
      <c r="B513" s="253"/>
      <c r="C513" s="281"/>
      <c r="D513" s="256"/>
      <c r="E513" s="256"/>
      <c r="F513" s="256"/>
      <c r="G513" s="256"/>
      <c r="H513" s="256"/>
      <c r="I513" s="256"/>
      <c r="J513" s="300"/>
      <c r="K513" s="376"/>
      <c r="L513" s="377"/>
    </row>
    <row r="514" spans="1:12" ht="14.25" customHeight="1">
      <c r="A514" s="619"/>
      <c r="B514" s="253"/>
      <c r="C514" s="281"/>
      <c r="D514" s="256"/>
      <c r="E514" s="256"/>
      <c r="F514" s="256"/>
      <c r="G514" s="256"/>
      <c r="H514" s="256"/>
      <c r="I514" s="256"/>
      <c r="J514" s="300"/>
      <c r="K514" s="376"/>
      <c r="L514" s="377"/>
    </row>
    <row r="515" spans="1:12" ht="14.25" customHeight="1">
      <c r="A515" s="619"/>
      <c r="B515" s="253"/>
      <c r="C515" s="281"/>
      <c r="D515" s="256"/>
      <c r="E515" s="256"/>
      <c r="F515" s="256"/>
      <c r="G515" s="256"/>
      <c r="H515" s="256"/>
      <c r="I515" s="256"/>
      <c r="J515" s="300"/>
      <c r="K515" s="376"/>
      <c r="L515" s="377"/>
    </row>
    <row r="516" spans="1:12" ht="14.25" customHeight="1">
      <c r="A516" s="619"/>
      <c r="B516" s="253"/>
      <c r="C516" s="281"/>
      <c r="D516" s="256"/>
      <c r="E516" s="256"/>
      <c r="F516" s="256"/>
      <c r="G516" s="256"/>
      <c r="H516" s="256"/>
      <c r="I516" s="256"/>
      <c r="J516" s="300"/>
      <c r="K516" s="376"/>
      <c r="L516" s="377"/>
    </row>
    <row r="517" spans="1:12" ht="14.25" customHeight="1">
      <c r="A517" s="619"/>
      <c r="B517" s="253"/>
      <c r="C517" s="281"/>
      <c r="D517" s="256"/>
      <c r="E517" s="256"/>
      <c r="F517" s="256"/>
      <c r="G517" s="256"/>
      <c r="H517" s="256"/>
      <c r="I517" s="256"/>
      <c r="J517" s="300"/>
      <c r="K517" s="376"/>
      <c r="L517" s="377"/>
    </row>
    <row r="518" spans="1:12" ht="14.25" customHeight="1">
      <c r="A518" s="619"/>
      <c r="B518" s="253"/>
      <c r="C518" s="281"/>
      <c r="D518" s="256"/>
      <c r="E518" s="256"/>
      <c r="F518" s="256"/>
      <c r="G518" s="256"/>
      <c r="H518" s="256"/>
      <c r="I518" s="256"/>
      <c r="J518" s="300"/>
      <c r="K518" s="376"/>
      <c r="L518" s="377"/>
    </row>
    <row r="519" spans="1:12" ht="14.25" customHeight="1">
      <c r="A519" s="619"/>
      <c r="B519" s="253"/>
      <c r="C519" s="281"/>
      <c r="D519" s="256"/>
      <c r="E519" s="256"/>
      <c r="F519" s="256"/>
      <c r="G519" s="256"/>
      <c r="H519" s="256"/>
      <c r="I519" s="256"/>
      <c r="J519" s="300"/>
      <c r="K519" s="376"/>
      <c r="L519" s="377"/>
    </row>
    <row r="520" spans="1:12" ht="14.25" customHeight="1">
      <c r="A520" s="619"/>
      <c r="B520" s="253"/>
      <c r="C520" s="281"/>
      <c r="D520" s="256"/>
      <c r="E520" s="256"/>
      <c r="F520" s="256"/>
      <c r="G520" s="256"/>
      <c r="H520" s="256"/>
      <c r="I520" s="256"/>
      <c r="J520" s="300"/>
      <c r="K520" s="376"/>
      <c r="L520" s="377"/>
    </row>
    <row r="521" spans="1:12" ht="14.25" customHeight="1">
      <c r="A521" s="619"/>
      <c r="B521" s="253"/>
      <c r="C521" s="281"/>
      <c r="D521" s="256"/>
      <c r="E521" s="256"/>
      <c r="F521" s="256"/>
      <c r="G521" s="256"/>
      <c r="H521" s="256"/>
      <c r="I521" s="256"/>
      <c r="J521" s="300"/>
      <c r="K521" s="376"/>
      <c r="L521" s="377"/>
    </row>
    <row r="522" spans="1:12" ht="14.25" customHeight="1">
      <c r="A522" s="619"/>
      <c r="B522" s="253"/>
      <c r="C522" s="378"/>
      <c r="D522" s="388"/>
      <c r="E522" s="388"/>
      <c r="F522" s="388"/>
      <c r="G522" s="388"/>
      <c r="H522" s="388"/>
      <c r="I522" s="388"/>
      <c r="J522" s="518"/>
      <c r="K522" s="258"/>
      <c r="L522" s="377"/>
    </row>
    <row r="523" spans="1:12" ht="14.25" customHeight="1">
      <c r="A523" s="619"/>
      <c r="B523" s="253"/>
      <c r="C523" s="281" t="s">
        <v>742</v>
      </c>
      <c r="D523" s="256"/>
      <c r="E523" s="256"/>
      <c r="F523" s="256"/>
      <c r="G523" s="256"/>
      <c r="H523" s="256"/>
      <c r="I523" s="256"/>
      <c r="J523" s="300"/>
      <c r="K523" s="376"/>
      <c r="L523" s="377"/>
    </row>
    <row r="524" spans="1:12" ht="14.25" customHeight="1">
      <c r="A524" s="619"/>
      <c r="B524" s="253"/>
      <c r="C524" s="281"/>
      <c r="D524" s="256"/>
      <c r="E524" s="256"/>
      <c r="F524" s="256"/>
      <c r="G524" s="256"/>
      <c r="H524" s="256"/>
      <c r="I524" s="256"/>
      <c r="J524" s="300"/>
      <c r="K524" s="376"/>
      <c r="L524" s="377"/>
    </row>
    <row r="525" spans="1:12" ht="14.25" customHeight="1">
      <c r="A525" s="619"/>
      <c r="B525" s="253"/>
      <c r="C525" s="281"/>
      <c r="D525" s="256"/>
      <c r="E525" s="256"/>
      <c r="F525" s="256"/>
      <c r="G525" s="256"/>
      <c r="H525" s="256"/>
      <c r="I525" s="256"/>
      <c r="J525" s="300"/>
      <c r="K525" s="376"/>
      <c r="L525" s="377"/>
    </row>
    <row r="526" spans="1:12" ht="14.25" customHeight="1">
      <c r="A526" s="619"/>
      <c r="B526" s="253"/>
      <c r="C526" s="281"/>
      <c r="D526" s="256"/>
      <c r="E526" s="256"/>
      <c r="F526" s="256"/>
      <c r="G526" s="256"/>
      <c r="H526" s="256"/>
      <c r="I526" s="256"/>
      <c r="J526" s="300"/>
      <c r="K526" s="376"/>
      <c r="L526" s="377"/>
    </row>
    <row r="527" spans="1:12" ht="14.25" customHeight="1">
      <c r="A527" s="619"/>
      <c r="B527" s="253"/>
      <c r="C527" s="281"/>
      <c r="D527" s="256"/>
      <c r="E527" s="256"/>
      <c r="F527" s="256"/>
      <c r="G527" s="256"/>
      <c r="H527" s="256"/>
      <c r="I527" s="256"/>
      <c r="J527" s="300"/>
      <c r="K527" s="376"/>
      <c r="L527" s="377"/>
    </row>
    <row r="528" spans="1:12" ht="14.25" customHeight="1">
      <c r="A528" s="619"/>
      <c r="B528" s="253"/>
      <c r="C528" s="281"/>
      <c r="D528" s="256"/>
      <c r="E528" s="256"/>
      <c r="F528" s="256"/>
      <c r="G528" s="256"/>
      <c r="H528" s="256"/>
      <c r="I528" s="256"/>
      <c r="J528" s="300"/>
      <c r="K528" s="376"/>
      <c r="L528" s="377"/>
    </row>
    <row r="529" spans="1:12" ht="14.25" customHeight="1">
      <c r="A529" s="619"/>
      <c r="B529" s="253"/>
      <c r="C529" s="281"/>
      <c r="D529" s="256"/>
      <c r="E529" s="256"/>
      <c r="F529" s="256"/>
      <c r="G529" s="256"/>
      <c r="H529" s="256"/>
      <c r="I529" s="256"/>
      <c r="J529" s="300"/>
      <c r="K529" s="376"/>
      <c r="L529" s="377"/>
    </row>
    <row r="530" spans="1:12" ht="14.25" customHeight="1">
      <c r="A530" s="619"/>
      <c r="B530" s="253"/>
      <c r="C530" s="281"/>
      <c r="D530" s="256"/>
      <c r="E530" s="256"/>
      <c r="F530" s="256"/>
      <c r="G530" s="256"/>
      <c r="H530" s="256"/>
      <c r="I530" s="256"/>
      <c r="J530" s="300"/>
      <c r="K530" s="376"/>
      <c r="L530" s="377"/>
    </row>
    <row r="531" spans="1:12" ht="14.25" customHeight="1">
      <c r="A531" s="619"/>
      <c r="B531" s="253"/>
      <c r="C531" s="281"/>
      <c r="D531" s="256"/>
      <c r="E531" s="256"/>
      <c r="F531" s="256"/>
      <c r="G531" s="256"/>
      <c r="H531" s="256"/>
      <c r="I531" s="256"/>
      <c r="J531" s="300"/>
      <c r="K531" s="376"/>
      <c r="L531" s="377"/>
    </row>
    <row r="532" spans="1:12" ht="14.25" customHeight="1">
      <c r="A532" s="619"/>
      <c r="B532" s="253"/>
      <c r="C532" s="281"/>
      <c r="D532" s="256"/>
      <c r="E532" s="256"/>
      <c r="F532" s="256"/>
      <c r="G532" s="256"/>
      <c r="H532" s="256"/>
      <c r="I532" s="256"/>
      <c r="J532" s="300"/>
      <c r="K532" s="376"/>
      <c r="L532" s="377"/>
    </row>
    <row r="533" spans="1:12" ht="14.25" customHeight="1">
      <c r="A533" s="619"/>
      <c r="B533" s="253"/>
      <c r="C533" s="281"/>
      <c r="D533" s="256"/>
      <c r="E533" s="256"/>
      <c r="F533" s="256"/>
      <c r="G533" s="256"/>
      <c r="H533" s="256"/>
      <c r="I533" s="256"/>
      <c r="J533" s="300"/>
      <c r="K533" s="376"/>
      <c r="L533" s="377"/>
    </row>
    <row r="534" spans="1:12" ht="14.25" customHeight="1">
      <c r="A534" s="619"/>
      <c r="B534" s="253"/>
      <c r="C534" s="281"/>
      <c r="D534" s="256"/>
      <c r="E534" s="256"/>
      <c r="F534" s="256"/>
      <c r="G534" s="256"/>
      <c r="H534" s="256"/>
      <c r="I534" s="256"/>
      <c r="J534" s="300"/>
      <c r="K534" s="376"/>
      <c r="L534" s="377"/>
    </row>
    <row r="535" spans="1:12" ht="14.25" customHeight="1">
      <c r="A535" s="619"/>
      <c r="B535" s="253"/>
      <c r="C535" s="281"/>
      <c r="D535" s="256"/>
      <c r="E535" s="256"/>
      <c r="F535" s="256"/>
      <c r="G535" s="256"/>
      <c r="H535" s="256"/>
      <c r="I535" s="256"/>
      <c r="J535" s="300"/>
      <c r="K535" s="376"/>
      <c r="L535" s="377"/>
    </row>
    <row r="536" spans="1:12" ht="14.25" customHeight="1">
      <c r="A536" s="619"/>
      <c r="B536" s="253"/>
      <c r="C536" s="281"/>
      <c r="D536" s="256"/>
      <c r="E536" s="256"/>
      <c r="F536" s="256"/>
      <c r="G536" s="256"/>
      <c r="H536" s="256"/>
      <c r="I536" s="256"/>
      <c r="J536" s="300"/>
      <c r="K536" s="376"/>
      <c r="L536" s="377"/>
    </row>
    <row r="537" spans="1:12" ht="14.25" customHeight="1">
      <c r="A537" s="619"/>
      <c r="B537" s="253"/>
      <c r="C537" s="281"/>
      <c r="D537" s="256"/>
      <c r="E537" s="256"/>
      <c r="F537" s="256"/>
      <c r="G537" s="256"/>
      <c r="H537" s="256"/>
      <c r="I537" s="256"/>
      <c r="J537" s="300"/>
      <c r="K537" s="376"/>
      <c r="L537" s="377"/>
    </row>
    <row r="538" spans="1:12" ht="14.25" customHeight="1">
      <c r="A538" s="619"/>
      <c r="B538" s="253"/>
      <c r="C538" s="281"/>
      <c r="D538" s="256"/>
      <c r="E538" s="256"/>
      <c r="F538" s="256"/>
      <c r="G538" s="256"/>
      <c r="H538" s="256"/>
      <c r="I538" s="256"/>
      <c r="J538" s="300"/>
      <c r="K538" s="376"/>
      <c r="L538" s="377"/>
    </row>
    <row r="539" spans="1:12" ht="14.25" customHeight="1">
      <c r="A539" s="619"/>
      <c r="B539" s="253"/>
      <c r="C539" s="281"/>
      <c r="D539" s="256"/>
      <c r="E539" s="256"/>
      <c r="F539" s="256"/>
      <c r="G539" s="256"/>
      <c r="H539" s="256"/>
      <c r="I539" s="256"/>
      <c r="J539" s="300"/>
      <c r="K539" s="376"/>
      <c r="L539" s="377"/>
    </row>
    <row r="540" spans="1:12" ht="14.25" customHeight="1">
      <c r="A540" s="619"/>
      <c r="B540" s="253"/>
      <c r="C540" s="281"/>
      <c r="D540" s="256"/>
      <c r="E540" s="256"/>
      <c r="F540" s="256"/>
      <c r="G540" s="256"/>
      <c r="H540" s="256"/>
      <c r="I540" s="256"/>
      <c r="J540" s="300"/>
      <c r="K540" s="376"/>
      <c r="L540" s="377"/>
    </row>
    <row r="541" spans="1:12" ht="14.25" customHeight="1">
      <c r="A541" s="619"/>
      <c r="B541" s="253"/>
      <c r="C541" s="281"/>
      <c r="D541" s="256"/>
      <c r="E541" s="256"/>
      <c r="F541" s="256"/>
      <c r="G541" s="256"/>
      <c r="H541" s="256"/>
      <c r="I541" s="256"/>
      <c r="J541" s="300"/>
      <c r="K541" s="376"/>
      <c r="L541" s="377"/>
    </row>
    <row r="542" spans="1:12" ht="14.25" customHeight="1">
      <c r="A542" s="619"/>
      <c r="B542" s="253"/>
      <c r="C542" s="281"/>
      <c r="D542" s="256"/>
      <c r="E542" s="256"/>
      <c r="F542" s="256"/>
      <c r="G542" s="256"/>
      <c r="H542" s="256"/>
      <c r="I542" s="256"/>
      <c r="J542" s="300"/>
      <c r="K542" s="376"/>
      <c r="L542" s="377"/>
    </row>
    <row r="543" spans="1:12" ht="14.25" customHeight="1">
      <c r="A543" s="619"/>
      <c r="B543" s="253"/>
      <c r="C543" s="281"/>
      <c r="D543" s="256"/>
      <c r="E543" s="256"/>
      <c r="F543" s="256"/>
      <c r="G543" s="256"/>
      <c r="H543" s="256"/>
      <c r="I543" s="256"/>
      <c r="J543" s="300"/>
      <c r="K543" s="376"/>
      <c r="L543" s="377"/>
    </row>
    <row r="544" spans="1:12" ht="14.25" customHeight="1">
      <c r="A544" s="619"/>
      <c r="B544" s="253"/>
      <c r="C544" s="281"/>
      <c r="D544" s="256"/>
      <c r="E544" s="256"/>
      <c r="F544" s="256"/>
      <c r="G544" s="256"/>
      <c r="H544" s="256"/>
      <c r="I544" s="256"/>
      <c r="J544" s="300"/>
      <c r="K544" s="376"/>
      <c r="L544" s="377"/>
    </row>
    <row r="545" spans="1:12" ht="14.25" customHeight="1">
      <c r="A545" s="619"/>
      <c r="B545" s="253"/>
      <c r="C545" s="281"/>
      <c r="D545" s="256"/>
      <c r="E545" s="256"/>
      <c r="F545" s="256"/>
      <c r="G545" s="256"/>
      <c r="H545" s="256"/>
      <c r="I545" s="256"/>
      <c r="J545" s="300"/>
      <c r="K545" s="376"/>
      <c r="L545" s="377"/>
    </row>
    <row r="546" spans="1:12" ht="14.25" customHeight="1">
      <c r="A546" s="619"/>
      <c r="B546" s="253"/>
      <c r="C546" s="281"/>
      <c r="D546" s="256"/>
      <c r="E546" s="256"/>
      <c r="F546" s="256"/>
      <c r="G546" s="256"/>
      <c r="H546" s="256"/>
      <c r="I546" s="256"/>
      <c r="J546" s="300"/>
      <c r="K546" s="376"/>
      <c r="L546" s="377"/>
    </row>
    <row r="547" spans="1:12" ht="14.25" customHeight="1">
      <c r="A547" s="619"/>
      <c r="B547" s="253"/>
      <c r="C547" s="281"/>
      <c r="D547" s="256"/>
      <c r="E547" s="256"/>
      <c r="F547" s="256"/>
      <c r="G547" s="256"/>
      <c r="H547" s="256"/>
      <c r="I547" s="256"/>
      <c r="J547" s="300"/>
      <c r="K547" s="376"/>
      <c r="L547" s="377"/>
    </row>
    <row r="548" spans="1:12" ht="14.25" customHeight="1">
      <c r="A548" s="619"/>
      <c r="B548" s="253"/>
      <c r="C548" s="281"/>
      <c r="D548" s="256"/>
      <c r="E548" s="256"/>
      <c r="F548" s="256"/>
      <c r="G548" s="256"/>
      <c r="H548" s="256"/>
      <c r="I548" s="256"/>
      <c r="J548" s="300"/>
      <c r="K548" s="376"/>
      <c r="L548" s="377"/>
    </row>
    <row r="549" spans="1:12" ht="14.25" customHeight="1">
      <c r="A549" s="619"/>
      <c r="B549" s="253"/>
      <c r="C549" s="281"/>
      <c r="D549" s="256"/>
      <c r="E549" s="256"/>
      <c r="F549" s="256"/>
      <c r="G549" s="256"/>
      <c r="H549" s="256"/>
      <c r="I549" s="256"/>
      <c r="J549" s="300"/>
      <c r="K549" s="376"/>
      <c r="L549" s="377"/>
    </row>
    <row r="550" spans="1:12" ht="14.25" customHeight="1">
      <c r="A550" s="619"/>
      <c r="B550" s="253"/>
      <c r="C550" s="281"/>
      <c r="D550" s="256"/>
      <c r="E550" s="256"/>
      <c r="F550" s="256"/>
      <c r="G550" s="256"/>
      <c r="H550" s="256"/>
      <c r="I550" s="256"/>
      <c r="J550" s="300"/>
      <c r="K550" s="376"/>
      <c r="L550" s="377"/>
    </row>
    <row r="551" spans="1:12" ht="14.25" customHeight="1">
      <c r="A551" s="619"/>
      <c r="B551" s="253"/>
      <c r="C551" s="281"/>
      <c r="D551" s="256"/>
      <c r="E551" s="256"/>
      <c r="F551" s="256"/>
      <c r="G551" s="256"/>
      <c r="H551" s="256"/>
      <c r="I551" s="256"/>
      <c r="J551" s="300"/>
      <c r="K551" s="376"/>
      <c r="L551" s="377"/>
    </row>
    <row r="552" spans="1:12" ht="14.25" customHeight="1">
      <c r="A552" s="619"/>
      <c r="B552" s="253"/>
      <c r="C552" s="281"/>
      <c r="D552" s="256"/>
      <c r="E552" s="256"/>
      <c r="F552" s="256"/>
      <c r="G552" s="256"/>
      <c r="H552" s="256"/>
      <c r="I552" s="256"/>
      <c r="J552" s="300"/>
      <c r="K552" s="376"/>
      <c r="L552" s="377"/>
    </row>
    <row r="553" spans="1:12" ht="14.25" customHeight="1">
      <c r="A553" s="619"/>
      <c r="B553" s="253"/>
      <c r="C553" s="281"/>
      <c r="D553" s="256"/>
      <c r="E553" s="256"/>
      <c r="F553" s="256"/>
      <c r="G553" s="256"/>
      <c r="H553" s="256"/>
      <c r="I553" s="256"/>
      <c r="J553" s="300"/>
      <c r="K553" s="376"/>
      <c r="L553" s="377"/>
    </row>
    <row r="554" spans="1:12" ht="14.25" customHeight="1">
      <c r="A554" s="619"/>
      <c r="B554" s="253"/>
      <c r="C554" s="281"/>
      <c r="D554" s="256"/>
      <c r="E554" s="256"/>
      <c r="F554" s="256"/>
      <c r="G554" s="256"/>
      <c r="H554" s="256"/>
      <c r="I554" s="256"/>
      <c r="J554" s="300"/>
      <c r="K554" s="376"/>
      <c r="L554" s="377"/>
    </row>
    <row r="555" spans="1:12" ht="14.25" customHeight="1">
      <c r="A555" s="619"/>
      <c r="B555" s="253"/>
      <c r="C555" s="281"/>
      <c r="D555" s="256"/>
      <c r="E555" s="256"/>
      <c r="F555" s="256"/>
      <c r="G555" s="256"/>
      <c r="H555" s="256"/>
      <c r="I555" s="256"/>
      <c r="J555" s="300"/>
      <c r="K555" s="376"/>
      <c r="L555" s="377"/>
    </row>
    <row r="556" spans="1:12" ht="14.25" customHeight="1">
      <c r="A556" s="619"/>
      <c r="B556" s="253"/>
      <c r="C556" s="281"/>
      <c r="D556" s="256"/>
      <c r="E556" s="256"/>
      <c r="F556" s="256"/>
      <c r="G556" s="256"/>
      <c r="H556" s="256"/>
      <c r="I556" s="256"/>
      <c r="J556" s="300"/>
      <c r="K556" s="376"/>
      <c r="L556" s="377"/>
    </row>
    <row r="557" spans="1:12" ht="14.25" customHeight="1">
      <c r="A557" s="619"/>
      <c r="B557" s="253"/>
      <c r="C557" s="281"/>
      <c r="D557" s="256"/>
      <c r="E557" s="256"/>
      <c r="F557" s="256"/>
      <c r="G557" s="256"/>
      <c r="H557" s="256"/>
      <c r="I557" s="256"/>
      <c r="J557" s="300"/>
      <c r="K557" s="376"/>
      <c r="L557" s="377"/>
    </row>
    <row r="558" spans="1:12" ht="14.25" customHeight="1">
      <c r="A558" s="619"/>
      <c r="B558" s="253"/>
      <c r="C558" s="281"/>
      <c r="D558" s="256"/>
      <c r="E558" s="256"/>
      <c r="F558" s="256"/>
      <c r="G558" s="256"/>
      <c r="H558" s="256"/>
      <c r="I558" s="256"/>
      <c r="J558" s="300"/>
      <c r="K558" s="376"/>
      <c r="L558" s="377"/>
    </row>
    <row r="559" spans="1:12" ht="14.25" customHeight="1">
      <c r="A559" s="619"/>
      <c r="B559" s="253"/>
      <c r="C559" s="281"/>
      <c r="D559" s="256"/>
      <c r="E559" s="256"/>
      <c r="F559" s="256"/>
      <c r="G559" s="256"/>
      <c r="H559" s="256"/>
      <c r="I559" s="256"/>
      <c r="J559" s="300"/>
      <c r="K559" s="376"/>
      <c r="L559" s="377"/>
    </row>
    <row r="560" spans="1:12" ht="14.25" customHeight="1">
      <c r="A560" s="619"/>
      <c r="B560" s="253"/>
      <c r="C560" s="281"/>
      <c r="D560" s="256"/>
      <c r="E560" s="256"/>
      <c r="F560" s="256"/>
      <c r="G560" s="256"/>
      <c r="H560" s="256"/>
      <c r="I560" s="256"/>
      <c r="J560" s="300"/>
      <c r="K560" s="376"/>
      <c r="L560" s="377"/>
    </row>
    <row r="561" spans="1:12" ht="14.25" customHeight="1">
      <c r="A561" s="619"/>
      <c r="B561" s="253"/>
      <c r="C561" s="281"/>
      <c r="D561" s="256"/>
      <c r="E561" s="256"/>
      <c r="F561" s="256"/>
      <c r="G561" s="256"/>
      <c r="H561" s="256"/>
      <c r="I561" s="256"/>
      <c r="J561" s="300"/>
      <c r="K561" s="376"/>
      <c r="L561" s="377"/>
    </row>
    <row r="562" spans="1:12" ht="14.25" customHeight="1">
      <c r="A562" s="619"/>
      <c r="B562" s="253"/>
      <c r="C562" s="281"/>
      <c r="D562" s="256"/>
      <c r="E562" s="256"/>
      <c r="F562" s="256"/>
      <c r="G562" s="256"/>
      <c r="H562" s="256"/>
      <c r="I562" s="256"/>
      <c r="J562" s="300"/>
      <c r="K562" s="376"/>
      <c r="L562" s="377"/>
    </row>
    <row r="563" spans="1:12" ht="14.25" customHeight="1">
      <c r="A563" s="619"/>
      <c r="B563" s="253"/>
      <c r="C563" s="281"/>
      <c r="D563" s="256"/>
      <c r="E563" s="256"/>
      <c r="F563" s="256"/>
      <c r="G563" s="256"/>
      <c r="H563" s="256"/>
      <c r="I563" s="256"/>
      <c r="J563" s="300"/>
      <c r="K563" s="376"/>
      <c r="L563" s="377"/>
    </row>
    <row r="564" spans="1:12" ht="14.25" customHeight="1">
      <c r="A564" s="619"/>
      <c r="B564" s="253"/>
      <c r="C564" s="281"/>
      <c r="D564" s="256"/>
      <c r="E564" s="256"/>
      <c r="F564" s="256"/>
      <c r="G564" s="256"/>
      <c r="H564" s="256"/>
      <c r="I564" s="256"/>
      <c r="J564" s="300"/>
      <c r="K564" s="376"/>
      <c r="L564" s="377"/>
    </row>
    <row r="565" spans="1:12" ht="14.25" customHeight="1">
      <c r="A565" s="619"/>
      <c r="B565" s="253"/>
      <c r="C565" s="281"/>
      <c r="D565" s="256"/>
      <c r="E565" s="256"/>
      <c r="F565" s="256"/>
      <c r="G565" s="256"/>
      <c r="H565" s="256"/>
      <c r="I565" s="256"/>
      <c r="J565" s="300"/>
      <c r="K565" s="376"/>
      <c r="L565" s="377"/>
    </row>
    <row r="566" spans="1:12" ht="14.25" customHeight="1">
      <c r="A566" s="619"/>
      <c r="B566" s="253"/>
      <c r="C566" s="281"/>
      <c r="D566" s="256"/>
      <c r="E566" s="256"/>
      <c r="F566" s="256"/>
      <c r="G566" s="256"/>
      <c r="H566" s="256"/>
      <c r="I566" s="256"/>
      <c r="J566" s="300"/>
      <c r="K566" s="376"/>
      <c r="L566" s="377"/>
    </row>
    <row r="567" spans="1:12" ht="14.25" customHeight="1">
      <c r="A567" s="619"/>
      <c r="B567" s="253"/>
      <c r="C567" s="281"/>
      <c r="D567" s="256"/>
      <c r="E567" s="256"/>
      <c r="F567" s="256"/>
      <c r="G567" s="256"/>
      <c r="H567" s="256"/>
      <c r="I567" s="256"/>
      <c r="J567" s="300"/>
      <c r="K567" s="376"/>
      <c r="L567" s="377"/>
    </row>
    <row r="568" spans="1:12" ht="14.25" customHeight="1">
      <c r="A568" s="619"/>
      <c r="B568" s="253"/>
      <c r="C568" s="281"/>
      <c r="D568" s="256"/>
      <c r="E568" s="256"/>
      <c r="F568" s="256"/>
      <c r="G568" s="256"/>
      <c r="H568" s="256"/>
      <c r="I568" s="256"/>
      <c r="J568" s="300"/>
      <c r="K568" s="376"/>
      <c r="L568" s="377"/>
    </row>
    <row r="569" spans="1:12" ht="14.25" customHeight="1">
      <c r="A569" s="619"/>
      <c r="B569" s="253"/>
      <c r="C569" s="281"/>
      <c r="D569" s="256"/>
      <c r="E569" s="256"/>
      <c r="F569" s="256"/>
      <c r="G569" s="256"/>
      <c r="H569" s="256"/>
      <c r="I569" s="256"/>
      <c r="J569" s="300"/>
      <c r="K569" s="376"/>
      <c r="L569" s="377"/>
    </row>
    <row r="570" spans="1:12" ht="14.25" customHeight="1">
      <c r="A570" s="619"/>
      <c r="B570" s="253"/>
      <c r="C570" s="281"/>
      <c r="D570" s="256"/>
      <c r="E570" s="256"/>
      <c r="F570" s="256"/>
      <c r="G570" s="256"/>
      <c r="H570" s="256"/>
      <c r="I570" s="256"/>
      <c r="J570" s="300"/>
      <c r="K570" s="376"/>
      <c r="L570" s="377"/>
    </row>
    <row r="571" spans="1:12" ht="14.25" customHeight="1">
      <c r="A571" s="619"/>
      <c r="B571" s="253"/>
      <c r="C571" s="281"/>
      <c r="D571" s="256"/>
      <c r="E571" s="256"/>
      <c r="F571" s="256"/>
      <c r="G571" s="256"/>
      <c r="H571" s="256"/>
      <c r="I571" s="256"/>
      <c r="J571" s="300"/>
      <c r="K571" s="376"/>
      <c r="L571" s="377"/>
    </row>
    <row r="572" spans="1:12" ht="14.25" customHeight="1">
      <c r="A572" s="619"/>
      <c r="B572" s="253"/>
      <c r="C572" s="281"/>
      <c r="D572" s="256"/>
      <c r="E572" s="256"/>
      <c r="F572" s="256"/>
      <c r="G572" s="256"/>
      <c r="H572" s="256"/>
      <c r="I572" s="256"/>
      <c r="J572" s="300"/>
      <c r="K572" s="376"/>
      <c r="L572" s="377"/>
    </row>
    <row r="573" spans="1:12" ht="14.25" customHeight="1">
      <c r="A573" s="619"/>
      <c r="B573" s="253"/>
      <c r="C573" s="281"/>
      <c r="D573" s="256"/>
      <c r="E573" s="256"/>
      <c r="F573" s="256"/>
      <c r="G573" s="256"/>
      <c r="H573" s="256"/>
      <c r="I573" s="256"/>
      <c r="J573" s="300"/>
      <c r="K573" s="376"/>
      <c r="L573" s="377"/>
    </row>
    <row r="574" spans="1:12" ht="14.25" customHeight="1">
      <c r="A574" s="619"/>
      <c r="B574" s="253"/>
      <c r="C574" s="281"/>
      <c r="D574" s="256"/>
      <c r="E574" s="256"/>
      <c r="F574" s="256"/>
      <c r="G574" s="256"/>
      <c r="H574" s="256"/>
      <c r="I574" s="256"/>
      <c r="J574" s="300"/>
      <c r="K574" s="376"/>
      <c r="L574" s="377"/>
    </row>
    <row r="575" spans="1:12" ht="14.25" customHeight="1">
      <c r="A575" s="619"/>
      <c r="B575" s="253"/>
      <c r="C575" s="281"/>
      <c r="D575" s="256"/>
      <c r="E575" s="256"/>
      <c r="F575" s="256"/>
      <c r="G575" s="256"/>
      <c r="H575" s="256"/>
      <c r="I575" s="256"/>
      <c r="J575" s="300"/>
      <c r="K575" s="376"/>
      <c r="L575" s="377"/>
    </row>
    <row r="576" spans="1:12" ht="14.25" customHeight="1">
      <c r="A576" s="619"/>
      <c r="B576" s="253"/>
      <c r="C576" s="281"/>
      <c r="D576" s="256"/>
      <c r="E576" s="256"/>
      <c r="F576" s="256"/>
      <c r="G576" s="256"/>
      <c r="H576" s="256"/>
      <c r="I576" s="256"/>
      <c r="J576" s="300"/>
      <c r="K576" s="376"/>
      <c r="L576" s="377"/>
    </row>
    <row r="577" spans="1:12" ht="14.25" customHeight="1">
      <c r="A577" s="619"/>
      <c r="B577" s="253"/>
      <c r="C577" s="281"/>
      <c r="D577" s="256"/>
      <c r="E577" s="256"/>
      <c r="F577" s="256"/>
      <c r="G577" s="256"/>
      <c r="H577" s="256"/>
      <c r="I577" s="256"/>
      <c r="J577" s="300"/>
      <c r="K577" s="376"/>
      <c r="L577" s="377"/>
    </row>
    <row r="578" spans="1:12" ht="14.25" customHeight="1">
      <c r="A578" s="619"/>
      <c r="B578" s="253"/>
      <c r="C578" s="281"/>
      <c r="D578" s="256"/>
      <c r="E578" s="256"/>
      <c r="F578" s="256"/>
      <c r="G578" s="256"/>
      <c r="H578" s="256"/>
      <c r="I578" s="256"/>
      <c r="J578" s="300"/>
      <c r="K578" s="376"/>
      <c r="L578" s="377"/>
    </row>
    <row r="579" spans="1:12" ht="14.25" customHeight="1">
      <c r="A579" s="619"/>
      <c r="B579" s="253"/>
      <c r="C579" s="281"/>
      <c r="D579" s="256"/>
      <c r="E579" s="256"/>
      <c r="F579" s="256"/>
      <c r="G579" s="256"/>
      <c r="H579" s="256"/>
      <c r="I579" s="256"/>
      <c r="J579" s="300"/>
      <c r="K579" s="376"/>
      <c r="L579" s="377"/>
    </row>
    <row r="580" spans="1:12" ht="14.25" customHeight="1">
      <c r="A580" s="619"/>
      <c r="B580" s="253"/>
      <c r="C580" s="281"/>
      <c r="D580" s="256"/>
      <c r="E580" s="256"/>
      <c r="F580" s="256"/>
      <c r="G580" s="256"/>
      <c r="H580" s="256"/>
      <c r="I580" s="256"/>
      <c r="J580" s="300"/>
      <c r="K580" s="376"/>
      <c r="L580" s="377"/>
    </row>
    <row r="581" spans="1:12" ht="14.25" customHeight="1">
      <c r="A581" s="619"/>
      <c r="B581" s="253"/>
      <c r="C581" s="281"/>
      <c r="D581" s="256"/>
      <c r="E581" s="256"/>
      <c r="F581" s="256"/>
      <c r="G581" s="256"/>
      <c r="H581" s="256"/>
      <c r="I581" s="256"/>
      <c r="J581" s="300"/>
      <c r="K581" s="376"/>
      <c r="L581" s="377"/>
    </row>
    <row r="582" spans="1:12" ht="14.25" customHeight="1">
      <c r="A582" s="619"/>
      <c r="B582" s="253"/>
      <c r="C582" s="281"/>
      <c r="D582" s="256"/>
      <c r="E582" s="256"/>
      <c r="F582" s="256"/>
      <c r="G582" s="256"/>
      <c r="H582" s="256"/>
      <c r="I582" s="256"/>
      <c r="J582" s="300"/>
      <c r="K582" s="376"/>
      <c r="L582" s="377"/>
    </row>
    <row r="583" spans="1:12" ht="14.25" customHeight="1">
      <c r="A583" s="619"/>
      <c r="B583" s="253"/>
      <c r="C583" s="281"/>
      <c r="D583" s="256"/>
      <c r="E583" s="256"/>
      <c r="F583" s="256"/>
      <c r="G583" s="256"/>
      <c r="H583" s="256"/>
      <c r="I583" s="256"/>
      <c r="J583" s="300"/>
      <c r="K583" s="376"/>
      <c r="L583" s="377"/>
    </row>
    <row r="584" spans="1:12" ht="14.25" customHeight="1">
      <c r="A584" s="619"/>
      <c r="B584" s="253"/>
      <c r="C584" s="281"/>
      <c r="D584" s="256"/>
      <c r="E584" s="256"/>
      <c r="F584" s="256"/>
      <c r="G584" s="256"/>
      <c r="H584" s="256"/>
      <c r="I584" s="256"/>
      <c r="J584" s="300"/>
      <c r="K584" s="376"/>
      <c r="L584" s="377"/>
    </row>
    <row r="585" spans="1:12" ht="14.25" customHeight="1">
      <c r="A585" s="619"/>
      <c r="B585" s="253"/>
      <c r="C585" s="281"/>
      <c r="D585" s="256"/>
      <c r="E585" s="256"/>
      <c r="F585" s="256"/>
      <c r="G585" s="256"/>
      <c r="H585" s="256"/>
      <c r="I585" s="256"/>
      <c r="J585" s="300"/>
      <c r="K585" s="376"/>
      <c r="L585" s="377"/>
    </row>
    <row r="586" spans="1:12" ht="14.25" customHeight="1">
      <c r="A586" s="619"/>
      <c r="B586" s="253"/>
      <c r="C586" s="281"/>
      <c r="D586" s="256"/>
      <c r="E586" s="256"/>
      <c r="F586" s="256"/>
      <c r="G586" s="256"/>
      <c r="H586" s="256"/>
      <c r="I586" s="256"/>
      <c r="J586" s="300"/>
      <c r="K586" s="376"/>
      <c r="L586" s="377"/>
    </row>
    <row r="587" spans="1:12" ht="14.25" customHeight="1">
      <c r="A587" s="619"/>
      <c r="B587" s="253"/>
      <c r="C587" s="281"/>
      <c r="D587" s="256"/>
      <c r="E587" s="256"/>
      <c r="F587" s="256"/>
      <c r="G587" s="256"/>
      <c r="H587" s="256"/>
      <c r="I587" s="256"/>
      <c r="J587" s="300"/>
      <c r="K587" s="376"/>
      <c r="L587" s="377"/>
    </row>
    <row r="588" spans="1:12" ht="14.25" customHeight="1">
      <c r="A588" s="619"/>
      <c r="B588" s="253"/>
      <c r="C588" s="281"/>
      <c r="D588" s="256"/>
      <c r="E588" s="256"/>
      <c r="F588" s="256"/>
      <c r="G588" s="256"/>
      <c r="H588" s="256"/>
      <c r="I588" s="256"/>
      <c r="J588" s="300"/>
      <c r="K588" s="376"/>
      <c r="L588" s="377"/>
    </row>
    <row r="589" spans="1:12" ht="14.25" customHeight="1">
      <c r="A589" s="619"/>
      <c r="B589" s="253"/>
      <c r="C589" s="281"/>
      <c r="D589" s="256"/>
      <c r="E589" s="256"/>
      <c r="F589" s="256"/>
      <c r="G589" s="256"/>
      <c r="H589" s="256"/>
      <c r="I589" s="256"/>
      <c r="J589" s="300"/>
      <c r="K589" s="376"/>
      <c r="L589" s="377"/>
    </row>
    <row r="590" spans="1:12" ht="14.25" customHeight="1">
      <c r="A590" s="619"/>
      <c r="B590" s="253"/>
      <c r="C590" s="281"/>
      <c r="D590" s="256"/>
      <c r="E590" s="256"/>
      <c r="F590" s="256"/>
      <c r="G590" s="256"/>
      <c r="H590" s="256"/>
      <c r="I590" s="256"/>
      <c r="J590" s="300"/>
      <c r="K590" s="376"/>
      <c r="L590" s="377"/>
    </row>
    <row r="591" spans="1:12" ht="14.25" customHeight="1">
      <c r="A591" s="619"/>
      <c r="B591" s="253"/>
      <c r="C591" s="281"/>
      <c r="D591" s="256"/>
      <c r="E591" s="256"/>
      <c r="F591" s="256"/>
      <c r="G591" s="256"/>
      <c r="H591" s="256"/>
      <c r="I591" s="256"/>
      <c r="J591" s="300"/>
      <c r="K591" s="376"/>
      <c r="L591" s="377"/>
    </row>
    <row r="592" spans="1:12" ht="14.25" customHeight="1">
      <c r="A592" s="619"/>
      <c r="B592" s="253"/>
      <c r="C592" s="281"/>
      <c r="D592" s="256"/>
      <c r="E592" s="256"/>
      <c r="F592" s="256"/>
      <c r="G592" s="256"/>
      <c r="H592" s="256"/>
      <c r="I592" s="256"/>
      <c r="J592" s="300"/>
      <c r="K592" s="376"/>
      <c r="L592" s="377"/>
    </row>
    <row r="593" spans="1:12" ht="14.25" customHeight="1">
      <c r="A593" s="619"/>
      <c r="B593" s="253"/>
      <c r="C593" s="281"/>
      <c r="D593" s="256"/>
      <c r="E593" s="256"/>
      <c r="F593" s="256"/>
      <c r="G593" s="256"/>
      <c r="H593" s="256"/>
      <c r="I593" s="256"/>
      <c r="J593" s="300"/>
      <c r="K593" s="376"/>
      <c r="L593" s="377"/>
    </row>
    <row r="594" spans="1:12" ht="14.25" customHeight="1">
      <c r="A594" s="619"/>
      <c r="B594" s="253"/>
      <c r="C594" s="281"/>
      <c r="D594" s="256"/>
      <c r="E594" s="256"/>
      <c r="F594" s="256"/>
      <c r="G594" s="256"/>
      <c r="H594" s="256"/>
      <c r="I594" s="256"/>
      <c r="J594" s="300"/>
      <c r="K594" s="376"/>
      <c r="L594" s="377"/>
    </row>
    <row r="595" spans="1:12" ht="14.25" customHeight="1">
      <c r="A595" s="619"/>
      <c r="B595" s="253"/>
      <c r="C595" s="281"/>
      <c r="D595" s="256"/>
      <c r="E595" s="256"/>
      <c r="F595" s="256"/>
      <c r="G595" s="256"/>
      <c r="H595" s="256"/>
      <c r="I595" s="256"/>
      <c r="J595" s="300"/>
      <c r="K595" s="376"/>
      <c r="L595" s="377"/>
    </row>
    <row r="596" spans="1:12" ht="14.25" customHeight="1">
      <c r="A596" s="619"/>
      <c r="B596" s="253"/>
      <c r="C596" s="281"/>
      <c r="D596" s="256"/>
      <c r="E596" s="256"/>
      <c r="F596" s="256"/>
      <c r="G596" s="256"/>
      <c r="H596" s="256"/>
      <c r="I596" s="256"/>
      <c r="J596" s="300"/>
      <c r="K596" s="376"/>
      <c r="L596" s="377"/>
    </row>
    <row r="597" spans="1:12" ht="14.25" customHeight="1">
      <c r="A597" s="619"/>
      <c r="B597" s="253"/>
      <c r="C597" s="281"/>
      <c r="D597" s="256"/>
      <c r="E597" s="256"/>
      <c r="F597" s="256"/>
      <c r="G597" s="256"/>
      <c r="H597" s="256"/>
      <c r="I597" s="256"/>
      <c r="J597" s="300"/>
      <c r="K597" s="376"/>
      <c r="L597" s="377"/>
    </row>
    <row r="598" spans="1:12" ht="14.25" customHeight="1">
      <c r="A598" s="619"/>
      <c r="B598" s="253"/>
      <c r="C598" s="281"/>
      <c r="D598" s="256"/>
      <c r="E598" s="256"/>
      <c r="F598" s="256"/>
      <c r="G598" s="256"/>
      <c r="H598" s="256"/>
      <c r="I598" s="256"/>
      <c r="J598" s="300"/>
      <c r="K598" s="376"/>
      <c r="L598" s="377"/>
    </row>
    <row r="599" spans="1:12" ht="14.25" customHeight="1">
      <c r="A599" s="619"/>
      <c r="B599" s="253"/>
      <c r="C599" s="281"/>
      <c r="D599" s="256"/>
      <c r="E599" s="256"/>
      <c r="F599" s="256"/>
      <c r="G599" s="256"/>
      <c r="H599" s="256"/>
      <c r="I599" s="256"/>
      <c r="J599" s="300"/>
      <c r="K599" s="376"/>
      <c r="L599" s="377"/>
    </row>
    <row r="600" spans="1:12" ht="14.25" customHeight="1">
      <c r="A600" s="619"/>
      <c r="B600" s="253"/>
      <c r="C600" s="281"/>
      <c r="D600" s="256"/>
      <c r="E600" s="256"/>
      <c r="F600" s="256"/>
      <c r="G600" s="256"/>
      <c r="H600" s="256"/>
      <c r="I600" s="256"/>
      <c r="J600" s="300"/>
      <c r="K600" s="376"/>
      <c r="L600" s="377"/>
    </row>
    <row r="601" spans="1:12" ht="14.25" customHeight="1">
      <c r="A601" s="619"/>
      <c r="B601" s="253"/>
      <c r="C601" s="281"/>
      <c r="D601" s="256"/>
      <c r="E601" s="256"/>
      <c r="F601" s="256"/>
      <c r="G601" s="256"/>
      <c r="H601" s="256"/>
      <c r="I601" s="256"/>
      <c r="J601" s="300"/>
      <c r="K601" s="376"/>
      <c r="L601" s="377"/>
    </row>
    <row r="602" spans="1:12" ht="14.25" customHeight="1">
      <c r="A602" s="619"/>
      <c r="B602" s="253"/>
      <c r="C602" s="281"/>
      <c r="D602" s="256"/>
      <c r="E602" s="256"/>
      <c r="F602" s="256"/>
      <c r="G602" s="256"/>
      <c r="H602" s="256"/>
      <c r="I602" s="256"/>
      <c r="J602" s="300"/>
      <c r="K602" s="376"/>
      <c r="L602" s="377"/>
    </row>
    <row r="603" spans="1:12" ht="14.25" customHeight="1">
      <c r="A603" s="619"/>
      <c r="B603" s="253"/>
      <c r="C603" s="281"/>
      <c r="D603" s="256"/>
      <c r="E603" s="256"/>
      <c r="F603" s="256"/>
      <c r="G603" s="256"/>
      <c r="H603" s="256"/>
      <c r="I603" s="256"/>
      <c r="J603" s="300"/>
      <c r="K603" s="376"/>
      <c r="L603" s="377"/>
    </row>
    <row r="604" spans="1:12" ht="14.25" customHeight="1">
      <c r="A604" s="619"/>
      <c r="B604" s="253"/>
      <c r="C604" s="281"/>
      <c r="D604" s="256"/>
      <c r="E604" s="256"/>
      <c r="F604" s="256"/>
      <c r="G604" s="256"/>
      <c r="H604" s="256"/>
      <c r="I604" s="256"/>
      <c r="J604" s="300"/>
      <c r="K604" s="376"/>
      <c r="L604" s="377"/>
    </row>
    <row r="605" spans="1:12" ht="14.25" customHeight="1">
      <c r="A605" s="619"/>
      <c r="B605" s="253"/>
      <c r="C605" s="281"/>
      <c r="D605" s="256"/>
      <c r="E605" s="256"/>
      <c r="F605" s="256"/>
      <c r="G605" s="256"/>
      <c r="H605" s="256"/>
      <c r="I605" s="256"/>
      <c r="J605" s="300"/>
      <c r="K605" s="376"/>
      <c r="L605" s="377"/>
    </row>
    <row r="606" spans="1:12" ht="14.25" customHeight="1">
      <c r="A606" s="619"/>
      <c r="B606" s="253"/>
      <c r="C606" s="281"/>
      <c r="D606" s="256"/>
      <c r="E606" s="256"/>
      <c r="F606" s="256"/>
      <c r="G606" s="256"/>
      <c r="H606" s="256"/>
      <c r="I606" s="256"/>
      <c r="J606" s="300"/>
      <c r="K606" s="376"/>
      <c r="L606" s="377"/>
    </row>
    <row r="607" spans="1:12" ht="14.25" customHeight="1">
      <c r="A607" s="619"/>
      <c r="B607" s="253"/>
      <c r="C607" s="281"/>
      <c r="D607" s="256"/>
      <c r="E607" s="256"/>
      <c r="F607" s="256"/>
      <c r="G607" s="256"/>
      <c r="H607" s="256"/>
      <c r="I607" s="256"/>
      <c r="J607" s="300"/>
      <c r="K607" s="376"/>
      <c r="L607" s="377"/>
    </row>
    <row r="608" spans="1:12" ht="14.25" customHeight="1">
      <c r="A608" s="619"/>
      <c r="B608" s="253"/>
      <c r="C608" s="281"/>
      <c r="D608" s="256"/>
      <c r="E608" s="256"/>
      <c r="F608" s="256"/>
      <c r="G608" s="256"/>
      <c r="H608" s="256"/>
      <c r="I608" s="256"/>
      <c r="J608" s="300"/>
      <c r="K608" s="376"/>
      <c r="L608" s="377"/>
    </row>
    <row r="609" spans="1:12" ht="14.25" customHeight="1">
      <c r="A609" s="619"/>
      <c r="B609" s="253"/>
      <c r="C609" s="281"/>
      <c r="D609" s="256"/>
      <c r="E609" s="256"/>
      <c r="F609" s="256"/>
      <c r="G609" s="256"/>
      <c r="H609" s="256"/>
      <c r="I609" s="256"/>
      <c r="J609" s="300"/>
      <c r="K609" s="376"/>
      <c r="L609" s="377"/>
    </row>
    <row r="610" spans="1:12" ht="14.25" customHeight="1">
      <c r="A610" s="619"/>
      <c r="B610" s="253"/>
      <c r="C610" s="281"/>
      <c r="D610" s="256"/>
      <c r="E610" s="256"/>
      <c r="F610" s="256"/>
      <c r="G610" s="256"/>
      <c r="H610" s="256"/>
      <c r="I610" s="256"/>
      <c r="J610" s="300"/>
      <c r="K610" s="376"/>
      <c r="L610" s="377"/>
    </row>
    <row r="611" spans="1:12" ht="14.25" customHeight="1">
      <c r="A611" s="619"/>
      <c r="B611" s="253"/>
      <c r="C611" s="281"/>
      <c r="D611" s="256"/>
      <c r="E611" s="256"/>
      <c r="F611" s="256"/>
      <c r="G611" s="256"/>
      <c r="H611" s="256"/>
      <c r="I611" s="256"/>
      <c r="J611" s="300"/>
      <c r="K611" s="376"/>
      <c r="L611" s="377"/>
    </row>
    <row r="612" spans="1:12" ht="14.25" customHeight="1">
      <c r="A612" s="619"/>
      <c r="B612" s="253"/>
      <c r="C612" s="281"/>
      <c r="D612" s="256"/>
      <c r="E612" s="256"/>
      <c r="F612" s="256"/>
      <c r="G612" s="256"/>
      <c r="H612" s="256"/>
      <c r="I612" s="256"/>
      <c r="J612" s="300"/>
      <c r="K612" s="376"/>
      <c r="L612" s="377"/>
    </row>
    <row r="613" spans="1:12" ht="14.25" customHeight="1">
      <c r="A613" s="619"/>
      <c r="B613" s="253"/>
      <c r="C613" s="281"/>
      <c r="D613" s="256"/>
      <c r="E613" s="256"/>
      <c r="F613" s="256"/>
      <c r="G613" s="256"/>
      <c r="H613" s="256"/>
      <c r="I613" s="256"/>
      <c r="J613" s="300"/>
      <c r="K613" s="376"/>
      <c r="L613" s="377"/>
    </row>
    <row r="614" spans="1:12" ht="14.25" customHeight="1">
      <c r="A614" s="619"/>
      <c r="B614" s="253"/>
      <c r="C614" s="281"/>
      <c r="D614" s="256"/>
      <c r="E614" s="256"/>
      <c r="F614" s="256"/>
      <c r="G614" s="256"/>
      <c r="H614" s="256"/>
      <c r="I614" s="256"/>
      <c r="J614" s="300"/>
      <c r="K614" s="376"/>
      <c r="L614" s="377"/>
    </row>
    <row r="615" spans="1:12" ht="14.25" customHeight="1">
      <c r="A615" s="619"/>
      <c r="B615" s="253"/>
      <c r="C615" s="281"/>
      <c r="D615" s="256"/>
      <c r="E615" s="256"/>
      <c r="F615" s="256"/>
      <c r="G615" s="256"/>
      <c r="H615" s="256"/>
      <c r="I615" s="256"/>
      <c r="J615" s="300"/>
      <c r="K615" s="376"/>
      <c r="L615" s="377"/>
    </row>
    <row r="616" spans="1:12" ht="14.25" customHeight="1">
      <c r="A616" s="619"/>
      <c r="B616" s="253"/>
      <c r="C616" s="281"/>
      <c r="D616" s="256"/>
      <c r="E616" s="256"/>
      <c r="F616" s="256"/>
      <c r="G616" s="256"/>
      <c r="H616" s="256"/>
      <c r="I616" s="256"/>
      <c r="J616" s="300"/>
      <c r="K616" s="376"/>
      <c r="L616" s="377"/>
    </row>
    <row r="617" spans="1:12" ht="14.25" customHeight="1">
      <c r="A617" s="619"/>
      <c r="B617" s="253"/>
      <c r="C617" s="281"/>
      <c r="D617" s="256"/>
      <c r="E617" s="256"/>
      <c r="F617" s="256"/>
      <c r="G617" s="256"/>
      <c r="H617" s="256"/>
      <c r="I617" s="256"/>
      <c r="J617" s="300"/>
      <c r="K617" s="376"/>
      <c r="L617" s="377"/>
    </row>
    <row r="618" spans="1:12" ht="14.25" customHeight="1">
      <c r="A618" s="619"/>
      <c r="B618" s="253"/>
      <c r="C618" s="281"/>
      <c r="D618" s="256"/>
      <c r="E618" s="256"/>
      <c r="F618" s="256"/>
      <c r="G618" s="256"/>
      <c r="H618" s="256"/>
      <c r="I618" s="256"/>
      <c r="J618" s="300"/>
      <c r="K618" s="376"/>
      <c r="L618" s="377"/>
    </row>
    <row r="619" spans="1:12" ht="14.25" customHeight="1">
      <c r="A619" s="619"/>
      <c r="B619" s="253"/>
      <c r="C619" s="281"/>
      <c r="D619" s="256"/>
      <c r="E619" s="256"/>
      <c r="F619" s="256"/>
      <c r="G619" s="256"/>
      <c r="H619" s="256"/>
      <c r="I619" s="256"/>
      <c r="J619" s="300"/>
      <c r="K619" s="376"/>
      <c r="L619" s="377"/>
    </row>
    <row r="620" spans="1:12" ht="14.25" customHeight="1">
      <c r="A620" s="619"/>
      <c r="B620" s="253"/>
      <c r="C620" s="281"/>
      <c r="D620" s="256"/>
      <c r="E620" s="256"/>
      <c r="F620" s="256"/>
      <c r="G620" s="256"/>
      <c r="H620" s="256"/>
      <c r="I620" s="256"/>
      <c r="J620" s="300"/>
      <c r="K620" s="376"/>
      <c r="L620" s="377"/>
    </row>
    <row r="621" spans="1:12" ht="14.25" customHeight="1">
      <c r="A621" s="619"/>
      <c r="B621" s="253"/>
      <c r="C621" s="281"/>
      <c r="D621" s="256"/>
      <c r="E621" s="256"/>
      <c r="F621" s="256"/>
      <c r="G621" s="256"/>
      <c r="H621" s="256"/>
      <c r="I621" s="256"/>
      <c r="J621" s="300"/>
      <c r="K621" s="376"/>
      <c r="L621" s="377"/>
    </row>
    <row r="622" spans="1:12" ht="14.25" customHeight="1">
      <c r="A622" s="619"/>
      <c r="B622" s="253"/>
      <c r="C622" s="281"/>
      <c r="D622" s="256"/>
      <c r="E622" s="256"/>
      <c r="F622" s="256"/>
      <c r="G622" s="256"/>
      <c r="H622" s="256"/>
      <c r="I622" s="256"/>
      <c r="J622" s="300"/>
      <c r="K622" s="376"/>
      <c r="L622" s="377"/>
    </row>
    <row r="623" spans="1:12" ht="14.25" customHeight="1">
      <c r="A623" s="519"/>
      <c r="B623" s="367"/>
      <c r="C623" s="367"/>
      <c r="D623" s="368"/>
      <c r="E623" s="368"/>
      <c r="F623" s="368"/>
      <c r="G623" s="368"/>
      <c r="H623" s="368"/>
      <c r="I623" s="368"/>
      <c r="J623" s="520"/>
      <c r="K623" s="367"/>
      <c r="L623" s="521"/>
    </row>
    <row r="624" spans="1:12" ht="14.25" customHeight="1">
      <c r="A624" s="619"/>
      <c r="B624" s="619"/>
      <c r="C624" s="4"/>
      <c r="D624" s="21"/>
      <c r="E624" s="21"/>
      <c r="F624" s="21"/>
      <c r="G624" s="21"/>
      <c r="H624" s="21"/>
      <c r="I624" s="21"/>
      <c r="J624" s="22"/>
      <c r="K624" s="619"/>
      <c r="L624" s="619"/>
    </row>
    <row r="625" spans="1:12" ht="14.25" customHeight="1">
      <c r="A625" s="619"/>
      <c r="B625" s="619"/>
      <c r="C625" s="4"/>
      <c r="D625" s="21"/>
      <c r="E625" s="21"/>
      <c r="F625" s="21"/>
      <c r="G625" s="21"/>
      <c r="H625" s="21"/>
      <c r="I625" s="21"/>
      <c r="J625" s="22"/>
      <c r="K625" s="619"/>
      <c r="L625" s="619"/>
    </row>
    <row r="626" spans="1:12" ht="14.25" customHeight="1">
      <c r="A626" s="619"/>
      <c r="B626" s="619"/>
      <c r="C626" s="4"/>
      <c r="D626" s="21"/>
      <c r="E626" s="21"/>
      <c r="F626" s="21"/>
      <c r="G626" s="21"/>
      <c r="H626" s="21"/>
      <c r="I626" s="21"/>
      <c r="J626" s="22"/>
      <c r="K626" s="619"/>
      <c r="L626" s="619"/>
    </row>
    <row r="627" spans="1:12" ht="14.25" customHeight="1">
      <c r="A627" s="619"/>
      <c r="B627" s="619"/>
      <c r="C627" s="4"/>
      <c r="D627" s="21"/>
      <c r="E627" s="21"/>
      <c r="F627" s="21"/>
      <c r="G627" s="21"/>
      <c r="H627" s="21"/>
      <c r="I627" s="21"/>
      <c r="J627" s="22"/>
      <c r="K627" s="619"/>
      <c r="L627" s="619"/>
    </row>
    <row r="628" spans="1:12" ht="14.25" customHeight="1">
      <c r="A628" s="619"/>
      <c r="B628" s="619"/>
      <c r="C628" s="4"/>
      <c r="D628" s="21"/>
      <c r="E628" s="21"/>
      <c r="F628" s="21"/>
      <c r="G628" s="21"/>
      <c r="H628" s="21"/>
      <c r="I628" s="21"/>
      <c r="J628" s="22"/>
      <c r="K628" s="619"/>
      <c r="L628" s="619"/>
    </row>
    <row r="629" spans="1:12" ht="14.25" customHeight="1">
      <c r="A629" s="619"/>
      <c r="B629" s="619"/>
      <c r="C629" s="4"/>
      <c r="D629" s="21"/>
      <c r="E629" s="21"/>
      <c r="F629" s="21"/>
      <c r="G629" s="21"/>
      <c r="H629" s="21"/>
      <c r="I629" s="21"/>
      <c r="J629" s="22"/>
      <c r="K629" s="619"/>
      <c r="L629" s="619"/>
    </row>
    <row r="630" spans="1:12" ht="14.25" customHeight="1">
      <c r="A630" s="619"/>
      <c r="B630" s="619"/>
      <c r="C630" s="4"/>
      <c r="D630" s="21"/>
      <c r="E630" s="21"/>
      <c r="F630" s="21"/>
      <c r="G630" s="21"/>
      <c r="H630" s="21"/>
      <c r="I630" s="21"/>
      <c r="J630" s="22"/>
      <c r="K630" s="619"/>
      <c r="L630" s="619"/>
    </row>
    <row r="631" spans="1:12" ht="14.25" customHeight="1">
      <c r="A631" s="619"/>
      <c r="B631" s="619"/>
      <c r="C631" s="4"/>
      <c r="D631" s="21"/>
      <c r="E631" s="21"/>
      <c r="F631" s="21"/>
      <c r="G631" s="21"/>
      <c r="H631" s="21"/>
      <c r="I631" s="21"/>
      <c r="J631" s="22"/>
      <c r="K631" s="619"/>
      <c r="L631" s="619"/>
    </row>
    <row r="632" spans="1:12" ht="14.25" customHeight="1">
      <c r="A632" s="619"/>
      <c r="B632" s="619"/>
      <c r="C632" s="4"/>
      <c r="D632" s="21"/>
      <c r="E632" s="21"/>
      <c r="F632" s="21"/>
      <c r="G632" s="21"/>
      <c r="H632" s="21"/>
      <c r="I632" s="21"/>
      <c r="J632" s="22"/>
      <c r="K632" s="619"/>
      <c r="L632" s="619"/>
    </row>
    <row r="633" spans="1:12" ht="14.25" customHeight="1">
      <c r="A633" s="619"/>
      <c r="B633" s="619"/>
      <c r="C633" s="4"/>
      <c r="D633" s="21"/>
      <c r="E633" s="21"/>
      <c r="F633" s="21"/>
      <c r="G633" s="21"/>
      <c r="H633" s="21"/>
      <c r="I633" s="21"/>
      <c r="J633" s="22"/>
      <c r="K633" s="619"/>
      <c r="L633" s="619"/>
    </row>
    <row r="634" spans="1:12" ht="14.25" customHeight="1">
      <c r="A634" s="619"/>
      <c r="B634" s="619"/>
      <c r="C634" s="4"/>
      <c r="D634" s="21"/>
      <c r="E634" s="21"/>
      <c r="F634" s="21"/>
      <c r="G634" s="21"/>
      <c r="H634" s="21"/>
      <c r="I634" s="21"/>
      <c r="J634" s="22"/>
      <c r="K634" s="619"/>
      <c r="L634" s="619"/>
    </row>
    <row r="635" spans="1:12" ht="14.25" customHeight="1">
      <c r="A635" s="619"/>
      <c r="B635" s="619"/>
      <c r="C635" s="4"/>
      <c r="D635" s="21"/>
      <c r="E635" s="21"/>
      <c r="F635" s="21"/>
      <c r="G635" s="21"/>
      <c r="H635" s="21"/>
      <c r="I635" s="21"/>
      <c r="J635" s="22"/>
      <c r="K635" s="619"/>
      <c r="L635" s="619"/>
    </row>
    <row r="636" spans="1:12" ht="14.25" customHeight="1">
      <c r="A636" s="619"/>
      <c r="B636" s="619"/>
      <c r="C636" s="4"/>
      <c r="D636" s="21"/>
      <c r="E636" s="21"/>
      <c r="F636" s="21"/>
      <c r="G636" s="21"/>
      <c r="H636" s="21"/>
      <c r="I636" s="21"/>
      <c r="J636" s="22"/>
      <c r="K636" s="619"/>
      <c r="L636" s="619"/>
    </row>
    <row r="637" spans="1:12" ht="14.25" customHeight="1">
      <c r="A637" s="619"/>
      <c r="B637" s="619"/>
      <c r="C637" s="4"/>
      <c r="D637" s="21"/>
      <c r="E637" s="21"/>
      <c r="F637" s="21"/>
      <c r="G637" s="21"/>
      <c r="H637" s="21"/>
      <c r="I637" s="21"/>
      <c r="J637" s="22"/>
      <c r="K637" s="619"/>
      <c r="L637" s="619"/>
    </row>
    <row r="638" spans="1:12" ht="14.25" customHeight="1">
      <c r="A638" s="619"/>
      <c r="B638" s="619"/>
      <c r="C638" s="4"/>
      <c r="D638" s="21"/>
      <c r="E638" s="21"/>
      <c r="F638" s="21"/>
      <c r="G638" s="21"/>
      <c r="H638" s="21"/>
      <c r="I638" s="21"/>
      <c r="J638" s="22"/>
      <c r="K638" s="619"/>
      <c r="L638" s="619"/>
    </row>
    <row r="639" spans="1:12" ht="14.25" customHeight="1">
      <c r="A639" s="619"/>
      <c r="B639" s="619"/>
      <c r="C639" s="4"/>
      <c r="D639" s="21"/>
      <c r="E639" s="21"/>
      <c r="F639" s="21"/>
      <c r="G639" s="21"/>
      <c r="H639" s="21"/>
      <c r="I639" s="21"/>
      <c r="J639" s="22"/>
      <c r="K639" s="619"/>
      <c r="L639" s="619"/>
    </row>
    <row r="640" spans="1:12" ht="14.25" customHeight="1">
      <c r="A640" s="619"/>
      <c r="B640" s="619"/>
      <c r="C640" s="4"/>
      <c r="D640" s="21"/>
      <c r="E640" s="21"/>
      <c r="F640" s="21"/>
      <c r="G640" s="21"/>
      <c r="H640" s="21"/>
      <c r="I640" s="21"/>
      <c r="J640" s="22"/>
      <c r="K640" s="619"/>
      <c r="L640" s="619"/>
    </row>
    <row r="641" spans="1:12" ht="14.25" customHeight="1">
      <c r="A641" s="619"/>
      <c r="B641" s="619"/>
      <c r="C641" s="4"/>
      <c r="D641" s="21"/>
      <c r="E641" s="21"/>
      <c r="F641" s="21"/>
      <c r="G641" s="21"/>
      <c r="H641" s="21"/>
      <c r="I641" s="21"/>
      <c r="J641" s="22"/>
      <c r="K641" s="619"/>
      <c r="L641" s="619"/>
    </row>
    <row r="642" spans="1:12" ht="14.25" customHeight="1">
      <c r="A642" s="619"/>
      <c r="B642" s="619"/>
      <c r="C642" s="4"/>
      <c r="D642" s="21"/>
      <c r="E642" s="21"/>
      <c r="F642" s="21"/>
      <c r="G642" s="21"/>
      <c r="H642" s="21"/>
      <c r="I642" s="21"/>
      <c r="J642" s="22"/>
      <c r="K642" s="619"/>
      <c r="L642" s="619"/>
    </row>
    <row r="643" spans="1:12" ht="14.25" customHeight="1">
      <c r="A643" s="619"/>
      <c r="B643" s="619"/>
      <c r="C643" s="4"/>
      <c r="D643" s="21"/>
      <c r="E643" s="21"/>
      <c r="F643" s="21"/>
      <c r="G643" s="21"/>
      <c r="H643" s="21"/>
      <c r="I643" s="21"/>
      <c r="J643" s="22"/>
      <c r="K643" s="619"/>
      <c r="L643" s="619"/>
    </row>
    <row r="644" spans="1:12" ht="14.25" customHeight="1">
      <c r="A644" s="619"/>
      <c r="B644" s="619"/>
      <c r="C644" s="4"/>
      <c r="D644" s="21"/>
      <c r="E644" s="21"/>
      <c r="F644" s="21"/>
      <c r="G644" s="21"/>
      <c r="H644" s="21"/>
      <c r="I644" s="21"/>
      <c r="J644" s="22"/>
      <c r="K644" s="619"/>
      <c r="L644" s="619"/>
    </row>
    <row r="645" spans="1:12" ht="14.25" customHeight="1">
      <c r="A645" s="619"/>
      <c r="B645" s="619"/>
      <c r="C645" s="4"/>
      <c r="D645" s="21"/>
      <c r="E645" s="21"/>
      <c r="F645" s="21"/>
      <c r="G645" s="21"/>
      <c r="H645" s="21"/>
      <c r="I645" s="21"/>
      <c r="J645" s="22"/>
      <c r="K645" s="619"/>
      <c r="L645" s="619"/>
    </row>
    <row r="646" spans="1:12" ht="14.25" customHeight="1">
      <c r="A646" s="619"/>
      <c r="B646" s="619"/>
      <c r="C646" s="4"/>
      <c r="D646" s="21"/>
      <c r="E646" s="21"/>
      <c r="F646" s="21"/>
      <c r="G646" s="21"/>
      <c r="H646" s="21"/>
      <c r="I646" s="21"/>
      <c r="J646" s="22"/>
      <c r="K646" s="619"/>
      <c r="L646" s="619"/>
    </row>
    <row r="647" spans="1:12" ht="14.25" customHeight="1">
      <c r="A647" s="619"/>
      <c r="B647" s="619"/>
      <c r="C647" s="4"/>
      <c r="D647" s="21"/>
      <c r="E647" s="21"/>
      <c r="F647" s="21"/>
      <c r="G647" s="21"/>
      <c r="H647" s="21"/>
      <c r="I647" s="21"/>
      <c r="J647" s="22"/>
      <c r="K647" s="619"/>
      <c r="L647" s="619"/>
    </row>
    <row r="648" spans="1:12" ht="14.25" customHeight="1">
      <c r="A648" s="619"/>
      <c r="B648" s="619"/>
      <c r="C648" s="4"/>
      <c r="D648" s="21"/>
      <c r="E648" s="21"/>
      <c r="F648" s="21"/>
      <c r="G648" s="21"/>
      <c r="H648" s="21"/>
      <c r="I648" s="21"/>
      <c r="J648" s="22"/>
      <c r="K648" s="619"/>
      <c r="L648" s="619"/>
    </row>
    <row r="649" spans="1:12" ht="14.25" customHeight="1">
      <c r="A649" s="619"/>
      <c r="B649" s="619"/>
      <c r="C649" s="4"/>
      <c r="D649" s="21"/>
      <c r="E649" s="21"/>
      <c r="F649" s="21"/>
      <c r="G649" s="21"/>
      <c r="H649" s="21"/>
      <c r="I649" s="21"/>
      <c r="J649" s="22"/>
      <c r="K649" s="619"/>
      <c r="L649" s="619"/>
    </row>
    <row r="650" spans="1:12" ht="14.25" customHeight="1">
      <c r="A650" s="619"/>
      <c r="B650" s="619"/>
      <c r="C650" s="4"/>
      <c r="D650" s="21"/>
      <c r="E650" s="21"/>
      <c r="F650" s="21"/>
      <c r="G650" s="21"/>
      <c r="H650" s="21"/>
      <c r="I650" s="21"/>
      <c r="J650" s="22"/>
      <c r="K650" s="619"/>
      <c r="L650" s="619"/>
    </row>
    <row r="651" spans="1:12" ht="14.25" customHeight="1">
      <c r="A651" s="619"/>
      <c r="B651" s="619"/>
      <c r="C651" s="4"/>
      <c r="D651" s="21"/>
      <c r="E651" s="21"/>
      <c r="F651" s="21"/>
      <c r="G651" s="21"/>
      <c r="H651" s="21"/>
      <c r="I651" s="21"/>
      <c r="J651" s="22"/>
      <c r="K651" s="619"/>
      <c r="L651" s="619"/>
    </row>
    <row r="652" spans="1:12" ht="14.25" customHeight="1">
      <c r="A652" s="619"/>
      <c r="B652" s="619"/>
      <c r="C652" s="4"/>
      <c r="D652" s="21"/>
      <c r="E652" s="21"/>
      <c r="F652" s="21"/>
      <c r="G652" s="21"/>
      <c r="H652" s="21"/>
      <c r="I652" s="21"/>
      <c r="J652" s="22"/>
      <c r="K652" s="619"/>
      <c r="L652" s="619"/>
    </row>
    <row r="653" spans="1:12" ht="14.25" customHeight="1">
      <c r="A653" s="619"/>
      <c r="B653" s="619"/>
      <c r="C653" s="4"/>
      <c r="D653" s="21"/>
      <c r="E653" s="21"/>
      <c r="F653" s="21"/>
      <c r="G653" s="21"/>
      <c r="H653" s="21"/>
      <c r="I653" s="21"/>
      <c r="J653" s="22"/>
      <c r="K653" s="619"/>
      <c r="L653" s="619"/>
    </row>
    <row r="654" spans="1:12" ht="14.25" customHeight="1">
      <c r="A654" s="619"/>
      <c r="B654" s="619"/>
      <c r="C654" s="4"/>
      <c r="D654" s="21"/>
      <c r="E654" s="21"/>
      <c r="F654" s="21"/>
      <c r="G654" s="21"/>
      <c r="H654" s="21"/>
      <c r="I654" s="21"/>
      <c r="J654" s="22"/>
      <c r="K654" s="619"/>
      <c r="L654" s="619"/>
    </row>
    <row r="655" spans="1:12" ht="14.25" customHeight="1">
      <c r="A655" s="619"/>
      <c r="B655" s="619"/>
      <c r="C655" s="4"/>
      <c r="D655" s="21"/>
      <c r="E655" s="21"/>
      <c r="F655" s="21"/>
      <c r="G655" s="21"/>
      <c r="H655" s="21"/>
      <c r="I655" s="21"/>
      <c r="J655" s="22"/>
      <c r="K655" s="619"/>
      <c r="L655" s="619"/>
    </row>
    <row r="656" spans="1:12" ht="14.25" customHeight="1">
      <c r="A656" s="619"/>
      <c r="B656" s="619"/>
      <c r="C656" s="4"/>
      <c r="D656" s="21"/>
      <c r="E656" s="21"/>
      <c r="F656" s="21"/>
      <c r="G656" s="21"/>
      <c r="H656" s="21"/>
      <c r="I656" s="21"/>
      <c r="J656" s="22"/>
      <c r="K656" s="619"/>
      <c r="L656" s="619"/>
    </row>
    <row r="657" spans="1:12" ht="14.25" customHeight="1">
      <c r="A657" s="619"/>
      <c r="B657" s="619"/>
      <c r="C657" s="4"/>
      <c r="D657" s="21"/>
      <c r="E657" s="21"/>
      <c r="F657" s="21"/>
      <c r="G657" s="21"/>
      <c r="H657" s="21"/>
      <c r="I657" s="21"/>
      <c r="J657" s="22"/>
      <c r="K657" s="619"/>
      <c r="L657" s="619"/>
    </row>
    <row r="658" spans="1:12" ht="14.25" customHeight="1">
      <c r="A658" s="619"/>
      <c r="B658" s="619"/>
      <c r="C658" s="4"/>
      <c r="D658" s="21"/>
      <c r="E658" s="21"/>
      <c r="F658" s="21"/>
      <c r="G658" s="21"/>
      <c r="H658" s="21"/>
      <c r="I658" s="21"/>
      <c r="J658" s="22"/>
      <c r="K658" s="619"/>
      <c r="L658" s="619"/>
    </row>
    <row r="659" spans="1:12" ht="14.25" customHeight="1">
      <c r="A659" s="619"/>
      <c r="B659" s="619"/>
      <c r="C659" s="4"/>
      <c r="D659" s="21"/>
      <c r="E659" s="21"/>
      <c r="F659" s="21"/>
      <c r="G659" s="21"/>
      <c r="H659" s="21"/>
      <c r="I659" s="21"/>
      <c r="J659" s="22"/>
      <c r="K659" s="619"/>
      <c r="L659" s="619"/>
    </row>
    <row r="660" spans="1:12" ht="14.25" customHeight="1">
      <c r="A660" s="619"/>
      <c r="B660" s="619"/>
      <c r="C660" s="4"/>
      <c r="D660" s="21"/>
      <c r="E660" s="21"/>
      <c r="F660" s="21"/>
      <c r="G660" s="21"/>
      <c r="H660" s="21"/>
      <c r="I660" s="21"/>
      <c r="J660" s="22"/>
      <c r="K660" s="619"/>
      <c r="L660" s="619"/>
    </row>
    <row r="661" spans="1:12" ht="14.25" customHeight="1">
      <c r="A661" s="619"/>
      <c r="B661" s="619"/>
      <c r="C661" s="4"/>
      <c r="D661" s="21"/>
      <c r="E661" s="21"/>
      <c r="F661" s="21"/>
      <c r="G661" s="21"/>
      <c r="H661" s="21"/>
      <c r="I661" s="21"/>
      <c r="J661" s="22"/>
      <c r="K661" s="619"/>
      <c r="L661" s="619"/>
    </row>
    <row r="662" spans="1:12" ht="14.25" customHeight="1">
      <c r="A662" s="619"/>
      <c r="B662" s="619"/>
      <c r="C662" s="4"/>
      <c r="D662" s="21"/>
      <c r="E662" s="21"/>
      <c r="F662" s="21"/>
      <c r="G662" s="21"/>
      <c r="H662" s="21"/>
      <c r="I662" s="21"/>
      <c r="J662" s="22"/>
      <c r="K662" s="619"/>
      <c r="L662" s="619"/>
    </row>
    <row r="663" spans="1:12" ht="14.25" customHeight="1">
      <c r="A663" s="619"/>
      <c r="B663" s="619"/>
      <c r="C663" s="4"/>
      <c r="D663" s="21"/>
      <c r="E663" s="21"/>
      <c r="F663" s="21"/>
      <c r="G663" s="21"/>
      <c r="H663" s="21"/>
      <c r="I663" s="21"/>
      <c r="J663" s="22"/>
      <c r="K663" s="619"/>
      <c r="L663" s="619"/>
    </row>
    <row r="664" spans="1:12" ht="14.25" customHeight="1">
      <c r="A664" s="619"/>
      <c r="B664" s="619"/>
      <c r="C664" s="4"/>
      <c r="D664" s="21"/>
      <c r="E664" s="21"/>
      <c r="F664" s="21"/>
      <c r="G664" s="21"/>
      <c r="H664" s="21"/>
      <c r="I664" s="21"/>
      <c r="J664" s="22"/>
      <c r="K664" s="619"/>
      <c r="L664" s="619"/>
    </row>
    <row r="665" spans="1:12" ht="14.25" customHeight="1">
      <c r="A665" s="619"/>
      <c r="B665" s="619"/>
      <c r="C665" s="4"/>
      <c r="D665" s="21"/>
      <c r="E665" s="21"/>
      <c r="F665" s="21"/>
      <c r="G665" s="21"/>
      <c r="H665" s="21"/>
      <c r="I665" s="21"/>
      <c r="J665" s="22"/>
      <c r="K665" s="619"/>
      <c r="L665" s="619"/>
    </row>
    <row r="666" spans="1:12" ht="14.25" customHeight="1">
      <c r="A666" s="619"/>
      <c r="B666" s="619"/>
      <c r="C666" s="4"/>
      <c r="D666" s="21"/>
      <c r="E666" s="21"/>
      <c r="F666" s="21"/>
      <c r="G666" s="21"/>
      <c r="H666" s="21"/>
      <c r="I666" s="21"/>
      <c r="J666" s="22"/>
      <c r="K666" s="619"/>
      <c r="L666" s="619"/>
    </row>
    <row r="667" spans="1:12" ht="14.25" customHeight="1">
      <c r="A667" s="619"/>
      <c r="B667" s="619"/>
      <c r="C667" s="4"/>
      <c r="D667" s="21"/>
      <c r="E667" s="21"/>
      <c r="F667" s="21"/>
      <c r="G667" s="21"/>
      <c r="H667" s="21"/>
      <c r="I667" s="21"/>
      <c r="J667" s="22"/>
      <c r="K667" s="619"/>
      <c r="L667" s="619"/>
    </row>
    <row r="668" spans="1:12" ht="14.25" customHeight="1">
      <c r="A668" s="619"/>
      <c r="B668" s="619"/>
      <c r="C668" s="4"/>
      <c r="D668" s="21"/>
      <c r="E668" s="21"/>
      <c r="F668" s="21"/>
      <c r="G668" s="21"/>
      <c r="H668" s="21"/>
      <c r="I668" s="21"/>
      <c r="J668" s="22"/>
      <c r="K668" s="619"/>
      <c r="L668" s="619"/>
    </row>
    <row r="669" spans="1:12" ht="14.25" customHeight="1">
      <c r="A669" s="619"/>
      <c r="B669" s="619"/>
      <c r="C669" s="4"/>
      <c r="D669" s="21"/>
      <c r="E669" s="21"/>
      <c r="F669" s="21"/>
      <c r="G669" s="21"/>
      <c r="H669" s="21"/>
      <c r="I669" s="21"/>
      <c r="J669" s="22"/>
      <c r="K669" s="619"/>
      <c r="L669" s="619"/>
    </row>
    <row r="670" spans="1:12" ht="14.25" customHeight="1">
      <c r="A670" s="619"/>
      <c r="B670" s="619"/>
      <c r="C670" s="4"/>
      <c r="D670" s="21"/>
      <c r="E670" s="21"/>
      <c r="F670" s="21"/>
      <c r="G670" s="21"/>
      <c r="H670" s="21"/>
      <c r="I670" s="21"/>
      <c r="J670" s="22"/>
      <c r="K670" s="619"/>
      <c r="L670" s="619"/>
    </row>
    <row r="671" spans="1:12" ht="14.25" customHeight="1">
      <c r="A671" s="619"/>
      <c r="B671" s="619"/>
      <c r="C671" s="4"/>
      <c r="D671" s="21"/>
      <c r="E671" s="21"/>
      <c r="F671" s="21"/>
      <c r="G671" s="21"/>
      <c r="H671" s="21"/>
      <c r="I671" s="21"/>
      <c r="J671" s="22"/>
      <c r="K671" s="619"/>
      <c r="L671" s="619"/>
    </row>
    <row r="672" spans="1:12" ht="14.25" customHeight="1">
      <c r="A672" s="619"/>
      <c r="B672" s="619"/>
      <c r="C672" s="4"/>
      <c r="D672" s="21"/>
      <c r="E672" s="21"/>
      <c r="F672" s="21"/>
      <c r="G672" s="21"/>
      <c r="H672" s="21"/>
      <c r="I672" s="21"/>
      <c r="J672" s="22"/>
      <c r="K672" s="619"/>
      <c r="L672" s="619"/>
    </row>
    <row r="673" spans="1:12" ht="14.25" customHeight="1">
      <c r="A673" s="619"/>
      <c r="B673" s="619"/>
      <c r="C673" s="4"/>
      <c r="D673" s="21"/>
      <c r="E673" s="21"/>
      <c r="F673" s="21"/>
      <c r="G673" s="21"/>
      <c r="H673" s="21"/>
      <c r="I673" s="21"/>
      <c r="J673" s="22"/>
      <c r="K673" s="619"/>
      <c r="L673" s="619"/>
    </row>
    <row r="674" spans="1:12" ht="14.25" customHeight="1">
      <c r="A674" s="619"/>
      <c r="B674" s="619"/>
      <c r="C674" s="4"/>
      <c r="D674" s="21"/>
      <c r="E674" s="21"/>
      <c r="F674" s="21"/>
      <c r="G674" s="21"/>
      <c r="H674" s="21"/>
      <c r="I674" s="21"/>
      <c r="J674" s="22"/>
      <c r="K674" s="619"/>
      <c r="L674" s="619"/>
    </row>
    <row r="675" spans="1:12" ht="14.25" customHeight="1">
      <c r="A675" s="619"/>
      <c r="B675" s="619"/>
      <c r="C675" s="4"/>
      <c r="D675" s="21"/>
      <c r="E675" s="21"/>
      <c r="F675" s="21"/>
      <c r="G675" s="21"/>
      <c r="H675" s="21"/>
      <c r="I675" s="21"/>
      <c r="J675" s="22"/>
      <c r="K675" s="619"/>
      <c r="L675" s="619"/>
    </row>
    <row r="676" spans="1:12" ht="14.25" customHeight="1">
      <c r="A676" s="619"/>
      <c r="B676" s="619"/>
      <c r="C676" s="4"/>
      <c r="D676" s="21"/>
      <c r="E676" s="21"/>
      <c r="F676" s="21"/>
      <c r="G676" s="21"/>
      <c r="H676" s="21"/>
      <c r="I676" s="21"/>
      <c r="J676" s="22"/>
      <c r="K676" s="619"/>
      <c r="L676" s="619"/>
    </row>
    <row r="677" spans="1:12" ht="14.25" customHeight="1">
      <c r="A677" s="619"/>
      <c r="B677" s="619"/>
      <c r="C677" s="4"/>
      <c r="D677" s="21"/>
      <c r="E677" s="21"/>
      <c r="F677" s="21"/>
      <c r="G677" s="21"/>
      <c r="H677" s="21"/>
      <c r="I677" s="21"/>
      <c r="J677" s="22"/>
      <c r="K677" s="619"/>
      <c r="L677" s="619"/>
    </row>
    <row r="678" spans="1:12" ht="14.25" customHeight="1">
      <c r="A678" s="619"/>
      <c r="B678" s="619"/>
      <c r="C678" s="4"/>
      <c r="D678" s="21"/>
      <c r="E678" s="21"/>
      <c r="F678" s="21"/>
      <c r="G678" s="21"/>
      <c r="H678" s="21"/>
      <c r="I678" s="21"/>
      <c r="J678" s="22"/>
      <c r="K678" s="619"/>
      <c r="L678" s="619"/>
    </row>
    <row r="679" spans="1:12" ht="14.25" customHeight="1">
      <c r="A679" s="619"/>
      <c r="B679" s="619"/>
      <c r="C679" s="4"/>
      <c r="D679" s="21"/>
      <c r="E679" s="21"/>
      <c r="F679" s="21"/>
      <c r="G679" s="21"/>
      <c r="H679" s="21"/>
      <c r="I679" s="21"/>
      <c r="J679" s="22"/>
      <c r="K679" s="619"/>
      <c r="L679" s="619"/>
    </row>
    <row r="680" spans="1:12" ht="14.25" customHeight="1">
      <c r="A680" s="619"/>
      <c r="B680" s="619"/>
      <c r="C680" s="4"/>
      <c r="D680" s="21"/>
      <c r="E680" s="21"/>
      <c r="F680" s="21"/>
      <c r="G680" s="21"/>
      <c r="H680" s="21"/>
      <c r="I680" s="21"/>
      <c r="J680" s="22"/>
      <c r="K680" s="619"/>
      <c r="L680" s="619"/>
    </row>
    <row r="681" spans="1:12" ht="14.25" customHeight="1">
      <c r="A681" s="619"/>
      <c r="B681" s="619"/>
      <c r="C681" s="4"/>
      <c r="D681" s="21"/>
      <c r="E681" s="21"/>
      <c r="F681" s="21"/>
      <c r="G681" s="21"/>
      <c r="H681" s="21"/>
      <c r="I681" s="21"/>
      <c r="J681" s="22"/>
      <c r="K681" s="619"/>
      <c r="L681" s="619"/>
    </row>
    <row r="682" spans="1:12" ht="14.25" customHeight="1">
      <c r="A682" s="619"/>
      <c r="B682" s="619"/>
      <c r="C682" s="4"/>
      <c r="D682" s="21"/>
      <c r="E682" s="21"/>
      <c r="F682" s="21"/>
      <c r="G682" s="21"/>
      <c r="H682" s="21"/>
      <c r="I682" s="21"/>
      <c r="J682" s="22"/>
      <c r="K682" s="619"/>
      <c r="L682" s="619"/>
    </row>
    <row r="683" spans="1:12" ht="14.25" customHeight="1">
      <c r="A683" s="619"/>
      <c r="B683" s="619"/>
      <c r="C683" s="4"/>
      <c r="D683" s="21"/>
      <c r="E683" s="21"/>
      <c r="F683" s="21"/>
      <c r="G683" s="21"/>
      <c r="H683" s="21"/>
      <c r="I683" s="21"/>
      <c r="J683" s="22"/>
      <c r="K683" s="619"/>
      <c r="L683" s="619"/>
    </row>
    <row r="684" spans="1:12" ht="14.25" customHeight="1">
      <c r="A684" s="619"/>
      <c r="B684" s="619"/>
      <c r="C684" s="4"/>
      <c r="D684" s="21"/>
      <c r="E684" s="21"/>
      <c r="F684" s="21"/>
      <c r="G684" s="21"/>
      <c r="H684" s="21"/>
      <c r="I684" s="21"/>
      <c r="J684" s="22"/>
      <c r="K684" s="619"/>
      <c r="L684" s="619"/>
    </row>
    <row r="685" spans="1:12" ht="14.25" customHeight="1">
      <c r="A685" s="619"/>
      <c r="B685" s="619"/>
      <c r="C685" s="4"/>
      <c r="D685" s="21"/>
      <c r="E685" s="21"/>
      <c r="F685" s="21"/>
      <c r="G685" s="21"/>
      <c r="H685" s="21"/>
      <c r="I685" s="21"/>
      <c r="J685" s="22"/>
      <c r="K685" s="619"/>
      <c r="L685" s="619"/>
    </row>
    <row r="686" spans="1:12" ht="14.25" customHeight="1">
      <c r="A686" s="619"/>
      <c r="B686" s="619"/>
      <c r="C686" s="4"/>
      <c r="D686" s="21"/>
      <c r="E686" s="21"/>
      <c r="F686" s="21"/>
      <c r="G686" s="21"/>
      <c r="H686" s="21"/>
      <c r="I686" s="21"/>
      <c r="J686" s="22"/>
      <c r="K686" s="619"/>
      <c r="L686" s="619"/>
    </row>
    <row r="687" spans="1:12" ht="14.25" customHeight="1">
      <c r="A687" s="619"/>
      <c r="B687" s="619"/>
      <c r="C687" s="4"/>
      <c r="D687" s="21"/>
      <c r="E687" s="21"/>
      <c r="F687" s="21"/>
      <c r="G687" s="21"/>
      <c r="H687" s="21"/>
      <c r="I687" s="21"/>
      <c r="J687" s="22"/>
      <c r="K687" s="619"/>
      <c r="L687" s="619"/>
    </row>
    <row r="688" spans="1:12" ht="14.25" customHeight="1">
      <c r="A688" s="619"/>
      <c r="B688" s="619"/>
      <c r="C688" s="4"/>
      <c r="D688" s="21"/>
      <c r="E688" s="21"/>
      <c r="F688" s="21"/>
      <c r="G688" s="21"/>
      <c r="H688" s="21"/>
      <c r="I688" s="21"/>
      <c r="J688" s="22"/>
      <c r="K688" s="619"/>
      <c r="L688" s="619"/>
    </row>
    <row r="689" spans="1:12" ht="14.25" customHeight="1">
      <c r="A689" s="619"/>
      <c r="B689" s="619"/>
      <c r="C689" s="4"/>
      <c r="D689" s="21"/>
      <c r="E689" s="21"/>
      <c r="F689" s="21"/>
      <c r="G689" s="21"/>
      <c r="H689" s="21"/>
      <c r="I689" s="21"/>
      <c r="J689" s="22"/>
      <c r="K689" s="619"/>
      <c r="L689" s="619"/>
    </row>
    <row r="690" spans="1:12" ht="14.25" customHeight="1">
      <c r="A690" s="619"/>
      <c r="B690" s="619"/>
      <c r="C690" s="4"/>
      <c r="D690" s="21"/>
      <c r="E690" s="21"/>
      <c r="F690" s="21"/>
      <c r="G690" s="21"/>
      <c r="H690" s="21"/>
      <c r="I690" s="21"/>
      <c r="J690" s="22"/>
      <c r="K690" s="619"/>
      <c r="L690" s="619"/>
    </row>
    <row r="691" spans="1:12" ht="14.25" customHeight="1">
      <c r="A691" s="619"/>
      <c r="B691" s="619"/>
      <c r="C691" s="4"/>
      <c r="D691" s="21"/>
      <c r="E691" s="21"/>
      <c r="F691" s="21"/>
      <c r="G691" s="21"/>
      <c r="H691" s="21"/>
      <c r="I691" s="21"/>
      <c r="J691" s="22"/>
      <c r="K691" s="619"/>
      <c r="L691" s="619"/>
    </row>
    <row r="692" spans="1:12" ht="14.25" customHeight="1">
      <c r="A692" s="619"/>
      <c r="B692" s="619"/>
      <c r="C692" s="4"/>
      <c r="D692" s="21"/>
      <c r="E692" s="21"/>
      <c r="F692" s="21"/>
      <c r="G692" s="21"/>
      <c r="H692" s="21"/>
      <c r="I692" s="21"/>
      <c r="J692" s="22"/>
      <c r="K692" s="619"/>
      <c r="L692" s="619"/>
    </row>
    <row r="693" spans="1:12" ht="14.25" customHeight="1">
      <c r="A693" s="619"/>
      <c r="B693" s="619"/>
      <c r="C693" s="4"/>
      <c r="D693" s="21"/>
      <c r="E693" s="21"/>
      <c r="F693" s="21"/>
      <c r="G693" s="21"/>
      <c r="H693" s="21"/>
      <c r="I693" s="21"/>
      <c r="J693" s="22"/>
      <c r="K693" s="619"/>
      <c r="L693" s="619"/>
    </row>
    <row r="694" spans="1:12" ht="14.25" customHeight="1">
      <c r="A694" s="619"/>
      <c r="B694" s="619"/>
      <c r="C694" s="4"/>
      <c r="D694" s="21"/>
      <c r="E694" s="21"/>
      <c r="F694" s="21"/>
      <c r="G694" s="21"/>
      <c r="H694" s="21"/>
      <c r="I694" s="21"/>
      <c r="J694" s="22"/>
      <c r="K694" s="619"/>
      <c r="L694" s="619"/>
    </row>
    <row r="695" spans="1:12" ht="14.25" customHeight="1">
      <c r="A695" s="619"/>
      <c r="B695" s="619"/>
      <c r="C695" s="4"/>
      <c r="D695" s="21"/>
      <c r="E695" s="21"/>
      <c r="F695" s="21"/>
      <c r="G695" s="21"/>
      <c r="H695" s="21"/>
      <c r="I695" s="21"/>
      <c r="J695" s="22"/>
      <c r="K695" s="619"/>
      <c r="L695" s="619"/>
    </row>
    <row r="696" spans="1:12" ht="14.25" customHeight="1">
      <c r="A696" s="619"/>
      <c r="B696" s="619"/>
      <c r="C696" s="4"/>
      <c r="D696" s="21"/>
      <c r="E696" s="21"/>
      <c r="F696" s="21"/>
      <c r="G696" s="21"/>
      <c r="H696" s="21"/>
      <c r="I696" s="21"/>
      <c r="J696" s="22"/>
      <c r="K696" s="619"/>
      <c r="L696" s="619"/>
    </row>
    <row r="697" spans="1:12" ht="14.25" customHeight="1">
      <c r="A697" s="619"/>
      <c r="B697" s="619"/>
      <c r="C697" s="4"/>
      <c r="D697" s="21"/>
      <c r="E697" s="21"/>
      <c r="F697" s="21"/>
      <c r="G697" s="21"/>
      <c r="H697" s="21"/>
      <c r="I697" s="21"/>
      <c r="J697" s="22"/>
      <c r="K697" s="619"/>
      <c r="L697" s="619"/>
    </row>
    <row r="698" spans="1:12" ht="14.25" customHeight="1">
      <c r="A698" s="619"/>
      <c r="B698" s="619"/>
      <c r="C698" s="4"/>
      <c r="D698" s="21"/>
      <c r="E698" s="21"/>
      <c r="F698" s="21"/>
      <c r="G698" s="21"/>
      <c r="H698" s="21"/>
      <c r="I698" s="21"/>
      <c r="J698" s="22"/>
      <c r="K698" s="619"/>
      <c r="L698" s="619"/>
    </row>
    <row r="699" spans="1:12" ht="14.25" customHeight="1">
      <c r="A699" s="619"/>
      <c r="B699" s="619"/>
      <c r="C699" s="4"/>
      <c r="D699" s="21"/>
      <c r="E699" s="21"/>
      <c r="F699" s="21"/>
      <c r="G699" s="21"/>
      <c r="H699" s="21"/>
      <c r="I699" s="21"/>
      <c r="J699" s="22"/>
      <c r="K699" s="619"/>
      <c r="L699" s="619"/>
    </row>
    <row r="700" spans="1:12" ht="14.25" customHeight="1">
      <c r="A700" s="619"/>
      <c r="B700" s="619"/>
      <c r="C700" s="4"/>
      <c r="D700" s="21"/>
      <c r="E700" s="21"/>
      <c r="F700" s="21"/>
      <c r="G700" s="21"/>
      <c r="H700" s="21"/>
      <c r="I700" s="21"/>
      <c r="J700" s="22"/>
      <c r="K700" s="619"/>
      <c r="L700" s="619"/>
    </row>
    <row r="701" spans="1:12" ht="14.25" customHeight="1">
      <c r="A701" s="619"/>
      <c r="B701" s="619"/>
      <c r="C701" s="4"/>
      <c r="D701" s="21"/>
      <c r="E701" s="21"/>
      <c r="F701" s="21"/>
      <c r="G701" s="21"/>
      <c r="H701" s="21"/>
      <c r="I701" s="21"/>
      <c r="J701" s="22"/>
      <c r="K701" s="619"/>
      <c r="L701" s="619"/>
    </row>
    <row r="702" spans="1:12" ht="14.25" customHeight="1">
      <c r="A702" s="619"/>
      <c r="B702" s="619"/>
      <c r="C702" s="4"/>
      <c r="D702" s="21"/>
      <c r="E702" s="21"/>
      <c r="F702" s="21"/>
      <c r="G702" s="21"/>
      <c r="H702" s="21"/>
      <c r="I702" s="21"/>
      <c r="J702" s="22"/>
      <c r="K702" s="619"/>
      <c r="L702" s="619"/>
    </row>
    <row r="703" spans="1:12" ht="14.25" customHeight="1">
      <c r="A703" s="619"/>
      <c r="B703" s="619"/>
      <c r="C703" s="4"/>
      <c r="D703" s="21"/>
      <c r="E703" s="21"/>
      <c r="F703" s="21"/>
      <c r="G703" s="21"/>
      <c r="H703" s="21"/>
      <c r="I703" s="21"/>
      <c r="J703" s="22"/>
      <c r="K703" s="619"/>
      <c r="L703" s="619"/>
    </row>
    <row r="704" spans="1:12" ht="14.25" customHeight="1">
      <c r="A704" s="619"/>
      <c r="B704" s="619"/>
      <c r="C704" s="4"/>
      <c r="D704" s="21"/>
      <c r="E704" s="21"/>
      <c r="F704" s="21"/>
      <c r="G704" s="21"/>
      <c r="H704" s="21"/>
      <c r="I704" s="21"/>
      <c r="J704" s="22"/>
      <c r="K704" s="619"/>
      <c r="L704" s="619"/>
    </row>
    <row r="705" spans="1:12" ht="14.25" customHeight="1">
      <c r="A705" s="619"/>
      <c r="B705" s="619"/>
      <c r="C705" s="4"/>
      <c r="D705" s="21"/>
      <c r="E705" s="21"/>
      <c r="F705" s="21"/>
      <c r="G705" s="21"/>
      <c r="H705" s="21"/>
      <c r="I705" s="21"/>
      <c r="J705" s="22"/>
      <c r="K705" s="619"/>
      <c r="L705" s="619"/>
    </row>
    <row r="706" spans="1:12" ht="14.25" customHeight="1">
      <c r="A706" s="619"/>
      <c r="B706" s="619"/>
      <c r="C706" s="4"/>
      <c r="D706" s="21"/>
      <c r="E706" s="21"/>
      <c r="F706" s="21"/>
      <c r="G706" s="21"/>
      <c r="H706" s="21"/>
      <c r="I706" s="21"/>
      <c r="J706" s="22"/>
      <c r="K706" s="619"/>
      <c r="L706" s="619"/>
    </row>
    <row r="707" spans="1:12" ht="14.25" customHeight="1">
      <c r="A707" s="619"/>
      <c r="B707" s="619"/>
      <c r="C707" s="4"/>
      <c r="D707" s="21"/>
      <c r="E707" s="21"/>
      <c r="F707" s="21"/>
      <c r="G707" s="21"/>
      <c r="H707" s="21"/>
      <c r="I707" s="21"/>
      <c r="J707" s="22"/>
      <c r="K707" s="619"/>
      <c r="L707" s="619"/>
    </row>
    <row r="708" spans="1:12" ht="14.25" customHeight="1">
      <c r="A708" s="619"/>
      <c r="B708" s="619"/>
      <c r="C708" s="4"/>
      <c r="D708" s="21"/>
      <c r="E708" s="21"/>
      <c r="F708" s="21"/>
      <c r="G708" s="21"/>
      <c r="H708" s="21"/>
      <c r="I708" s="21"/>
      <c r="J708" s="22"/>
      <c r="K708" s="619"/>
      <c r="L708" s="619"/>
    </row>
    <row r="709" spans="1:12" ht="14.25" customHeight="1">
      <c r="A709" s="619"/>
      <c r="B709" s="619"/>
      <c r="C709" s="4"/>
      <c r="D709" s="21"/>
      <c r="E709" s="21"/>
      <c r="F709" s="21"/>
      <c r="G709" s="21"/>
      <c r="H709" s="21"/>
      <c r="I709" s="21"/>
      <c r="J709" s="22"/>
      <c r="K709" s="619"/>
      <c r="L709" s="619"/>
    </row>
    <row r="710" spans="1:12" ht="14.25" customHeight="1">
      <c r="A710" s="619"/>
      <c r="B710" s="619"/>
      <c r="C710" s="4"/>
      <c r="D710" s="21"/>
      <c r="E710" s="21"/>
      <c r="F710" s="21"/>
      <c r="G710" s="21"/>
      <c r="H710" s="21"/>
      <c r="I710" s="21"/>
      <c r="J710" s="22"/>
      <c r="K710" s="619"/>
      <c r="L710" s="619"/>
    </row>
    <row r="711" spans="1:12" ht="14.25" customHeight="1">
      <c r="A711" s="619"/>
      <c r="B711" s="619"/>
      <c r="C711" s="4"/>
      <c r="D711" s="21"/>
      <c r="E711" s="21"/>
      <c r="F711" s="21"/>
      <c r="G711" s="21"/>
      <c r="H711" s="21"/>
      <c r="I711" s="21"/>
      <c r="J711" s="22"/>
      <c r="K711" s="619"/>
      <c r="L711" s="619"/>
    </row>
    <row r="712" spans="1:12" ht="14.25" customHeight="1">
      <c r="A712" s="619"/>
      <c r="B712" s="619"/>
      <c r="C712" s="4"/>
      <c r="D712" s="21"/>
      <c r="E712" s="21"/>
      <c r="F712" s="21"/>
      <c r="G712" s="21"/>
      <c r="H712" s="21"/>
      <c r="I712" s="21"/>
      <c r="J712" s="22"/>
      <c r="K712" s="619"/>
      <c r="L712" s="619"/>
    </row>
    <row r="713" spans="1:12" ht="14.25" customHeight="1">
      <c r="A713" s="619"/>
      <c r="B713" s="619"/>
      <c r="C713" s="4"/>
      <c r="D713" s="21"/>
      <c r="E713" s="21"/>
      <c r="F713" s="21"/>
      <c r="G713" s="21"/>
      <c r="H713" s="21"/>
      <c r="I713" s="21"/>
      <c r="J713" s="22"/>
      <c r="K713" s="619"/>
      <c r="L713" s="619"/>
    </row>
    <row r="714" spans="1:12" ht="14.25" customHeight="1">
      <c r="A714" s="619"/>
      <c r="B714" s="619"/>
      <c r="C714" s="4"/>
      <c r="D714" s="21"/>
      <c r="E714" s="21"/>
      <c r="F714" s="21"/>
      <c r="G714" s="21"/>
      <c r="H714" s="21"/>
      <c r="I714" s="21"/>
      <c r="J714" s="22"/>
      <c r="K714" s="619"/>
      <c r="L714" s="619"/>
    </row>
    <row r="715" spans="1:12" ht="14.25" customHeight="1">
      <c r="A715" s="619"/>
      <c r="B715" s="619"/>
      <c r="C715" s="4"/>
      <c r="D715" s="21"/>
      <c r="E715" s="21"/>
      <c r="F715" s="21"/>
      <c r="G715" s="21"/>
      <c r="H715" s="21"/>
      <c r="I715" s="21"/>
      <c r="J715" s="22"/>
      <c r="K715" s="619"/>
      <c r="L715" s="619"/>
    </row>
    <row r="716" spans="1:12" ht="14.25" customHeight="1">
      <c r="A716" s="619"/>
      <c r="B716" s="619"/>
      <c r="C716" s="4"/>
      <c r="D716" s="21"/>
      <c r="E716" s="21"/>
      <c r="F716" s="21"/>
      <c r="G716" s="21"/>
      <c r="H716" s="21"/>
      <c r="I716" s="21"/>
      <c r="J716" s="22"/>
      <c r="K716" s="619"/>
      <c r="L716" s="619"/>
    </row>
    <row r="717" spans="1:12" ht="14.25" customHeight="1">
      <c r="A717" s="619"/>
      <c r="B717" s="619"/>
      <c r="C717" s="4"/>
      <c r="D717" s="21"/>
      <c r="E717" s="21"/>
      <c r="F717" s="21"/>
      <c r="G717" s="21"/>
      <c r="H717" s="21"/>
      <c r="I717" s="21"/>
      <c r="J717" s="22"/>
      <c r="K717" s="619"/>
      <c r="L717" s="619"/>
    </row>
    <row r="718" spans="1:12" ht="14.25" customHeight="1">
      <c r="A718" s="619"/>
      <c r="B718" s="619"/>
      <c r="C718" s="4"/>
      <c r="D718" s="21"/>
      <c r="E718" s="21"/>
      <c r="F718" s="21"/>
      <c r="G718" s="21"/>
      <c r="H718" s="21"/>
      <c r="I718" s="21"/>
      <c r="J718" s="22"/>
      <c r="K718" s="619"/>
      <c r="L718" s="619"/>
    </row>
    <row r="719" spans="1:12" ht="14.25" customHeight="1">
      <c r="A719" s="619"/>
      <c r="B719" s="619"/>
      <c r="C719" s="4"/>
      <c r="D719" s="21"/>
      <c r="E719" s="21"/>
      <c r="F719" s="21"/>
      <c r="G719" s="21"/>
      <c r="H719" s="21"/>
      <c r="I719" s="21"/>
      <c r="J719" s="22"/>
      <c r="K719" s="619"/>
      <c r="L719" s="619"/>
    </row>
    <row r="720" spans="1:12" ht="14.25" customHeight="1">
      <c r="A720" s="619"/>
      <c r="B720" s="619"/>
      <c r="C720" s="4"/>
      <c r="D720" s="21"/>
      <c r="E720" s="21"/>
      <c r="F720" s="21"/>
      <c r="G720" s="21"/>
      <c r="H720" s="21"/>
      <c r="I720" s="21"/>
      <c r="J720" s="22"/>
      <c r="K720" s="619"/>
      <c r="L720" s="619"/>
    </row>
    <row r="721" spans="1:12" ht="14.25" customHeight="1">
      <c r="A721" s="619"/>
      <c r="B721" s="619"/>
      <c r="C721" s="4"/>
      <c r="D721" s="21"/>
      <c r="E721" s="21"/>
      <c r="F721" s="21"/>
      <c r="G721" s="21"/>
      <c r="H721" s="21"/>
      <c r="I721" s="21"/>
      <c r="J721" s="22"/>
      <c r="K721" s="619"/>
      <c r="L721" s="619"/>
    </row>
    <row r="722" spans="1:12" ht="14.25" customHeight="1">
      <c r="A722" s="619"/>
      <c r="B722" s="619"/>
      <c r="C722" s="4"/>
      <c r="D722" s="21"/>
      <c r="E722" s="21"/>
      <c r="F722" s="21"/>
      <c r="G722" s="21"/>
      <c r="H722" s="21"/>
      <c r="I722" s="21"/>
      <c r="J722" s="22"/>
      <c r="K722" s="619"/>
      <c r="L722" s="619"/>
    </row>
    <row r="723" spans="1:12" ht="14.25" customHeight="1">
      <c r="A723" s="619"/>
      <c r="B723" s="619"/>
      <c r="C723" s="4"/>
      <c r="D723" s="21"/>
      <c r="E723" s="21"/>
      <c r="F723" s="21"/>
      <c r="G723" s="21"/>
      <c r="H723" s="21"/>
      <c r="I723" s="21"/>
      <c r="J723" s="22"/>
      <c r="K723" s="619"/>
      <c r="L723" s="619"/>
    </row>
    <row r="724" spans="1:12" ht="15.75" customHeight="1">
      <c r="A724" s="8"/>
      <c r="B724" s="8"/>
      <c r="C724" s="8"/>
      <c r="D724" s="8"/>
      <c r="E724" s="8"/>
      <c r="F724" s="8"/>
      <c r="G724" s="8"/>
      <c r="H724" s="8"/>
      <c r="I724" s="8"/>
      <c r="J724" s="8"/>
      <c r="K724" s="8"/>
      <c r="L724" s="8"/>
    </row>
    <row r="725" spans="1:12" ht="15.75" customHeight="1">
      <c r="A725" s="8"/>
      <c r="B725" s="8"/>
      <c r="C725" s="8"/>
      <c r="D725" s="8"/>
      <c r="E725" s="8"/>
      <c r="F725" s="8"/>
      <c r="G725" s="8"/>
      <c r="H725" s="8"/>
      <c r="I725" s="8"/>
      <c r="J725" s="8"/>
      <c r="K725" s="8"/>
      <c r="L725" s="8"/>
    </row>
    <row r="726" spans="1:12" ht="15.75" customHeight="1">
      <c r="A726" s="8"/>
      <c r="B726" s="8"/>
      <c r="C726" s="8"/>
      <c r="D726" s="8"/>
      <c r="E726" s="8"/>
      <c r="F726" s="8"/>
      <c r="G726" s="8"/>
      <c r="H726" s="8"/>
      <c r="I726" s="8"/>
      <c r="J726" s="8"/>
      <c r="K726" s="8"/>
      <c r="L726" s="8"/>
    </row>
    <row r="727" spans="1:12" ht="15.75" customHeight="1">
      <c r="A727" s="8"/>
      <c r="B727" s="8"/>
      <c r="C727" s="8"/>
      <c r="D727" s="8"/>
      <c r="E727" s="8"/>
      <c r="F727" s="8"/>
      <c r="G727" s="8"/>
      <c r="H727" s="8"/>
      <c r="I727" s="8"/>
      <c r="J727" s="8"/>
      <c r="K727" s="8"/>
      <c r="L727" s="8"/>
    </row>
    <row r="728" spans="1:12" ht="15.75" customHeight="1">
      <c r="A728" s="8"/>
      <c r="B728" s="8"/>
      <c r="C728" s="8"/>
      <c r="D728" s="8"/>
      <c r="E728" s="8"/>
      <c r="F728" s="8"/>
      <c r="G728" s="8"/>
      <c r="H728" s="8"/>
      <c r="I728" s="8"/>
      <c r="J728" s="8"/>
      <c r="K728" s="8"/>
      <c r="L728" s="8"/>
    </row>
    <row r="729" spans="1:12" ht="15.75" customHeight="1">
      <c r="A729" s="8"/>
      <c r="B729" s="8"/>
      <c r="C729" s="8"/>
      <c r="D729" s="8"/>
      <c r="E729" s="8"/>
      <c r="F729" s="8"/>
      <c r="G729" s="8"/>
      <c r="H729" s="8"/>
      <c r="I729" s="8"/>
      <c r="J729" s="8"/>
      <c r="K729" s="8"/>
      <c r="L729" s="8"/>
    </row>
    <row r="730" spans="1:12" ht="15.75" customHeight="1">
      <c r="A730" s="8"/>
      <c r="B730" s="8"/>
      <c r="C730" s="8"/>
      <c r="D730" s="8"/>
      <c r="E730" s="8"/>
      <c r="F730" s="8"/>
      <c r="G730" s="8"/>
      <c r="H730" s="8"/>
      <c r="I730" s="8"/>
      <c r="J730" s="8"/>
      <c r="K730" s="8"/>
      <c r="L730" s="8"/>
    </row>
    <row r="731" spans="1:12" ht="15.75" customHeight="1">
      <c r="A731" s="8"/>
      <c r="B731" s="8"/>
      <c r="C731" s="8"/>
      <c r="D731" s="8"/>
      <c r="E731" s="8"/>
      <c r="F731" s="8"/>
      <c r="G731" s="8"/>
      <c r="H731" s="8"/>
      <c r="I731" s="8"/>
      <c r="J731" s="8"/>
      <c r="K731" s="8"/>
      <c r="L731" s="8"/>
    </row>
    <row r="732" spans="1:12" ht="15.75" customHeight="1">
      <c r="A732" s="8"/>
      <c r="B732" s="8"/>
      <c r="C732" s="8"/>
      <c r="D732" s="8"/>
      <c r="E732" s="8"/>
      <c r="F732" s="8"/>
      <c r="G732" s="8"/>
      <c r="H732" s="8"/>
      <c r="I732" s="8"/>
      <c r="J732" s="8"/>
      <c r="K732" s="8"/>
      <c r="L732" s="8"/>
    </row>
    <row r="733" spans="1:12" ht="15.75" customHeight="1">
      <c r="A733" s="8"/>
      <c r="B733" s="8"/>
      <c r="C733" s="8"/>
      <c r="D733" s="8"/>
      <c r="E733" s="8"/>
      <c r="F733" s="8"/>
      <c r="G733" s="8"/>
      <c r="H733" s="8"/>
      <c r="I733" s="8"/>
      <c r="J733" s="8"/>
      <c r="K733" s="8"/>
      <c r="L733" s="8"/>
    </row>
    <row r="734" spans="1:12" ht="15.75" customHeight="1">
      <c r="A734" s="8"/>
      <c r="B734" s="8"/>
      <c r="C734" s="8"/>
      <c r="D734" s="8"/>
      <c r="E734" s="8"/>
      <c r="F734" s="8"/>
      <c r="G734" s="8"/>
      <c r="H734" s="8"/>
      <c r="I734" s="8"/>
      <c r="J734" s="8"/>
      <c r="K734" s="8"/>
      <c r="L734" s="8"/>
    </row>
    <row r="735" spans="1:12" ht="15.75" customHeight="1">
      <c r="A735" s="8"/>
      <c r="B735" s="8"/>
      <c r="C735" s="8"/>
      <c r="D735" s="8"/>
      <c r="E735" s="8"/>
      <c r="F735" s="8"/>
      <c r="G735" s="8"/>
      <c r="H735" s="8"/>
      <c r="I735" s="8"/>
      <c r="J735" s="8"/>
      <c r="K735" s="8"/>
      <c r="L735" s="8"/>
    </row>
    <row r="736" spans="1:12" ht="15.75" customHeight="1">
      <c r="A736" s="8"/>
      <c r="B736" s="8"/>
      <c r="C736" s="8"/>
      <c r="D736" s="8"/>
      <c r="E736" s="8"/>
      <c r="F736" s="8"/>
      <c r="G736" s="8"/>
      <c r="H736" s="8"/>
      <c r="I736" s="8"/>
      <c r="J736" s="8"/>
      <c r="K736" s="8"/>
      <c r="L736" s="8"/>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1:L1"/>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FC5E8"/>
  </sheetPr>
  <dimension ref="A1:X1000"/>
  <sheetViews>
    <sheetView workbookViewId="0"/>
  </sheetViews>
  <sheetFormatPr defaultColWidth="12.6640625" defaultRowHeight="15" customHeight="1"/>
  <cols>
    <col min="1" max="1" width="3" customWidth="1"/>
    <col min="2" max="2" width="1.44140625" customWidth="1"/>
    <col min="3" max="3" width="3.33203125" customWidth="1"/>
    <col min="4" max="4" width="43.44140625" customWidth="1"/>
    <col min="5" max="5" width="9.77734375" customWidth="1"/>
    <col min="6" max="6" width="9.44140625" customWidth="1"/>
    <col min="7" max="8" width="5.44140625" customWidth="1"/>
    <col min="9" max="14" width="6.21875" customWidth="1"/>
    <col min="15" max="15" width="8.44140625" customWidth="1"/>
    <col min="16" max="26" width="12.44140625" customWidth="1"/>
  </cols>
  <sheetData>
    <row r="1" spans="1:24" ht="14.25" customHeight="1">
      <c r="A1" s="619"/>
      <c r="B1" s="52"/>
      <c r="C1" s="373"/>
      <c r="D1" s="637" t="s">
        <v>6</v>
      </c>
      <c r="E1" s="653"/>
      <c r="F1" s="653"/>
      <c r="G1" s="653"/>
      <c r="H1" s="653"/>
      <c r="I1" s="653"/>
      <c r="J1" s="653"/>
      <c r="K1" s="653"/>
      <c r="L1" s="653"/>
      <c r="M1" s="653"/>
      <c r="N1" s="653"/>
      <c r="O1" s="654"/>
      <c r="P1" s="1"/>
      <c r="Q1" s="1"/>
      <c r="R1" s="1"/>
      <c r="S1" s="1"/>
      <c r="T1" s="1"/>
      <c r="U1" s="1"/>
      <c r="V1" s="1"/>
      <c r="W1" s="1"/>
      <c r="X1" s="1"/>
    </row>
    <row r="2" spans="1:24" ht="14.25" customHeight="1">
      <c r="A2" s="1"/>
      <c r="B2" s="1"/>
      <c r="C2" s="1"/>
      <c r="D2" s="1"/>
      <c r="E2" s="1"/>
      <c r="F2" s="1"/>
      <c r="G2" s="1"/>
      <c r="H2" s="1"/>
      <c r="I2" s="1"/>
      <c r="J2" s="1"/>
      <c r="K2" s="1"/>
      <c r="L2" s="1"/>
      <c r="M2" s="1"/>
      <c r="N2" s="1"/>
      <c r="O2" s="1"/>
      <c r="P2" s="1"/>
      <c r="Q2" s="1"/>
      <c r="R2" s="1"/>
      <c r="S2" s="1"/>
      <c r="T2" s="1"/>
      <c r="U2" s="1"/>
      <c r="V2" s="1"/>
      <c r="W2" s="1"/>
      <c r="X2" s="1"/>
    </row>
    <row r="3" spans="1:24" ht="14.25" customHeight="1">
      <c r="A3" s="619"/>
      <c r="B3" s="61"/>
      <c r="C3" s="423"/>
      <c r="D3" s="424"/>
      <c r="E3" s="423"/>
      <c r="F3" s="423"/>
      <c r="G3" s="423"/>
      <c r="H3" s="423"/>
      <c r="I3" s="423"/>
      <c r="J3" s="423"/>
      <c r="K3" s="423"/>
      <c r="L3" s="423"/>
      <c r="M3" s="423"/>
      <c r="N3" s="423"/>
      <c r="O3" s="498"/>
      <c r="P3" s="1"/>
      <c r="Q3" s="1"/>
      <c r="R3" s="1"/>
      <c r="S3" s="1"/>
      <c r="T3" s="1"/>
      <c r="U3" s="1"/>
      <c r="V3" s="1"/>
      <c r="W3" s="1"/>
      <c r="X3" s="1"/>
    </row>
    <row r="4" spans="1:24" ht="14.25" customHeight="1">
      <c r="A4" s="619"/>
      <c r="B4" s="426"/>
      <c r="C4" s="425"/>
      <c r="D4" s="427" t="s">
        <v>411</v>
      </c>
      <c r="E4" s="428"/>
      <c r="F4" s="428"/>
      <c r="G4" s="428"/>
      <c r="H4" s="428"/>
      <c r="I4" s="428"/>
      <c r="J4" s="428"/>
      <c r="K4" s="428"/>
      <c r="L4" s="428"/>
      <c r="M4" s="428"/>
      <c r="N4" s="428"/>
      <c r="O4" s="499"/>
      <c r="P4" s="1"/>
      <c r="Q4" s="1"/>
      <c r="R4" s="1"/>
      <c r="S4" s="1"/>
      <c r="T4" s="1"/>
      <c r="U4" s="1"/>
      <c r="V4" s="1"/>
      <c r="W4" s="1"/>
      <c r="X4" s="1"/>
    </row>
    <row r="5" spans="1:24" ht="14.25" customHeight="1">
      <c r="A5" s="619"/>
      <c r="B5" s="426"/>
      <c r="C5" s="425"/>
      <c r="D5" s="427"/>
      <c r="E5" s="428"/>
      <c r="F5" s="428"/>
      <c r="G5" s="428"/>
      <c r="H5" s="428"/>
      <c r="I5" s="428"/>
      <c r="J5" s="428"/>
      <c r="K5" s="428"/>
      <c r="L5" s="428"/>
      <c r="M5" s="428"/>
      <c r="N5" s="428"/>
      <c r="O5" s="499"/>
      <c r="P5" s="1"/>
      <c r="Q5" s="1"/>
      <c r="R5" s="1"/>
      <c r="S5" s="1"/>
      <c r="T5" s="1"/>
      <c r="U5" s="1"/>
      <c r="V5" s="1"/>
      <c r="W5" s="1"/>
      <c r="X5" s="1"/>
    </row>
    <row r="6" spans="1:24" ht="14.25" customHeight="1">
      <c r="A6" s="619"/>
      <c r="B6" s="426"/>
      <c r="C6" s="425"/>
      <c r="D6" s="427"/>
      <c r="E6" s="428"/>
      <c r="F6" s="428"/>
      <c r="G6" s="428"/>
      <c r="H6" s="428"/>
      <c r="I6" s="428"/>
      <c r="J6" s="428"/>
      <c r="K6" s="428"/>
      <c r="L6" s="428"/>
      <c r="M6" s="428"/>
      <c r="N6" s="428"/>
      <c r="O6" s="499"/>
      <c r="P6" s="1"/>
      <c r="Q6" s="1"/>
      <c r="R6" s="1"/>
      <c r="S6" s="1"/>
      <c r="T6" s="1"/>
      <c r="U6" s="1"/>
      <c r="V6" s="1"/>
      <c r="W6" s="1"/>
      <c r="X6" s="1"/>
    </row>
    <row r="7" spans="1:24" ht="14.25" customHeight="1">
      <c r="A7" s="619"/>
      <c r="B7" s="426"/>
      <c r="C7" s="425"/>
      <c r="D7" s="427"/>
      <c r="E7" s="428"/>
      <c r="F7" s="428"/>
      <c r="G7" s="428"/>
      <c r="H7" s="428"/>
      <c r="I7" s="428"/>
      <c r="J7" s="428"/>
      <c r="K7" s="428"/>
      <c r="L7" s="428"/>
      <c r="M7" s="428"/>
      <c r="N7" s="428"/>
      <c r="O7" s="499"/>
      <c r="P7" s="1"/>
      <c r="Q7" s="1"/>
      <c r="R7" s="1"/>
      <c r="S7" s="1"/>
      <c r="T7" s="1"/>
      <c r="U7" s="1"/>
      <c r="V7" s="1"/>
      <c r="W7" s="1"/>
      <c r="X7" s="1"/>
    </row>
    <row r="8" spans="1:24" ht="14.25" customHeight="1">
      <c r="A8" s="619"/>
      <c r="B8" s="426"/>
      <c r="C8" s="425"/>
      <c r="D8" s="427"/>
      <c r="E8" s="428"/>
      <c r="F8" s="428"/>
      <c r="G8" s="428"/>
      <c r="H8" s="428"/>
      <c r="I8" s="428"/>
      <c r="J8" s="428"/>
      <c r="K8" s="428"/>
      <c r="L8" s="428"/>
      <c r="M8" s="428"/>
      <c r="N8" s="428"/>
      <c r="O8" s="499"/>
      <c r="P8" s="1"/>
      <c r="Q8" s="1"/>
      <c r="R8" s="1"/>
      <c r="S8" s="1"/>
      <c r="T8" s="1"/>
      <c r="U8" s="1"/>
      <c r="V8" s="1"/>
      <c r="W8" s="1"/>
      <c r="X8" s="1"/>
    </row>
    <row r="9" spans="1:24" ht="14.25" customHeight="1">
      <c r="A9" s="619"/>
      <c r="B9" s="426"/>
      <c r="C9" s="425"/>
      <c r="D9" s="427"/>
      <c r="E9" s="428"/>
      <c r="F9" s="428"/>
      <c r="G9" s="428"/>
      <c r="H9" s="428"/>
      <c r="I9" s="428"/>
      <c r="J9" s="428"/>
      <c r="K9" s="428"/>
      <c r="L9" s="428"/>
      <c r="M9" s="428"/>
      <c r="N9" s="428"/>
      <c r="O9" s="499"/>
      <c r="P9" s="1"/>
      <c r="Q9" s="1"/>
      <c r="R9" s="1"/>
      <c r="S9" s="1"/>
      <c r="T9" s="1"/>
      <c r="U9" s="1"/>
      <c r="V9" s="1"/>
      <c r="W9" s="1"/>
      <c r="X9" s="1"/>
    </row>
    <row r="10" spans="1:24" ht="14.25" customHeight="1">
      <c r="A10" s="619"/>
      <c r="B10" s="426"/>
      <c r="C10" s="425"/>
      <c r="D10" s="427"/>
      <c r="E10" s="428"/>
      <c r="F10" s="428"/>
      <c r="G10" s="428"/>
      <c r="H10" s="428"/>
      <c r="I10" s="428"/>
      <c r="J10" s="428"/>
      <c r="K10" s="428"/>
      <c r="L10" s="428"/>
      <c r="M10" s="428"/>
      <c r="N10" s="428"/>
      <c r="O10" s="499"/>
      <c r="P10" s="1"/>
      <c r="Q10" s="1"/>
      <c r="R10" s="1"/>
      <c r="S10" s="1"/>
      <c r="T10" s="1"/>
      <c r="U10" s="1"/>
      <c r="V10" s="1"/>
      <c r="W10" s="1"/>
      <c r="X10" s="1"/>
    </row>
    <row r="11" spans="1:24" ht="14.25" customHeight="1">
      <c r="A11" s="619"/>
      <c r="B11" s="426"/>
      <c r="C11" s="425"/>
      <c r="D11" s="427"/>
      <c r="E11" s="428"/>
      <c r="F11" s="428"/>
      <c r="G11" s="428"/>
      <c r="H11" s="428"/>
      <c r="I11" s="428"/>
      <c r="J11" s="428"/>
      <c r="K11" s="428"/>
      <c r="L11" s="428"/>
      <c r="M11" s="428"/>
      <c r="N11" s="428"/>
      <c r="O11" s="499"/>
      <c r="P11" s="1"/>
      <c r="Q11" s="1"/>
      <c r="R11" s="1"/>
      <c r="S11" s="1"/>
      <c r="T11" s="1"/>
      <c r="U11" s="1"/>
      <c r="V11" s="1"/>
      <c r="W11" s="1"/>
      <c r="X11" s="1"/>
    </row>
    <row r="12" spans="1:24" ht="14.25" customHeight="1">
      <c r="A12" s="619"/>
      <c r="B12" s="426"/>
      <c r="C12" s="425"/>
      <c r="D12" s="427"/>
      <c r="E12" s="428"/>
      <c r="F12" s="428"/>
      <c r="G12" s="428"/>
      <c r="H12" s="428"/>
      <c r="I12" s="428"/>
      <c r="J12" s="428"/>
      <c r="K12" s="428"/>
      <c r="L12" s="428"/>
      <c r="M12" s="428"/>
      <c r="N12" s="428"/>
      <c r="O12" s="499"/>
      <c r="P12" s="1"/>
      <c r="Q12" s="1"/>
      <c r="R12" s="1"/>
      <c r="S12" s="1"/>
      <c r="T12" s="1"/>
      <c r="U12" s="1"/>
      <c r="V12" s="1"/>
      <c r="W12" s="1"/>
      <c r="X12" s="1"/>
    </row>
    <row r="13" spans="1:24" ht="14.25" customHeight="1">
      <c r="A13" s="619"/>
      <c r="B13" s="426"/>
      <c r="C13" s="425"/>
      <c r="D13" s="427"/>
      <c r="E13" s="428"/>
      <c r="F13" s="428"/>
      <c r="G13" s="428"/>
      <c r="H13" s="428"/>
      <c r="I13" s="428"/>
      <c r="J13" s="428"/>
      <c r="K13" s="428"/>
      <c r="L13" s="428"/>
      <c r="M13" s="428"/>
      <c r="N13" s="428"/>
      <c r="O13" s="499"/>
      <c r="P13" s="1"/>
      <c r="Q13" s="1"/>
      <c r="R13" s="1"/>
      <c r="S13" s="1"/>
      <c r="T13" s="1"/>
      <c r="U13" s="1"/>
      <c r="V13" s="1"/>
      <c r="W13" s="1"/>
      <c r="X13" s="1"/>
    </row>
    <row r="14" spans="1:24" ht="14.25" customHeight="1">
      <c r="A14" s="619"/>
      <c r="B14" s="426"/>
      <c r="C14" s="425"/>
      <c r="D14" s="427"/>
      <c r="E14" s="428"/>
      <c r="F14" s="428"/>
      <c r="G14" s="428"/>
      <c r="H14" s="428"/>
      <c r="I14" s="428"/>
      <c r="J14" s="428"/>
      <c r="K14" s="428"/>
      <c r="L14" s="428"/>
      <c r="M14" s="428"/>
      <c r="N14" s="428"/>
      <c r="O14" s="499"/>
      <c r="P14" s="1"/>
      <c r="Q14" s="1"/>
      <c r="R14" s="1"/>
      <c r="S14" s="1"/>
      <c r="T14" s="1"/>
      <c r="U14" s="1"/>
      <c r="V14" s="1"/>
      <c r="W14" s="1"/>
      <c r="X14" s="1"/>
    </row>
    <row r="15" spans="1:24" ht="14.25" customHeight="1">
      <c r="A15" s="619"/>
      <c r="B15" s="426"/>
      <c r="C15" s="425"/>
      <c r="D15" s="427"/>
      <c r="E15" s="428"/>
      <c r="F15" s="428"/>
      <c r="G15" s="428"/>
      <c r="H15" s="428"/>
      <c r="I15" s="428"/>
      <c r="J15" s="428"/>
      <c r="K15" s="428"/>
      <c r="L15" s="428"/>
      <c r="M15" s="428"/>
      <c r="N15" s="428"/>
      <c r="O15" s="499"/>
      <c r="P15" s="1"/>
      <c r="Q15" s="1"/>
      <c r="R15" s="1"/>
      <c r="S15" s="1"/>
      <c r="T15" s="1"/>
      <c r="U15" s="1"/>
      <c r="V15" s="1"/>
      <c r="W15" s="1"/>
      <c r="X15" s="1"/>
    </row>
    <row r="16" spans="1:24" ht="14.25" customHeight="1">
      <c r="A16" s="619"/>
      <c r="B16" s="426"/>
      <c r="C16" s="425"/>
      <c r="D16" s="427"/>
      <c r="E16" s="428"/>
      <c r="F16" s="428"/>
      <c r="G16" s="428"/>
      <c r="H16" s="428"/>
      <c r="I16" s="428"/>
      <c r="J16" s="428"/>
      <c r="K16" s="428"/>
      <c r="L16" s="428"/>
      <c r="M16" s="428"/>
      <c r="N16" s="428"/>
      <c r="O16" s="499"/>
      <c r="P16" s="1"/>
      <c r="Q16" s="1"/>
      <c r="R16" s="1"/>
      <c r="S16" s="1"/>
      <c r="T16" s="1"/>
      <c r="U16" s="1"/>
      <c r="V16" s="1"/>
      <c r="W16" s="1"/>
      <c r="X16" s="1"/>
    </row>
    <row r="17" spans="1:24" ht="14.25" customHeight="1">
      <c r="A17" s="619"/>
      <c r="B17" s="426"/>
      <c r="C17" s="425"/>
      <c r="D17" s="427"/>
      <c r="E17" s="428"/>
      <c r="F17" s="428"/>
      <c r="G17" s="428"/>
      <c r="H17" s="428"/>
      <c r="I17" s="428"/>
      <c r="J17" s="428"/>
      <c r="K17" s="428"/>
      <c r="L17" s="428"/>
      <c r="M17" s="428"/>
      <c r="N17" s="428"/>
      <c r="O17" s="499"/>
      <c r="P17" s="1"/>
      <c r="Q17" s="1"/>
      <c r="R17" s="1"/>
      <c r="S17" s="1"/>
      <c r="T17" s="1"/>
      <c r="U17" s="1"/>
      <c r="V17" s="1"/>
      <c r="W17" s="1"/>
      <c r="X17" s="1"/>
    </row>
    <row r="18" spans="1:24" ht="14.25" customHeight="1">
      <c r="A18" s="619"/>
      <c r="B18" s="426"/>
      <c r="C18" s="425"/>
      <c r="D18" s="427"/>
      <c r="E18" s="428"/>
      <c r="F18" s="428"/>
      <c r="G18" s="428"/>
      <c r="H18" s="428"/>
      <c r="I18" s="428"/>
      <c r="J18" s="428"/>
      <c r="K18" s="428"/>
      <c r="L18" s="428"/>
      <c r="M18" s="428"/>
      <c r="N18" s="428"/>
      <c r="O18" s="499"/>
      <c r="P18" s="1"/>
      <c r="Q18" s="1"/>
      <c r="R18" s="1"/>
      <c r="S18" s="1"/>
      <c r="T18" s="1"/>
      <c r="U18" s="1"/>
      <c r="V18" s="1"/>
      <c r="W18" s="1"/>
      <c r="X18" s="1"/>
    </row>
    <row r="19" spans="1:24" ht="14.25" customHeight="1">
      <c r="A19" s="619"/>
      <c r="B19" s="426"/>
      <c r="C19" s="425"/>
      <c r="D19" s="427"/>
      <c r="E19" s="428"/>
      <c r="F19" s="428"/>
      <c r="G19" s="428"/>
      <c r="H19" s="428"/>
      <c r="I19" s="428"/>
      <c r="J19" s="428"/>
      <c r="K19" s="428"/>
      <c r="L19" s="428"/>
      <c r="M19" s="428"/>
      <c r="N19" s="428"/>
      <c r="O19" s="499"/>
      <c r="P19" s="1"/>
      <c r="Q19" s="1"/>
      <c r="R19" s="1"/>
      <c r="S19" s="1"/>
      <c r="T19" s="1"/>
      <c r="U19" s="1"/>
      <c r="V19" s="1"/>
      <c r="W19" s="1"/>
      <c r="X19" s="1"/>
    </row>
    <row r="20" spans="1:24" ht="14.25" customHeight="1">
      <c r="A20" s="619"/>
      <c r="B20" s="426"/>
      <c r="C20" s="425"/>
      <c r="D20" s="427"/>
      <c r="E20" s="428"/>
      <c r="F20" s="428"/>
      <c r="G20" s="428"/>
      <c r="H20" s="428"/>
      <c r="I20" s="428"/>
      <c r="J20" s="428"/>
      <c r="K20" s="428"/>
      <c r="L20" s="428"/>
      <c r="M20" s="428"/>
      <c r="N20" s="428"/>
      <c r="O20" s="499"/>
      <c r="P20" s="1"/>
      <c r="Q20" s="1"/>
      <c r="R20" s="1"/>
      <c r="S20" s="1"/>
      <c r="T20" s="1"/>
      <c r="U20" s="1"/>
      <c r="V20" s="1"/>
      <c r="W20" s="1"/>
      <c r="X20" s="1"/>
    </row>
    <row r="21" spans="1:24" ht="14.25" customHeight="1">
      <c r="A21" s="619"/>
      <c r="B21" s="426"/>
      <c r="C21" s="425"/>
      <c r="D21" s="427"/>
      <c r="E21" s="428"/>
      <c r="F21" s="428"/>
      <c r="G21" s="428"/>
      <c r="H21" s="428"/>
      <c r="I21" s="428"/>
      <c r="J21" s="428"/>
      <c r="K21" s="428"/>
      <c r="L21" s="428"/>
      <c r="M21" s="428"/>
      <c r="N21" s="428"/>
      <c r="O21" s="499"/>
      <c r="P21" s="1"/>
      <c r="Q21" s="1"/>
      <c r="R21" s="1"/>
      <c r="S21" s="1"/>
      <c r="T21" s="1"/>
      <c r="U21" s="1"/>
      <c r="V21" s="1"/>
      <c r="W21" s="1"/>
      <c r="X21" s="1"/>
    </row>
    <row r="22" spans="1:24" ht="14.25" customHeight="1">
      <c r="A22" s="619"/>
      <c r="B22" s="426"/>
      <c r="C22" s="425"/>
      <c r="D22" s="427"/>
      <c r="E22" s="428"/>
      <c r="F22" s="428"/>
      <c r="G22" s="428"/>
      <c r="H22" s="428"/>
      <c r="I22" s="428"/>
      <c r="J22" s="428"/>
      <c r="K22" s="428"/>
      <c r="L22" s="428"/>
      <c r="M22" s="428"/>
      <c r="N22" s="428"/>
      <c r="O22" s="499"/>
      <c r="P22" s="1"/>
      <c r="Q22" s="1"/>
      <c r="R22" s="1"/>
      <c r="S22" s="1"/>
      <c r="T22" s="1"/>
      <c r="U22" s="1"/>
      <c r="V22" s="1"/>
      <c r="W22" s="1"/>
      <c r="X22" s="1"/>
    </row>
    <row r="23" spans="1:24" ht="14.25" customHeight="1">
      <c r="A23" s="619"/>
      <c r="B23" s="426"/>
      <c r="C23" s="425"/>
      <c r="D23" s="427"/>
      <c r="E23" s="428"/>
      <c r="F23" s="428"/>
      <c r="G23" s="428"/>
      <c r="H23" s="428"/>
      <c r="I23" s="428"/>
      <c r="J23" s="428"/>
      <c r="K23" s="428"/>
      <c r="L23" s="428"/>
      <c r="M23" s="428"/>
      <c r="N23" s="428"/>
      <c r="O23" s="499"/>
      <c r="P23" s="1"/>
      <c r="Q23" s="1"/>
      <c r="R23" s="1"/>
      <c r="S23" s="1"/>
      <c r="T23" s="1"/>
      <c r="U23" s="1"/>
      <c r="V23" s="1"/>
      <c r="W23" s="1"/>
      <c r="X23" s="1"/>
    </row>
    <row r="24" spans="1:24" ht="14.25" customHeight="1">
      <c r="A24" s="619"/>
      <c r="B24" s="426"/>
      <c r="C24" s="425"/>
      <c r="D24" s="427"/>
      <c r="E24" s="428"/>
      <c r="F24" s="428"/>
      <c r="G24" s="428"/>
      <c r="H24" s="428"/>
      <c r="I24" s="428"/>
      <c r="J24" s="428"/>
      <c r="K24" s="428"/>
      <c r="L24" s="428"/>
      <c r="M24" s="428"/>
      <c r="N24" s="428"/>
      <c r="O24" s="499"/>
      <c r="P24" s="1"/>
      <c r="Q24" s="1"/>
      <c r="R24" s="1"/>
      <c r="S24" s="1"/>
      <c r="T24" s="1"/>
      <c r="U24" s="1"/>
      <c r="V24" s="1"/>
      <c r="W24" s="1"/>
      <c r="X24" s="1"/>
    </row>
    <row r="25" spans="1:24" ht="14.25" customHeight="1">
      <c r="A25" s="619"/>
      <c r="B25" s="426"/>
      <c r="C25" s="425"/>
      <c r="D25" s="427"/>
      <c r="E25" s="428"/>
      <c r="F25" s="428"/>
      <c r="G25" s="428"/>
      <c r="H25" s="428"/>
      <c r="I25" s="428"/>
      <c r="J25" s="428"/>
      <c r="K25" s="428"/>
      <c r="L25" s="428"/>
      <c r="M25" s="428"/>
      <c r="N25" s="428"/>
      <c r="O25" s="499"/>
      <c r="P25" s="1"/>
      <c r="Q25" s="1"/>
      <c r="R25" s="1"/>
      <c r="S25" s="1"/>
      <c r="T25" s="1"/>
      <c r="U25" s="1"/>
      <c r="V25" s="1"/>
      <c r="W25" s="1"/>
      <c r="X25" s="1"/>
    </row>
    <row r="26" spans="1:24" ht="14.25" customHeight="1">
      <c r="A26" s="619"/>
      <c r="B26" s="426"/>
      <c r="C26" s="425"/>
      <c r="D26" s="427"/>
      <c r="E26" s="428"/>
      <c r="F26" s="428"/>
      <c r="G26" s="428"/>
      <c r="H26" s="428"/>
      <c r="I26" s="428"/>
      <c r="J26" s="428"/>
      <c r="K26" s="428"/>
      <c r="L26" s="428"/>
      <c r="M26" s="428"/>
      <c r="N26" s="428"/>
      <c r="O26" s="499"/>
      <c r="P26" s="1"/>
      <c r="Q26" s="1"/>
      <c r="R26" s="1"/>
      <c r="S26" s="1"/>
      <c r="T26" s="1"/>
      <c r="U26" s="1"/>
      <c r="V26" s="1"/>
      <c r="W26" s="1"/>
      <c r="X26" s="1"/>
    </row>
    <row r="27" spans="1:24" ht="14.25" customHeight="1">
      <c r="A27" s="619"/>
      <c r="B27" s="426"/>
      <c r="C27" s="425"/>
      <c r="D27" s="427"/>
      <c r="E27" s="428"/>
      <c r="F27" s="428"/>
      <c r="G27" s="428"/>
      <c r="H27" s="428"/>
      <c r="I27" s="428"/>
      <c r="J27" s="428"/>
      <c r="K27" s="428"/>
      <c r="L27" s="428"/>
      <c r="M27" s="428"/>
      <c r="N27" s="428"/>
      <c r="O27" s="499"/>
      <c r="P27" s="1"/>
      <c r="Q27" s="1"/>
      <c r="R27" s="1"/>
      <c r="S27" s="1"/>
      <c r="T27" s="1"/>
      <c r="U27" s="1"/>
      <c r="V27" s="1"/>
      <c r="W27" s="1"/>
      <c r="X27" s="1"/>
    </row>
    <row r="28" spans="1:24" ht="14.25" customHeight="1">
      <c r="A28" s="619"/>
      <c r="B28" s="426"/>
      <c r="C28" s="425"/>
      <c r="D28" s="427"/>
      <c r="E28" s="428"/>
      <c r="F28" s="428"/>
      <c r="G28" s="428"/>
      <c r="H28" s="428"/>
      <c r="I28" s="428"/>
      <c r="J28" s="428"/>
      <c r="K28" s="428"/>
      <c r="L28" s="428"/>
      <c r="M28" s="428"/>
      <c r="N28" s="428"/>
      <c r="O28" s="499"/>
      <c r="P28" s="1"/>
      <c r="Q28" s="1"/>
      <c r="R28" s="1"/>
      <c r="S28" s="1"/>
      <c r="T28" s="1"/>
      <c r="U28" s="1"/>
      <c r="V28" s="1"/>
      <c r="W28" s="1"/>
      <c r="X28" s="1"/>
    </row>
    <row r="29" spans="1:24" ht="14.25" customHeight="1">
      <c r="A29" s="619"/>
      <c r="B29" s="426"/>
      <c r="C29" s="425"/>
      <c r="D29" s="427"/>
      <c r="E29" s="428"/>
      <c r="F29" s="428"/>
      <c r="G29" s="428"/>
      <c r="H29" s="428"/>
      <c r="I29" s="428"/>
      <c r="J29" s="428"/>
      <c r="K29" s="428"/>
      <c r="L29" s="428"/>
      <c r="M29" s="428"/>
      <c r="N29" s="428"/>
      <c r="O29" s="499"/>
      <c r="P29" s="1"/>
      <c r="Q29" s="1"/>
      <c r="R29" s="1"/>
      <c r="S29" s="1"/>
      <c r="T29" s="1"/>
      <c r="U29" s="1"/>
      <c r="V29" s="1"/>
      <c r="W29" s="1"/>
      <c r="X29" s="1"/>
    </row>
    <row r="30" spans="1:24" ht="14.25" customHeight="1">
      <c r="A30" s="619"/>
      <c r="B30" s="426"/>
      <c r="C30" s="425"/>
      <c r="D30" s="427"/>
      <c r="E30" s="428"/>
      <c r="F30" s="428"/>
      <c r="G30" s="428"/>
      <c r="H30" s="428"/>
      <c r="I30" s="428"/>
      <c r="J30" s="428"/>
      <c r="K30" s="428"/>
      <c r="L30" s="428"/>
      <c r="M30" s="428"/>
      <c r="N30" s="428"/>
      <c r="O30" s="499"/>
      <c r="P30" s="1"/>
      <c r="Q30" s="1"/>
      <c r="R30" s="1"/>
      <c r="S30" s="1"/>
      <c r="T30" s="1"/>
      <c r="U30" s="1"/>
      <c r="V30" s="1"/>
      <c r="W30" s="1"/>
      <c r="X30" s="1"/>
    </row>
    <row r="31" spans="1:24" ht="14.25" customHeight="1">
      <c r="A31" s="619"/>
      <c r="B31" s="426"/>
      <c r="C31" s="425"/>
      <c r="D31" s="427"/>
      <c r="E31" s="428"/>
      <c r="F31" s="428"/>
      <c r="G31" s="428"/>
      <c r="H31" s="428"/>
      <c r="I31" s="428"/>
      <c r="J31" s="428"/>
      <c r="K31" s="428"/>
      <c r="L31" s="428"/>
      <c r="M31" s="428"/>
      <c r="N31" s="428"/>
      <c r="O31" s="499"/>
      <c r="P31" s="1"/>
      <c r="Q31" s="1"/>
      <c r="R31" s="1"/>
      <c r="S31" s="1"/>
      <c r="T31" s="1"/>
      <c r="U31" s="1"/>
      <c r="V31" s="1"/>
      <c r="W31" s="1"/>
      <c r="X31" s="1"/>
    </row>
    <row r="32" spans="1:24" ht="14.25" customHeight="1">
      <c r="A32" s="619"/>
      <c r="B32" s="426"/>
      <c r="C32" s="425"/>
      <c r="D32" s="427"/>
      <c r="E32" s="428"/>
      <c r="F32" s="428"/>
      <c r="G32" s="428"/>
      <c r="H32" s="428"/>
      <c r="I32" s="428"/>
      <c r="J32" s="428"/>
      <c r="K32" s="428"/>
      <c r="L32" s="428"/>
      <c r="M32" s="428"/>
      <c r="N32" s="428"/>
      <c r="O32" s="499"/>
      <c r="P32" s="1"/>
      <c r="Q32" s="1"/>
      <c r="R32" s="1"/>
      <c r="S32" s="1"/>
      <c r="T32" s="1"/>
      <c r="U32" s="1"/>
      <c r="V32" s="1"/>
      <c r="W32" s="1"/>
      <c r="X32" s="1"/>
    </row>
    <row r="33" spans="1:24" ht="14.25" customHeight="1">
      <c r="A33" s="619"/>
      <c r="B33" s="426"/>
      <c r="C33" s="425"/>
      <c r="D33" s="427"/>
      <c r="E33" s="428"/>
      <c r="F33" s="428"/>
      <c r="G33" s="428"/>
      <c r="H33" s="428"/>
      <c r="I33" s="428"/>
      <c r="J33" s="428"/>
      <c r="K33" s="428"/>
      <c r="L33" s="428"/>
      <c r="M33" s="428"/>
      <c r="N33" s="428"/>
      <c r="O33" s="499"/>
      <c r="P33" s="1"/>
      <c r="Q33" s="1"/>
      <c r="R33" s="1"/>
      <c r="S33" s="1"/>
      <c r="T33" s="1"/>
      <c r="U33" s="1"/>
      <c r="V33" s="1"/>
      <c r="W33" s="1"/>
      <c r="X33" s="1"/>
    </row>
    <row r="34" spans="1:24" ht="14.25" customHeight="1">
      <c r="A34" s="619"/>
      <c r="B34" s="426"/>
      <c r="C34" s="425"/>
      <c r="D34" s="427"/>
      <c r="E34" s="428"/>
      <c r="F34" s="428"/>
      <c r="G34" s="428"/>
      <c r="H34" s="428"/>
      <c r="I34" s="428"/>
      <c r="J34" s="428"/>
      <c r="K34" s="428"/>
      <c r="L34" s="428"/>
      <c r="M34" s="428"/>
      <c r="N34" s="428"/>
      <c r="O34" s="499"/>
      <c r="P34" s="1"/>
      <c r="Q34" s="1"/>
      <c r="R34" s="1"/>
      <c r="S34" s="1"/>
      <c r="T34" s="1"/>
      <c r="U34" s="1"/>
      <c r="V34" s="1"/>
      <c r="W34" s="1"/>
      <c r="X34" s="1"/>
    </row>
    <row r="35" spans="1:24" ht="14.25" customHeight="1">
      <c r="A35" s="619"/>
      <c r="B35" s="426"/>
      <c r="C35" s="425"/>
      <c r="D35" s="427"/>
      <c r="E35" s="428"/>
      <c r="F35" s="428"/>
      <c r="G35" s="428"/>
      <c r="H35" s="428"/>
      <c r="I35" s="428"/>
      <c r="J35" s="428"/>
      <c r="K35" s="428"/>
      <c r="L35" s="428"/>
      <c r="M35" s="428"/>
      <c r="N35" s="428"/>
      <c r="O35" s="499"/>
      <c r="P35" s="1"/>
      <c r="Q35" s="1"/>
      <c r="R35" s="1"/>
      <c r="S35" s="1"/>
      <c r="T35" s="1"/>
      <c r="U35" s="1"/>
      <c r="V35" s="1"/>
      <c r="W35" s="1"/>
      <c r="X35" s="1"/>
    </row>
    <row r="36" spans="1:24" ht="14.25" customHeight="1">
      <c r="A36" s="619"/>
      <c r="B36" s="426"/>
      <c r="C36" s="425"/>
      <c r="D36" s="427"/>
      <c r="E36" s="428"/>
      <c r="F36" s="428"/>
      <c r="G36" s="428"/>
      <c r="H36" s="428"/>
      <c r="I36" s="428"/>
      <c r="J36" s="428"/>
      <c r="K36" s="428"/>
      <c r="L36" s="428"/>
      <c r="M36" s="428"/>
      <c r="N36" s="428"/>
      <c r="O36" s="499"/>
      <c r="P36" s="1"/>
      <c r="Q36" s="1"/>
      <c r="R36" s="1"/>
      <c r="S36" s="1"/>
      <c r="T36" s="1"/>
      <c r="U36" s="1"/>
      <c r="V36" s="1"/>
      <c r="W36" s="1"/>
      <c r="X36" s="1"/>
    </row>
    <row r="37" spans="1:24" ht="14.25" customHeight="1">
      <c r="A37" s="619"/>
      <c r="B37" s="426"/>
      <c r="C37" s="425"/>
      <c r="D37" s="427"/>
      <c r="E37" s="428"/>
      <c r="F37" s="428"/>
      <c r="G37" s="428"/>
      <c r="H37" s="428"/>
      <c r="I37" s="428"/>
      <c r="J37" s="428"/>
      <c r="K37" s="428"/>
      <c r="L37" s="428"/>
      <c r="M37" s="428"/>
      <c r="N37" s="428"/>
      <c r="O37" s="499"/>
      <c r="P37" s="1"/>
      <c r="Q37" s="1"/>
      <c r="R37" s="1"/>
      <c r="S37" s="1"/>
      <c r="T37" s="1"/>
      <c r="U37" s="1"/>
      <c r="V37" s="1"/>
      <c r="W37" s="1"/>
      <c r="X37" s="1"/>
    </row>
    <row r="38" spans="1:24" ht="14.25" customHeight="1">
      <c r="A38" s="619"/>
      <c r="B38" s="426"/>
      <c r="C38" s="425"/>
      <c r="D38" s="427"/>
      <c r="E38" s="428"/>
      <c r="F38" s="428"/>
      <c r="G38" s="428"/>
      <c r="H38" s="428"/>
      <c r="I38" s="428"/>
      <c r="J38" s="428"/>
      <c r="K38" s="428"/>
      <c r="L38" s="428"/>
      <c r="M38" s="428"/>
      <c r="N38" s="428"/>
      <c r="O38" s="499"/>
      <c r="P38" s="1"/>
      <c r="Q38" s="1"/>
      <c r="R38" s="1"/>
      <c r="S38" s="1"/>
      <c r="T38" s="1"/>
      <c r="U38" s="1"/>
      <c r="V38" s="1"/>
      <c r="W38" s="1"/>
      <c r="X38" s="1"/>
    </row>
    <row r="39" spans="1:24" ht="14.25" customHeight="1">
      <c r="A39" s="619"/>
      <c r="B39" s="426"/>
      <c r="C39" s="425"/>
      <c r="D39" s="427"/>
      <c r="E39" s="428"/>
      <c r="F39" s="428"/>
      <c r="G39" s="428"/>
      <c r="H39" s="428"/>
      <c r="I39" s="428"/>
      <c r="J39" s="428"/>
      <c r="K39" s="428"/>
      <c r="L39" s="428"/>
      <c r="M39" s="428"/>
      <c r="N39" s="428"/>
      <c r="O39" s="499"/>
      <c r="P39" s="1"/>
      <c r="Q39" s="1"/>
      <c r="R39" s="1"/>
      <c r="S39" s="1"/>
      <c r="T39" s="1"/>
      <c r="U39" s="1"/>
      <c r="V39" s="1"/>
      <c r="W39" s="1"/>
      <c r="X39" s="1"/>
    </row>
    <row r="40" spans="1:24" ht="14.25" customHeight="1">
      <c r="A40" s="619"/>
      <c r="B40" s="426"/>
      <c r="C40" s="425"/>
      <c r="D40" s="427"/>
      <c r="E40" s="428"/>
      <c r="F40" s="428"/>
      <c r="G40" s="428"/>
      <c r="H40" s="428"/>
      <c r="I40" s="428"/>
      <c r="J40" s="428"/>
      <c r="K40" s="428"/>
      <c r="L40" s="428"/>
      <c r="M40" s="428"/>
      <c r="N40" s="428"/>
      <c r="O40" s="499"/>
      <c r="P40" s="1"/>
      <c r="Q40" s="1"/>
      <c r="R40" s="1"/>
      <c r="S40" s="1"/>
      <c r="T40" s="1"/>
      <c r="U40" s="1"/>
      <c r="V40" s="1"/>
      <c r="W40" s="1"/>
      <c r="X40" s="1"/>
    </row>
    <row r="41" spans="1:24" ht="14.25" customHeight="1">
      <c r="A41" s="619"/>
      <c r="B41" s="426"/>
      <c r="C41" s="425"/>
      <c r="D41" s="427"/>
      <c r="E41" s="428"/>
      <c r="F41" s="428"/>
      <c r="G41" s="428"/>
      <c r="H41" s="428"/>
      <c r="I41" s="428"/>
      <c r="J41" s="428"/>
      <c r="K41" s="428"/>
      <c r="L41" s="428"/>
      <c r="M41" s="428"/>
      <c r="N41" s="428"/>
      <c r="O41" s="499"/>
      <c r="P41" s="1"/>
      <c r="Q41" s="1"/>
      <c r="R41" s="1"/>
      <c r="S41" s="1"/>
      <c r="T41" s="1"/>
      <c r="U41" s="1"/>
      <c r="V41" s="1"/>
      <c r="W41" s="1"/>
      <c r="X41" s="1"/>
    </row>
    <row r="42" spans="1:24" ht="14.25" customHeight="1">
      <c r="A42" s="619"/>
      <c r="B42" s="426"/>
      <c r="C42" s="425"/>
      <c r="D42" s="427"/>
      <c r="E42" s="428"/>
      <c r="F42" s="428"/>
      <c r="G42" s="428"/>
      <c r="H42" s="428"/>
      <c r="I42" s="428"/>
      <c r="J42" s="428"/>
      <c r="K42" s="428"/>
      <c r="L42" s="428"/>
      <c r="M42" s="428"/>
      <c r="N42" s="428"/>
      <c r="O42" s="499"/>
      <c r="P42" s="1"/>
      <c r="Q42" s="1"/>
      <c r="R42" s="1"/>
      <c r="S42" s="1"/>
      <c r="T42" s="1"/>
      <c r="U42" s="1"/>
      <c r="V42" s="1"/>
      <c r="W42" s="1"/>
      <c r="X42" s="1"/>
    </row>
    <row r="43" spans="1:24" ht="14.25" customHeight="1">
      <c r="A43" s="619"/>
      <c r="B43" s="426"/>
      <c r="C43" s="425"/>
      <c r="D43" s="427"/>
      <c r="E43" s="428"/>
      <c r="F43" s="428"/>
      <c r="G43" s="428"/>
      <c r="H43" s="428"/>
      <c r="I43" s="428"/>
      <c r="J43" s="428"/>
      <c r="K43" s="428"/>
      <c r="L43" s="428"/>
      <c r="M43" s="428"/>
      <c r="N43" s="428"/>
      <c r="O43" s="499"/>
      <c r="P43" s="1"/>
      <c r="Q43" s="1"/>
      <c r="R43" s="1"/>
      <c r="S43" s="1"/>
      <c r="T43" s="1"/>
      <c r="U43" s="1"/>
      <c r="V43" s="1"/>
      <c r="W43" s="1"/>
      <c r="X43" s="1"/>
    </row>
    <row r="44" spans="1:24" ht="14.25" customHeight="1">
      <c r="A44" s="619"/>
      <c r="B44" s="426"/>
      <c r="C44" s="425"/>
      <c r="D44" s="427"/>
      <c r="E44" s="428"/>
      <c r="F44" s="428"/>
      <c r="G44" s="428"/>
      <c r="H44" s="428"/>
      <c r="I44" s="428"/>
      <c r="J44" s="428"/>
      <c r="K44" s="428"/>
      <c r="L44" s="428"/>
      <c r="M44" s="428"/>
      <c r="N44" s="428"/>
      <c r="O44" s="499"/>
      <c r="P44" s="1"/>
      <c r="Q44" s="1"/>
      <c r="R44" s="1"/>
      <c r="S44" s="1"/>
      <c r="T44" s="1"/>
      <c r="U44" s="1"/>
      <c r="V44" s="1"/>
      <c r="W44" s="1"/>
      <c r="X44" s="1"/>
    </row>
    <row r="45" spans="1:24" ht="14.25" customHeight="1">
      <c r="A45" s="619"/>
      <c r="B45" s="426"/>
      <c r="C45" s="425"/>
      <c r="D45" s="427"/>
      <c r="E45" s="428"/>
      <c r="F45" s="428"/>
      <c r="G45" s="428"/>
      <c r="H45" s="428"/>
      <c r="I45" s="428"/>
      <c r="J45" s="428"/>
      <c r="K45" s="428"/>
      <c r="L45" s="428"/>
      <c r="M45" s="428"/>
      <c r="N45" s="428"/>
      <c r="O45" s="499"/>
      <c r="P45" s="1"/>
      <c r="Q45" s="1"/>
      <c r="R45" s="1"/>
      <c r="S45" s="1"/>
      <c r="T45" s="1"/>
      <c r="U45" s="1"/>
      <c r="V45" s="1"/>
      <c r="W45" s="1"/>
      <c r="X45" s="1"/>
    </row>
    <row r="46" spans="1:24" ht="14.25" customHeight="1">
      <c r="A46" s="619"/>
      <c r="B46" s="426"/>
      <c r="C46" s="425"/>
      <c r="D46" s="427"/>
      <c r="E46" s="428"/>
      <c r="F46" s="428"/>
      <c r="G46" s="428"/>
      <c r="H46" s="428"/>
      <c r="I46" s="428"/>
      <c r="J46" s="428"/>
      <c r="K46" s="428"/>
      <c r="L46" s="428"/>
      <c r="M46" s="428"/>
      <c r="N46" s="428"/>
      <c r="O46" s="499"/>
      <c r="P46" s="1"/>
      <c r="Q46" s="1"/>
      <c r="R46" s="1"/>
      <c r="S46" s="1"/>
      <c r="T46" s="1"/>
      <c r="U46" s="1"/>
      <c r="V46" s="1"/>
      <c r="W46" s="1"/>
      <c r="X46" s="1"/>
    </row>
    <row r="47" spans="1:24" ht="14.25" customHeight="1">
      <c r="A47" s="619"/>
      <c r="B47" s="426"/>
      <c r="C47" s="425"/>
      <c r="D47" s="427"/>
      <c r="E47" s="428"/>
      <c r="F47" s="428"/>
      <c r="G47" s="428"/>
      <c r="H47" s="428"/>
      <c r="I47" s="428"/>
      <c r="J47" s="428"/>
      <c r="K47" s="428"/>
      <c r="L47" s="428"/>
      <c r="M47" s="428"/>
      <c r="N47" s="428"/>
      <c r="O47" s="499"/>
      <c r="P47" s="1"/>
      <c r="Q47" s="1"/>
      <c r="R47" s="1"/>
      <c r="S47" s="1"/>
      <c r="T47" s="1"/>
      <c r="U47" s="1"/>
      <c r="V47" s="1"/>
      <c r="W47" s="1"/>
      <c r="X47" s="1"/>
    </row>
    <row r="48" spans="1:24" ht="14.25" customHeight="1">
      <c r="A48" s="619"/>
      <c r="B48" s="426"/>
      <c r="C48" s="425"/>
      <c r="D48" s="427"/>
      <c r="E48" s="428"/>
      <c r="F48" s="428"/>
      <c r="G48" s="428"/>
      <c r="H48" s="428"/>
      <c r="I48" s="428"/>
      <c r="J48" s="428"/>
      <c r="K48" s="428"/>
      <c r="L48" s="428"/>
      <c r="M48" s="428"/>
      <c r="N48" s="428"/>
      <c r="O48" s="499"/>
      <c r="P48" s="1"/>
      <c r="Q48" s="1"/>
      <c r="R48" s="1"/>
      <c r="S48" s="1"/>
      <c r="T48" s="1"/>
      <c r="U48" s="1"/>
      <c r="V48" s="1"/>
      <c r="W48" s="1"/>
      <c r="X48" s="1"/>
    </row>
    <row r="49" spans="1:24" ht="14.25" customHeight="1">
      <c r="A49" s="619"/>
      <c r="B49" s="426"/>
      <c r="C49" s="425"/>
      <c r="D49" s="427"/>
      <c r="E49" s="428"/>
      <c r="F49" s="428"/>
      <c r="G49" s="428"/>
      <c r="H49" s="428"/>
      <c r="I49" s="428"/>
      <c r="J49" s="428"/>
      <c r="K49" s="428"/>
      <c r="L49" s="428"/>
      <c r="M49" s="428"/>
      <c r="N49" s="428"/>
      <c r="O49" s="499"/>
      <c r="P49" s="1"/>
      <c r="Q49" s="1"/>
      <c r="R49" s="1"/>
      <c r="S49" s="1"/>
      <c r="T49" s="1"/>
      <c r="U49" s="1"/>
      <c r="V49" s="1"/>
      <c r="W49" s="1"/>
      <c r="X49" s="1"/>
    </row>
    <row r="50" spans="1:24" ht="14.25" customHeight="1">
      <c r="A50" s="619"/>
      <c r="B50" s="426"/>
      <c r="C50" s="425"/>
      <c r="D50" s="427"/>
      <c r="E50" s="428"/>
      <c r="F50" s="428"/>
      <c r="G50" s="428"/>
      <c r="H50" s="428"/>
      <c r="I50" s="428"/>
      <c r="J50" s="428"/>
      <c r="K50" s="428"/>
      <c r="L50" s="428"/>
      <c r="M50" s="428"/>
      <c r="N50" s="428"/>
      <c r="O50" s="499"/>
      <c r="P50" s="1"/>
      <c r="Q50" s="1"/>
      <c r="R50" s="1"/>
      <c r="S50" s="1"/>
      <c r="T50" s="1"/>
      <c r="U50" s="1"/>
      <c r="V50" s="1"/>
      <c r="W50" s="1"/>
      <c r="X50" s="1"/>
    </row>
    <row r="51" spans="1:24" ht="14.25" customHeight="1">
      <c r="A51" s="619"/>
      <c r="B51" s="426"/>
      <c r="C51" s="425"/>
      <c r="D51" s="427"/>
      <c r="E51" s="428"/>
      <c r="F51" s="428"/>
      <c r="G51" s="428"/>
      <c r="H51" s="428"/>
      <c r="I51" s="428"/>
      <c r="J51" s="428"/>
      <c r="K51" s="428"/>
      <c r="L51" s="428"/>
      <c r="M51" s="428"/>
      <c r="N51" s="428"/>
      <c r="O51" s="499"/>
      <c r="P51" s="1"/>
      <c r="Q51" s="1"/>
      <c r="R51" s="1"/>
      <c r="S51" s="1"/>
      <c r="T51" s="1"/>
      <c r="U51" s="1"/>
      <c r="V51" s="1"/>
      <c r="W51" s="1"/>
      <c r="X51" s="1"/>
    </row>
    <row r="52" spans="1:24" ht="14.25" customHeight="1">
      <c r="A52" s="619"/>
      <c r="B52" s="426"/>
      <c r="C52" s="425"/>
      <c r="D52" s="427"/>
      <c r="E52" s="428"/>
      <c r="F52" s="428"/>
      <c r="G52" s="428"/>
      <c r="H52" s="428"/>
      <c r="I52" s="428"/>
      <c r="J52" s="428"/>
      <c r="K52" s="428"/>
      <c r="L52" s="428"/>
      <c r="M52" s="428"/>
      <c r="N52" s="428"/>
      <c r="O52" s="499"/>
      <c r="P52" s="1"/>
      <c r="Q52" s="1"/>
      <c r="R52" s="1"/>
      <c r="S52" s="1"/>
      <c r="T52" s="1"/>
      <c r="U52" s="1"/>
      <c r="V52" s="1"/>
      <c r="W52" s="1"/>
      <c r="X52" s="1"/>
    </row>
    <row r="53" spans="1:24" ht="14.25" customHeight="1">
      <c r="A53" s="619"/>
      <c r="B53" s="426"/>
      <c r="C53" s="425"/>
      <c r="D53" s="427"/>
      <c r="E53" s="428"/>
      <c r="F53" s="428"/>
      <c r="G53" s="428"/>
      <c r="H53" s="428"/>
      <c r="I53" s="428"/>
      <c r="J53" s="428"/>
      <c r="K53" s="428"/>
      <c r="L53" s="428"/>
      <c r="M53" s="428"/>
      <c r="N53" s="428"/>
      <c r="O53" s="499"/>
      <c r="P53" s="1"/>
      <c r="Q53" s="1"/>
      <c r="R53" s="1"/>
      <c r="S53" s="1"/>
      <c r="T53" s="1"/>
      <c r="U53" s="1"/>
      <c r="V53" s="1"/>
      <c r="W53" s="1"/>
      <c r="X53" s="1"/>
    </row>
    <row r="54" spans="1:24" ht="14.25" customHeight="1">
      <c r="A54" s="619"/>
      <c r="B54" s="426"/>
      <c r="C54" s="425"/>
      <c r="D54" s="427"/>
      <c r="E54" s="428"/>
      <c r="F54" s="428"/>
      <c r="G54" s="428"/>
      <c r="H54" s="428"/>
      <c r="I54" s="428"/>
      <c r="J54" s="428"/>
      <c r="K54" s="428"/>
      <c r="L54" s="428"/>
      <c r="M54" s="428"/>
      <c r="N54" s="428"/>
      <c r="O54" s="499"/>
      <c r="P54" s="1"/>
      <c r="Q54" s="1"/>
      <c r="R54" s="1"/>
      <c r="S54" s="1"/>
      <c r="T54" s="1"/>
      <c r="U54" s="1"/>
      <c r="V54" s="1"/>
      <c r="W54" s="1"/>
      <c r="X54" s="1"/>
    </row>
    <row r="55" spans="1:24" ht="14.25" customHeight="1">
      <c r="A55" s="619"/>
      <c r="B55" s="426"/>
      <c r="C55" s="425"/>
      <c r="D55" s="427"/>
      <c r="E55" s="428"/>
      <c r="F55" s="428"/>
      <c r="G55" s="428"/>
      <c r="H55" s="428"/>
      <c r="I55" s="428"/>
      <c r="J55" s="428"/>
      <c r="K55" s="428"/>
      <c r="L55" s="428"/>
      <c r="M55" s="428"/>
      <c r="N55" s="428"/>
      <c r="O55" s="499"/>
      <c r="P55" s="1"/>
      <c r="Q55" s="1"/>
      <c r="R55" s="1"/>
      <c r="S55" s="1"/>
      <c r="T55" s="1"/>
      <c r="U55" s="1"/>
      <c r="V55" s="1"/>
      <c r="W55" s="1"/>
      <c r="X55" s="1"/>
    </row>
    <row r="56" spans="1:24" ht="14.25" customHeight="1">
      <c r="A56" s="619"/>
      <c r="B56" s="426"/>
      <c r="C56" s="425"/>
      <c r="D56" s="427"/>
      <c r="E56" s="428"/>
      <c r="F56" s="428"/>
      <c r="G56" s="428"/>
      <c r="H56" s="428"/>
      <c r="I56" s="428"/>
      <c r="J56" s="428"/>
      <c r="K56" s="428"/>
      <c r="L56" s="428"/>
      <c r="M56" s="428"/>
      <c r="N56" s="428"/>
      <c r="O56" s="499"/>
      <c r="P56" s="1"/>
      <c r="Q56" s="1"/>
      <c r="R56" s="1"/>
      <c r="S56" s="1"/>
      <c r="T56" s="1"/>
      <c r="U56" s="1"/>
      <c r="V56" s="1"/>
      <c r="W56" s="1"/>
      <c r="X56" s="1"/>
    </row>
    <row r="57" spans="1:24" ht="14.25" customHeight="1">
      <c r="A57" s="619"/>
      <c r="B57" s="426"/>
      <c r="C57" s="425"/>
      <c r="D57" s="427"/>
      <c r="E57" s="428"/>
      <c r="F57" s="428"/>
      <c r="G57" s="428"/>
      <c r="H57" s="428"/>
      <c r="I57" s="428"/>
      <c r="J57" s="428"/>
      <c r="K57" s="428"/>
      <c r="L57" s="428"/>
      <c r="M57" s="428"/>
      <c r="N57" s="428"/>
      <c r="O57" s="499"/>
      <c r="P57" s="1"/>
      <c r="Q57" s="1"/>
      <c r="R57" s="1"/>
      <c r="S57" s="1"/>
      <c r="T57" s="1"/>
      <c r="U57" s="1"/>
      <c r="V57" s="1"/>
      <c r="W57" s="1"/>
      <c r="X57" s="1"/>
    </row>
    <row r="58" spans="1:24" ht="14.25" customHeight="1">
      <c r="A58" s="619"/>
      <c r="B58" s="426"/>
      <c r="C58" s="425"/>
      <c r="D58" s="427"/>
      <c r="E58" s="428"/>
      <c r="F58" s="428"/>
      <c r="G58" s="428"/>
      <c r="H58" s="428"/>
      <c r="I58" s="428"/>
      <c r="J58" s="428"/>
      <c r="K58" s="428"/>
      <c r="L58" s="428"/>
      <c r="M58" s="428"/>
      <c r="N58" s="428"/>
      <c r="O58" s="499"/>
      <c r="P58" s="1"/>
      <c r="Q58" s="1"/>
      <c r="R58" s="1"/>
      <c r="S58" s="1"/>
      <c r="T58" s="1"/>
      <c r="U58" s="1"/>
      <c r="V58" s="1"/>
      <c r="W58" s="1"/>
      <c r="X58" s="1"/>
    </row>
    <row r="59" spans="1:24" ht="14.25" customHeight="1">
      <c r="A59" s="619"/>
      <c r="B59" s="426"/>
      <c r="C59" s="425"/>
      <c r="D59" s="427"/>
      <c r="E59" s="428"/>
      <c r="F59" s="428"/>
      <c r="G59" s="428"/>
      <c r="H59" s="428"/>
      <c r="I59" s="428"/>
      <c r="J59" s="428"/>
      <c r="K59" s="428"/>
      <c r="L59" s="428"/>
      <c r="M59" s="428"/>
      <c r="N59" s="428"/>
      <c r="O59" s="499"/>
      <c r="P59" s="1"/>
      <c r="Q59" s="1"/>
      <c r="R59" s="1"/>
      <c r="S59" s="1"/>
      <c r="T59" s="1"/>
      <c r="U59" s="1"/>
      <c r="V59" s="1"/>
      <c r="W59" s="1"/>
      <c r="X59" s="1"/>
    </row>
    <row r="60" spans="1:24" ht="14.25" customHeight="1">
      <c r="A60" s="619"/>
      <c r="B60" s="426"/>
      <c r="C60" s="425"/>
      <c r="D60" s="427"/>
      <c r="E60" s="428"/>
      <c r="F60" s="428"/>
      <c r="G60" s="428"/>
      <c r="H60" s="428"/>
      <c r="I60" s="428"/>
      <c r="J60" s="428"/>
      <c r="K60" s="428"/>
      <c r="L60" s="428"/>
      <c r="M60" s="428"/>
      <c r="N60" s="428"/>
      <c r="O60" s="499"/>
      <c r="P60" s="1"/>
      <c r="Q60" s="1"/>
      <c r="R60" s="1"/>
      <c r="S60" s="1"/>
      <c r="T60" s="1"/>
      <c r="U60" s="1"/>
      <c r="V60" s="1"/>
      <c r="W60" s="1"/>
      <c r="X60" s="1"/>
    </row>
    <row r="61" spans="1:24" ht="14.25" customHeight="1">
      <c r="A61" s="619"/>
      <c r="B61" s="426"/>
      <c r="C61" s="425"/>
      <c r="D61" s="427"/>
      <c r="E61" s="428"/>
      <c r="F61" s="428"/>
      <c r="G61" s="428"/>
      <c r="H61" s="428"/>
      <c r="I61" s="428"/>
      <c r="J61" s="428"/>
      <c r="K61" s="428"/>
      <c r="L61" s="428"/>
      <c r="M61" s="428"/>
      <c r="N61" s="428"/>
      <c r="O61" s="499"/>
      <c r="P61" s="1"/>
      <c r="Q61" s="1"/>
      <c r="R61" s="1"/>
      <c r="S61" s="1"/>
      <c r="T61" s="1"/>
      <c r="U61" s="1"/>
      <c r="V61" s="1"/>
      <c r="W61" s="1"/>
      <c r="X61" s="1"/>
    </row>
    <row r="62" spans="1:24" ht="14.25" customHeight="1">
      <c r="A62" s="619"/>
      <c r="B62" s="426"/>
      <c r="C62" s="425"/>
      <c r="D62" s="427"/>
      <c r="E62" s="428"/>
      <c r="F62" s="428"/>
      <c r="G62" s="428"/>
      <c r="H62" s="428"/>
      <c r="I62" s="428"/>
      <c r="J62" s="428"/>
      <c r="K62" s="428"/>
      <c r="L62" s="428"/>
      <c r="M62" s="428"/>
      <c r="N62" s="428"/>
      <c r="O62" s="499"/>
      <c r="P62" s="1"/>
      <c r="Q62" s="1"/>
      <c r="R62" s="1"/>
      <c r="S62" s="1"/>
      <c r="T62" s="1"/>
      <c r="U62" s="1"/>
      <c r="V62" s="1"/>
      <c r="W62" s="1"/>
      <c r="X62" s="1"/>
    </row>
    <row r="63" spans="1:24" ht="14.25" customHeight="1">
      <c r="A63" s="619"/>
      <c r="B63" s="426"/>
      <c r="C63" s="425"/>
      <c r="D63" s="427"/>
      <c r="E63" s="428"/>
      <c r="F63" s="428"/>
      <c r="G63" s="428"/>
      <c r="H63" s="428"/>
      <c r="I63" s="428"/>
      <c r="J63" s="428"/>
      <c r="K63" s="428"/>
      <c r="L63" s="428"/>
      <c r="M63" s="428"/>
      <c r="N63" s="428"/>
      <c r="O63" s="499"/>
      <c r="P63" s="1"/>
      <c r="Q63" s="1"/>
      <c r="R63" s="1"/>
      <c r="S63" s="1"/>
      <c r="T63" s="1"/>
      <c r="U63" s="1"/>
      <c r="V63" s="1"/>
      <c r="W63" s="1"/>
      <c r="X63" s="1"/>
    </row>
    <row r="64" spans="1:24" ht="14.25" customHeight="1">
      <c r="A64" s="619"/>
      <c r="B64" s="426"/>
      <c r="C64" s="425"/>
      <c r="D64" s="427"/>
      <c r="E64" s="428"/>
      <c r="F64" s="428"/>
      <c r="G64" s="428"/>
      <c r="H64" s="428"/>
      <c r="I64" s="428"/>
      <c r="J64" s="428"/>
      <c r="K64" s="428"/>
      <c r="L64" s="428"/>
      <c r="M64" s="428"/>
      <c r="N64" s="428"/>
      <c r="O64" s="499"/>
      <c r="P64" s="1"/>
      <c r="Q64" s="1"/>
      <c r="R64" s="1"/>
      <c r="S64" s="1"/>
      <c r="T64" s="1"/>
      <c r="U64" s="1"/>
      <c r="V64" s="1"/>
      <c r="W64" s="1"/>
      <c r="X64" s="1"/>
    </row>
    <row r="65" spans="1:24" ht="14.25" customHeight="1">
      <c r="A65" s="619"/>
      <c r="B65" s="426"/>
      <c r="C65" s="425"/>
      <c r="D65" s="427"/>
      <c r="E65" s="428"/>
      <c r="F65" s="428"/>
      <c r="G65" s="428"/>
      <c r="H65" s="428"/>
      <c r="I65" s="428"/>
      <c r="J65" s="428"/>
      <c r="K65" s="428"/>
      <c r="L65" s="428"/>
      <c r="M65" s="428"/>
      <c r="N65" s="428"/>
      <c r="O65" s="499"/>
      <c r="P65" s="1"/>
      <c r="Q65" s="1"/>
      <c r="R65" s="1"/>
      <c r="S65" s="1"/>
      <c r="T65" s="1"/>
      <c r="U65" s="1"/>
      <c r="V65" s="1"/>
      <c r="W65" s="1"/>
      <c r="X65" s="1"/>
    </row>
    <row r="66" spans="1:24" ht="14.25" customHeight="1">
      <c r="A66" s="619"/>
      <c r="B66" s="426"/>
      <c r="C66" s="425"/>
      <c r="D66" s="427"/>
      <c r="E66" s="428"/>
      <c r="F66" s="428"/>
      <c r="G66" s="428"/>
      <c r="H66" s="428"/>
      <c r="I66" s="428"/>
      <c r="J66" s="428"/>
      <c r="K66" s="428"/>
      <c r="L66" s="428"/>
      <c r="M66" s="428"/>
      <c r="N66" s="428"/>
      <c r="O66" s="499"/>
      <c r="P66" s="1"/>
      <c r="Q66" s="1"/>
      <c r="R66" s="1"/>
      <c r="S66" s="1"/>
      <c r="T66" s="1"/>
      <c r="U66" s="1"/>
      <c r="V66" s="1"/>
      <c r="W66" s="1"/>
      <c r="X66" s="1"/>
    </row>
    <row r="67" spans="1:24" ht="14.25" customHeight="1">
      <c r="A67" s="619"/>
      <c r="B67" s="426"/>
      <c r="C67" s="425"/>
      <c r="D67" s="427"/>
      <c r="E67" s="428"/>
      <c r="F67" s="428"/>
      <c r="G67" s="428"/>
      <c r="H67" s="428"/>
      <c r="I67" s="428"/>
      <c r="J67" s="428"/>
      <c r="K67" s="428"/>
      <c r="L67" s="428"/>
      <c r="M67" s="428"/>
      <c r="N67" s="428"/>
      <c r="O67" s="499"/>
      <c r="P67" s="1"/>
      <c r="Q67" s="1"/>
      <c r="R67" s="1"/>
      <c r="S67" s="1"/>
      <c r="T67" s="1"/>
      <c r="U67" s="1"/>
      <c r="V67" s="1"/>
      <c r="W67" s="1"/>
      <c r="X67" s="1"/>
    </row>
    <row r="68" spans="1:24" ht="14.25" customHeight="1">
      <c r="A68" s="619"/>
      <c r="B68" s="426"/>
      <c r="C68" s="425"/>
      <c r="D68" s="427"/>
      <c r="E68" s="428"/>
      <c r="F68" s="428"/>
      <c r="G68" s="428"/>
      <c r="H68" s="428"/>
      <c r="I68" s="428"/>
      <c r="J68" s="428"/>
      <c r="K68" s="428"/>
      <c r="L68" s="428"/>
      <c r="M68" s="428"/>
      <c r="N68" s="428"/>
      <c r="O68" s="499"/>
      <c r="P68" s="1"/>
      <c r="Q68" s="1"/>
      <c r="R68" s="1"/>
      <c r="S68" s="1"/>
      <c r="T68" s="1"/>
      <c r="U68" s="1"/>
      <c r="V68" s="1"/>
      <c r="W68" s="1"/>
      <c r="X68" s="1"/>
    </row>
    <row r="69" spans="1:24" ht="14.25" customHeight="1">
      <c r="A69" s="619"/>
      <c r="B69" s="426"/>
      <c r="C69" s="425"/>
      <c r="D69" s="427"/>
      <c r="E69" s="428"/>
      <c r="F69" s="428"/>
      <c r="G69" s="428"/>
      <c r="H69" s="428"/>
      <c r="I69" s="428"/>
      <c r="J69" s="428"/>
      <c r="K69" s="428"/>
      <c r="L69" s="428"/>
      <c r="M69" s="428"/>
      <c r="N69" s="428"/>
      <c r="O69" s="499"/>
      <c r="P69" s="1"/>
      <c r="Q69" s="1"/>
      <c r="R69" s="1"/>
      <c r="S69" s="1"/>
      <c r="T69" s="1"/>
      <c r="U69" s="1"/>
      <c r="V69" s="1"/>
      <c r="W69" s="1"/>
      <c r="X69" s="1"/>
    </row>
    <row r="70" spans="1:24" ht="14.25" customHeight="1">
      <c r="A70" s="619"/>
      <c r="B70" s="426"/>
      <c r="C70" s="425"/>
      <c r="D70" s="427"/>
      <c r="E70" s="428"/>
      <c r="F70" s="428"/>
      <c r="G70" s="428"/>
      <c r="H70" s="428"/>
      <c r="I70" s="428"/>
      <c r="J70" s="428"/>
      <c r="K70" s="428"/>
      <c r="L70" s="428"/>
      <c r="M70" s="428"/>
      <c r="N70" s="428"/>
      <c r="O70" s="499"/>
      <c r="P70" s="1"/>
      <c r="Q70" s="1"/>
      <c r="R70" s="1"/>
      <c r="S70" s="1"/>
      <c r="T70" s="1"/>
      <c r="U70" s="1"/>
      <c r="V70" s="1"/>
      <c r="W70" s="1"/>
      <c r="X70" s="1"/>
    </row>
    <row r="71" spans="1:24" ht="14.25" customHeight="1">
      <c r="A71" s="619"/>
      <c r="B71" s="426"/>
      <c r="C71" s="425"/>
      <c r="D71" s="427"/>
      <c r="E71" s="428"/>
      <c r="F71" s="428"/>
      <c r="G71" s="428"/>
      <c r="H71" s="428"/>
      <c r="I71" s="428"/>
      <c r="J71" s="428"/>
      <c r="K71" s="428"/>
      <c r="L71" s="428"/>
      <c r="M71" s="428"/>
      <c r="N71" s="428"/>
      <c r="O71" s="499"/>
      <c r="P71" s="1"/>
      <c r="Q71" s="1"/>
      <c r="R71" s="1"/>
      <c r="S71" s="1"/>
      <c r="T71" s="1"/>
      <c r="U71" s="1"/>
      <c r="V71" s="1"/>
      <c r="W71" s="1"/>
      <c r="X71" s="1"/>
    </row>
    <row r="72" spans="1:24" ht="14.25" customHeight="1">
      <c r="A72" s="619"/>
      <c r="B72" s="426"/>
      <c r="C72" s="425"/>
      <c r="D72" s="427"/>
      <c r="E72" s="428"/>
      <c r="F72" s="428"/>
      <c r="G72" s="428"/>
      <c r="H72" s="428"/>
      <c r="I72" s="428"/>
      <c r="J72" s="428"/>
      <c r="K72" s="428"/>
      <c r="L72" s="428"/>
      <c r="M72" s="428"/>
      <c r="N72" s="428"/>
      <c r="O72" s="499"/>
      <c r="P72" s="1"/>
      <c r="Q72" s="1"/>
      <c r="R72" s="1"/>
      <c r="S72" s="1"/>
      <c r="T72" s="1"/>
      <c r="U72" s="1"/>
      <c r="V72" s="1"/>
      <c r="W72" s="1"/>
      <c r="X72" s="1"/>
    </row>
    <row r="73" spans="1:24" ht="14.25" customHeight="1">
      <c r="A73" s="619"/>
      <c r="B73" s="426"/>
      <c r="C73" s="425"/>
      <c r="D73" s="427"/>
      <c r="E73" s="428"/>
      <c r="F73" s="428"/>
      <c r="G73" s="428"/>
      <c r="H73" s="428"/>
      <c r="I73" s="428"/>
      <c r="J73" s="428"/>
      <c r="K73" s="428"/>
      <c r="L73" s="428"/>
      <c r="M73" s="428"/>
      <c r="N73" s="428"/>
      <c r="O73" s="499"/>
      <c r="P73" s="1"/>
      <c r="Q73" s="1"/>
      <c r="R73" s="1"/>
      <c r="S73" s="1"/>
      <c r="T73" s="1"/>
      <c r="U73" s="1"/>
      <c r="V73" s="1"/>
      <c r="W73" s="1"/>
      <c r="X73" s="1"/>
    </row>
    <row r="74" spans="1:24" ht="14.25" customHeight="1">
      <c r="A74" s="619"/>
      <c r="B74" s="426"/>
      <c r="C74" s="425"/>
      <c r="D74" s="427"/>
      <c r="E74" s="428"/>
      <c r="F74" s="428"/>
      <c r="G74" s="428"/>
      <c r="H74" s="428"/>
      <c r="I74" s="428"/>
      <c r="J74" s="428"/>
      <c r="K74" s="428"/>
      <c r="L74" s="428"/>
      <c r="M74" s="428"/>
      <c r="N74" s="428"/>
      <c r="O74" s="499"/>
      <c r="P74" s="1"/>
      <c r="Q74" s="1"/>
      <c r="R74" s="1"/>
      <c r="S74" s="1"/>
      <c r="T74" s="1"/>
      <c r="U74" s="1"/>
      <c r="V74" s="1"/>
      <c r="W74" s="1"/>
      <c r="X74" s="1"/>
    </row>
    <row r="75" spans="1:24" ht="14.25" customHeight="1">
      <c r="A75" s="619"/>
      <c r="B75" s="426"/>
      <c r="C75" s="425"/>
      <c r="D75" s="427"/>
      <c r="E75" s="428"/>
      <c r="F75" s="428"/>
      <c r="G75" s="428"/>
      <c r="H75" s="428"/>
      <c r="I75" s="428"/>
      <c r="J75" s="428"/>
      <c r="K75" s="428"/>
      <c r="L75" s="428"/>
      <c r="M75" s="428"/>
      <c r="N75" s="428"/>
      <c r="O75" s="499"/>
      <c r="P75" s="1"/>
      <c r="Q75" s="1"/>
      <c r="R75" s="1"/>
      <c r="S75" s="1"/>
      <c r="T75" s="1"/>
      <c r="U75" s="1"/>
      <c r="V75" s="1"/>
      <c r="W75" s="1"/>
      <c r="X75" s="1"/>
    </row>
    <row r="76" spans="1:24" ht="14.25" customHeight="1">
      <c r="A76" s="619"/>
      <c r="B76" s="426"/>
      <c r="C76" s="425"/>
      <c r="D76" s="427"/>
      <c r="E76" s="428"/>
      <c r="F76" s="428"/>
      <c r="G76" s="428"/>
      <c r="H76" s="428"/>
      <c r="I76" s="428"/>
      <c r="J76" s="428"/>
      <c r="K76" s="428"/>
      <c r="L76" s="428"/>
      <c r="M76" s="428"/>
      <c r="N76" s="428"/>
      <c r="O76" s="499"/>
      <c r="P76" s="1"/>
      <c r="Q76" s="1"/>
      <c r="R76" s="1"/>
      <c r="S76" s="1"/>
      <c r="T76" s="1"/>
      <c r="U76" s="1"/>
      <c r="V76" s="1"/>
      <c r="W76" s="1"/>
      <c r="X76" s="1"/>
    </row>
    <row r="77" spans="1:24" ht="14.25" customHeight="1">
      <c r="A77" s="619"/>
      <c r="B77" s="426"/>
      <c r="C77" s="425"/>
      <c r="D77" s="427"/>
      <c r="E77" s="428"/>
      <c r="F77" s="428"/>
      <c r="G77" s="428"/>
      <c r="H77" s="428"/>
      <c r="I77" s="428"/>
      <c r="J77" s="428"/>
      <c r="K77" s="428"/>
      <c r="L77" s="428"/>
      <c r="M77" s="428"/>
      <c r="N77" s="428"/>
      <c r="O77" s="499"/>
      <c r="P77" s="1"/>
      <c r="Q77" s="1"/>
      <c r="R77" s="1"/>
      <c r="S77" s="1"/>
      <c r="T77" s="1"/>
      <c r="U77" s="1"/>
      <c r="V77" s="1"/>
      <c r="W77" s="1"/>
      <c r="X77" s="1"/>
    </row>
    <row r="78" spans="1:24" ht="14.25" customHeight="1">
      <c r="A78" s="619"/>
      <c r="B78" s="426"/>
      <c r="C78" s="425"/>
      <c r="D78" s="427"/>
      <c r="E78" s="428"/>
      <c r="F78" s="428"/>
      <c r="G78" s="428"/>
      <c r="H78" s="428"/>
      <c r="I78" s="428"/>
      <c r="J78" s="428"/>
      <c r="K78" s="428"/>
      <c r="L78" s="428"/>
      <c r="M78" s="428"/>
      <c r="N78" s="428"/>
      <c r="O78" s="499"/>
      <c r="P78" s="1"/>
      <c r="Q78" s="1"/>
      <c r="R78" s="1"/>
      <c r="S78" s="1"/>
      <c r="T78" s="1"/>
      <c r="U78" s="1"/>
      <c r="V78" s="1"/>
      <c r="W78" s="1"/>
      <c r="X78" s="1"/>
    </row>
    <row r="79" spans="1:24" ht="14.25" customHeight="1">
      <c r="A79" s="619"/>
      <c r="B79" s="426"/>
      <c r="C79" s="425"/>
      <c r="D79" s="427"/>
      <c r="E79" s="428"/>
      <c r="F79" s="428"/>
      <c r="G79" s="428"/>
      <c r="H79" s="428"/>
      <c r="I79" s="428"/>
      <c r="J79" s="428"/>
      <c r="K79" s="428"/>
      <c r="L79" s="428"/>
      <c r="M79" s="428"/>
      <c r="N79" s="428"/>
      <c r="O79" s="499"/>
      <c r="P79" s="1"/>
      <c r="Q79" s="1"/>
      <c r="R79" s="1"/>
      <c r="S79" s="1"/>
      <c r="T79" s="1"/>
      <c r="U79" s="1"/>
      <c r="V79" s="1"/>
      <c r="W79" s="1"/>
      <c r="X79" s="1"/>
    </row>
    <row r="80" spans="1:24" ht="14.25" customHeight="1">
      <c r="A80" s="619"/>
      <c r="B80" s="426"/>
      <c r="C80" s="425"/>
      <c r="D80" s="427"/>
      <c r="E80" s="428"/>
      <c r="F80" s="428"/>
      <c r="G80" s="428"/>
      <c r="H80" s="428"/>
      <c r="I80" s="428"/>
      <c r="J80" s="428"/>
      <c r="K80" s="428"/>
      <c r="L80" s="428"/>
      <c r="M80" s="428"/>
      <c r="N80" s="428"/>
      <c r="O80" s="499"/>
      <c r="P80" s="1"/>
      <c r="Q80" s="1"/>
      <c r="R80" s="1"/>
      <c r="S80" s="1"/>
      <c r="T80" s="1"/>
      <c r="U80" s="1"/>
      <c r="V80" s="1"/>
      <c r="W80" s="1"/>
      <c r="X80" s="1"/>
    </row>
    <row r="81" spans="1:24" ht="14.25" customHeight="1">
      <c r="A81" s="619"/>
      <c r="B81" s="426"/>
      <c r="C81" s="425"/>
      <c r="D81" s="427"/>
      <c r="E81" s="428"/>
      <c r="F81" s="428"/>
      <c r="G81" s="428"/>
      <c r="H81" s="428"/>
      <c r="I81" s="428"/>
      <c r="J81" s="428"/>
      <c r="K81" s="428"/>
      <c r="L81" s="428"/>
      <c r="M81" s="428"/>
      <c r="N81" s="428"/>
      <c r="O81" s="499"/>
      <c r="P81" s="1"/>
      <c r="Q81" s="1"/>
      <c r="R81" s="1"/>
      <c r="S81" s="1"/>
      <c r="T81" s="1"/>
      <c r="U81" s="1"/>
      <c r="V81" s="1"/>
      <c r="W81" s="1"/>
      <c r="X81" s="1"/>
    </row>
    <row r="82" spans="1:24" ht="14.25" customHeight="1">
      <c r="A82" s="619"/>
      <c r="B82" s="426"/>
      <c r="C82" s="425"/>
      <c r="D82" s="427"/>
      <c r="E82" s="428"/>
      <c r="F82" s="428"/>
      <c r="G82" s="428"/>
      <c r="H82" s="428"/>
      <c r="I82" s="428"/>
      <c r="J82" s="428"/>
      <c r="K82" s="428"/>
      <c r="L82" s="428"/>
      <c r="M82" s="428"/>
      <c r="N82" s="428"/>
      <c r="O82" s="499"/>
      <c r="P82" s="1"/>
      <c r="Q82" s="1"/>
      <c r="R82" s="1"/>
      <c r="S82" s="1"/>
      <c r="T82" s="1"/>
      <c r="U82" s="1"/>
      <c r="V82" s="1"/>
      <c r="W82" s="1"/>
      <c r="X82" s="1"/>
    </row>
    <row r="83" spans="1:24" ht="14.25" customHeight="1">
      <c r="A83" s="619"/>
      <c r="B83" s="426"/>
      <c r="C83" s="425"/>
      <c r="D83" s="427"/>
      <c r="E83" s="428"/>
      <c r="F83" s="428"/>
      <c r="G83" s="428"/>
      <c r="H83" s="428"/>
      <c r="I83" s="428"/>
      <c r="J83" s="428"/>
      <c r="K83" s="428"/>
      <c r="L83" s="428"/>
      <c r="M83" s="428"/>
      <c r="N83" s="428"/>
      <c r="O83" s="499"/>
      <c r="P83" s="1"/>
      <c r="Q83" s="1"/>
      <c r="R83" s="1"/>
      <c r="S83" s="1"/>
      <c r="T83" s="1"/>
      <c r="U83" s="1"/>
      <c r="V83" s="1"/>
      <c r="W83" s="1"/>
      <c r="X83" s="1"/>
    </row>
    <row r="84" spans="1:24" ht="14.25" customHeight="1">
      <c r="A84" s="619"/>
      <c r="B84" s="426"/>
      <c r="C84" s="425"/>
      <c r="D84" s="427"/>
      <c r="E84" s="428"/>
      <c r="F84" s="428"/>
      <c r="G84" s="428"/>
      <c r="H84" s="428"/>
      <c r="I84" s="428"/>
      <c r="J84" s="428"/>
      <c r="K84" s="428"/>
      <c r="L84" s="428"/>
      <c r="M84" s="428"/>
      <c r="N84" s="428"/>
      <c r="O84" s="499"/>
      <c r="P84" s="1"/>
      <c r="Q84" s="1"/>
      <c r="R84" s="1"/>
      <c r="S84" s="1"/>
      <c r="T84" s="1"/>
      <c r="U84" s="1"/>
      <c r="V84" s="1"/>
      <c r="W84" s="1"/>
      <c r="X84" s="1"/>
    </row>
    <row r="85" spans="1:24" ht="14.25" customHeight="1">
      <c r="A85" s="619"/>
      <c r="B85" s="426"/>
      <c r="C85" s="425"/>
      <c r="D85" s="427"/>
      <c r="E85" s="428"/>
      <c r="F85" s="428"/>
      <c r="G85" s="428"/>
      <c r="H85" s="428"/>
      <c r="I85" s="428"/>
      <c r="J85" s="428"/>
      <c r="K85" s="428"/>
      <c r="L85" s="428"/>
      <c r="M85" s="428"/>
      <c r="N85" s="428"/>
      <c r="O85" s="499"/>
      <c r="P85" s="1"/>
      <c r="Q85" s="1"/>
      <c r="R85" s="1"/>
      <c r="S85" s="1"/>
      <c r="T85" s="1"/>
      <c r="U85" s="1"/>
      <c r="V85" s="1"/>
      <c r="W85" s="1"/>
      <c r="X85" s="1"/>
    </row>
    <row r="86" spans="1:24" ht="14.25" customHeight="1">
      <c r="A86" s="619"/>
      <c r="B86" s="426"/>
      <c r="C86" s="425"/>
      <c r="D86" s="427"/>
      <c r="E86" s="428"/>
      <c r="F86" s="428"/>
      <c r="G86" s="428"/>
      <c r="H86" s="428"/>
      <c r="I86" s="428"/>
      <c r="J86" s="428"/>
      <c r="K86" s="428"/>
      <c r="L86" s="428"/>
      <c r="M86" s="428"/>
      <c r="N86" s="428"/>
      <c r="O86" s="499"/>
      <c r="P86" s="1"/>
      <c r="Q86" s="1"/>
      <c r="R86" s="1"/>
      <c r="S86" s="1"/>
      <c r="T86" s="1"/>
      <c r="U86" s="1"/>
      <c r="V86" s="1"/>
      <c r="W86" s="1"/>
      <c r="X86" s="1"/>
    </row>
    <row r="87" spans="1:24" ht="14.25" customHeight="1">
      <c r="A87" s="619"/>
      <c r="B87" s="426"/>
      <c r="C87" s="425"/>
      <c r="D87" s="427"/>
      <c r="E87" s="428"/>
      <c r="F87" s="428"/>
      <c r="G87" s="428"/>
      <c r="H87" s="428"/>
      <c r="I87" s="428"/>
      <c r="J87" s="428"/>
      <c r="K87" s="428"/>
      <c r="L87" s="428"/>
      <c r="M87" s="428"/>
      <c r="N87" s="428"/>
      <c r="O87" s="499"/>
      <c r="P87" s="1"/>
      <c r="Q87" s="1"/>
      <c r="R87" s="1"/>
      <c r="S87" s="1"/>
      <c r="T87" s="1"/>
      <c r="U87" s="1"/>
      <c r="V87" s="1"/>
      <c r="W87" s="1"/>
      <c r="X87" s="1"/>
    </row>
    <row r="88" spans="1:24" ht="14.25" customHeight="1">
      <c r="A88" s="619"/>
      <c r="B88" s="426"/>
      <c r="C88" s="425"/>
      <c r="D88" s="427"/>
      <c r="E88" s="428"/>
      <c r="F88" s="428"/>
      <c r="G88" s="428"/>
      <c r="H88" s="428"/>
      <c r="I88" s="428"/>
      <c r="J88" s="428"/>
      <c r="K88" s="428"/>
      <c r="L88" s="428"/>
      <c r="M88" s="428"/>
      <c r="N88" s="428"/>
      <c r="O88" s="499"/>
      <c r="P88" s="1"/>
      <c r="Q88" s="1"/>
      <c r="R88" s="1"/>
      <c r="S88" s="1"/>
      <c r="T88" s="1"/>
      <c r="U88" s="1"/>
      <c r="V88" s="1"/>
      <c r="W88" s="1"/>
      <c r="X88" s="1"/>
    </row>
    <row r="89" spans="1:24" ht="14.25" customHeight="1">
      <c r="A89" s="619"/>
      <c r="B89" s="426"/>
      <c r="C89" s="425"/>
      <c r="D89" s="427"/>
      <c r="E89" s="428"/>
      <c r="F89" s="428"/>
      <c r="G89" s="428"/>
      <c r="H89" s="428"/>
      <c r="I89" s="428"/>
      <c r="J89" s="428"/>
      <c r="K89" s="428"/>
      <c r="L89" s="428"/>
      <c r="M89" s="428"/>
      <c r="N89" s="428"/>
      <c r="O89" s="499"/>
      <c r="P89" s="1"/>
      <c r="Q89" s="1"/>
      <c r="R89" s="1"/>
      <c r="S89" s="1"/>
      <c r="T89" s="1"/>
      <c r="U89" s="1"/>
      <c r="V89" s="1"/>
      <c r="W89" s="1"/>
      <c r="X89" s="1"/>
    </row>
    <row r="90" spans="1:24" ht="14.25" customHeight="1">
      <c r="A90" s="619"/>
      <c r="B90" s="426"/>
      <c r="C90" s="425"/>
      <c r="D90" s="427"/>
      <c r="E90" s="428"/>
      <c r="F90" s="428"/>
      <c r="G90" s="428"/>
      <c r="H90" s="428"/>
      <c r="I90" s="428"/>
      <c r="J90" s="428"/>
      <c r="K90" s="428"/>
      <c r="L90" s="428"/>
      <c r="M90" s="428"/>
      <c r="N90" s="428"/>
      <c r="O90" s="499"/>
      <c r="P90" s="1"/>
      <c r="Q90" s="1"/>
      <c r="R90" s="1"/>
      <c r="S90" s="1"/>
      <c r="T90" s="1"/>
      <c r="U90" s="1"/>
      <c r="V90" s="1"/>
      <c r="W90" s="1"/>
      <c r="X90" s="1"/>
    </row>
    <row r="91" spans="1:24" ht="14.25" customHeight="1">
      <c r="A91" s="619"/>
      <c r="B91" s="426"/>
      <c r="C91" s="425"/>
      <c r="D91" s="427"/>
      <c r="E91" s="428"/>
      <c r="F91" s="428"/>
      <c r="G91" s="428"/>
      <c r="H91" s="428"/>
      <c r="I91" s="428"/>
      <c r="J91" s="428"/>
      <c r="K91" s="428"/>
      <c r="L91" s="428"/>
      <c r="M91" s="428"/>
      <c r="N91" s="428"/>
      <c r="O91" s="499"/>
      <c r="P91" s="1"/>
      <c r="Q91" s="1"/>
      <c r="R91" s="1"/>
      <c r="S91" s="1"/>
      <c r="T91" s="1"/>
      <c r="U91" s="1"/>
      <c r="V91" s="1"/>
      <c r="W91" s="1"/>
      <c r="X91" s="1"/>
    </row>
    <row r="92" spans="1:24" ht="14.25" customHeight="1">
      <c r="A92" s="619"/>
      <c r="B92" s="426"/>
      <c r="C92" s="425"/>
      <c r="D92" s="427"/>
      <c r="E92" s="428"/>
      <c r="F92" s="428"/>
      <c r="G92" s="428"/>
      <c r="H92" s="428"/>
      <c r="I92" s="428"/>
      <c r="J92" s="428"/>
      <c r="K92" s="428"/>
      <c r="L92" s="428"/>
      <c r="M92" s="428"/>
      <c r="N92" s="428"/>
      <c r="O92" s="499"/>
      <c r="P92" s="1"/>
      <c r="Q92" s="1"/>
      <c r="R92" s="1"/>
      <c r="S92" s="1"/>
      <c r="T92" s="1"/>
      <c r="U92" s="1"/>
      <c r="V92" s="1"/>
      <c r="W92" s="1"/>
      <c r="X92" s="1"/>
    </row>
    <row r="93" spans="1:24" ht="14.25" customHeight="1">
      <c r="A93" s="619"/>
      <c r="B93" s="426"/>
      <c r="C93" s="425"/>
      <c r="D93" s="427"/>
      <c r="E93" s="428"/>
      <c r="F93" s="428"/>
      <c r="G93" s="428"/>
      <c r="H93" s="428"/>
      <c r="I93" s="428"/>
      <c r="J93" s="428"/>
      <c r="K93" s="428"/>
      <c r="L93" s="428"/>
      <c r="M93" s="428"/>
      <c r="N93" s="428"/>
      <c r="O93" s="499"/>
      <c r="P93" s="1"/>
      <c r="Q93" s="1"/>
      <c r="R93" s="1"/>
      <c r="S93" s="1"/>
      <c r="T93" s="1"/>
      <c r="U93" s="1"/>
      <c r="V93" s="1"/>
      <c r="W93" s="1"/>
      <c r="X93" s="1"/>
    </row>
    <row r="94" spans="1:24" ht="14.25" customHeight="1">
      <c r="A94" s="619"/>
      <c r="B94" s="426"/>
      <c r="C94" s="425"/>
      <c r="D94" s="427"/>
      <c r="E94" s="428"/>
      <c r="F94" s="428"/>
      <c r="G94" s="428"/>
      <c r="H94" s="428"/>
      <c r="I94" s="428"/>
      <c r="J94" s="428"/>
      <c r="K94" s="428"/>
      <c r="L94" s="428"/>
      <c r="M94" s="428"/>
      <c r="N94" s="428"/>
      <c r="O94" s="499"/>
      <c r="P94" s="1"/>
      <c r="Q94" s="1"/>
      <c r="R94" s="1"/>
      <c r="S94" s="1"/>
      <c r="T94" s="1"/>
      <c r="U94" s="1"/>
      <c r="V94" s="1"/>
      <c r="W94" s="1"/>
      <c r="X94" s="1"/>
    </row>
    <row r="95" spans="1:24" ht="14.25" customHeight="1">
      <c r="A95" s="619"/>
      <c r="B95" s="426"/>
      <c r="C95" s="425"/>
      <c r="D95" s="427"/>
      <c r="E95" s="428"/>
      <c r="F95" s="428"/>
      <c r="G95" s="428"/>
      <c r="H95" s="428"/>
      <c r="I95" s="428"/>
      <c r="J95" s="428"/>
      <c r="K95" s="428"/>
      <c r="L95" s="428"/>
      <c r="M95" s="428"/>
      <c r="N95" s="428"/>
      <c r="O95" s="499"/>
      <c r="P95" s="1"/>
      <c r="Q95" s="1"/>
      <c r="R95" s="1"/>
      <c r="S95" s="1"/>
      <c r="T95" s="1"/>
      <c r="U95" s="1"/>
      <c r="V95" s="1"/>
      <c r="W95" s="1"/>
      <c r="X95" s="1"/>
    </row>
    <row r="96" spans="1:24" ht="14.25" customHeight="1">
      <c r="A96" s="619"/>
      <c r="B96" s="426"/>
      <c r="C96" s="425"/>
      <c r="D96" s="427"/>
      <c r="E96" s="428"/>
      <c r="F96" s="428"/>
      <c r="G96" s="428"/>
      <c r="H96" s="428"/>
      <c r="I96" s="428"/>
      <c r="J96" s="428"/>
      <c r="K96" s="428"/>
      <c r="L96" s="428"/>
      <c r="M96" s="428"/>
      <c r="N96" s="428"/>
      <c r="O96" s="499"/>
      <c r="P96" s="1"/>
      <c r="Q96" s="1"/>
      <c r="R96" s="1"/>
      <c r="S96" s="1"/>
      <c r="T96" s="1"/>
      <c r="U96" s="1"/>
      <c r="V96" s="1"/>
      <c r="W96" s="1"/>
      <c r="X96" s="1"/>
    </row>
    <row r="97" spans="1:24" ht="14.25" customHeight="1">
      <c r="A97" s="619"/>
      <c r="B97" s="426"/>
      <c r="C97" s="425"/>
      <c r="D97" s="427"/>
      <c r="E97" s="428"/>
      <c r="F97" s="428"/>
      <c r="G97" s="428"/>
      <c r="H97" s="428"/>
      <c r="I97" s="428"/>
      <c r="J97" s="428"/>
      <c r="K97" s="428"/>
      <c r="L97" s="428"/>
      <c r="M97" s="428"/>
      <c r="N97" s="428"/>
      <c r="O97" s="499"/>
      <c r="P97" s="1"/>
      <c r="Q97" s="1"/>
      <c r="R97" s="1"/>
      <c r="S97" s="1"/>
      <c r="T97" s="1"/>
      <c r="U97" s="1"/>
      <c r="V97" s="1"/>
      <c r="W97" s="1"/>
      <c r="X97" s="1"/>
    </row>
    <row r="98" spans="1:24" ht="14.25" customHeight="1">
      <c r="A98" s="619"/>
      <c r="B98" s="426"/>
      <c r="C98" s="425"/>
      <c r="D98" s="427"/>
      <c r="E98" s="428"/>
      <c r="F98" s="428"/>
      <c r="G98" s="428"/>
      <c r="H98" s="428"/>
      <c r="I98" s="428"/>
      <c r="J98" s="428"/>
      <c r="K98" s="428"/>
      <c r="L98" s="428"/>
      <c r="M98" s="428"/>
      <c r="N98" s="428"/>
      <c r="O98" s="499"/>
      <c r="P98" s="1"/>
      <c r="Q98" s="1"/>
      <c r="R98" s="1"/>
      <c r="S98" s="1"/>
      <c r="T98" s="1"/>
      <c r="U98" s="1"/>
      <c r="V98" s="1"/>
      <c r="W98" s="1"/>
      <c r="X98" s="1"/>
    </row>
    <row r="99" spans="1:24" ht="14.25" customHeight="1">
      <c r="A99" s="619"/>
      <c r="B99" s="426"/>
      <c r="C99" s="425"/>
      <c r="D99" s="427"/>
      <c r="E99" s="428"/>
      <c r="F99" s="428"/>
      <c r="G99" s="428"/>
      <c r="H99" s="428"/>
      <c r="I99" s="428"/>
      <c r="J99" s="428"/>
      <c r="K99" s="428"/>
      <c r="L99" s="428"/>
      <c r="M99" s="428"/>
      <c r="N99" s="428"/>
      <c r="O99" s="499"/>
      <c r="P99" s="1"/>
      <c r="Q99" s="1"/>
      <c r="R99" s="1"/>
      <c r="S99" s="1"/>
      <c r="T99" s="1"/>
      <c r="U99" s="1"/>
      <c r="V99" s="1"/>
      <c r="W99" s="1"/>
      <c r="X99" s="1"/>
    </row>
    <row r="100" spans="1:24" ht="14.25" customHeight="1">
      <c r="A100" s="619"/>
      <c r="B100" s="426"/>
      <c r="C100" s="425"/>
      <c r="D100" s="427"/>
      <c r="E100" s="428"/>
      <c r="F100" s="428"/>
      <c r="G100" s="428"/>
      <c r="H100" s="428"/>
      <c r="I100" s="428"/>
      <c r="J100" s="428"/>
      <c r="K100" s="428"/>
      <c r="L100" s="428"/>
      <c r="M100" s="428"/>
      <c r="N100" s="428"/>
      <c r="O100" s="499"/>
      <c r="P100" s="1"/>
      <c r="Q100" s="1"/>
      <c r="R100" s="1"/>
      <c r="S100" s="1"/>
      <c r="T100" s="1"/>
      <c r="U100" s="1"/>
      <c r="V100" s="1"/>
      <c r="W100" s="1"/>
      <c r="X100" s="1"/>
    </row>
    <row r="101" spans="1:24" ht="14.25" customHeight="1">
      <c r="A101" s="619"/>
      <c r="B101" s="426"/>
      <c r="C101" s="425"/>
      <c r="D101" s="427"/>
      <c r="E101" s="428"/>
      <c r="F101" s="428"/>
      <c r="G101" s="428"/>
      <c r="H101" s="428"/>
      <c r="I101" s="428"/>
      <c r="J101" s="428"/>
      <c r="K101" s="428"/>
      <c r="L101" s="428"/>
      <c r="M101" s="428"/>
      <c r="N101" s="428"/>
      <c r="O101" s="499"/>
      <c r="P101" s="1"/>
      <c r="Q101" s="1"/>
      <c r="R101" s="1"/>
      <c r="S101" s="1"/>
      <c r="T101" s="1"/>
      <c r="U101" s="1"/>
      <c r="V101" s="1"/>
      <c r="W101" s="1"/>
      <c r="X101" s="1"/>
    </row>
    <row r="102" spans="1:24" ht="14.25" customHeight="1">
      <c r="A102" s="619"/>
      <c r="B102" s="426"/>
      <c r="C102" s="425"/>
      <c r="D102" s="427"/>
      <c r="E102" s="428"/>
      <c r="F102" s="428"/>
      <c r="G102" s="428"/>
      <c r="H102" s="428"/>
      <c r="I102" s="428"/>
      <c r="J102" s="428"/>
      <c r="K102" s="428"/>
      <c r="L102" s="428"/>
      <c r="M102" s="428"/>
      <c r="N102" s="428"/>
      <c r="O102" s="499"/>
      <c r="P102" s="1"/>
      <c r="Q102" s="1"/>
      <c r="R102" s="1"/>
      <c r="S102" s="1"/>
      <c r="T102" s="1"/>
      <c r="U102" s="1"/>
      <c r="V102" s="1"/>
      <c r="W102" s="1"/>
      <c r="X102" s="1"/>
    </row>
    <row r="103" spans="1:24" ht="14.25" customHeight="1">
      <c r="A103" s="619"/>
      <c r="B103" s="426"/>
      <c r="C103" s="425"/>
      <c r="D103" s="427"/>
      <c r="E103" s="428"/>
      <c r="F103" s="428"/>
      <c r="G103" s="428"/>
      <c r="H103" s="428"/>
      <c r="I103" s="428"/>
      <c r="J103" s="428"/>
      <c r="K103" s="428"/>
      <c r="L103" s="428"/>
      <c r="M103" s="428"/>
      <c r="N103" s="428"/>
      <c r="O103" s="499"/>
      <c r="P103" s="1"/>
      <c r="Q103" s="1"/>
      <c r="R103" s="1"/>
      <c r="S103" s="1"/>
      <c r="T103" s="1"/>
      <c r="U103" s="1"/>
      <c r="V103" s="1"/>
      <c r="W103" s="1"/>
      <c r="X103" s="1"/>
    </row>
    <row r="104" spans="1:24" ht="14.25" customHeight="1">
      <c r="A104" s="619"/>
      <c r="B104" s="426"/>
      <c r="C104" s="425"/>
      <c r="D104" s="427"/>
      <c r="E104" s="428"/>
      <c r="F104" s="428"/>
      <c r="G104" s="428"/>
      <c r="H104" s="428"/>
      <c r="I104" s="428"/>
      <c r="J104" s="428"/>
      <c r="K104" s="428"/>
      <c r="L104" s="428"/>
      <c r="M104" s="428"/>
      <c r="N104" s="428"/>
      <c r="O104" s="499"/>
      <c r="P104" s="1"/>
      <c r="Q104" s="1"/>
      <c r="R104" s="1"/>
      <c r="S104" s="1"/>
      <c r="T104" s="1"/>
      <c r="U104" s="1"/>
      <c r="V104" s="1"/>
      <c r="W104" s="1"/>
      <c r="X104" s="1"/>
    </row>
    <row r="105" spans="1:24" ht="14.25" customHeight="1">
      <c r="A105" s="619"/>
      <c r="B105" s="426"/>
      <c r="C105" s="425"/>
      <c r="D105" s="427"/>
      <c r="E105" s="428"/>
      <c r="F105" s="428"/>
      <c r="G105" s="428"/>
      <c r="H105" s="428"/>
      <c r="I105" s="428"/>
      <c r="J105" s="428"/>
      <c r="K105" s="428"/>
      <c r="L105" s="428"/>
      <c r="M105" s="428"/>
      <c r="N105" s="428"/>
      <c r="O105" s="499"/>
      <c r="P105" s="1"/>
      <c r="Q105" s="1"/>
      <c r="R105" s="1"/>
      <c r="S105" s="1"/>
      <c r="T105" s="1"/>
      <c r="U105" s="1"/>
      <c r="V105" s="1"/>
      <c r="W105" s="1"/>
      <c r="X105" s="1"/>
    </row>
    <row r="106" spans="1:24" ht="14.25" customHeight="1">
      <c r="A106" s="619"/>
      <c r="B106" s="426"/>
      <c r="C106" s="425"/>
      <c r="D106" s="427"/>
      <c r="E106" s="428"/>
      <c r="F106" s="428"/>
      <c r="G106" s="428"/>
      <c r="H106" s="428"/>
      <c r="I106" s="428"/>
      <c r="J106" s="428"/>
      <c r="K106" s="428"/>
      <c r="L106" s="428"/>
      <c r="M106" s="428"/>
      <c r="N106" s="428"/>
      <c r="O106" s="499"/>
      <c r="P106" s="1"/>
      <c r="Q106" s="1"/>
      <c r="R106" s="1"/>
      <c r="S106" s="1"/>
      <c r="T106" s="1"/>
      <c r="U106" s="1"/>
      <c r="V106" s="1"/>
      <c r="W106" s="1"/>
      <c r="X106" s="1"/>
    </row>
    <row r="107" spans="1:24" ht="14.25" customHeight="1">
      <c r="A107" s="619"/>
      <c r="B107" s="426"/>
      <c r="C107" s="425"/>
      <c r="D107" s="427"/>
      <c r="E107" s="428"/>
      <c r="F107" s="428"/>
      <c r="G107" s="428"/>
      <c r="H107" s="428"/>
      <c r="I107" s="428"/>
      <c r="J107" s="428"/>
      <c r="K107" s="428"/>
      <c r="L107" s="428"/>
      <c r="M107" s="428"/>
      <c r="N107" s="428"/>
      <c r="O107" s="499"/>
      <c r="P107" s="1"/>
      <c r="Q107" s="1"/>
      <c r="R107" s="1"/>
      <c r="S107" s="1"/>
      <c r="T107" s="1"/>
      <c r="U107" s="1"/>
      <c r="V107" s="1"/>
      <c r="W107" s="1"/>
      <c r="X107" s="1"/>
    </row>
    <row r="108" spans="1:24" ht="14.25" customHeight="1">
      <c r="A108" s="619"/>
      <c r="B108" s="426"/>
      <c r="C108" s="425"/>
      <c r="D108" s="427"/>
      <c r="E108" s="428"/>
      <c r="F108" s="428"/>
      <c r="G108" s="428"/>
      <c r="H108" s="428"/>
      <c r="I108" s="428"/>
      <c r="J108" s="428"/>
      <c r="K108" s="428"/>
      <c r="L108" s="428"/>
      <c r="M108" s="428"/>
      <c r="N108" s="428"/>
      <c r="O108" s="499"/>
      <c r="P108" s="1"/>
      <c r="Q108" s="1"/>
      <c r="R108" s="1"/>
      <c r="S108" s="1"/>
      <c r="T108" s="1"/>
      <c r="U108" s="1"/>
      <c r="V108" s="1"/>
      <c r="W108" s="1"/>
      <c r="X108" s="1"/>
    </row>
    <row r="109" spans="1:24" ht="14.25" customHeight="1">
      <c r="A109" s="619"/>
      <c r="B109" s="426"/>
      <c r="C109" s="425"/>
      <c r="D109" s="427"/>
      <c r="E109" s="428"/>
      <c r="F109" s="428"/>
      <c r="G109" s="428"/>
      <c r="H109" s="428"/>
      <c r="I109" s="428"/>
      <c r="J109" s="428"/>
      <c r="K109" s="428"/>
      <c r="L109" s="428"/>
      <c r="M109" s="428"/>
      <c r="N109" s="428"/>
      <c r="O109" s="499"/>
      <c r="P109" s="1"/>
      <c r="Q109" s="1"/>
      <c r="R109" s="1"/>
      <c r="S109" s="1"/>
      <c r="T109" s="1"/>
      <c r="U109" s="1"/>
      <c r="V109" s="1"/>
      <c r="W109" s="1"/>
      <c r="X109" s="1"/>
    </row>
    <row r="110" spans="1:24" ht="14.25" customHeight="1">
      <c r="A110" s="619"/>
      <c r="B110" s="426"/>
      <c r="C110" s="425"/>
      <c r="D110" s="427"/>
      <c r="E110" s="428"/>
      <c r="F110" s="428"/>
      <c r="G110" s="428"/>
      <c r="H110" s="428"/>
      <c r="I110" s="428"/>
      <c r="J110" s="428"/>
      <c r="K110" s="428"/>
      <c r="L110" s="428"/>
      <c r="M110" s="428"/>
      <c r="N110" s="428"/>
      <c r="O110" s="499"/>
      <c r="P110" s="1"/>
      <c r="Q110" s="1"/>
      <c r="R110" s="1"/>
      <c r="S110" s="1"/>
      <c r="T110" s="1"/>
      <c r="U110" s="1"/>
      <c r="V110" s="1"/>
      <c r="W110" s="1"/>
      <c r="X110" s="1"/>
    </row>
    <row r="111" spans="1:24" ht="14.25" customHeight="1">
      <c r="A111" s="619"/>
      <c r="B111" s="426"/>
      <c r="C111" s="425"/>
      <c r="D111" s="427"/>
      <c r="E111" s="428"/>
      <c r="F111" s="428"/>
      <c r="G111" s="428"/>
      <c r="H111" s="428"/>
      <c r="I111" s="428"/>
      <c r="J111" s="428"/>
      <c r="K111" s="428"/>
      <c r="L111" s="428"/>
      <c r="M111" s="428"/>
      <c r="N111" s="428"/>
      <c r="O111" s="499"/>
      <c r="P111" s="1"/>
      <c r="Q111" s="1"/>
      <c r="R111" s="1"/>
      <c r="S111" s="1"/>
      <c r="T111" s="1"/>
      <c r="U111" s="1"/>
      <c r="V111" s="1"/>
      <c r="W111" s="1"/>
      <c r="X111" s="1"/>
    </row>
    <row r="112" spans="1:24" ht="14.25" customHeight="1">
      <c r="A112" s="619"/>
      <c r="B112" s="426"/>
      <c r="C112" s="425"/>
      <c r="D112" s="427"/>
      <c r="E112" s="428"/>
      <c r="F112" s="428"/>
      <c r="G112" s="428"/>
      <c r="H112" s="428"/>
      <c r="I112" s="428"/>
      <c r="J112" s="428"/>
      <c r="K112" s="428"/>
      <c r="L112" s="428"/>
      <c r="M112" s="428"/>
      <c r="N112" s="428"/>
      <c r="O112" s="499"/>
      <c r="P112" s="1"/>
      <c r="Q112" s="1"/>
      <c r="R112" s="1"/>
      <c r="S112" s="1"/>
      <c r="T112" s="1"/>
      <c r="U112" s="1"/>
      <c r="V112" s="1"/>
      <c r="W112" s="1"/>
      <c r="X112" s="1"/>
    </row>
    <row r="113" spans="1:24" ht="14.25" customHeight="1">
      <c r="A113" s="619"/>
      <c r="B113" s="426"/>
      <c r="C113" s="425"/>
      <c r="D113" s="427"/>
      <c r="E113" s="428"/>
      <c r="F113" s="428"/>
      <c r="G113" s="428"/>
      <c r="H113" s="428"/>
      <c r="I113" s="428"/>
      <c r="J113" s="428"/>
      <c r="K113" s="428"/>
      <c r="L113" s="428"/>
      <c r="M113" s="428"/>
      <c r="N113" s="428"/>
      <c r="O113" s="499"/>
      <c r="P113" s="1"/>
      <c r="Q113" s="1"/>
      <c r="R113" s="1"/>
      <c r="S113" s="1"/>
      <c r="T113" s="1"/>
      <c r="U113" s="1"/>
      <c r="V113" s="1"/>
      <c r="W113" s="1"/>
      <c r="X113" s="1"/>
    </row>
    <row r="114" spans="1:24" ht="14.25" customHeight="1">
      <c r="A114" s="619"/>
      <c r="B114" s="426"/>
      <c r="C114" s="425"/>
      <c r="D114" s="427"/>
      <c r="E114" s="428"/>
      <c r="F114" s="428"/>
      <c r="G114" s="428"/>
      <c r="H114" s="428"/>
      <c r="I114" s="428"/>
      <c r="J114" s="428"/>
      <c r="K114" s="428"/>
      <c r="L114" s="428"/>
      <c r="M114" s="428"/>
      <c r="N114" s="428"/>
      <c r="O114" s="499"/>
      <c r="P114" s="1"/>
      <c r="Q114" s="1"/>
      <c r="R114" s="1"/>
      <c r="S114" s="1"/>
      <c r="T114" s="1"/>
      <c r="U114" s="1"/>
      <c r="V114" s="1"/>
      <c r="W114" s="1"/>
      <c r="X114" s="1"/>
    </row>
    <row r="115" spans="1:24" ht="14.25" customHeight="1">
      <c r="A115" s="619"/>
      <c r="B115" s="426"/>
      <c r="C115" s="425"/>
      <c r="D115" s="427"/>
      <c r="E115" s="428"/>
      <c r="F115" s="428"/>
      <c r="G115" s="428"/>
      <c r="H115" s="428"/>
      <c r="I115" s="428"/>
      <c r="J115" s="428"/>
      <c r="K115" s="428"/>
      <c r="L115" s="428"/>
      <c r="M115" s="428"/>
      <c r="N115" s="428"/>
      <c r="O115" s="499"/>
      <c r="P115" s="1"/>
      <c r="Q115" s="1"/>
      <c r="R115" s="1"/>
      <c r="S115" s="1"/>
      <c r="T115" s="1"/>
      <c r="U115" s="1"/>
      <c r="V115" s="1"/>
      <c r="W115" s="1"/>
      <c r="X115" s="1"/>
    </row>
    <row r="116" spans="1:24" ht="14.25" customHeight="1">
      <c r="A116" s="619"/>
      <c r="B116" s="426"/>
      <c r="C116" s="425"/>
      <c r="D116" s="427"/>
      <c r="E116" s="428"/>
      <c r="F116" s="428"/>
      <c r="G116" s="428"/>
      <c r="H116" s="428"/>
      <c r="I116" s="428"/>
      <c r="J116" s="428"/>
      <c r="K116" s="428"/>
      <c r="L116" s="428"/>
      <c r="M116" s="428"/>
      <c r="N116" s="428"/>
      <c r="O116" s="499"/>
      <c r="P116" s="1"/>
      <c r="Q116" s="1"/>
      <c r="R116" s="1"/>
      <c r="S116" s="1"/>
      <c r="T116" s="1"/>
      <c r="U116" s="1"/>
      <c r="V116" s="1"/>
      <c r="W116" s="1"/>
      <c r="X116" s="1"/>
    </row>
    <row r="117" spans="1:24" ht="14.25" customHeight="1">
      <c r="A117" s="619"/>
      <c r="B117" s="426"/>
      <c r="C117" s="425"/>
      <c r="D117" s="427"/>
      <c r="E117" s="428"/>
      <c r="F117" s="428"/>
      <c r="G117" s="428"/>
      <c r="H117" s="428"/>
      <c r="I117" s="428"/>
      <c r="J117" s="428"/>
      <c r="K117" s="428"/>
      <c r="L117" s="428"/>
      <c r="M117" s="428"/>
      <c r="N117" s="428"/>
      <c r="O117" s="499"/>
      <c r="P117" s="1"/>
      <c r="Q117" s="1"/>
      <c r="R117" s="1"/>
      <c r="S117" s="1"/>
      <c r="T117" s="1"/>
      <c r="U117" s="1"/>
      <c r="V117" s="1"/>
      <c r="W117" s="1"/>
      <c r="X117" s="1"/>
    </row>
    <row r="118" spans="1:24" ht="14.25" customHeight="1">
      <c r="A118" s="619"/>
      <c r="B118" s="426"/>
      <c r="C118" s="425"/>
      <c r="D118" s="427"/>
      <c r="E118" s="428"/>
      <c r="F118" s="428"/>
      <c r="G118" s="428"/>
      <c r="H118" s="428"/>
      <c r="I118" s="428"/>
      <c r="J118" s="428"/>
      <c r="K118" s="428"/>
      <c r="L118" s="428"/>
      <c r="M118" s="428"/>
      <c r="N118" s="428"/>
      <c r="O118" s="499"/>
      <c r="P118" s="1"/>
      <c r="Q118" s="1"/>
      <c r="R118" s="1"/>
      <c r="S118" s="1"/>
      <c r="T118" s="1"/>
      <c r="U118" s="1"/>
      <c r="V118" s="1"/>
      <c r="W118" s="1"/>
      <c r="X118" s="1"/>
    </row>
    <row r="119" spans="1:24" ht="14.25" customHeight="1">
      <c r="A119" s="619"/>
      <c r="B119" s="426"/>
      <c r="C119" s="425"/>
      <c r="D119" s="427"/>
      <c r="E119" s="428"/>
      <c r="F119" s="428"/>
      <c r="G119" s="428"/>
      <c r="H119" s="428"/>
      <c r="I119" s="428"/>
      <c r="J119" s="428"/>
      <c r="K119" s="428"/>
      <c r="L119" s="428"/>
      <c r="M119" s="428"/>
      <c r="N119" s="428"/>
      <c r="O119" s="499"/>
      <c r="P119" s="1"/>
      <c r="Q119" s="1"/>
      <c r="R119" s="1"/>
      <c r="S119" s="1"/>
      <c r="T119" s="1"/>
      <c r="U119" s="1"/>
      <c r="V119" s="1"/>
      <c r="W119" s="1"/>
      <c r="X119" s="1"/>
    </row>
    <row r="120" spans="1:24" ht="14.25" customHeight="1">
      <c r="A120" s="619"/>
      <c r="B120" s="426"/>
      <c r="C120" s="425"/>
      <c r="D120" s="427"/>
      <c r="E120" s="428"/>
      <c r="F120" s="428"/>
      <c r="G120" s="428"/>
      <c r="H120" s="428"/>
      <c r="I120" s="428"/>
      <c r="J120" s="428"/>
      <c r="K120" s="428"/>
      <c r="L120" s="428"/>
      <c r="M120" s="428"/>
      <c r="N120" s="428"/>
      <c r="O120" s="499"/>
      <c r="P120" s="1"/>
      <c r="Q120" s="1"/>
      <c r="R120" s="1"/>
      <c r="S120" s="1"/>
      <c r="T120" s="1"/>
      <c r="U120" s="1"/>
      <c r="V120" s="1"/>
      <c r="W120" s="1"/>
      <c r="X120" s="1"/>
    </row>
    <row r="121" spans="1:24" ht="14.25" customHeight="1">
      <c r="A121" s="619"/>
      <c r="B121" s="426"/>
      <c r="C121" s="425"/>
      <c r="D121" s="427"/>
      <c r="E121" s="428"/>
      <c r="F121" s="428"/>
      <c r="G121" s="428"/>
      <c r="H121" s="428"/>
      <c r="I121" s="428"/>
      <c r="J121" s="428"/>
      <c r="K121" s="428"/>
      <c r="L121" s="428"/>
      <c r="M121" s="428"/>
      <c r="N121" s="428"/>
      <c r="O121" s="499"/>
      <c r="P121" s="1"/>
      <c r="Q121" s="1"/>
      <c r="R121" s="1"/>
      <c r="S121" s="1"/>
      <c r="T121" s="1"/>
      <c r="U121" s="1"/>
      <c r="V121" s="1"/>
      <c r="W121" s="1"/>
      <c r="X121" s="1"/>
    </row>
    <row r="122" spans="1:24" ht="14.25" customHeight="1">
      <c r="A122" s="619"/>
      <c r="B122" s="426"/>
      <c r="C122" s="425"/>
      <c r="D122" s="427"/>
      <c r="E122" s="428"/>
      <c r="F122" s="428"/>
      <c r="G122" s="428"/>
      <c r="H122" s="428"/>
      <c r="I122" s="428"/>
      <c r="J122" s="428"/>
      <c r="K122" s="428"/>
      <c r="L122" s="428"/>
      <c r="M122" s="428"/>
      <c r="N122" s="428"/>
      <c r="O122" s="499"/>
      <c r="P122" s="1"/>
      <c r="Q122" s="1"/>
      <c r="R122" s="1"/>
      <c r="S122" s="1"/>
      <c r="T122" s="1"/>
      <c r="U122" s="1"/>
      <c r="V122" s="1"/>
      <c r="W122" s="1"/>
      <c r="X122" s="1"/>
    </row>
    <row r="123" spans="1:24" ht="14.25" customHeight="1">
      <c r="A123" s="619"/>
      <c r="B123" s="426"/>
      <c r="C123" s="425"/>
      <c r="D123" s="427"/>
      <c r="E123" s="428"/>
      <c r="F123" s="428"/>
      <c r="G123" s="428"/>
      <c r="H123" s="428"/>
      <c r="I123" s="428"/>
      <c r="J123" s="428"/>
      <c r="K123" s="428"/>
      <c r="L123" s="428"/>
      <c r="M123" s="428"/>
      <c r="N123" s="428"/>
      <c r="O123" s="499"/>
      <c r="P123" s="1"/>
      <c r="Q123" s="1"/>
      <c r="R123" s="1"/>
      <c r="S123" s="1"/>
      <c r="T123" s="1"/>
      <c r="U123" s="1"/>
      <c r="V123" s="1"/>
      <c r="W123" s="1"/>
      <c r="X123" s="1"/>
    </row>
    <row r="124" spans="1:24" ht="14.25" customHeight="1">
      <c r="A124" s="619"/>
      <c r="B124" s="426"/>
      <c r="C124" s="425"/>
      <c r="D124" s="427"/>
      <c r="E124" s="428"/>
      <c r="F124" s="428"/>
      <c r="G124" s="428"/>
      <c r="H124" s="428"/>
      <c r="I124" s="428"/>
      <c r="J124" s="428"/>
      <c r="K124" s="428"/>
      <c r="L124" s="428"/>
      <c r="M124" s="428"/>
      <c r="N124" s="428"/>
      <c r="O124" s="499"/>
      <c r="P124" s="1"/>
      <c r="Q124" s="1"/>
      <c r="R124" s="1"/>
      <c r="S124" s="1"/>
      <c r="T124" s="1"/>
      <c r="U124" s="1"/>
      <c r="V124" s="1"/>
      <c r="W124" s="1"/>
      <c r="X124" s="1"/>
    </row>
    <row r="125" spans="1:24" ht="14.25" customHeight="1">
      <c r="A125" s="619"/>
      <c r="B125" s="426"/>
      <c r="C125" s="425"/>
      <c r="D125" s="427"/>
      <c r="E125" s="428"/>
      <c r="F125" s="428"/>
      <c r="G125" s="428"/>
      <c r="H125" s="428"/>
      <c r="I125" s="428"/>
      <c r="J125" s="428"/>
      <c r="K125" s="428"/>
      <c r="L125" s="428"/>
      <c r="M125" s="428"/>
      <c r="N125" s="428"/>
      <c r="O125" s="499"/>
      <c r="P125" s="1"/>
      <c r="Q125" s="1"/>
      <c r="R125" s="1"/>
      <c r="S125" s="1"/>
      <c r="T125" s="1"/>
      <c r="U125" s="1"/>
      <c r="V125" s="1"/>
      <c r="W125" s="1"/>
      <c r="X125" s="1"/>
    </row>
    <row r="126" spans="1:24" ht="14.25" customHeight="1">
      <c r="A126" s="619"/>
      <c r="B126" s="426"/>
      <c r="C126" s="425"/>
      <c r="D126" s="427"/>
      <c r="E126" s="428"/>
      <c r="F126" s="428"/>
      <c r="G126" s="428"/>
      <c r="H126" s="428"/>
      <c r="I126" s="428"/>
      <c r="J126" s="428"/>
      <c r="K126" s="428"/>
      <c r="L126" s="428"/>
      <c r="M126" s="428"/>
      <c r="N126" s="428"/>
      <c r="O126" s="499"/>
      <c r="P126" s="1"/>
      <c r="Q126" s="1"/>
      <c r="R126" s="1"/>
      <c r="S126" s="1"/>
      <c r="T126" s="1"/>
      <c r="U126" s="1"/>
      <c r="V126" s="1"/>
      <c r="W126" s="1"/>
      <c r="X126" s="1"/>
    </row>
    <row r="127" spans="1:24" ht="14.25" customHeight="1">
      <c r="A127" s="619"/>
      <c r="B127" s="426"/>
      <c r="C127" s="425"/>
      <c r="D127" s="427"/>
      <c r="E127" s="428"/>
      <c r="F127" s="428"/>
      <c r="G127" s="428"/>
      <c r="H127" s="428"/>
      <c r="I127" s="428"/>
      <c r="J127" s="428"/>
      <c r="K127" s="428"/>
      <c r="L127" s="428"/>
      <c r="M127" s="428"/>
      <c r="N127" s="428"/>
      <c r="O127" s="499"/>
      <c r="P127" s="1"/>
      <c r="Q127" s="1"/>
      <c r="R127" s="1"/>
      <c r="S127" s="1"/>
      <c r="T127" s="1"/>
      <c r="U127" s="1"/>
      <c r="V127" s="1"/>
      <c r="W127" s="1"/>
      <c r="X127" s="1"/>
    </row>
    <row r="128" spans="1:24" ht="14.25" customHeight="1">
      <c r="A128" s="619"/>
      <c r="B128" s="426"/>
      <c r="C128" s="425"/>
      <c r="D128" s="427"/>
      <c r="E128" s="428"/>
      <c r="F128" s="428"/>
      <c r="G128" s="428"/>
      <c r="H128" s="428"/>
      <c r="I128" s="428"/>
      <c r="J128" s="428"/>
      <c r="K128" s="428"/>
      <c r="L128" s="428"/>
      <c r="M128" s="428"/>
      <c r="N128" s="428"/>
      <c r="O128" s="499"/>
      <c r="P128" s="1"/>
      <c r="Q128" s="1"/>
      <c r="R128" s="1"/>
      <c r="S128" s="1"/>
      <c r="T128" s="1"/>
      <c r="U128" s="1"/>
      <c r="V128" s="1"/>
      <c r="W128" s="1"/>
      <c r="X128" s="1"/>
    </row>
    <row r="129" spans="1:24" ht="14.25" customHeight="1">
      <c r="A129" s="619"/>
      <c r="B129" s="426"/>
      <c r="C129" s="425"/>
      <c r="D129" s="427"/>
      <c r="E129" s="428"/>
      <c r="F129" s="428"/>
      <c r="G129" s="428"/>
      <c r="H129" s="428"/>
      <c r="I129" s="428"/>
      <c r="J129" s="428"/>
      <c r="K129" s="428"/>
      <c r="L129" s="428"/>
      <c r="M129" s="428"/>
      <c r="N129" s="428"/>
      <c r="O129" s="499"/>
      <c r="P129" s="1"/>
      <c r="Q129" s="1"/>
      <c r="R129" s="1"/>
      <c r="S129" s="1"/>
      <c r="T129" s="1"/>
      <c r="U129" s="1"/>
      <c r="V129" s="1"/>
      <c r="W129" s="1"/>
      <c r="X129" s="1"/>
    </row>
    <row r="130" spans="1:24" ht="14.25" customHeight="1">
      <c r="A130" s="619"/>
      <c r="B130" s="426"/>
      <c r="C130" s="425"/>
      <c r="D130" s="427"/>
      <c r="E130" s="428"/>
      <c r="F130" s="428"/>
      <c r="G130" s="428"/>
      <c r="H130" s="428"/>
      <c r="I130" s="428"/>
      <c r="J130" s="428"/>
      <c r="K130" s="428"/>
      <c r="L130" s="428"/>
      <c r="M130" s="428"/>
      <c r="N130" s="428"/>
      <c r="O130" s="499"/>
      <c r="P130" s="1"/>
      <c r="Q130" s="1"/>
      <c r="R130" s="1"/>
      <c r="S130" s="1"/>
      <c r="T130" s="1"/>
      <c r="U130" s="1"/>
      <c r="V130" s="1"/>
      <c r="W130" s="1"/>
      <c r="X130" s="1"/>
    </row>
    <row r="131" spans="1:24" ht="14.25" customHeight="1">
      <c r="A131" s="619"/>
      <c r="B131" s="426"/>
      <c r="C131" s="425"/>
      <c r="D131" s="427"/>
      <c r="E131" s="428"/>
      <c r="F131" s="428"/>
      <c r="G131" s="428"/>
      <c r="H131" s="428"/>
      <c r="I131" s="428"/>
      <c r="J131" s="428"/>
      <c r="K131" s="428"/>
      <c r="L131" s="428"/>
      <c r="M131" s="428"/>
      <c r="N131" s="428"/>
      <c r="O131" s="499"/>
      <c r="P131" s="1"/>
      <c r="Q131" s="1"/>
      <c r="R131" s="1"/>
      <c r="S131" s="1"/>
      <c r="T131" s="1"/>
      <c r="U131" s="1"/>
      <c r="V131" s="1"/>
      <c r="W131" s="1"/>
      <c r="X131" s="1"/>
    </row>
    <row r="132" spans="1:24" ht="14.25" customHeight="1">
      <c r="A132" s="619"/>
      <c r="B132" s="426"/>
      <c r="C132" s="425"/>
      <c r="D132" s="427"/>
      <c r="E132" s="428"/>
      <c r="F132" s="428"/>
      <c r="G132" s="428"/>
      <c r="H132" s="428"/>
      <c r="I132" s="428"/>
      <c r="J132" s="428"/>
      <c r="K132" s="428"/>
      <c r="L132" s="428"/>
      <c r="M132" s="428"/>
      <c r="N132" s="428"/>
      <c r="O132" s="499"/>
      <c r="P132" s="1"/>
      <c r="Q132" s="1"/>
      <c r="R132" s="1"/>
      <c r="S132" s="1"/>
      <c r="T132" s="1"/>
      <c r="U132" s="1"/>
      <c r="V132" s="1"/>
      <c r="W132" s="1"/>
      <c r="X132" s="1"/>
    </row>
    <row r="133" spans="1:24" ht="14.25" customHeight="1">
      <c r="A133" s="619"/>
      <c r="B133" s="426"/>
      <c r="C133" s="425"/>
      <c r="D133" s="427"/>
      <c r="E133" s="428"/>
      <c r="F133" s="428"/>
      <c r="G133" s="428"/>
      <c r="H133" s="428"/>
      <c r="I133" s="428"/>
      <c r="J133" s="428"/>
      <c r="K133" s="428"/>
      <c r="L133" s="428"/>
      <c r="M133" s="428"/>
      <c r="N133" s="428"/>
      <c r="O133" s="499"/>
      <c r="P133" s="1"/>
      <c r="Q133" s="1"/>
      <c r="R133" s="1"/>
      <c r="S133" s="1"/>
      <c r="T133" s="1"/>
      <c r="U133" s="1"/>
      <c r="V133" s="1"/>
      <c r="W133" s="1"/>
      <c r="X133" s="1"/>
    </row>
    <row r="134" spans="1:24" ht="14.25" customHeight="1">
      <c r="A134" s="619"/>
      <c r="B134" s="426"/>
      <c r="C134" s="425"/>
      <c r="D134" s="427"/>
      <c r="E134" s="428"/>
      <c r="F134" s="428"/>
      <c r="G134" s="428"/>
      <c r="H134" s="428"/>
      <c r="I134" s="428"/>
      <c r="J134" s="428"/>
      <c r="K134" s="428"/>
      <c r="L134" s="428"/>
      <c r="M134" s="428"/>
      <c r="N134" s="428"/>
      <c r="O134" s="499"/>
      <c r="P134" s="1"/>
      <c r="Q134" s="1"/>
      <c r="R134" s="1"/>
      <c r="S134" s="1"/>
      <c r="T134" s="1"/>
      <c r="U134" s="1"/>
      <c r="V134" s="1"/>
      <c r="W134" s="1"/>
      <c r="X134" s="1"/>
    </row>
    <row r="135" spans="1:24" ht="14.25" customHeight="1">
      <c r="A135" s="619"/>
      <c r="B135" s="426"/>
      <c r="C135" s="425"/>
      <c r="D135" s="427"/>
      <c r="E135" s="428"/>
      <c r="F135" s="428"/>
      <c r="G135" s="428"/>
      <c r="H135" s="428"/>
      <c r="I135" s="428"/>
      <c r="J135" s="428"/>
      <c r="K135" s="428"/>
      <c r="L135" s="428"/>
      <c r="M135" s="428"/>
      <c r="N135" s="428"/>
      <c r="O135" s="499"/>
      <c r="P135" s="1"/>
      <c r="Q135" s="1"/>
      <c r="R135" s="1"/>
      <c r="S135" s="1"/>
      <c r="T135" s="1"/>
      <c r="U135" s="1"/>
      <c r="V135" s="1"/>
      <c r="W135" s="1"/>
      <c r="X135" s="1"/>
    </row>
    <row r="136" spans="1:24" ht="14.25" customHeight="1">
      <c r="A136" s="619"/>
      <c r="B136" s="426"/>
      <c r="C136" s="425"/>
      <c r="D136" s="427"/>
      <c r="E136" s="428"/>
      <c r="F136" s="428"/>
      <c r="G136" s="428"/>
      <c r="H136" s="428"/>
      <c r="I136" s="428"/>
      <c r="J136" s="428"/>
      <c r="K136" s="428"/>
      <c r="L136" s="428"/>
      <c r="M136" s="428"/>
      <c r="N136" s="428"/>
      <c r="O136" s="499"/>
      <c r="P136" s="1"/>
      <c r="Q136" s="1"/>
      <c r="R136" s="1"/>
      <c r="S136" s="1"/>
      <c r="T136" s="1"/>
      <c r="U136" s="1"/>
      <c r="V136" s="1"/>
      <c r="W136" s="1"/>
      <c r="X136" s="1"/>
    </row>
    <row r="137" spans="1:24" ht="14.25" customHeight="1">
      <c r="A137" s="619"/>
      <c r="B137" s="426"/>
      <c r="C137" s="425"/>
      <c r="D137" s="427"/>
      <c r="E137" s="428"/>
      <c r="F137" s="428"/>
      <c r="G137" s="428"/>
      <c r="H137" s="428"/>
      <c r="I137" s="428"/>
      <c r="J137" s="428"/>
      <c r="K137" s="428"/>
      <c r="L137" s="428"/>
      <c r="M137" s="428"/>
      <c r="N137" s="428"/>
      <c r="O137" s="499"/>
      <c r="P137" s="1"/>
      <c r="Q137" s="1"/>
      <c r="R137" s="1"/>
      <c r="S137" s="1"/>
      <c r="T137" s="1"/>
      <c r="U137" s="1"/>
      <c r="V137" s="1"/>
      <c r="W137" s="1"/>
      <c r="X137" s="1"/>
    </row>
    <row r="138" spans="1:24" ht="14.25" customHeight="1">
      <c r="A138" s="619"/>
      <c r="B138" s="426"/>
      <c r="C138" s="425"/>
      <c r="D138" s="427"/>
      <c r="E138" s="428"/>
      <c r="F138" s="428"/>
      <c r="G138" s="428"/>
      <c r="H138" s="428"/>
      <c r="I138" s="428"/>
      <c r="J138" s="428"/>
      <c r="K138" s="428"/>
      <c r="L138" s="428"/>
      <c r="M138" s="428"/>
      <c r="N138" s="428"/>
      <c r="O138" s="499"/>
      <c r="P138" s="1"/>
      <c r="Q138" s="1"/>
      <c r="R138" s="1"/>
      <c r="S138" s="1"/>
      <c r="T138" s="1"/>
      <c r="U138" s="1"/>
      <c r="V138" s="1"/>
      <c r="W138" s="1"/>
      <c r="X138" s="1"/>
    </row>
    <row r="139" spans="1:24" ht="14.25" customHeight="1">
      <c r="A139" s="619"/>
      <c r="B139" s="426"/>
      <c r="C139" s="425"/>
      <c r="D139" s="427"/>
      <c r="E139" s="428"/>
      <c r="F139" s="428"/>
      <c r="G139" s="428"/>
      <c r="H139" s="428"/>
      <c r="I139" s="428"/>
      <c r="J139" s="428"/>
      <c r="K139" s="428"/>
      <c r="L139" s="428"/>
      <c r="M139" s="428"/>
      <c r="N139" s="428"/>
      <c r="O139" s="499"/>
      <c r="P139" s="1"/>
      <c r="Q139" s="1"/>
      <c r="R139" s="1"/>
      <c r="S139" s="1"/>
      <c r="T139" s="1"/>
      <c r="U139" s="1"/>
      <c r="V139" s="1"/>
      <c r="W139" s="1"/>
      <c r="X139" s="1"/>
    </row>
    <row r="140" spans="1:24" ht="14.25" customHeight="1">
      <c r="A140" s="619"/>
      <c r="B140" s="426"/>
      <c r="C140" s="425"/>
      <c r="D140" s="427"/>
      <c r="E140" s="428"/>
      <c r="F140" s="428"/>
      <c r="G140" s="428"/>
      <c r="H140" s="428"/>
      <c r="I140" s="428"/>
      <c r="J140" s="428"/>
      <c r="K140" s="428"/>
      <c r="L140" s="428"/>
      <c r="M140" s="428"/>
      <c r="N140" s="428"/>
      <c r="O140" s="499"/>
      <c r="P140" s="1"/>
      <c r="Q140" s="1"/>
      <c r="R140" s="1"/>
      <c r="S140" s="1"/>
      <c r="T140" s="1"/>
      <c r="U140" s="1"/>
      <c r="V140" s="1"/>
      <c r="W140" s="1"/>
      <c r="X140" s="1"/>
    </row>
    <row r="141" spans="1:24" ht="14.25" customHeight="1">
      <c r="A141" s="619"/>
      <c r="B141" s="426"/>
      <c r="C141" s="425"/>
      <c r="D141" s="427"/>
      <c r="E141" s="428"/>
      <c r="F141" s="428"/>
      <c r="G141" s="428"/>
      <c r="H141" s="428"/>
      <c r="I141" s="428"/>
      <c r="J141" s="428"/>
      <c r="K141" s="428"/>
      <c r="L141" s="428"/>
      <c r="M141" s="428"/>
      <c r="N141" s="428"/>
      <c r="O141" s="499"/>
      <c r="P141" s="1"/>
      <c r="Q141" s="1"/>
      <c r="R141" s="1"/>
      <c r="S141" s="1"/>
      <c r="T141" s="1"/>
      <c r="U141" s="1"/>
      <c r="V141" s="1"/>
      <c r="W141" s="1"/>
      <c r="X141" s="1"/>
    </row>
    <row r="142" spans="1:24" ht="14.25" customHeight="1">
      <c r="A142" s="619"/>
      <c r="B142" s="426"/>
      <c r="C142" s="425"/>
      <c r="D142" s="427"/>
      <c r="E142" s="428"/>
      <c r="F142" s="428"/>
      <c r="G142" s="428"/>
      <c r="H142" s="428"/>
      <c r="I142" s="428"/>
      <c r="J142" s="428"/>
      <c r="K142" s="428"/>
      <c r="L142" s="428"/>
      <c r="M142" s="428"/>
      <c r="N142" s="428"/>
      <c r="O142" s="499"/>
      <c r="P142" s="1"/>
      <c r="Q142" s="1"/>
      <c r="R142" s="1"/>
      <c r="S142" s="1"/>
      <c r="T142" s="1"/>
      <c r="U142" s="1"/>
      <c r="V142" s="1"/>
      <c r="W142" s="1"/>
      <c r="X142" s="1"/>
    </row>
    <row r="143" spans="1:24" ht="14.25" customHeight="1">
      <c r="A143" s="619"/>
      <c r="B143" s="426"/>
      <c r="C143" s="425"/>
      <c r="D143" s="427"/>
      <c r="E143" s="428"/>
      <c r="F143" s="428"/>
      <c r="G143" s="428"/>
      <c r="H143" s="428"/>
      <c r="I143" s="428"/>
      <c r="J143" s="428"/>
      <c r="K143" s="428"/>
      <c r="L143" s="428"/>
      <c r="M143" s="428"/>
      <c r="N143" s="428"/>
      <c r="O143" s="499"/>
      <c r="P143" s="1"/>
      <c r="Q143" s="1"/>
      <c r="R143" s="1"/>
      <c r="S143" s="1"/>
      <c r="T143" s="1"/>
      <c r="U143" s="1"/>
      <c r="V143" s="1"/>
      <c r="W143" s="1"/>
      <c r="X143" s="1"/>
    </row>
    <row r="144" spans="1:24" ht="14.25" customHeight="1">
      <c r="A144" s="619"/>
      <c r="B144" s="426"/>
      <c r="C144" s="425"/>
      <c r="D144" s="427"/>
      <c r="E144" s="428"/>
      <c r="F144" s="428"/>
      <c r="G144" s="428"/>
      <c r="H144" s="428"/>
      <c r="I144" s="428"/>
      <c r="J144" s="428"/>
      <c r="K144" s="428"/>
      <c r="L144" s="428"/>
      <c r="M144" s="428"/>
      <c r="N144" s="428"/>
      <c r="O144" s="499"/>
      <c r="P144" s="1"/>
      <c r="Q144" s="1"/>
      <c r="R144" s="1"/>
      <c r="S144" s="1"/>
      <c r="T144" s="1"/>
      <c r="U144" s="1"/>
      <c r="V144" s="1"/>
      <c r="W144" s="1"/>
      <c r="X144" s="1"/>
    </row>
    <row r="145" spans="1:24" ht="14.25" customHeight="1">
      <c r="A145" s="619"/>
      <c r="B145" s="426"/>
      <c r="C145" s="425"/>
      <c r="D145" s="427"/>
      <c r="E145" s="428"/>
      <c r="F145" s="428"/>
      <c r="G145" s="428"/>
      <c r="H145" s="428"/>
      <c r="I145" s="428"/>
      <c r="J145" s="428"/>
      <c r="K145" s="428"/>
      <c r="L145" s="428"/>
      <c r="M145" s="428"/>
      <c r="N145" s="428"/>
      <c r="O145" s="499"/>
      <c r="P145" s="1"/>
      <c r="Q145" s="1"/>
      <c r="R145" s="1"/>
      <c r="S145" s="1"/>
      <c r="T145" s="1"/>
      <c r="U145" s="1"/>
      <c r="V145" s="1"/>
      <c r="W145" s="1"/>
      <c r="X145" s="1"/>
    </row>
    <row r="146" spans="1:24" ht="14.25" customHeight="1">
      <c r="A146" s="619"/>
      <c r="B146" s="426"/>
      <c r="C146" s="425"/>
      <c r="D146" s="427"/>
      <c r="E146" s="428"/>
      <c r="F146" s="428"/>
      <c r="G146" s="428"/>
      <c r="H146" s="428"/>
      <c r="I146" s="428"/>
      <c r="J146" s="428"/>
      <c r="K146" s="428"/>
      <c r="L146" s="428"/>
      <c r="M146" s="428"/>
      <c r="N146" s="428"/>
      <c r="O146" s="499"/>
      <c r="P146" s="1"/>
      <c r="Q146" s="1"/>
      <c r="R146" s="1"/>
      <c r="S146" s="1"/>
      <c r="T146" s="1"/>
      <c r="U146" s="1"/>
      <c r="V146" s="1"/>
      <c r="W146" s="1"/>
      <c r="X146" s="1"/>
    </row>
    <row r="147" spans="1:24" ht="14.25" customHeight="1">
      <c r="A147" s="619"/>
      <c r="B147" s="426"/>
      <c r="C147" s="425"/>
      <c r="D147" s="427"/>
      <c r="E147" s="428"/>
      <c r="F147" s="428"/>
      <c r="G147" s="428"/>
      <c r="H147" s="428"/>
      <c r="I147" s="428"/>
      <c r="J147" s="428"/>
      <c r="K147" s="428"/>
      <c r="L147" s="428"/>
      <c r="M147" s="428"/>
      <c r="N147" s="428"/>
      <c r="O147" s="499"/>
      <c r="P147" s="1"/>
      <c r="Q147" s="1"/>
      <c r="R147" s="1"/>
      <c r="S147" s="1"/>
      <c r="T147" s="1"/>
      <c r="U147" s="1"/>
      <c r="V147" s="1"/>
      <c r="W147" s="1"/>
      <c r="X147" s="1"/>
    </row>
    <row r="148" spans="1:24" ht="14.25" customHeight="1">
      <c r="A148" s="619"/>
      <c r="B148" s="500"/>
      <c r="C148" s="502"/>
      <c r="D148" s="501"/>
      <c r="E148" s="502"/>
      <c r="F148" s="502"/>
      <c r="G148" s="502"/>
      <c r="H148" s="502"/>
      <c r="I148" s="502"/>
      <c r="J148" s="502"/>
      <c r="K148" s="502"/>
      <c r="L148" s="502"/>
      <c r="M148" s="502"/>
      <c r="N148" s="502"/>
      <c r="O148" s="503"/>
      <c r="P148" s="1"/>
      <c r="Q148" s="1"/>
      <c r="R148" s="1"/>
      <c r="S148" s="1"/>
      <c r="T148" s="1"/>
      <c r="U148" s="1"/>
      <c r="V148" s="1"/>
      <c r="W148" s="1"/>
      <c r="X148" s="1"/>
    </row>
    <row r="149" spans="1:24"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O1"/>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B6D7A8"/>
  </sheetPr>
  <dimension ref="A1:R1000"/>
  <sheetViews>
    <sheetView workbookViewId="0"/>
  </sheetViews>
  <sheetFormatPr defaultColWidth="12.6640625" defaultRowHeight="15" customHeight="1"/>
  <cols>
    <col min="1" max="1" width="8.44140625" customWidth="1"/>
    <col min="2" max="2" width="1.44140625" customWidth="1"/>
    <col min="3" max="3" width="47.21875" customWidth="1"/>
    <col min="4" max="4" width="10.21875" customWidth="1"/>
    <col min="5" max="5" width="14" customWidth="1"/>
    <col min="6" max="18" width="8.44140625" customWidth="1"/>
    <col min="19" max="26" width="12.44140625" customWidth="1"/>
  </cols>
  <sheetData>
    <row r="1" spans="1:18" ht="13.5" customHeight="1">
      <c r="A1" s="619"/>
      <c r="B1" s="52"/>
      <c r="C1" s="637" t="s">
        <v>6</v>
      </c>
      <c r="D1" s="653"/>
      <c r="E1" s="653"/>
      <c r="F1" s="653"/>
      <c r="G1" s="653"/>
      <c r="H1" s="653"/>
      <c r="I1" s="653"/>
      <c r="J1" s="653"/>
      <c r="K1" s="653"/>
      <c r="L1" s="653"/>
      <c r="M1" s="653"/>
      <c r="N1" s="653"/>
      <c r="O1" s="653"/>
      <c r="P1" s="653"/>
      <c r="Q1" s="653"/>
      <c r="R1" s="53"/>
    </row>
    <row r="2" spans="1:18" ht="13.5" customHeight="1">
      <c r="A2" s="1"/>
      <c r="B2" s="1"/>
      <c r="C2" s="1"/>
      <c r="D2" s="1"/>
      <c r="E2" s="1"/>
      <c r="F2" s="1"/>
      <c r="G2" s="1"/>
      <c r="H2" s="1"/>
      <c r="I2" s="1"/>
      <c r="J2" s="1"/>
      <c r="K2" s="1"/>
      <c r="L2" s="1"/>
      <c r="M2" s="1"/>
      <c r="N2" s="1"/>
      <c r="O2" s="1"/>
      <c r="P2" s="1"/>
      <c r="Q2" s="1"/>
      <c r="R2" s="1"/>
    </row>
    <row r="3" spans="1:18" ht="13.5" customHeight="1">
      <c r="A3" s="619"/>
      <c r="B3" s="6"/>
      <c r="C3" s="152"/>
      <c r="D3" s="200"/>
      <c r="E3" s="200"/>
      <c r="F3" s="200"/>
      <c r="G3" s="200"/>
      <c r="H3" s="200"/>
      <c r="I3" s="200"/>
      <c r="J3" s="200"/>
      <c r="K3" s="200"/>
      <c r="L3" s="200"/>
      <c r="M3" s="200"/>
      <c r="N3" s="200"/>
      <c r="O3" s="200"/>
      <c r="P3" s="200"/>
      <c r="Q3" s="200"/>
      <c r="R3" s="201"/>
    </row>
    <row r="4" spans="1:18" ht="13.5" customHeight="1">
      <c r="A4" s="619"/>
      <c r="B4" s="155"/>
      <c r="C4" s="156" t="s">
        <v>660</v>
      </c>
      <c r="D4" s="143"/>
      <c r="E4" s="143"/>
      <c r="F4" s="143"/>
      <c r="G4" s="143"/>
      <c r="H4" s="143"/>
      <c r="I4" s="143"/>
      <c r="J4" s="143"/>
      <c r="K4" s="143"/>
      <c r="L4" s="143"/>
      <c r="M4" s="143"/>
      <c r="N4" s="143"/>
      <c r="O4" s="143"/>
      <c r="P4" s="143"/>
      <c r="Q4" s="143"/>
      <c r="R4" s="142"/>
    </row>
    <row r="5" spans="1:18" ht="13.5" customHeight="1">
      <c r="A5" s="3"/>
      <c r="B5" s="202"/>
      <c r="C5" s="160" t="s">
        <v>661</v>
      </c>
      <c r="D5" s="204"/>
      <c r="E5" s="204"/>
      <c r="F5" s="204"/>
      <c r="G5" s="620"/>
      <c r="H5" s="620"/>
      <c r="I5" s="620"/>
      <c r="J5" s="620"/>
      <c r="K5" s="620"/>
      <c r="L5" s="620"/>
      <c r="M5" s="620"/>
      <c r="N5" s="620"/>
      <c r="O5" s="620"/>
      <c r="P5" s="620"/>
      <c r="Q5" s="620"/>
      <c r="R5" s="473"/>
    </row>
    <row r="6" spans="1:18" ht="13.5" customHeight="1">
      <c r="A6" s="3"/>
      <c r="B6" s="202"/>
      <c r="C6" s="160"/>
      <c r="D6" s="204"/>
      <c r="E6" s="204"/>
      <c r="F6" s="204"/>
      <c r="G6" s="620"/>
      <c r="H6" s="620"/>
      <c r="I6" s="620"/>
      <c r="J6" s="620"/>
      <c r="K6" s="620"/>
      <c r="L6" s="620"/>
      <c r="M6" s="620"/>
      <c r="N6" s="620"/>
      <c r="O6" s="620"/>
      <c r="P6" s="620"/>
      <c r="Q6" s="620"/>
      <c r="R6" s="473"/>
    </row>
    <row r="7" spans="1:18" ht="13.5" customHeight="1">
      <c r="A7" s="3"/>
      <c r="B7" s="202"/>
      <c r="C7" s="160"/>
      <c r="D7" s="204"/>
      <c r="E7" s="204"/>
      <c r="F7" s="204"/>
      <c r="G7" s="620"/>
      <c r="H7" s="620"/>
      <c r="I7" s="620"/>
      <c r="J7" s="620"/>
      <c r="K7" s="620"/>
      <c r="L7" s="620"/>
      <c r="M7" s="620"/>
      <c r="N7" s="620"/>
      <c r="O7" s="620"/>
      <c r="P7" s="620"/>
      <c r="Q7" s="620"/>
      <c r="R7" s="473"/>
    </row>
    <row r="8" spans="1:18" ht="13.5" customHeight="1">
      <c r="A8" s="3"/>
      <c r="B8" s="202"/>
      <c r="C8" s="160"/>
      <c r="D8" s="204"/>
      <c r="E8" s="204"/>
      <c r="F8" s="204"/>
      <c r="G8" s="620"/>
      <c r="H8" s="620"/>
      <c r="I8" s="620"/>
      <c r="J8" s="620"/>
      <c r="K8" s="620"/>
      <c r="L8" s="620"/>
      <c r="M8" s="620"/>
      <c r="N8" s="620"/>
      <c r="O8" s="620"/>
      <c r="P8" s="620"/>
      <c r="Q8" s="620"/>
      <c r="R8" s="473"/>
    </row>
    <row r="9" spans="1:18" ht="13.5" customHeight="1">
      <c r="A9" s="3"/>
      <c r="B9" s="202"/>
      <c r="C9" s="160"/>
      <c r="D9" s="204"/>
      <c r="E9" s="204"/>
      <c r="F9" s="204"/>
      <c r="G9" s="620"/>
      <c r="H9" s="620"/>
      <c r="I9" s="620"/>
      <c r="J9" s="620"/>
      <c r="K9" s="620"/>
      <c r="L9" s="620"/>
      <c r="M9" s="620"/>
      <c r="N9" s="620"/>
      <c r="O9" s="620"/>
      <c r="P9" s="620"/>
      <c r="Q9" s="620"/>
      <c r="R9" s="473"/>
    </row>
    <row r="10" spans="1:18" ht="13.5" customHeight="1">
      <c r="A10" s="3"/>
      <c r="B10" s="202"/>
      <c r="C10" s="160"/>
      <c r="D10" s="204"/>
      <c r="E10" s="204"/>
      <c r="F10" s="204"/>
      <c r="G10" s="620"/>
      <c r="H10" s="620"/>
      <c r="I10" s="620"/>
      <c r="J10" s="620"/>
      <c r="K10" s="620"/>
      <c r="L10" s="620"/>
      <c r="M10" s="620"/>
      <c r="N10" s="620"/>
      <c r="O10" s="620"/>
      <c r="P10" s="620"/>
      <c r="Q10" s="620"/>
      <c r="R10" s="473"/>
    </row>
    <row r="11" spans="1:18" ht="13.5" customHeight="1">
      <c r="A11" s="3"/>
      <c r="B11" s="202"/>
      <c r="C11" s="160"/>
      <c r="D11" s="204"/>
      <c r="E11" s="204"/>
      <c r="F11" s="204"/>
      <c r="G11" s="620"/>
      <c r="H11" s="620"/>
      <c r="I11" s="620"/>
      <c r="J11" s="620"/>
      <c r="K11" s="620"/>
      <c r="L11" s="620"/>
      <c r="M11" s="620"/>
      <c r="N11" s="620"/>
      <c r="O11" s="620"/>
      <c r="P11" s="620"/>
      <c r="Q11" s="620"/>
      <c r="R11" s="473"/>
    </row>
    <row r="12" spans="1:18" ht="13.5" customHeight="1">
      <c r="A12" s="3"/>
      <c r="B12" s="202"/>
      <c r="C12" s="160"/>
      <c r="D12" s="204"/>
      <c r="E12" s="204"/>
      <c r="F12" s="204"/>
      <c r="G12" s="620"/>
      <c r="H12" s="620"/>
      <c r="I12" s="620"/>
      <c r="J12" s="620"/>
      <c r="K12" s="620"/>
      <c r="L12" s="620"/>
      <c r="M12" s="620"/>
      <c r="N12" s="620"/>
      <c r="O12" s="620"/>
      <c r="P12" s="620"/>
      <c r="Q12" s="620"/>
      <c r="R12" s="473"/>
    </row>
    <row r="13" spans="1:18" ht="13.5" customHeight="1">
      <c r="A13" s="3"/>
      <c r="B13" s="202"/>
      <c r="C13" s="160"/>
      <c r="D13" s="204"/>
      <c r="E13" s="204"/>
      <c r="F13" s="204"/>
      <c r="G13" s="620"/>
      <c r="H13" s="620"/>
      <c r="I13" s="620"/>
      <c r="J13" s="620"/>
      <c r="K13" s="620"/>
      <c r="L13" s="620"/>
      <c r="M13" s="620"/>
      <c r="N13" s="620"/>
      <c r="O13" s="620"/>
      <c r="P13" s="620"/>
      <c r="Q13" s="620"/>
      <c r="R13" s="473"/>
    </row>
    <row r="14" spans="1:18" ht="13.5" customHeight="1">
      <c r="A14" s="3"/>
      <c r="B14" s="202"/>
      <c r="C14" s="160"/>
      <c r="D14" s="204"/>
      <c r="E14" s="204"/>
      <c r="F14" s="204"/>
      <c r="G14" s="620"/>
      <c r="H14" s="620"/>
      <c r="I14" s="620"/>
      <c r="J14" s="620"/>
      <c r="K14" s="620"/>
      <c r="L14" s="620"/>
      <c r="M14" s="620"/>
      <c r="N14" s="620"/>
      <c r="O14" s="620"/>
      <c r="P14" s="620"/>
      <c r="Q14" s="620"/>
      <c r="R14" s="473"/>
    </row>
    <row r="15" spans="1:18" ht="13.5" customHeight="1">
      <c r="A15" s="3"/>
      <c r="B15" s="202"/>
      <c r="C15" s="160"/>
      <c r="D15" s="204"/>
      <c r="E15" s="204"/>
      <c r="F15" s="204"/>
      <c r="G15" s="620"/>
      <c r="H15" s="620"/>
      <c r="I15" s="620"/>
      <c r="J15" s="620"/>
      <c r="K15" s="620"/>
      <c r="L15" s="620"/>
      <c r="M15" s="620"/>
      <c r="N15" s="620"/>
      <c r="O15" s="620"/>
      <c r="P15" s="620"/>
      <c r="Q15" s="620"/>
      <c r="R15" s="473"/>
    </row>
    <row r="16" spans="1:18" ht="13.5" customHeight="1">
      <c r="A16" s="3"/>
      <c r="B16" s="202"/>
      <c r="C16" s="160"/>
      <c r="D16" s="204"/>
      <c r="E16" s="204"/>
      <c r="F16" s="204"/>
      <c r="G16" s="620"/>
      <c r="H16" s="620"/>
      <c r="I16" s="620"/>
      <c r="J16" s="620"/>
      <c r="K16" s="620"/>
      <c r="L16" s="620"/>
      <c r="M16" s="620"/>
      <c r="N16" s="620"/>
      <c r="O16" s="620"/>
      <c r="P16" s="620"/>
      <c r="Q16" s="620"/>
      <c r="R16" s="473"/>
    </row>
    <row r="17" spans="1:18" ht="13.5" customHeight="1">
      <c r="A17" s="3"/>
      <c r="B17" s="202"/>
      <c r="C17" s="160"/>
      <c r="D17" s="204"/>
      <c r="E17" s="204"/>
      <c r="F17" s="204"/>
      <c r="G17" s="620"/>
      <c r="H17" s="620"/>
      <c r="I17" s="620"/>
      <c r="J17" s="620"/>
      <c r="K17" s="620"/>
      <c r="L17" s="620"/>
      <c r="M17" s="620"/>
      <c r="N17" s="620"/>
      <c r="O17" s="620"/>
      <c r="P17" s="620"/>
      <c r="Q17" s="620"/>
      <c r="R17" s="473"/>
    </row>
    <row r="18" spans="1:18" ht="13.5" customHeight="1">
      <c r="A18" s="3"/>
      <c r="B18" s="202"/>
      <c r="C18" s="164"/>
      <c r="D18" s="204"/>
      <c r="E18" s="204"/>
      <c r="F18" s="204"/>
      <c r="G18" s="620"/>
      <c r="H18" s="620"/>
      <c r="I18" s="620"/>
      <c r="J18" s="620"/>
      <c r="K18" s="620"/>
      <c r="L18" s="620"/>
      <c r="M18" s="620"/>
      <c r="N18" s="620"/>
      <c r="O18" s="620"/>
      <c r="P18" s="620"/>
      <c r="Q18" s="620"/>
      <c r="R18" s="473"/>
    </row>
    <row r="19" spans="1:18" ht="13.5" customHeight="1">
      <c r="A19" s="619"/>
      <c r="B19" s="202"/>
      <c r="C19" s="164"/>
      <c r="D19" s="475"/>
      <c r="E19" s="204"/>
      <c r="F19" s="204"/>
      <c r="G19" s="620"/>
      <c r="H19" s="620"/>
      <c r="I19" s="620"/>
      <c r="J19" s="620"/>
      <c r="K19" s="620"/>
      <c r="L19" s="620"/>
      <c r="M19" s="620"/>
      <c r="N19" s="620"/>
      <c r="O19" s="620"/>
      <c r="P19" s="620"/>
      <c r="Q19" s="620"/>
      <c r="R19" s="473"/>
    </row>
    <row r="20" spans="1:18" ht="13.5" customHeight="1">
      <c r="A20" s="619"/>
      <c r="B20" s="202"/>
      <c r="C20" s="164"/>
      <c r="D20" s="475"/>
      <c r="E20" s="204"/>
      <c r="F20" s="204"/>
      <c r="G20" s="620"/>
      <c r="H20" s="620"/>
      <c r="I20" s="620"/>
      <c r="J20" s="620"/>
      <c r="K20" s="620"/>
      <c r="L20" s="620"/>
      <c r="M20" s="620"/>
      <c r="N20" s="620"/>
      <c r="O20" s="620"/>
      <c r="P20" s="620"/>
      <c r="Q20" s="620"/>
      <c r="R20" s="473"/>
    </row>
    <row r="21" spans="1:18" ht="13.5" customHeight="1">
      <c r="A21" s="619"/>
      <c r="B21" s="202"/>
      <c r="C21" s="160" t="s">
        <v>743</v>
      </c>
      <c r="D21" s="475"/>
      <c r="E21" s="204"/>
      <c r="F21" s="204"/>
      <c r="G21" s="620"/>
      <c r="H21" s="620"/>
      <c r="I21" s="620"/>
      <c r="J21" s="620"/>
      <c r="K21" s="620"/>
      <c r="L21" s="620"/>
      <c r="M21" s="620"/>
      <c r="N21" s="620"/>
      <c r="O21" s="620"/>
      <c r="P21" s="620"/>
      <c r="Q21" s="620"/>
      <c r="R21" s="473"/>
    </row>
    <row r="22" spans="1:18" ht="13.5" customHeight="1">
      <c r="A22" s="619"/>
      <c r="B22" s="202"/>
      <c r="C22" s="160"/>
      <c r="D22" s="475"/>
      <c r="E22" s="204"/>
      <c r="F22" s="204"/>
      <c r="G22" s="620"/>
      <c r="H22" s="620"/>
      <c r="I22" s="620"/>
      <c r="J22" s="620"/>
      <c r="K22" s="620"/>
      <c r="L22" s="620"/>
      <c r="M22" s="620"/>
      <c r="N22" s="620"/>
      <c r="O22" s="620"/>
      <c r="P22" s="620"/>
      <c r="Q22" s="620"/>
      <c r="R22" s="473"/>
    </row>
    <row r="23" spans="1:18" ht="13.5" customHeight="1">
      <c r="A23" s="619"/>
      <c r="B23" s="202"/>
      <c r="C23" s="160"/>
      <c r="D23" s="475"/>
      <c r="E23" s="204"/>
      <c r="F23" s="204"/>
      <c r="G23" s="620"/>
      <c r="H23" s="620"/>
      <c r="I23" s="620"/>
      <c r="J23" s="620"/>
      <c r="K23" s="620"/>
      <c r="L23" s="620"/>
      <c r="M23" s="620"/>
      <c r="N23" s="620"/>
      <c r="O23" s="620"/>
      <c r="P23" s="620"/>
      <c r="Q23" s="620"/>
      <c r="R23" s="473"/>
    </row>
    <row r="24" spans="1:18" ht="13.5" customHeight="1">
      <c r="A24" s="619"/>
      <c r="B24" s="202"/>
      <c r="C24" s="160"/>
      <c r="D24" s="475"/>
      <c r="E24" s="204"/>
      <c r="F24" s="204"/>
      <c r="G24" s="620"/>
      <c r="H24" s="620"/>
      <c r="I24" s="620"/>
      <c r="J24" s="620"/>
      <c r="K24" s="620"/>
      <c r="L24" s="620"/>
      <c r="M24" s="620"/>
      <c r="N24" s="620"/>
      <c r="O24" s="620"/>
      <c r="P24" s="620"/>
      <c r="Q24" s="620"/>
      <c r="R24" s="473"/>
    </row>
    <row r="25" spans="1:18" ht="13.5" customHeight="1">
      <c r="A25" s="619"/>
      <c r="B25" s="202"/>
      <c r="C25" s="160"/>
      <c r="D25" s="475"/>
      <c r="E25" s="204"/>
      <c r="F25" s="204"/>
      <c r="G25" s="620"/>
      <c r="H25" s="620"/>
      <c r="I25" s="620"/>
      <c r="J25" s="620"/>
      <c r="K25" s="620"/>
      <c r="L25" s="620"/>
      <c r="M25" s="620"/>
      <c r="N25" s="620"/>
      <c r="O25" s="620"/>
      <c r="P25" s="620"/>
      <c r="Q25" s="620"/>
      <c r="R25" s="473"/>
    </row>
    <row r="26" spans="1:18" ht="13.5" customHeight="1">
      <c r="A26" s="619"/>
      <c r="B26" s="202"/>
      <c r="C26" s="160"/>
      <c r="D26" s="475"/>
      <c r="E26" s="204"/>
      <c r="F26" s="204"/>
      <c r="G26" s="620"/>
      <c r="H26" s="620"/>
      <c r="I26" s="620"/>
      <c r="J26" s="620"/>
      <c r="K26" s="620"/>
      <c r="L26" s="620"/>
      <c r="M26" s="620"/>
      <c r="N26" s="620"/>
      <c r="O26" s="620"/>
      <c r="P26" s="620"/>
      <c r="Q26" s="620"/>
      <c r="R26" s="473"/>
    </row>
    <row r="27" spans="1:18" ht="13.5" customHeight="1">
      <c r="A27" s="619"/>
      <c r="B27" s="202"/>
      <c r="C27" s="160"/>
      <c r="D27" s="475"/>
      <c r="E27" s="204"/>
      <c r="F27" s="204"/>
      <c r="G27" s="620"/>
      <c r="H27" s="620"/>
      <c r="I27" s="620"/>
      <c r="J27" s="620"/>
      <c r="K27" s="620"/>
      <c r="L27" s="620"/>
      <c r="M27" s="620"/>
      <c r="N27" s="620"/>
      <c r="O27" s="620"/>
      <c r="P27" s="620"/>
      <c r="Q27" s="620"/>
      <c r="R27" s="473"/>
    </row>
    <row r="28" spans="1:18" ht="13.5" customHeight="1">
      <c r="A28" s="619"/>
      <c r="B28" s="202"/>
      <c r="C28" s="160"/>
      <c r="D28" s="475"/>
      <c r="E28" s="204"/>
      <c r="F28" s="204"/>
      <c r="G28" s="620"/>
      <c r="H28" s="620"/>
      <c r="I28" s="620"/>
      <c r="J28" s="620"/>
      <c r="K28" s="620"/>
      <c r="L28" s="620"/>
      <c r="M28" s="620"/>
      <c r="N28" s="620"/>
      <c r="O28" s="620"/>
      <c r="P28" s="620"/>
      <c r="Q28" s="620"/>
      <c r="R28" s="473"/>
    </row>
    <row r="29" spans="1:18" ht="13.5" customHeight="1">
      <c r="A29" s="619"/>
      <c r="B29" s="202"/>
      <c r="C29" s="160"/>
      <c r="D29" s="475"/>
      <c r="E29" s="204"/>
      <c r="F29" s="204"/>
      <c r="G29" s="620"/>
      <c r="H29" s="620"/>
      <c r="I29" s="620"/>
      <c r="J29" s="620"/>
      <c r="K29" s="620"/>
      <c r="L29" s="620"/>
      <c r="M29" s="620"/>
      <c r="N29" s="620"/>
      <c r="O29" s="620"/>
      <c r="P29" s="620"/>
      <c r="Q29" s="620"/>
      <c r="R29" s="473"/>
    </row>
    <row r="30" spans="1:18" ht="13.5" customHeight="1">
      <c r="A30" s="619"/>
      <c r="B30" s="202"/>
      <c r="C30" s="160"/>
      <c r="D30" s="475"/>
      <c r="E30" s="204"/>
      <c r="F30" s="204"/>
      <c r="G30" s="620"/>
      <c r="H30" s="620"/>
      <c r="I30" s="620"/>
      <c r="J30" s="620"/>
      <c r="K30" s="620"/>
      <c r="L30" s="620"/>
      <c r="M30" s="620"/>
      <c r="N30" s="620"/>
      <c r="O30" s="620"/>
      <c r="P30" s="620"/>
      <c r="Q30" s="620"/>
      <c r="R30" s="473"/>
    </row>
    <row r="31" spans="1:18" ht="13.5" customHeight="1">
      <c r="A31" s="619"/>
      <c r="B31" s="202"/>
      <c r="C31" s="160"/>
      <c r="D31" s="475"/>
      <c r="E31" s="204"/>
      <c r="F31" s="204"/>
      <c r="G31" s="620"/>
      <c r="H31" s="620"/>
      <c r="I31" s="620"/>
      <c r="J31" s="620"/>
      <c r="K31" s="620"/>
      <c r="L31" s="620"/>
      <c r="M31" s="620"/>
      <c r="N31" s="620"/>
      <c r="O31" s="620"/>
      <c r="P31" s="620"/>
      <c r="Q31" s="620"/>
      <c r="R31" s="473"/>
    </row>
    <row r="32" spans="1:18" ht="13.5" customHeight="1">
      <c r="A32" s="619"/>
      <c r="B32" s="202"/>
      <c r="C32" s="160"/>
      <c r="D32" s="475"/>
      <c r="E32" s="204"/>
      <c r="F32" s="204"/>
      <c r="G32" s="620"/>
      <c r="H32" s="620"/>
      <c r="I32" s="620"/>
      <c r="J32" s="620"/>
      <c r="K32" s="620"/>
      <c r="L32" s="620"/>
      <c r="M32" s="620"/>
      <c r="N32" s="620"/>
      <c r="O32" s="620"/>
      <c r="P32" s="620"/>
      <c r="Q32" s="620"/>
      <c r="R32" s="473"/>
    </row>
    <row r="33" spans="1:18" ht="13.5" customHeight="1">
      <c r="A33" s="619"/>
      <c r="B33" s="202"/>
      <c r="C33" s="160"/>
      <c r="D33" s="475"/>
      <c r="E33" s="204"/>
      <c r="F33" s="204"/>
      <c r="G33" s="620"/>
      <c r="H33" s="620"/>
      <c r="I33" s="620"/>
      <c r="J33" s="620"/>
      <c r="K33" s="620"/>
      <c r="L33" s="620"/>
      <c r="M33" s="620"/>
      <c r="N33" s="620"/>
      <c r="O33" s="620"/>
      <c r="P33" s="620"/>
      <c r="Q33" s="620"/>
      <c r="R33" s="473"/>
    </row>
    <row r="34" spans="1:18" ht="13.5" customHeight="1">
      <c r="A34" s="619"/>
      <c r="B34" s="202"/>
      <c r="C34" s="160"/>
      <c r="D34" s="475"/>
      <c r="E34" s="204"/>
      <c r="F34" s="204"/>
      <c r="G34" s="620"/>
      <c r="H34" s="620"/>
      <c r="I34" s="620"/>
      <c r="J34" s="620"/>
      <c r="K34" s="620"/>
      <c r="L34" s="620"/>
      <c r="M34" s="620"/>
      <c r="N34" s="620"/>
      <c r="O34" s="620"/>
      <c r="P34" s="620"/>
      <c r="Q34" s="620"/>
      <c r="R34" s="473"/>
    </row>
    <row r="35" spans="1:18" ht="13.5" customHeight="1">
      <c r="A35" s="619"/>
      <c r="B35" s="202"/>
      <c r="C35" s="160"/>
      <c r="D35" s="475"/>
      <c r="E35" s="204"/>
      <c r="F35" s="204"/>
      <c r="G35" s="620"/>
      <c r="H35" s="620"/>
      <c r="I35" s="620"/>
      <c r="J35" s="620"/>
      <c r="K35" s="620"/>
      <c r="L35" s="620"/>
      <c r="M35" s="620"/>
      <c r="N35" s="620"/>
      <c r="O35" s="620"/>
      <c r="P35" s="620"/>
      <c r="Q35" s="620"/>
      <c r="R35" s="473"/>
    </row>
    <row r="36" spans="1:18" ht="13.5" customHeight="1">
      <c r="A36" s="619"/>
      <c r="B36" s="202"/>
      <c r="C36" s="160"/>
      <c r="D36" s="475"/>
      <c r="E36" s="204"/>
      <c r="F36" s="204"/>
      <c r="G36" s="620"/>
      <c r="H36" s="620"/>
      <c r="I36" s="620"/>
      <c r="J36" s="620"/>
      <c r="K36" s="620"/>
      <c r="L36" s="620"/>
      <c r="M36" s="620"/>
      <c r="N36" s="620"/>
      <c r="O36" s="620"/>
      <c r="P36" s="620"/>
      <c r="Q36" s="620"/>
      <c r="R36" s="473"/>
    </row>
    <row r="37" spans="1:18" ht="13.5" customHeight="1">
      <c r="A37" s="619"/>
      <c r="B37" s="202"/>
      <c r="C37" s="160"/>
      <c r="D37" s="475"/>
      <c r="E37" s="204"/>
      <c r="F37" s="204"/>
      <c r="G37" s="620"/>
      <c r="H37" s="620"/>
      <c r="I37" s="620"/>
      <c r="J37" s="620"/>
      <c r="K37" s="620"/>
      <c r="L37" s="620"/>
      <c r="M37" s="620"/>
      <c r="N37" s="620"/>
      <c r="O37" s="620"/>
      <c r="P37" s="620"/>
      <c r="Q37" s="620"/>
      <c r="R37" s="473"/>
    </row>
    <row r="38" spans="1:18" ht="13.5" customHeight="1">
      <c r="A38" s="619"/>
      <c r="B38" s="202"/>
      <c r="C38" s="160"/>
      <c r="D38" s="475"/>
      <c r="E38" s="204"/>
      <c r="F38" s="204"/>
      <c r="G38" s="620"/>
      <c r="H38" s="620"/>
      <c r="I38" s="620"/>
      <c r="J38" s="620"/>
      <c r="K38" s="620"/>
      <c r="L38" s="620"/>
      <c r="M38" s="620"/>
      <c r="N38" s="620"/>
      <c r="O38" s="620"/>
      <c r="P38" s="620"/>
      <c r="Q38" s="620"/>
      <c r="R38" s="473"/>
    </row>
    <row r="39" spans="1:18" ht="13.5" customHeight="1">
      <c r="A39" s="619"/>
      <c r="B39" s="202"/>
      <c r="C39" s="160"/>
      <c r="D39" s="475"/>
      <c r="E39" s="204"/>
      <c r="F39" s="204"/>
      <c r="G39" s="620"/>
      <c r="H39" s="620"/>
      <c r="I39" s="620"/>
      <c r="J39" s="620"/>
      <c r="K39" s="620"/>
      <c r="L39" s="620"/>
      <c r="M39" s="620"/>
      <c r="N39" s="620"/>
      <c r="O39" s="620"/>
      <c r="P39" s="620"/>
      <c r="Q39" s="620"/>
      <c r="R39" s="473"/>
    </row>
    <row r="40" spans="1:18" ht="13.5" customHeight="1">
      <c r="A40" s="619"/>
      <c r="B40" s="202"/>
      <c r="C40" s="160"/>
      <c r="D40" s="475"/>
      <c r="E40" s="204"/>
      <c r="F40" s="204"/>
      <c r="G40" s="620"/>
      <c r="H40" s="620"/>
      <c r="I40" s="620"/>
      <c r="J40" s="620"/>
      <c r="K40" s="620"/>
      <c r="L40" s="620"/>
      <c r="M40" s="620"/>
      <c r="N40" s="620"/>
      <c r="O40" s="620"/>
      <c r="P40" s="620"/>
      <c r="Q40" s="620"/>
      <c r="R40" s="473"/>
    </row>
    <row r="41" spans="1:18" ht="13.5" customHeight="1">
      <c r="A41" s="619"/>
      <c r="B41" s="202"/>
      <c r="C41" s="160"/>
      <c r="D41" s="475"/>
      <c r="E41" s="204"/>
      <c r="F41" s="204"/>
      <c r="G41" s="620"/>
      <c r="H41" s="620"/>
      <c r="I41" s="620"/>
      <c r="J41" s="620"/>
      <c r="K41" s="620"/>
      <c r="L41" s="620"/>
      <c r="M41" s="620"/>
      <c r="N41" s="620"/>
      <c r="O41" s="620"/>
      <c r="P41" s="620"/>
      <c r="Q41" s="620"/>
      <c r="R41" s="473"/>
    </row>
    <row r="42" spans="1:18" ht="13.5" customHeight="1">
      <c r="A42" s="619"/>
      <c r="B42" s="202"/>
      <c r="C42" s="160"/>
      <c r="D42" s="475"/>
      <c r="E42" s="204"/>
      <c r="F42" s="204"/>
      <c r="G42" s="620"/>
      <c r="H42" s="620"/>
      <c r="I42" s="620"/>
      <c r="J42" s="620"/>
      <c r="K42" s="620"/>
      <c r="L42" s="620"/>
      <c r="M42" s="620"/>
      <c r="N42" s="620"/>
      <c r="O42" s="620"/>
      <c r="P42" s="620"/>
      <c r="Q42" s="620"/>
      <c r="R42" s="473"/>
    </row>
    <row r="43" spans="1:18" ht="13.5" customHeight="1">
      <c r="A43" s="619"/>
      <c r="B43" s="202"/>
      <c r="C43" s="160"/>
      <c r="D43" s="475"/>
      <c r="E43" s="204"/>
      <c r="F43" s="204"/>
      <c r="G43" s="620"/>
      <c r="H43" s="620"/>
      <c r="I43" s="620"/>
      <c r="J43" s="620"/>
      <c r="K43" s="620"/>
      <c r="L43" s="620"/>
      <c r="M43" s="620"/>
      <c r="N43" s="620"/>
      <c r="O43" s="620"/>
      <c r="P43" s="620"/>
      <c r="Q43" s="620"/>
      <c r="R43" s="473"/>
    </row>
    <row r="44" spans="1:18" ht="13.5" customHeight="1">
      <c r="A44" s="619"/>
      <c r="B44" s="202"/>
      <c r="C44" s="164"/>
      <c r="D44" s="475"/>
      <c r="E44" s="204"/>
      <c r="F44" s="204"/>
      <c r="G44" s="620"/>
      <c r="H44" s="620"/>
      <c r="I44" s="620"/>
      <c r="J44" s="620"/>
      <c r="K44" s="620"/>
      <c r="L44" s="620"/>
      <c r="M44" s="620"/>
      <c r="N44" s="620"/>
      <c r="O44" s="620"/>
      <c r="P44" s="620"/>
      <c r="Q44" s="620"/>
      <c r="R44" s="473"/>
    </row>
    <row r="45" spans="1:18" ht="13.5" customHeight="1">
      <c r="A45" s="3"/>
      <c r="B45" s="202"/>
      <c r="C45" s="164"/>
      <c r="D45" s="204"/>
      <c r="E45" s="204"/>
      <c r="F45" s="204"/>
      <c r="G45" s="620"/>
      <c r="H45" s="620"/>
      <c r="I45" s="620"/>
      <c r="J45" s="620"/>
      <c r="K45" s="620"/>
      <c r="L45" s="620"/>
      <c r="M45" s="620"/>
      <c r="N45" s="620"/>
      <c r="O45" s="620"/>
      <c r="P45" s="620"/>
      <c r="Q45" s="620"/>
      <c r="R45" s="473"/>
    </row>
    <row r="46" spans="1:18" ht="13.5" customHeight="1">
      <c r="A46" s="619"/>
      <c r="B46" s="202"/>
      <c r="C46" s="164"/>
      <c r="D46" s="487"/>
      <c r="E46" s="204"/>
      <c r="F46" s="204"/>
      <c r="G46" s="620"/>
      <c r="H46" s="620"/>
      <c r="I46" s="620"/>
      <c r="J46" s="620"/>
      <c r="K46" s="620"/>
      <c r="L46" s="620"/>
      <c r="M46" s="620"/>
      <c r="N46" s="620"/>
      <c r="O46" s="620"/>
      <c r="P46" s="620"/>
      <c r="Q46" s="620"/>
      <c r="R46" s="473"/>
    </row>
    <row r="47" spans="1:18" ht="13.5" customHeight="1">
      <c r="A47" s="619"/>
      <c r="B47" s="202"/>
      <c r="C47" s="164"/>
      <c r="D47" s="487"/>
      <c r="E47" s="204"/>
      <c r="F47" s="204"/>
      <c r="G47" s="620"/>
      <c r="H47" s="620"/>
      <c r="I47" s="620"/>
      <c r="J47" s="620"/>
      <c r="K47" s="620"/>
      <c r="L47" s="620"/>
      <c r="M47" s="620"/>
      <c r="N47" s="620"/>
      <c r="O47" s="620"/>
      <c r="P47" s="620"/>
      <c r="Q47" s="620"/>
      <c r="R47" s="473"/>
    </row>
    <row r="48" spans="1:18" ht="13.5" customHeight="1">
      <c r="A48" s="619"/>
      <c r="B48" s="202"/>
      <c r="C48" s="164"/>
      <c r="D48" s="487"/>
      <c r="E48" s="204"/>
      <c r="F48" s="204"/>
      <c r="G48" s="620"/>
      <c r="H48" s="620"/>
      <c r="I48" s="620"/>
      <c r="J48" s="620"/>
      <c r="K48" s="620"/>
      <c r="L48" s="620"/>
      <c r="M48" s="620"/>
      <c r="N48" s="620"/>
      <c r="O48" s="620"/>
      <c r="P48" s="620"/>
      <c r="Q48" s="620"/>
      <c r="R48" s="473"/>
    </row>
    <row r="49" spans="1:18" ht="13.5" customHeight="1">
      <c r="A49" s="619"/>
      <c r="B49" s="202"/>
      <c r="C49" s="164"/>
      <c r="D49" s="487"/>
      <c r="E49" s="204"/>
      <c r="F49" s="204"/>
      <c r="G49" s="620"/>
      <c r="H49" s="620"/>
      <c r="I49" s="620"/>
      <c r="J49" s="620"/>
      <c r="K49" s="620"/>
      <c r="L49" s="620"/>
      <c r="M49" s="620"/>
      <c r="N49" s="620"/>
      <c r="O49" s="620"/>
      <c r="P49" s="620"/>
      <c r="Q49" s="620"/>
      <c r="R49" s="473"/>
    </row>
    <row r="50" spans="1:18" ht="13.5" customHeight="1">
      <c r="A50" s="619"/>
      <c r="B50" s="202"/>
      <c r="C50" s="164"/>
      <c r="D50" s="487"/>
      <c r="E50" s="204"/>
      <c r="F50" s="204"/>
      <c r="G50" s="620"/>
      <c r="H50" s="620"/>
      <c r="I50" s="620"/>
      <c r="J50" s="620"/>
      <c r="K50" s="620"/>
      <c r="L50" s="620"/>
      <c r="M50" s="620"/>
      <c r="N50" s="620"/>
      <c r="O50" s="620"/>
      <c r="P50" s="620"/>
      <c r="Q50" s="620"/>
      <c r="R50" s="473"/>
    </row>
    <row r="51" spans="1:18" ht="13.5" customHeight="1">
      <c r="A51" s="619"/>
      <c r="B51" s="202"/>
      <c r="C51" s="164"/>
      <c r="D51" s="487"/>
      <c r="E51" s="204"/>
      <c r="F51" s="204"/>
      <c r="G51" s="620"/>
      <c r="H51" s="620"/>
      <c r="I51" s="620"/>
      <c r="J51" s="620"/>
      <c r="K51" s="620"/>
      <c r="L51" s="620"/>
      <c r="M51" s="620"/>
      <c r="N51" s="620"/>
      <c r="O51" s="620"/>
      <c r="P51" s="620"/>
      <c r="Q51" s="620"/>
      <c r="R51" s="473"/>
    </row>
    <row r="52" spans="1:18" ht="13.5" customHeight="1">
      <c r="A52" s="619"/>
      <c r="B52" s="202"/>
      <c r="C52" s="164"/>
      <c r="D52" s="487"/>
      <c r="E52" s="204"/>
      <c r="F52" s="204"/>
      <c r="G52" s="620"/>
      <c r="H52" s="620"/>
      <c r="I52" s="620"/>
      <c r="J52" s="620"/>
      <c r="K52" s="620"/>
      <c r="L52" s="620"/>
      <c r="M52" s="620"/>
      <c r="N52" s="620"/>
      <c r="O52" s="620"/>
      <c r="P52" s="620"/>
      <c r="Q52" s="620"/>
      <c r="R52" s="473"/>
    </row>
    <row r="53" spans="1:18" ht="13.5" customHeight="1">
      <c r="A53" s="619"/>
      <c r="B53" s="202"/>
      <c r="C53" s="164"/>
      <c r="D53" s="487"/>
      <c r="E53" s="204"/>
      <c r="F53" s="204"/>
      <c r="G53" s="620"/>
      <c r="H53" s="620"/>
      <c r="I53" s="620"/>
      <c r="J53" s="620"/>
      <c r="K53" s="620"/>
      <c r="L53" s="620"/>
      <c r="M53" s="620"/>
      <c r="N53" s="620"/>
      <c r="O53" s="620"/>
      <c r="P53" s="620"/>
      <c r="Q53" s="620"/>
      <c r="R53" s="473"/>
    </row>
    <row r="54" spans="1:18" ht="13.5" customHeight="1">
      <c r="A54" s="619"/>
      <c r="B54" s="202"/>
      <c r="C54" s="160" t="s">
        <v>701</v>
      </c>
      <c r="D54" s="487"/>
      <c r="E54" s="204"/>
      <c r="F54" s="204"/>
      <c r="G54" s="620"/>
      <c r="H54" s="620"/>
      <c r="I54" s="620"/>
      <c r="J54" s="620"/>
      <c r="K54" s="620"/>
      <c r="L54" s="620"/>
      <c r="M54" s="620"/>
      <c r="N54" s="620"/>
      <c r="O54" s="620"/>
      <c r="P54" s="620"/>
      <c r="Q54" s="620"/>
      <c r="R54" s="473"/>
    </row>
    <row r="55" spans="1:18" ht="13.5" customHeight="1">
      <c r="A55" s="619"/>
      <c r="B55" s="202"/>
      <c r="C55" s="160"/>
      <c r="D55" s="487"/>
      <c r="E55" s="204"/>
      <c r="F55" s="204"/>
      <c r="G55" s="620"/>
      <c r="H55" s="620"/>
      <c r="I55" s="620"/>
      <c r="J55" s="620"/>
      <c r="K55" s="620"/>
      <c r="L55" s="620"/>
      <c r="M55" s="620"/>
      <c r="N55" s="620"/>
      <c r="O55" s="620"/>
      <c r="P55" s="620"/>
      <c r="Q55" s="620"/>
      <c r="R55" s="473"/>
    </row>
    <row r="56" spans="1:18" ht="13.5" customHeight="1">
      <c r="A56" s="619"/>
      <c r="B56" s="202"/>
      <c r="C56" s="160"/>
      <c r="D56" s="487"/>
      <c r="E56" s="204"/>
      <c r="F56" s="204"/>
      <c r="G56" s="620"/>
      <c r="H56" s="620"/>
      <c r="I56" s="620"/>
      <c r="J56" s="620"/>
      <c r="K56" s="620"/>
      <c r="L56" s="620"/>
      <c r="M56" s="620"/>
      <c r="N56" s="620"/>
      <c r="O56" s="620"/>
      <c r="P56" s="620"/>
      <c r="Q56" s="620"/>
      <c r="R56" s="473"/>
    </row>
    <row r="57" spans="1:18" ht="13.5" customHeight="1">
      <c r="A57" s="619"/>
      <c r="B57" s="202"/>
      <c r="C57" s="160"/>
      <c r="D57" s="487"/>
      <c r="E57" s="204"/>
      <c r="F57" s="204"/>
      <c r="G57" s="620"/>
      <c r="H57" s="620"/>
      <c r="I57" s="620"/>
      <c r="J57" s="620"/>
      <c r="K57" s="620"/>
      <c r="L57" s="620"/>
      <c r="M57" s="620"/>
      <c r="N57" s="620"/>
      <c r="O57" s="620"/>
      <c r="P57" s="620"/>
      <c r="Q57" s="620"/>
      <c r="R57" s="473"/>
    </row>
    <row r="58" spans="1:18" ht="13.5" customHeight="1">
      <c r="A58" s="619"/>
      <c r="B58" s="202"/>
      <c r="C58" s="160"/>
      <c r="D58" s="487"/>
      <c r="E58" s="204"/>
      <c r="F58" s="204"/>
      <c r="G58" s="620"/>
      <c r="H58" s="620"/>
      <c r="I58" s="620"/>
      <c r="J58" s="620"/>
      <c r="K58" s="620"/>
      <c r="L58" s="620"/>
      <c r="M58" s="620"/>
      <c r="N58" s="620"/>
      <c r="O58" s="620"/>
      <c r="P58" s="620"/>
      <c r="Q58" s="620"/>
      <c r="R58" s="473"/>
    </row>
    <row r="59" spans="1:18" ht="13.5" customHeight="1">
      <c r="A59" s="619"/>
      <c r="B59" s="202"/>
      <c r="C59" s="160"/>
      <c r="D59" s="487"/>
      <c r="E59" s="204"/>
      <c r="F59" s="204"/>
      <c r="G59" s="620"/>
      <c r="H59" s="620"/>
      <c r="I59" s="620"/>
      <c r="J59" s="620"/>
      <c r="K59" s="620"/>
      <c r="L59" s="620"/>
      <c r="M59" s="620"/>
      <c r="N59" s="620"/>
      <c r="O59" s="620"/>
      <c r="P59" s="620"/>
      <c r="Q59" s="620"/>
      <c r="R59" s="473"/>
    </row>
    <row r="60" spans="1:18" ht="13.5" customHeight="1">
      <c r="A60" s="619"/>
      <c r="B60" s="202"/>
      <c r="C60" s="160"/>
      <c r="D60" s="487"/>
      <c r="E60" s="204"/>
      <c r="F60" s="204"/>
      <c r="G60" s="620"/>
      <c r="H60" s="620"/>
      <c r="I60" s="620"/>
      <c r="J60" s="620"/>
      <c r="K60" s="620"/>
      <c r="L60" s="620"/>
      <c r="M60" s="620"/>
      <c r="N60" s="620"/>
      <c r="O60" s="620"/>
      <c r="P60" s="620"/>
      <c r="Q60" s="620"/>
      <c r="R60" s="473"/>
    </row>
    <row r="61" spans="1:18" ht="13.5" customHeight="1">
      <c r="A61" s="619"/>
      <c r="B61" s="202"/>
      <c r="C61" s="160"/>
      <c r="D61" s="487"/>
      <c r="E61" s="204"/>
      <c r="F61" s="204"/>
      <c r="G61" s="620"/>
      <c r="H61" s="620"/>
      <c r="I61" s="620"/>
      <c r="J61" s="620"/>
      <c r="K61" s="620"/>
      <c r="L61" s="620"/>
      <c r="M61" s="620"/>
      <c r="N61" s="620"/>
      <c r="O61" s="620"/>
      <c r="P61" s="620"/>
      <c r="Q61" s="620"/>
      <c r="R61" s="473"/>
    </row>
    <row r="62" spans="1:18" ht="13.5" customHeight="1">
      <c r="A62" s="619"/>
      <c r="B62" s="202"/>
      <c r="C62" s="160"/>
      <c r="D62" s="487"/>
      <c r="E62" s="204"/>
      <c r="F62" s="204"/>
      <c r="G62" s="620"/>
      <c r="H62" s="620"/>
      <c r="I62" s="620"/>
      <c r="J62" s="620"/>
      <c r="K62" s="620"/>
      <c r="L62" s="620"/>
      <c r="M62" s="620"/>
      <c r="N62" s="620"/>
      <c r="O62" s="620"/>
      <c r="P62" s="620"/>
      <c r="Q62" s="620"/>
      <c r="R62" s="473"/>
    </row>
    <row r="63" spans="1:18" ht="13.5" customHeight="1">
      <c r="A63" s="619"/>
      <c r="B63" s="202"/>
      <c r="C63" s="160"/>
      <c r="D63" s="487"/>
      <c r="E63" s="204"/>
      <c r="F63" s="204"/>
      <c r="G63" s="620"/>
      <c r="H63" s="620"/>
      <c r="I63" s="620"/>
      <c r="J63" s="620"/>
      <c r="K63" s="620"/>
      <c r="L63" s="620"/>
      <c r="M63" s="620"/>
      <c r="N63" s="620"/>
      <c r="O63" s="620"/>
      <c r="P63" s="620"/>
      <c r="Q63" s="620"/>
      <c r="R63" s="473"/>
    </row>
    <row r="64" spans="1:18" ht="13.5" customHeight="1">
      <c r="A64" s="619"/>
      <c r="B64" s="202"/>
      <c r="C64" s="160"/>
      <c r="D64" s="487"/>
      <c r="E64" s="204"/>
      <c r="F64" s="204"/>
      <c r="G64" s="620"/>
      <c r="H64" s="620"/>
      <c r="I64" s="620"/>
      <c r="J64" s="620"/>
      <c r="K64" s="620"/>
      <c r="L64" s="620"/>
      <c r="M64" s="620"/>
      <c r="N64" s="620"/>
      <c r="O64" s="620"/>
      <c r="P64" s="620"/>
      <c r="Q64" s="620"/>
      <c r="R64" s="473"/>
    </row>
    <row r="65" spans="1:18" ht="13.5" customHeight="1">
      <c r="A65" s="619"/>
      <c r="B65" s="202"/>
      <c r="C65" s="160"/>
      <c r="D65" s="487"/>
      <c r="E65" s="204"/>
      <c r="F65" s="204"/>
      <c r="G65" s="620"/>
      <c r="H65" s="620"/>
      <c r="I65" s="620"/>
      <c r="J65" s="620"/>
      <c r="K65" s="620"/>
      <c r="L65" s="620"/>
      <c r="M65" s="620"/>
      <c r="N65" s="620"/>
      <c r="O65" s="620"/>
      <c r="P65" s="620"/>
      <c r="Q65" s="620"/>
      <c r="R65" s="473"/>
    </row>
    <row r="66" spans="1:18" ht="13.5" customHeight="1">
      <c r="A66" s="619"/>
      <c r="B66" s="202"/>
      <c r="C66" s="160"/>
      <c r="D66" s="487"/>
      <c r="E66" s="204"/>
      <c r="F66" s="204"/>
      <c r="G66" s="620"/>
      <c r="H66" s="620"/>
      <c r="I66" s="620"/>
      <c r="J66" s="620"/>
      <c r="K66" s="620"/>
      <c r="L66" s="620"/>
      <c r="M66" s="620"/>
      <c r="N66" s="620"/>
      <c r="O66" s="620"/>
      <c r="P66" s="620"/>
      <c r="Q66" s="620"/>
      <c r="R66" s="473"/>
    </row>
    <row r="67" spans="1:18" ht="13.5" customHeight="1">
      <c r="A67" s="619"/>
      <c r="B67" s="202"/>
      <c r="C67" s="160"/>
      <c r="D67" s="487"/>
      <c r="E67" s="204"/>
      <c r="F67" s="204"/>
      <c r="G67" s="620"/>
      <c r="H67" s="620"/>
      <c r="I67" s="620"/>
      <c r="J67" s="620"/>
      <c r="K67" s="620"/>
      <c r="L67" s="620"/>
      <c r="M67" s="620"/>
      <c r="N67" s="620"/>
      <c r="O67" s="620"/>
      <c r="P67" s="620"/>
      <c r="Q67" s="620"/>
      <c r="R67" s="473"/>
    </row>
    <row r="68" spans="1:18" ht="13.5" customHeight="1">
      <c r="A68" s="619"/>
      <c r="B68" s="202"/>
      <c r="C68" s="160"/>
      <c r="D68" s="487"/>
      <c r="E68" s="204"/>
      <c r="F68" s="204"/>
      <c r="G68" s="620"/>
      <c r="H68" s="620"/>
      <c r="I68" s="620"/>
      <c r="J68" s="620"/>
      <c r="K68" s="620"/>
      <c r="L68" s="620"/>
      <c r="M68" s="620"/>
      <c r="N68" s="620"/>
      <c r="O68" s="620"/>
      <c r="P68" s="620"/>
      <c r="Q68" s="620"/>
      <c r="R68" s="473"/>
    </row>
    <row r="69" spans="1:18" ht="13.5" customHeight="1">
      <c r="A69" s="619"/>
      <c r="B69" s="202"/>
      <c r="C69" s="160"/>
      <c r="D69" s="487"/>
      <c r="E69" s="204"/>
      <c r="F69" s="204"/>
      <c r="G69" s="620"/>
      <c r="H69" s="620"/>
      <c r="I69" s="620"/>
      <c r="J69" s="620"/>
      <c r="K69" s="620"/>
      <c r="L69" s="620"/>
      <c r="M69" s="620"/>
      <c r="N69" s="620"/>
      <c r="O69" s="620"/>
      <c r="P69" s="620"/>
      <c r="Q69" s="620"/>
      <c r="R69" s="473"/>
    </row>
    <row r="70" spans="1:18" ht="13.5" customHeight="1">
      <c r="A70" s="619"/>
      <c r="B70" s="202"/>
      <c r="C70" s="160"/>
      <c r="D70" s="487"/>
      <c r="E70" s="204"/>
      <c r="F70" s="204"/>
      <c r="G70" s="620"/>
      <c r="H70" s="620"/>
      <c r="I70" s="620"/>
      <c r="J70" s="620"/>
      <c r="K70" s="620"/>
      <c r="L70" s="620"/>
      <c r="M70" s="620"/>
      <c r="N70" s="620"/>
      <c r="O70" s="620"/>
      <c r="P70" s="620"/>
      <c r="Q70" s="620"/>
      <c r="R70" s="473"/>
    </row>
    <row r="71" spans="1:18" ht="13.5" customHeight="1">
      <c r="A71" s="619"/>
      <c r="B71" s="202"/>
      <c r="C71" s="160"/>
      <c r="D71" s="487"/>
      <c r="E71" s="204"/>
      <c r="F71" s="204"/>
      <c r="G71" s="620"/>
      <c r="H71" s="620"/>
      <c r="I71" s="620"/>
      <c r="J71" s="620"/>
      <c r="K71" s="620"/>
      <c r="L71" s="620"/>
      <c r="M71" s="620"/>
      <c r="N71" s="620"/>
      <c r="O71" s="620"/>
      <c r="P71" s="620"/>
      <c r="Q71" s="620"/>
      <c r="R71" s="473"/>
    </row>
    <row r="72" spans="1:18" ht="13.5" customHeight="1">
      <c r="A72" s="619"/>
      <c r="B72" s="202"/>
      <c r="C72" s="160"/>
      <c r="D72" s="487"/>
      <c r="E72" s="204"/>
      <c r="F72" s="204"/>
      <c r="G72" s="620"/>
      <c r="H72" s="620"/>
      <c r="I72" s="620"/>
      <c r="J72" s="620"/>
      <c r="K72" s="620"/>
      <c r="L72" s="620"/>
      <c r="M72" s="620"/>
      <c r="N72" s="620"/>
      <c r="O72" s="620"/>
      <c r="P72" s="620"/>
      <c r="Q72" s="620"/>
      <c r="R72" s="473"/>
    </row>
    <row r="73" spans="1:18" ht="13.5" customHeight="1">
      <c r="A73" s="619"/>
      <c r="B73" s="202"/>
      <c r="C73" s="160"/>
      <c r="D73" s="487"/>
      <c r="E73" s="204"/>
      <c r="F73" s="204"/>
      <c r="G73" s="620"/>
      <c r="H73" s="620"/>
      <c r="I73" s="620"/>
      <c r="J73" s="620"/>
      <c r="K73" s="620"/>
      <c r="L73" s="620"/>
      <c r="M73" s="620"/>
      <c r="N73" s="620"/>
      <c r="O73" s="620"/>
      <c r="P73" s="620"/>
      <c r="Q73" s="620"/>
      <c r="R73" s="473"/>
    </row>
    <row r="74" spans="1:18" ht="13.5" customHeight="1">
      <c r="A74" s="619"/>
      <c r="B74" s="202"/>
      <c r="C74" s="160"/>
      <c r="D74" s="487"/>
      <c r="E74" s="204"/>
      <c r="F74" s="204"/>
      <c r="G74" s="620"/>
      <c r="H74" s="620"/>
      <c r="I74" s="620"/>
      <c r="J74" s="620"/>
      <c r="K74" s="620"/>
      <c r="L74" s="620"/>
      <c r="M74" s="620"/>
      <c r="N74" s="620"/>
      <c r="O74" s="620"/>
      <c r="P74" s="620"/>
      <c r="Q74" s="620"/>
      <c r="R74" s="473"/>
    </row>
    <row r="75" spans="1:18" ht="13.5" customHeight="1">
      <c r="A75" s="619"/>
      <c r="B75" s="202"/>
      <c r="C75" s="160"/>
      <c r="D75" s="487"/>
      <c r="E75" s="204"/>
      <c r="F75" s="204"/>
      <c r="G75" s="620"/>
      <c r="H75" s="620"/>
      <c r="I75" s="620"/>
      <c r="J75" s="620"/>
      <c r="K75" s="620"/>
      <c r="L75" s="620"/>
      <c r="M75" s="620"/>
      <c r="N75" s="620"/>
      <c r="O75" s="620"/>
      <c r="P75" s="620"/>
      <c r="Q75" s="620"/>
      <c r="R75" s="473"/>
    </row>
    <row r="76" spans="1:18" ht="13.5" customHeight="1">
      <c r="A76" s="619"/>
      <c r="B76" s="202"/>
      <c r="C76" s="160"/>
      <c r="D76" s="487"/>
      <c r="E76" s="204"/>
      <c r="F76" s="204"/>
      <c r="G76" s="620"/>
      <c r="H76" s="620"/>
      <c r="I76" s="620"/>
      <c r="J76" s="620"/>
      <c r="K76" s="620"/>
      <c r="L76" s="620"/>
      <c r="M76" s="620"/>
      <c r="N76" s="620"/>
      <c r="O76" s="620"/>
      <c r="P76" s="620"/>
      <c r="Q76" s="620"/>
      <c r="R76" s="473"/>
    </row>
    <row r="77" spans="1:18" ht="13.5" customHeight="1">
      <c r="A77" s="619"/>
      <c r="B77" s="202"/>
      <c r="C77" s="160"/>
      <c r="D77" s="487"/>
      <c r="E77" s="204"/>
      <c r="F77" s="204"/>
      <c r="G77" s="620"/>
      <c r="H77" s="620"/>
      <c r="I77" s="620"/>
      <c r="J77" s="620"/>
      <c r="K77" s="620"/>
      <c r="L77" s="620"/>
      <c r="M77" s="620"/>
      <c r="N77" s="620"/>
      <c r="O77" s="620"/>
      <c r="P77" s="620"/>
      <c r="Q77" s="620"/>
      <c r="R77" s="473"/>
    </row>
    <row r="78" spans="1:18" ht="13.5" customHeight="1">
      <c r="A78" s="619"/>
      <c r="B78" s="202"/>
      <c r="C78" s="160"/>
      <c r="D78" s="487"/>
      <c r="E78" s="204"/>
      <c r="F78" s="204"/>
      <c r="G78" s="620"/>
      <c r="H78" s="620"/>
      <c r="I78" s="620"/>
      <c r="J78" s="620"/>
      <c r="K78" s="620"/>
      <c r="L78" s="620"/>
      <c r="M78" s="620"/>
      <c r="N78" s="620"/>
      <c r="O78" s="620"/>
      <c r="P78" s="620"/>
      <c r="Q78" s="620"/>
      <c r="R78" s="473"/>
    </row>
    <row r="79" spans="1:18" ht="13.5" customHeight="1">
      <c r="A79" s="619"/>
      <c r="B79" s="202"/>
      <c r="C79" s="160"/>
      <c r="D79" s="487"/>
      <c r="E79" s="204"/>
      <c r="F79" s="204"/>
      <c r="G79" s="620"/>
      <c r="H79" s="620"/>
      <c r="I79" s="620"/>
      <c r="J79" s="620"/>
      <c r="K79" s="620"/>
      <c r="L79" s="620"/>
      <c r="M79" s="620"/>
      <c r="N79" s="620"/>
      <c r="O79" s="620"/>
      <c r="P79" s="620"/>
      <c r="Q79" s="620"/>
      <c r="R79" s="473"/>
    </row>
    <row r="80" spans="1:18" ht="13.5" customHeight="1">
      <c r="A80" s="619"/>
      <c r="B80" s="202"/>
      <c r="C80" s="160"/>
      <c r="D80" s="487"/>
      <c r="E80" s="204"/>
      <c r="F80" s="204"/>
      <c r="G80" s="620"/>
      <c r="H80" s="620"/>
      <c r="I80" s="620"/>
      <c r="J80" s="620"/>
      <c r="K80" s="620"/>
      <c r="L80" s="620"/>
      <c r="M80" s="620"/>
      <c r="N80" s="620"/>
      <c r="O80" s="620"/>
      <c r="P80" s="620"/>
      <c r="Q80" s="620"/>
      <c r="R80" s="473"/>
    </row>
    <row r="81" spans="1:18" ht="13.5" customHeight="1">
      <c r="A81" s="619"/>
      <c r="B81" s="202"/>
      <c r="C81" s="160"/>
      <c r="D81" s="487"/>
      <c r="E81" s="204"/>
      <c r="F81" s="204"/>
      <c r="G81" s="620"/>
      <c r="H81" s="620"/>
      <c r="I81" s="620"/>
      <c r="J81" s="620"/>
      <c r="K81" s="620"/>
      <c r="L81" s="620"/>
      <c r="M81" s="620"/>
      <c r="N81" s="620"/>
      <c r="O81" s="620"/>
      <c r="P81" s="620"/>
      <c r="Q81" s="620"/>
      <c r="R81" s="473"/>
    </row>
    <row r="82" spans="1:18" ht="13.5" customHeight="1">
      <c r="A82" s="619"/>
      <c r="B82" s="202"/>
      <c r="C82" s="160"/>
      <c r="D82" s="487"/>
      <c r="E82" s="204"/>
      <c r="F82" s="204"/>
      <c r="G82" s="620"/>
      <c r="H82" s="620"/>
      <c r="I82" s="620"/>
      <c r="J82" s="620"/>
      <c r="K82" s="620"/>
      <c r="L82" s="620"/>
      <c r="M82" s="620"/>
      <c r="N82" s="620"/>
      <c r="O82" s="620"/>
      <c r="P82" s="620"/>
      <c r="Q82" s="620"/>
      <c r="R82" s="473"/>
    </row>
    <row r="83" spans="1:18" ht="13.5" customHeight="1">
      <c r="A83" s="619"/>
      <c r="B83" s="202"/>
      <c r="C83" s="160"/>
      <c r="D83" s="487"/>
      <c r="E83" s="204"/>
      <c r="F83" s="204"/>
      <c r="G83" s="620"/>
      <c r="H83" s="620"/>
      <c r="I83" s="620"/>
      <c r="J83" s="620"/>
      <c r="K83" s="620"/>
      <c r="L83" s="620"/>
      <c r="M83" s="620"/>
      <c r="N83" s="620"/>
      <c r="O83" s="620"/>
      <c r="P83" s="620"/>
      <c r="Q83" s="620"/>
      <c r="R83" s="473"/>
    </row>
    <row r="84" spans="1:18" ht="13.5" customHeight="1">
      <c r="A84" s="619"/>
      <c r="B84" s="202"/>
      <c r="C84" s="160"/>
      <c r="D84" s="487"/>
      <c r="E84" s="204"/>
      <c r="F84" s="204"/>
      <c r="G84" s="620"/>
      <c r="H84" s="620"/>
      <c r="I84" s="620"/>
      <c r="J84" s="620"/>
      <c r="K84" s="620"/>
      <c r="L84" s="620"/>
      <c r="M84" s="620"/>
      <c r="N84" s="620"/>
      <c r="O84" s="620"/>
      <c r="P84" s="620"/>
      <c r="Q84" s="620"/>
      <c r="R84" s="473"/>
    </row>
    <row r="85" spans="1:18" ht="13.5" customHeight="1">
      <c r="A85" s="619"/>
      <c r="B85" s="202"/>
      <c r="C85" s="160"/>
      <c r="D85" s="487"/>
      <c r="E85" s="204"/>
      <c r="F85" s="204"/>
      <c r="G85" s="620"/>
      <c r="H85" s="620"/>
      <c r="I85" s="620"/>
      <c r="J85" s="620"/>
      <c r="K85" s="620"/>
      <c r="L85" s="620"/>
      <c r="M85" s="620"/>
      <c r="N85" s="620"/>
      <c r="O85" s="620"/>
      <c r="P85" s="620"/>
      <c r="Q85" s="620"/>
      <c r="R85" s="473"/>
    </row>
    <row r="86" spans="1:18" ht="13.5" customHeight="1">
      <c r="A86" s="619"/>
      <c r="B86" s="202"/>
      <c r="C86" s="160"/>
      <c r="D86" s="487"/>
      <c r="E86" s="204"/>
      <c r="F86" s="204"/>
      <c r="G86" s="620"/>
      <c r="H86" s="620"/>
      <c r="I86" s="620"/>
      <c r="J86" s="620"/>
      <c r="K86" s="620"/>
      <c r="L86" s="620"/>
      <c r="M86" s="620"/>
      <c r="N86" s="620"/>
      <c r="O86" s="620"/>
      <c r="P86" s="620"/>
      <c r="Q86" s="620"/>
      <c r="R86" s="473"/>
    </row>
    <row r="87" spans="1:18" ht="13.5" customHeight="1">
      <c r="A87" s="619"/>
      <c r="B87" s="202"/>
      <c r="C87" s="160"/>
      <c r="D87" s="487"/>
      <c r="E87" s="204"/>
      <c r="F87" s="204"/>
      <c r="G87" s="620"/>
      <c r="H87" s="620"/>
      <c r="I87" s="620"/>
      <c r="J87" s="620"/>
      <c r="K87" s="620"/>
      <c r="L87" s="620"/>
      <c r="M87" s="620"/>
      <c r="N87" s="620"/>
      <c r="O87" s="620"/>
      <c r="P87" s="620"/>
      <c r="Q87" s="620"/>
      <c r="R87" s="473"/>
    </row>
    <row r="88" spans="1:18" ht="13.5" customHeight="1">
      <c r="A88" s="619"/>
      <c r="B88" s="167"/>
      <c r="C88" s="222"/>
      <c r="D88" s="230"/>
      <c r="E88" s="230"/>
      <c r="F88" s="230"/>
      <c r="G88" s="230"/>
      <c r="H88" s="230"/>
      <c r="I88" s="230"/>
      <c r="J88" s="230"/>
      <c r="K88" s="230"/>
      <c r="L88" s="230"/>
      <c r="M88" s="230"/>
      <c r="N88" s="230"/>
      <c r="O88" s="230"/>
      <c r="P88" s="230"/>
      <c r="Q88" s="230"/>
      <c r="R88" s="231"/>
    </row>
    <row r="89" spans="1:18" ht="13.5" customHeight="1">
      <c r="A89" s="1"/>
      <c r="B89" s="1"/>
      <c r="C89" s="1"/>
      <c r="D89" s="1"/>
      <c r="E89" s="1"/>
      <c r="F89" s="1"/>
      <c r="G89" s="1"/>
      <c r="H89" s="1"/>
      <c r="I89" s="1"/>
      <c r="J89" s="1"/>
      <c r="K89" s="1"/>
      <c r="L89" s="1"/>
      <c r="M89" s="1"/>
      <c r="N89" s="1"/>
      <c r="O89" s="1"/>
      <c r="P89" s="1"/>
      <c r="Q89" s="1"/>
      <c r="R89" s="1"/>
    </row>
    <row r="90" spans="1:18" ht="13.5" customHeight="1">
      <c r="A90" s="619"/>
      <c r="B90" s="23"/>
      <c r="C90" s="250"/>
      <c r="D90" s="249"/>
      <c r="E90" s="249"/>
      <c r="F90" s="249"/>
      <c r="G90" s="249"/>
      <c r="H90" s="249"/>
      <c r="I90" s="249"/>
      <c r="J90" s="249"/>
      <c r="K90" s="249"/>
      <c r="L90" s="249"/>
      <c r="M90" s="249"/>
      <c r="N90" s="249"/>
      <c r="O90" s="249"/>
      <c r="P90" s="249"/>
      <c r="Q90" s="249"/>
      <c r="R90" s="375"/>
    </row>
    <row r="91" spans="1:18" ht="13.5" customHeight="1">
      <c r="A91" s="619"/>
      <c r="B91" s="253"/>
      <c r="C91" s="493" t="s">
        <v>706</v>
      </c>
      <c r="D91" s="258"/>
      <c r="E91" s="258"/>
      <c r="F91" s="258"/>
      <c r="G91" s="258"/>
      <c r="H91" s="258"/>
      <c r="I91" s="258"/>
      <c r="J91" s="258"/>
      <c r="K91" s="258"/>
      <c r="L91" s="258"/>
      <c r="M91" s="258"/>
      <c r="N91" s="258"/>
      <c r="O91" s="258"/>
      <c r="P91" s="258"/>
      <c r="Q91" s="258"/>
      <c r="R91" s="377"/>
    </row>
    <row r="92" spans="1:18" ht="13.5" customHeight="1">
      <c r="A92" s="619"/>
      <c r="B92" s="253"/>
      <c r="C92" s="281"/>
      <c r="D92" s="376"/>
      <c r="E92" s="376"/>
      <c r="F92" s="376"/>
      <c r="G92" s="376"/>
      <c r="H92" s="376"/>
      <c r="I92" s="376"/>
      <c r="J92" s="376"/>
      <c r="K92" s="376"/>
      <c r="L92" s="376"/>
      <c r="M92" s="376"/>
      <c r="N92" s="376"/>
      <c r="O92" s="376"/>
      <c r="P92" s="376"/>
      <c r="Q92" s="376"/>
      <c r="R92" s="377"/>
    </row>
    <row r="93" spans="1:18" ht="13.5" customHeight="1">
      <c r="A93" s="619"/>
      <c r="B93" s="253"/>
      <c r="C93" s="259"/>
      <c r="D93" s="376"/>
      <c r="E93" s="376"/>
      <c r="F93" s="376"/>
      <c r="G93" s="376"/>
      <c r="H93" s="376"/>
      <c r="I93" s="376"/>
      <c r="J93" s="376"/>
      <c r="K93" s="376"/>
      <c r="L93" s="376"/>
      <c r="M93" s="376"/>
      <c r="N93" s="376"/>
      <c r="O93" s="376"/>
      <c r="P93" s="376"/>
      <c r="Q93" s="376"/>
      <c r="R93" s="377"/>
    </row>
    <row r="94" spans="1:18" ht="13.5" customHeight="1">
      <c r="A94" s="619"/>
      <c r="B94" s="253"/>
      <c r="C94" s="259"/>
      <c r="D94" s="376"/>
      <c r="E94" s="376"/>
      <c r="F94" s="376"/>
      <c r="G94" s="376"/>
      <c r="H94" s="376"/>
      <c r="I94" s="376"/>
      <c r="J94" s="376"/>
      <c r="K94" s="376"/>
      <c r="L94" s="376"/>
      <c r="M94" s="376"/>
      <c r="N94" s="376"/>
      <c r="O94" s="376"/>
      <c r="P94" s="376"/>
      <c r="Q94" s="376"/>
      <c r="R94" s="377"/>
    </row>
    <row r="95" spans="1:18" ht="13.5" customHeight="1">
      <c r="A95" s="619"/>
      <c r="B95" s="253"/>
      <c r="C95" s="259"/>
      <c r="D95" s="376"/>
      <c r="E95" s="376"/>
      <c r="F95" s="376"/>
      <c r="G95" s="376"/>
      <c r="H95" s="376"/>
      <c r="I95" s="376"/>
      <c r="J95" s="376"/>
      <c r="K95" s="376"/>
      <c r="L95" s="376"/>
      <c r="M95" s="376"/>
      <c r="N95" s="376"/>
      <c r="O95" s="376"/>
      <c r="P95" s="376"/>
      <c r="Q95" s="376"/>
      <c r="R95" s="377"/>
    </row>
    <row r="96" spans="1:18" ht="13.5" customHeight="1">
      <c r="A96" s="619"/>
      <c r="B96" s="253"/>
      <c r="C96" s="259"/>
      <c r="D96" s="376"/>
      <c r="E96" s="376"/>
      <c r="F96" s="376"/>
      <c r="G96" s="376"/>
      <c r="H96" s="376"/>
      <c r="I96" s="376"/>
      <c r="J96" s="376"/>
      <c r="K96" s="376"/>
      <c r="L96" s="376"/>
      <c r="M96" s="376"/>
      <c r="N96" s="376"/>
      <c r="O96" s="376"/>
      <c r="P96" s="376"/>
      <c r="Q96" s="376"/>
      <c r="R96" s="377"/>
    </row>
    <row r="97" spans="1:18" ht="13.5" customHeight="1">
      <c r="A97" s="619"/>
      <c r="B97" s="253"/>
      <c r="C97" s="259"/>
      <c r="D97" s="376"/>
      <c r="E97" s="376"/>
      <c r="F97" s="376"/>
      <c r="G97" s="376"/>
      <c r="H97" s="376"/>
      <c r="I97" s="376"/>
      <c r="J97" s="376"/>
      <c r="K97" s="376"/>
      <c r="L97" s="376"/>
      <c r="M97" s="376"/>
      <c r="N97" s="376"/>
      <c r="O97" s="376"/>
      <c r="P97" s="376"/>
      <c r="Q97" s="376"/>
      <c r="R97" s="377"/>
    </row>
    <row r="98" spans="1:18" ht="13.5" customHeight="1">
      <c r="A98" s="619"/>
      <c r="B98" s="253"/>
      <c r="C98" s="259"/>
      <c r="D98" s="376"/>
      <c r="E98" s="376"/>
      <c r="F98" s="376"/>
      <c r="G98" s="376"/>
      <c r="H98" s="376"/>
      <c r="I98" s="376"/>
      <c r="J98" s="376"/>
      <c r="K98" s="376"/>
      <c r="L98" s="376"/>
      <c r="M98" s="376"/>
      <c r="N98" s="376"/>
      <c r="O98" s="376"/>
      <c r="P98" s="376"/>
      <c r="Q98" s="376"/>
      <c r="R98" s="377"/>
    </row>
    <row r="99" spans="1:18" ht="13.5" customHeight="1">
      <c r="A99" s="619"/>
      <c r="B99" s="253"/>
      <c r="C99" s="130"/>
      <c r="D99" s="494"/>
      <c r="E99" s="494"/>
      <c r="F99" s="494"/>
      <c r="G99" s="494"/>
      <c r="H99" s="494"/>
      <c r="I99" s="494"/>
      <c r="J99" s="494"/>
      <c r="K99" s="494"/>
      <c r="L99" s="376"/>
      <c r="M99" s="376"/>
      <c r="N99" s="376"/>
      <c r="O99" s="376"/>
      <c r="P99" s="376"/>
      <c r="Q99" s="376"/>
      <c r="R99" s="377"/>
    </row>
    <row r="100" spans="1:18" ht="13.5" customHeight="1">
      <c r="A100" s="619"/>
      <c r="B100" s="253"/>
      <c r="C100" s="281"/>
      <c r="D100" s="376"/>
      <c r="E100" s="376"/>
      <c r="F100" s="376"/>
      <c r="G100" s="376"/>
      <c r="H100" s="376"/>
      <c r="I100" s="376"/>
      <c r="J100" s="376"/>
      <c r="K100" s="376"/>
      <c r="L100" s="376"/>
      <c r="M100" s="376"/>
      <c r="N100" s="376"/>
      <c r="O100" s="376"/>
      <c r="P100" s="376"/>
      <c r="Q100" s="376"/>
      <c r="R100" s="377"/>
    </row>
    <row r="101" spans="1:18" ht="13.5" customHeight="1">
      <c r="A101" s="619"/>
      <c r="B101" s="253"/>
      <c r="C101" s="281"/>
      <c r="D101" s="376"/>
      <c r="E101" s="376"/>
      <c r="F101" s="376"/>
      <c r="G101" s="376"/>
      <c r="H101" s="376"/>
      <c r="I101" s="376"/>
      <c r="J101" s="376"/>
      <c r="K101" s="376"/>
      <c r="L101" s="376"/>
      <c r="M101" s="376"/>
      <c r="N101" s="376"/>
      <c r="O101" s="376"/>
      <c r="P101" s="376"/>
      <c r="Q101" s="376"/>
      <c r="R101" s="377"/>
    </row>
    <row r="102" spans="1:18" ht="13.5" customHeight="1">
      <c r="A102" s="619"/>
      <c r="B102" s="253"/>
      <c r="C102" s="281"/>
      <c r="D102" s="376"/>
      <c r="E102" s="376"/>
      <c r="F102" s="376"/>
      <c r="G102" s="376"/>
      <c r="H102" s="376"/>
      <c r="I102" s="376"/>
      <c r="J102" s="376"/>
      <c r="K102" s="376"/>
      <c r="L102" s="376"/>
      <c r="M102" s="376"/>
      <c r="N102" s="376"/>
      <c r="O102" s="376"/>
      <c r="P102" s="376"/>
      <c r="Q102" s="376"/>
      <c r="R102" s="377"/>
    </row>
    <row r="103" spans="1:18" ht="13.5" customHeight="1">
      <c r="A103" s="619"/>
      <c r="B103" s="253"/>
      <c r="C103" s="259"/>
      <c r="D103" s="387"/>
      <c r="E103" s="387"/>
      <c r="F103" s="387"/>
      <c r="G103" s="387"/>
      <c r="H103" s="387"/>
      <c r="I103" s="387"/>
      <c r="J103" s="387"/>
      <c r="K103" s="387"/>
      <c r="L103" s="376"/>
      <c r="M103" s="376"/>
      <c r="N103" s="376"/>
      <c r="O103" s="376"/>
      <c r="P103" s="376"/>
      <c r="Q103" s="376"/>
      <c r="R103" s="377"/>
    </row>
    <row r="104" spans="1:18" ht="13.5" customHeight="1">
      <c r="A104" s="619"/>
      <c r="B104" s="253"/>
      <c r="C104" s="259"/>
      <c r="D104" s="387"/>
      <c r="E104" s="387"/>
      <c r="F104" s="387"/>
      <c r="G104" s="387"/>
      <c r="H104" s="387"/>
      <c r="I104" s="387"/>
      <c r="J104" s="387"/>
      <c r="K104" s="387"/>
      <c r="L104" s="376"/>
      <c r="M104" s="376"/>
      <c r="N104" s="376"/>
      <c r="O104" s="376"/>
      <c r="P104" s="376"/>
      <c r="Q104" s="376"/>
      <c r="R104" s="377"/>
    </row>
    <row r="105" spans="1:18" ht="13.5" customHeight="1">
      <c r="A105" s="619"/>
      <c r="B105" s="253"/>
      <c r="C105" s="259"/>
      <c r="D105" s="387"/>
      <c r="E105" s="387"/>
      <c r="F105" s="387"/>
      <c r="G105" s="387"/>
      <c r="H105" s="387"/>
      <c r="I105" s="387"/>
      <c r="J105" s="387"/>
      <c r="K105" s="387"/>
      <c r="L105" s="376"/>
      <c r="M105" s="376"/>
      <c r="N105" s="376"/>
      <c r="O105" s="376"/>
      <c r="P105" s="376"/>
      <c r="Q105" s="376"/>
      <c r="R105" s="377"/>
    </row>
    <row r="106" spans="1:18" ht="13.5" customHeight="1">
      <c r="A106" s="619"/>
      <c r="B106" s="253"/>
      <c r="C106" s="259"/>
      <c r="D106" s="387"/>
      <c r="E106" s="387"/>
      <c r="F106" s="387"/>
      <c r="G106" s="387"/>
      <c r="H106" s="387"/>
      <c r="I106" s="387"/>
      <c r="J106" s="387"/>
      <c r="K106" s="387"/>
      <c r="L106" s="376"/>
      <c r="M106" s="376"/>
      <c r="N106" s="376"/>
      <c r="O106" s="376"/>
      <c r="P106" s="376"/>
      <c r="Q106" s="376"/>
      <c r="R106" s="377"/>
    </row>
    <row r="107" spans="1:18" ht="13.5" customHeight="1">
      <c r="A107" s="619"/>
      <c r="B107" s="253"/>
      <c r="C107" s="259"/>
      <c r="D107" s="387"/>
      <c r="E107" s="387"/>
      <c r="F107" s="387"/>
      <c r="G107" s="387"/>
      <c r="H107" s="387"/>
      <c r="I107" s="387"/>
      <c r="J107" s="387"/>
      <c r="K107" s="387"/>
      <c r="L107" s="376"/>
      <c r="M107" s="376"/>
      <c r="N107" s="376"/>
      <c r="O107" s="376"/>
      <c r="P107" s="376"/>
      <c r="Q107" s="376"/>
      <c r="R107" s="377"/>
    </row>
    <row r="108" spans="1:18" ht="13.5" customHeight="1">
      <c r="A108" s="619"/>
      <c r="B108" s="253"/>
      <c r="C108" s="259"/>
      <c r="D108" s="387"/>
      <c r="E108" s="387"/>
      <c r="F108" s="387"/>
      <c r="G108" s="387"/>
      <c r="H108" s="387"/>
      <c r="I108" s="387"/>
      <c r="J108" s="387"/>
      <c r="K108" s="387"/>
      <c r="L108" s="376"/>
      <c r="M108" s="376"/>
      <c r="N108" s="376"/>
      <c r="O108" s="376"/>
      <c r="P108" s="376"/>
      <c r="Q108" s="376"/>
      <c r="R108" s="377"/>
    </row>
    <row r="109" spans="1:18" ht="13.5" customHeight="1">
      <c r="A109" s="619"/>
      <c r="B109" s="253"/>
      <c r="C109" s="130"/>
      <c r="D109" s="497"/>
      <c r="E109" s="497"/>
      <c r="F109" s="497"/>
      <c r="G109" s="497"/>
      <c r="H109" s="497"/>
      <c r="I109" s="497"/>
      <c r="J109" s="497"/>
      <c r="K109" s="497"/>
      <c r="L109" s="376"/>
      <c r="M109" s="376"/>
      <c r="N109" s="376"/>
      <c r="O109" s="376"/>
      <c r="P109" s="376"/>
      <c r="Q109" s="376"/>
      <c r="R109" s="377"/>
    </row>
    <row r="110" spans="1:18" ht="13.5" customHeight="1">
      <c r="A110" s="619"/>
      <c r="B110" s="294"/>
      <c r="C110" s="358"/>
      <c r="D110" s="295"/>
      <c r="E110" s="295"/>
      <c r="F110" s="295"/>
      <c r="G110" s="295"/>
      <c r="H110" s="295"/>
      <c r="I110" s="295"/>
      <c r="J110" s="295"/>
      <c r="K110" s="295"/>
      <c r="L110" s="295"/>
      <c r="M110" s="295"/>
      <c r="N110" s="295"/>
      <c r="O110" s="295"/>
      <c r="P110" s="295"/>
      <c r="Q110" s="295"/>
      <c r="R110" s="466"/>
    </row>
    <row r="111" spans="1:18" ht="13.5" customHeight="1">
      <c r="A111" s="1"/>
      <c r="B111" s="1"/>
      <c r="C111" s="1"/>
      <c r="D111" s="1"/>
      <c r="E111" s="1"/>
      <c r="F111" s="1"/>
      <c r="G111" s="1"/>
      <c r="H111" s="1"/>
      <c r="I111" s="1"/>
      <c r="J111" s="1"/>
      <c r="K111" s="1"/>
      <c r="L111" s="1"/>
      <c r="M111" s="1"/>
      <c r="N111" s="1"/>
      <c r="O111" s="1"/>
      <c r="P111" s="1"/>
      <c r="Q111" s="1"/>
      <c r="R111" s="1"/>
    </row>
    <row r="112" spans="1:18" ht="13.5" customHeight="1">
      <c r="A112" s="619"/>
      <c r="B112" s="61"/>
      <c r="C112" s="424"/>
      <c r="D112" s="423"/>
      <c r="E112" s="423"/>
      <c r="F112" s="423"/>
      <c r="G112" s="423"/>
      <c r="H112" s="423"/>
      <c r="I112" s="423"/>
      <c r="J112" s="423"/>
      <c r="K112" s="423"/>
      <c r="L112" s="423"/>
      <c r="M112" s="423"/>
      <c r="N112" s="423"/>
      <c r="O112" s="423"/>
      <c r="P112" s="423"/>
      <c r="Q112" s="423"/>
      <c r="R112" s="498"/>
    </row>
    <row r="113" spans="1:18" ht="13.5" customHeight="1">
      <c r="A113" s="619"/>
      <c r="B113" s="426"/>
      <c r="C113" s="427" t="s">
        <v>411</v>
      </c>
      <c r="D113" s="428"/>
      <c r="E113" s="428"/>
      <c r="F113" s="428"/>
      <c r="G113" s="428"/>
      <c r="H113" s="428"/>
      <c r="I113" s="428"/>
      <c r="J113" s="428"/>
      <c r="K113" s="428"/>
      <c r="L113" s="428"/>
      <c r="M113" s="428"/>
      <c r="N113" s="428"/>
      <c r="O113" s="428"/>
      <c r="P113" s="428"/>
      <c r="Q113" s="428"/>
      <c r="R113" s="499"/>
    </row>
    <row r="114" spans="1:18" ht="13.5" customHeight="1">
      <c r="A114" s="619"/>
      <c r="B114" s="426"/>
      <c r="C114" s="427"/>
      <c r="D114" s="428"/>
      <c r="E114" s="428"/>
      <c r="F114" s="428"/>
      <c r="G114" s="428"/>
      <c r="H114" s="428"/>
      <c r="I114" s="428"/>
      <c r="J114" s="428"/>
      <c r="K114" s="428"/>
      <c r="L114" s="428"/>
      <c r="M114" s="428"/>
      <c r="N114" s="428"/>
      <c r="O114" s="428"/>
      <c r="P114" s="428"/>
      <c r="Q114" s="428"/>
      <c r="R114" s="499"/>
    </row>
    <row r="115" spans="1:18" ht="13.5" customHeight="1">
      <c r="A115" s="619"/>
      <c r="B115" s="426"/>
      <c r="C115" s="427"/>
      <c r="D115" s="428"/>
      <c r="E115" s="428"/>
      <c r="F115" s="428"/>
      <c r="G115" s="428"/>
      <c r="H115" s="428"/>
      <c r="I115" s="428"/>
      <c r="J115" s="428"/>
      <c r="K115" s="428"/>
      <c r="L115" s="428"/>
      <c r="M115" s="428"/>
      <c r="N115" s="428"/>
      <c r="O115" s="428"/>
      <c r="P115" s="428"/>
      <c r="Q115" s="428"/>
      <c r="R115" s="499"/>
    </row>
    <row r="116" spans="1:18" ht="13.5" customHeight="1">
      <c r="A116" s="619"/>
      <c r="B116" s="426"/>
      <c r="C116" s="427"/>
      <c r="D116" s="428"/>
      <c r="E116" s="428"/>
      <c r="F116" s="428"/>
      <c r="G116" s="428"/>
      <c r="H116" s="428"/>
      <c r="I116" s="428"/>
      <c r="J116" s="428"/>
      <c r="K116" s="428"/>
      <c r="L116" s="428"/>
      <c r="M116" s="428"/>
      <c r="N116" s="428"/>
      <c r="O116" s="428"/>
      <c r="P116" s="428"/>
      <c r="Q116" s="428"/>
      <c r="R116" s="499"/>
    </row>
    <row r="117" spans="1:18" ht="13.5" customHeight="1">
      <c r="A117" s="619"/>
      <c r="B117" s="426"/>
      <c r="C117" s="427"/>
      <c r="D117" s="428"/>
      <c r="E117" s="428"/>
      <c r="F117" s="428"/>
      <c r="G117" s="428"/>
      <c r="H117" s="428"/>
      <c r="I117" s="428"/>
      <c r="J117" s="428"/>
      <c r="K117" s="428"/>
      <c r="L117" s="428"/>
      <c r="M117" s="428"/>
      <c r="N117" s="428"/>
      <c r="O117" s="428"/>
      <c r="P117" s="428"/>
      <c r="Q117" s="428"/>
      <c r="R117" s="499"/>
    </row>
    <row r="118" spans="1:18" ht="13.5" customHeight="1">
      <c r="A118" s="619"/>
      <c r="B118" s="426"/>
      <c r="C118" s="427"/>
      <c r="D118" s="428"/>
      <c r="E118" s="428"/>
      <c r="F118" s="428"/>
      <c r="G118" s="428"/>
      <c r="H118" s="428"/>
      <c r="I118" s="428"/>
      <c r="J118" s="428"/>
      <c r="K118" s="428"/>
      <c r="L118" s="428"/>
      <c r="M118" s="428"/>
      <c r="N118" s="428"/>
      <c r="O118" s="428"/>
      <c r="P118" s="428"/>
      <c r="Q118" s="428"/>
      <c r="R118" s="499"/>
    </row>
    <row r="119" spans="1:18" ht="13.5" customHeight="1">
      <c r="A119" s="619"/>
      <c r="B119" s="426"/>
      <c r="C119" s="427"/>
      <c r="D119" s="428"/>
      <c r="E119" s="428"/>
      <c r="F119" s="428"/>
      <c r="G119" s="428"/>
      <c r="H119" s="428"/>
      <c r="I119" s="428"/>
      <c r="J119" s="428"/>
      <c r="K119" s="428"/>
      <c r="L119" s="428"/>
      <c r="M119" s="428"/>
      <c r="N119" s="428"/>
      <c r="O119" s="428"/>
      <c r="P119" s="428"/>
      <c r="Q119" s="428"/>
      <c r="R119" s="499"/>
    </row>
    <row r="120" spans="1:18" ht="13.5" customHeight="1">
      <c r="A120" s="619"/>
      <c r="B120" s="426"/>
      <c r="C120" s="427"/>
      <c r="D120" s="428"/>
      <c r="E120" s="428"/>
      <c r="F120" s="428"/>
      <c r="G120" s="428"/>
      <c r="H120" s="428"/>
      <c r="I120" s="428"/>
      <c r="J120" s="428"/>
      <c r="K120" s="428"/>
      <c r="L120" s="428"/>
      <c r="M120" s="428"/>
      <c r="N120" s="428"/>
      <c r="O120" s="428"/>
      <c r="P120" s="428"/>
      <c r="Q120" s="428"/>
      <c r="R120" s="499"/>
    </row>
    <row r="121" spans="1:18" ht="13.5" customHeight="1">
      <c r="A121" s="619"/>
      <c r="B121" s="426"/>
      <c r="C121" s="427"/>
      <c r="D121" s="428"/>
      <c r="E121" s="428"/>
      <c r="F121" s="428"/>
      <c r="G121" s="428"/>
      <c r="H121" s="428"/>
      <c r="I121" s="428"/>
      <c r="J121" s="428"/>
      <c r="K121" s="428"/>
      <c r="L121" s="428"/>
      <c r="M121" s="428"/>
      <c r="N121" s="428"/>
      <c r="O121" s="428"/>
      <c r="P121" s="428"/>
      <c r="Q121" s="428"/>
      <c r="R121" s="499"/>
    </row>
    <row r="122" spans="1:18" ht="13.5" customHeight="1">
      <c r="A122" s="619"/>
      <c r="B122" s="426"/>
      <c r="C122" s="427"/>
      <c r="D122" s="428"/>
      <c r="E122" s="428"/>
      <c r="F122" s="428"/>
      <c r="G122" s="428"/>
      <c r="H122" s="428"/>
      <c r="I122" s="428"/>
      <c r="J122" s="428"/>
      <c r="K122" s="428"/>
      <c r="L122" s="428"/>
      <c r="M122" s="428"/>
      <c r="N122" s="428"/>
      <c r="O122" s="428"/>
      <c r="P122" s="428"/>
      <c r="Q122" s="428"/>
      <c r="R122" s="499"/>
    </row>
    <row r="123" spans="1:18" ht="13.5" customHeight="1">
      <c r="A123" s="619"/>
      <c r="B123" s="426"/>
      <c r="C123" s="427"/>
      <c r="D123" s="428"/>
      <c r="E123" s="428"/>
      <c r="F123" s="428"/>
      <c r="G123" s="428"/>
      <c r="H123" s="428"/>
      <c r="I123" s="428"/>
      <c r="J123" s="428"/>
      <c r="K123" s="428"/>
      <c r="L123" s="428"/>
      <c r="M123" s="428"/>
      <c r="N123" s="428"/>
      <c r="O123" s="428"/>
      <c r="P123" s="428"/>
      <c r="Q123" s="428"/>
      <c r="R123" s="499"/>
    </row>
    <row r="124" spans="1:18" ht="13.5" customHeight="1">
      <c r="A124" s="619"/>
      <c r="B124" s="426"/>
      <c r="C124" s="429"/>
      <c r="D124" s="428"/>
      <c r="E124" s="428"/>
      <c r="F124" s="428"/>
      <c r="G124" s="428"/>
      <c r="H124" s="428"/>
      <c r="I124" s="428"/>
      <c r="J124" s="428"/>
      <c r="K124" s="428"/>
      <c r="L124" s="428"/>
      <c r="M124" s="428"/>
      <c r="N124" s="428"/>
      <c r="O124" s="428"/>
      <c r="P124" s="428"/>
      <c r="Q124" s="428"/>
      <c r="R124" s="499"/>
    </row>
    <row r="125" spans="1:18" ht="13.5" customHeight="1">
      <c r="A125" s="619"/>
      <c r="B125" s="426"/>
      <c r="C125" s="430"/>
      <c r="D125" s="431"/>
      <c r="E125" s="431"/>
      <c r="F125" s="431"/>
      <c r="G125" s="431"/>
      <c r="H125" s="431"/>
      <c r="I125" s="431"/>
      <c r="J125" s="431"/>
      <c r="K125" s="431"/>
      <c r="L125" s="428"/>
      <c r="M125" s="428"/>
      <c r="N125" s="428"/>
      <c r="O125" s="428"/>
      <c r="P125" s="428"/>
      <c r="Q125" s="428"/>
      <c r="R125" s="499"/>
    </row>
    <row r="126" spans="1:18" ht="13.5" customHeight="1">
      <c r="A126" s="619"/>
      <c r="B126" s="426"/>
      <c r="C126" s="430"/>
      <c r="D126" s="431"/>
      <c r="E126" s="431"/>
      <c r="F126" s="431"/>
      <c r="G126" s="431"/>
      <c r="H126" s="431"/>
      <c r="I126" s="431"/>
      <c r="J126" s="431"/>
      <c r="K126" s="431"/>
      <c r="L126" s="428"/>
      <c r="M126" s="428"/>
      <c r="N126" s="428"/>
      <c r="O126" s="428"/>
      <c r="P126" s="428"/>
      <c r="Q126" s="428"/>
      <c r="R126" s="499"/>
    </row>
    <row r="127" spans="1:18" ht="13.5" customHeight="1">
      <c r="A127" s="619"/>
      <c r="B127" s="426"/>
      <c r="C127" s="430"/>
      <c r="D127" s="431"/>
      <c r="E127" s="431"/>
      <c r="F127" s="431"/>
      <c r="G127" s="431"/>
      <c r="H127" s="431"/>
      <c r="I127" s="431"/>
      <c r="J127" s="431"/>
      <c r="K127" s="431"/>
      <c r="L127" s="428"/>
      <c r="M127" s="428"/>
      <c r="N127" s="428"/>
      <c r="O127" s="428"/>
      <c r="P127" s="428"/>
      <c r="Q127" s="428"/>
      <c r="R127" s="499"/>
    </row>
    <row r="128" spans="1:18" ht="13.5" customHeight="1">
      <c r="A128" s="619"/>
      <c r="B128" s="426"/>
      <c r="C128" s="430"/>
      <c r="D128" s="431"/>
      <c r="E128" s="431"/>
      <c r="F128" s="431"/>
      <c r="G128" s="431"/>
      <c r="H128" s="431"/>
      <c r="I128" s="431"/>
      <c r="J128" s="431"/>
      <c r="K128" s="431"/>
      <c r="L128" s="428"/>
      <c r="M128" s="428"/>
      <c r="N128" s="428"/>
      <c r="O128" s="428"/>
      <c r="P128" s="428"/>
      <c r="Q128" s="428"/>
      <c r="R128" s="499"/>
    </row>
    <row r="129" spans="1:18" ht="13.5" customHeight="1">
      <c r="A129" s="619"/>
      <c r="B129" s="426"/>
      <c r="C129" s="430"/>
      <c r="D129" s="431"/>
      <c r="E129" s="431"/>
      <c r="F129" s="431"/>
      <c r="G129" s="431"/>
      <c r="H129" s="431"/>
      <c r="I129" s="431"/>
      <c r="J129" s="431"/>
      <c r="K129" s="431"/>
      <c r="L129" s="428"/>
      <c r="M129" s="428"/>
      <c r="N129" s="428"/>
      <c r="O129" s="428"/>
      <c r="P129" s="428"/>
      <c r="Q129" s="428"/>
      <c r="R129" s="499"/>
    </row>
    <row r="130" spans="1:18" ht="13.5" customHeight="1">
      <c r="A130" s="619"/>
      <c r="B130" s="426"/>
      <c r="C130" s="430"/>
      <c r="D130" s="431"/>
      <c r="E130" s="431"/>
      <c r="F130" s="431"/>
      <c r="G130" s="431"/>
      <c r="H130" s="431"/>
      <c r="I130" s="431"/>
      <c r="J130" s="431"/>
      <c r="K130" s="431"/>
      <c r="L130" s="428"/>
      <c r="M130" s="428"/>
      <c r="N130" s="428"/>
      <c r="O130" s="428"/>
      <c r="P130" s="428"/>
      <c r="Q130" s="428"/>
      <c r="R130" s="499"/>
    </row>
    <row r="131" spans="1:18" ht="13.5" customHeight="1">
      <c r="A131" s="619"/>
      <c r="B131" s="500"/>
      <c r="C131" s="501"/>
      <c r="D131" s="502"/>
      <c r="E131" s="502"/>
      <c r="F131" s="502"/>
      <c r="G131" s="502"/>
      <c r="H131" s="502"/>
      <c r="I131" s="502"/>
      <c r="J131" s="502"/>
      <c r="K131" s="502"/>
      <c r="L131" s="502"/>
      <c r="M131" s="502"/>
      <c r="N131" s="502"/>
      <c r="O131" s="502"/>
      <c r="P131" s="502"/>
      <c r="Q131" s="502"/>
      <c r="R131" s="503"/>
    </row>
    <row r="132" spans="1:18" ht="13.5" customHeight="1">
      <c r="A132" s="1"/>
      <c r="B132" s="1"/>
      <c r="C132" s="1"/>
      <c r="D132" s="1"/>
      <c r="E132" s="1"/>
      <c r="F132" s="1"/>
      <c r="G132" s="1"/>
      <c r="H132" s="1"/>
      <c r="I132" s="1"/>
      <c r="J132" s="1"/>
      <c r="K132" s="1"/>
      <c r="L132" s="1"/>
      <c r="M132" s="1"/>
      <c r="N132" s="1"/>
      <c r="O132" s="1"/>
      <c r="P132" s="1"/>
      <c r="Q132" s="1"/>
      <c r="R132" s="1"/>
    </row>
    <row r="133" spans="1:18" ht="13.5" customHeight="1">
      <c r="A133" s="619"/>
      <c r="B133" s="23"/>
      <c r="C133" s="250"/>
      <c r="D133" s="249"/>
      <c r="E133" s="249"/>
      <c r="F133" s="249"/>
      <c r="G133" s="249"/>
      <c r="H133" s="249"/>
      <c r="I133" s="249"/>
      <c r="J133" s="249"/>
      <c r="K133" s="249"/>
      <c r="L133" s="249"/>
      <c r="M133" s="249"/>
      <c r="N133" s="249"/>
      <c r="O133" s="249"/>
      <c r="P133" s="249"/>
      <c r="Q133" s="249"/>
      <c r="R133" s="375"/>
    </row>
    <row r="134" spans="1:18" ht="13.5" customHeight="1">
      <c r="A134" s="619"/>
      <c r="B134" s="253"/>
      <c r="C134" s="281"/>
      <c r="D134" s="376"/>
      <c r="E134" s="376"/>
      <c r="F134" s="376"/>
      <c r="G134" s="376"/>
      <c r="H134" s="376"/>
      <c r="I134" s="376"/>
      <c r="J134" s="376"/>
      <c r="K134" s="376"/>
      <c r="L134" s="376"/>
      <c r="M134" s="376"/>
      <c r="N134" s="376"/>
      <c r="O134" s="376"/>
      <c r="P134" s="376"/>
      <c r="Q134" s="376"/>
      <c r="R134" s="377"/>
    </row>
    <row r="135" spans="1:18" ht="13.5" customHeight="1">
      <c r="A135" s="619"/>
      <c r="B135" s="253"/>
      <c r="C135" s="281"/>
      <c r="D135" s="376"/>
      <c r="E135" s="376"/>
      <c r="F135" s="376"/>
      <c r="G135" s="376"/>
      <c r="H135" s="376"/>
      <c r="I135" s="376"/>
      <c r="J135" s="376"/>
      <c r="K135" s="376"/>
      <c r="L135" s="376"/>
      <c r="M135" s="376"/>
      <c r="N135" s="376"/>
      <c r="O135" s="376"/>
      <c r="P135" s="376"/>
      <c r="Q135" s="376"/>
      <c r="R135" s="377"/>
    </row>
    <row r="136" spans="1:18" ht="13.5" customHeight="1">
      <c r="A136" s="619"/>
      <c r="B136" s="253"/>
      <c r="C136" s="281"/>
      <c r="D136" s="376"/>
      <c r="E136" s="376"/>
      <c r="F136" s="376"/>
      <c r="G136" s="376"/>
      <c r="H136" s="376"/>
      <c r="I136" s="376"/>
      <c r="J136" s="376"/>
      <c r="K136" s="376"/>
      <c r="L136" s="376"/>
      <c r="M136" s="376"/>
      <c r="N136" s="376"/>
      <c r="O136" s="376"/>
      <c r="P136" s="376"/>
      <c r="Q136" s="376"/>
      <c r="R136" s="377"/>
    </row>
    <row r="137" spans="1:18" ht="13.5" customHeight="1">
      <c r="A137" s="619"/>
      <c r="B137" s="253"/>
      <c r="C137" s="281"/>
      <c r="D137" s="376"/>
      <c r="E137" s="376"/>
      <c r="F137" s="376"/>
      <c r="G137" s="376"/>
      <c r="H137" s="376"/>
      <c r="I137" s="376"/>
      <c r="J137" s="376"/>
      <c r="K137" s="376"/>
      <c r="L137" s="376"/>
      <c r="M137" s="376"/>
      <c r="N137" s="376"/>
      <c r="O137" s="376"/>
      <c r="P137" s="376"/>
      <c r="Q137" s="376"/>
      <c r="R137" s="377"/>
    </row>
    <row r="138" spans="1:18" ht="13.5" customHeight="1">
      <c r="A138" s="619"/>
      <c r="B138" s="253"/>
      <c r="C138" s="281"/>
      <c r="D138" s="376"/>
      <c r="E138" s="376"/>
      <c r="F138" s="376"/>
      <c r="G138" s="376"/>
      <c r="H138" s="376"/>
      <c r="I138" s="376"/>
      <c r="J138" s="376"/>
      <c r="K138" s="376"/>
      <c r="L138" s="376"/>
      <c r="M138" s="376"/>
      <c r="N138" s="376"/>
      <c r="O138" s="376"/>
      <c r="P138" s="376"/>
      <c r="Q138" s="376"/>
      <c r="R138" s="377"/>
    </row>
    <row r="139" spans="1:18" ht="13.5" customHeight="1">
      <c r="A139" s="619"/>
      <c r="B139" s="253"/>
      <c r="C139" s="281"/>
      <c r="D139" s="376"/>
      <c r="E139" s="376"/>
      <c r="F139" s="376"/>
      <c r="G139" s="376"/>
      <c r="H139" s="376"/>
      <c r="I139" s="376"/>
      <c r="J139" s="376"/>
      <c r="K139" s="376"/>
      <c r="L139" s="376"/>
      <c r="M139" s="376"/>
      <c r="N139" s="376"/>
      <c r="O139" s="376"/>
      <c r="P139" s="376"/>
      <c r="Q139" s="376"/>
      <c r="R139" s="377"/>
    </row>
    <row r="140" spans="1:18" ht="13.5" customHeight="1">
      <c r="A140" s="619"/>
      <c r="B140" s="253"/>
      <c r="C140" s="281"/>
      <c r="D140" s="376"/>
      <c r="E140" s="376"/>
      <c r="F140" s="376"/>
      <c r="G140" s="376"/>
      <c r="H140" s="376"/>
      <c r="I140" s="376"/>
      <c r="J140" s="376"/>
      <c r="K140" s="376"/>
      <c r="L140" s="376"/>
      <c r="M140" s="376"/>
      <c r="N140" s="376"/>
      <c r="O140" s="376"/>
      <c r="P140" s="376"/>
      <c r="Q140" s="376"/>
      <c r="R140" s="377"/>
    </row>
    <row r="141" spans="1:18" ht="13.5" customHeight="1">
      <c r="A141" s="619"/>
      <c r="B141" s="253"/>
      <c r="C141" s="281"/>
      <c r="D141" s="376"/>
      <c r="E141" s="376"/>
      <c r="F141" s="376"/>
      <c r="G141" s="376"/>
      <c r="H141" s="376"/>
      <c r="I141" s="376"/>
      <c r="J141" s="376"/>
      <c r="K141" s="376"/>
      <c r="L141" s="376"/>
      <c r="M141" s="376"/>
      <c r="N141" s="376"/>
      <c r="O141" s="376"/>
      <c r="P141" s="376"/>
      <c r="Q141" s="376"/>
      <c r="R141" s="377"/>
    </row>
    <row r="142" spans="1:18" ht="13.5" customHeight="1">
      <c r="A142" s="619"/>
      <c r="B142" s="253"/>
      <c r="C142" s="281"/>
      <c r="D142" s="376"/>
      <c r="E142" s="376"/>
      <c r="F142" s="376"/>
      <c r="G142" s="376"/>
      <c r="H142" s="376"/>
      <c r="I142" s="376"/>
      <c r="J142" s="376"/>
      <c r="K142" s="376"/>
      <c r="L142" s="376"/>
      <c r="M142" s="376"/>
      <c r="N142" s="376"/>
      <c r="O142" s="376"/>
      <c r="P142" s="376"/>
      <c r="Q142" s="376"/>
      <c r="R142" s="377"/>
    </row>
    <row r="143" spans="1:18" ht="13.5" customHeight="1">
      <c r="A143" s="619"/>
      <c r="B143" s="253"/>
      <c r="C143" s="259"/>
      <c r="D143" s="323"/>
      <c r="E143" s="323"/>
      <c r="F143" s="323"/>
      <c r="G143" s="323"/>
      <c r="H143" s="323"/>
      <c r="I143" s="323"/>
      <c r="J143" s="323"/>
      <c r="K143" s="323"/>
      <c r="L143" s="376"/>
      <c r="M143" s="376"/>
      <c r="N143" s="376"/>
      <c r="O143" s="376"/>
      <c r="P143" s="376"/>
      <c r="Q143" s="376"/>
      <c r="R143" s="377"/>
    </row>
    <row r="144" spans="1:18" ht="13.5" customHeight="1">
      <c r="A144" s="619"/>
      <c r="B144" s="253"/>
      <c r="C144" s="259"/>
      <c r="D144" s="323"/>
      <c r="E144" s="323"/>
      <c r="F144" s="323"/>
      <c r="G144" s="323"/>
      <c r="H144" s="323"/>
      <c r="I144" s="323"/>
      <c r="J144" s="323"/>
      <c r="K144" s="323"/>
      <c r="L144" s="376"/>
      <c r="M144" s="376"/>
      <c r="N144" s="376"/>
      <c r="O144" s="376"/>
      <c r="P144" s="376"/>
      <c r="Q144" s="376"/>
      <c r="R144" s="377"/>
    </row>
    <row r="145" spans="1:18" ht="13.5" customHeight="1">
      <c r="A145" s="619"/>
      <c r="B145" s="253"/>
      <c r="C145" s="130"/>
      <c r="D145" s="504"/>
      <c r="E145" s="504"/>
      <c r="F145" s="504"/>
      <c r="G145" s="504"/>
      <c r="H145" s="504"/>
      <c r="I145" s="504"/>
      <c r="J145" s="504"/>
      <c r="K145" s="504"/>
      <c r="L145" s="376"/>
      <c r="M145" s="376"/>
      <c r="N145" s="376"/>
      <c r="O145" s="376"/>
      <c r="P145" s="376"/>
      <c r="Q145" s="376"/>
      <c r="R145" s="377"/>
    </row>
    <row r="146" spans="1:18" ht="13.5" customHeight="1">
      <c r="A146" s="619"/>
      <c r="B146" s="253"/>
      <c r="C146" s="281"/>
      <c r="D146" s="376"/>
      <c r="E146" s="376"/>
      <c r="F146" s="376"/>
      <c r="G146" s="376"/>
      <c r="H146" s="376"/>
      <c r="I146" s="376"/>
      <c r="J146" s="376"/>
      <c r="K146" s="376"/>
      <c r="L146" s="376"/>
      <c r="M146" s="376"/>
      <c r="N146" s="376"/>
      <c r="O146" s="376"/>
      <c r="P146" s="376"/>
      <c r="Q146" s="376"/>
      <c r="R146" s="377"/>
    </row>
    <row r="147" spans="1:18" ht="13.5" customHeight="1">
      <c r="A147" s="619"/>
      <c r="B147" s="253"/>
      <c r="C147" s="281"/>
      <c r="D147" s="376"/>
      <c r="E147" s="376"/>
      <c r="F147" s="376"/>
      <c r="G147" s="376"/>
      <c r="H147" s="376"/>
      <c r="I147" s="376"/>
      <c r="J147" s="376"/>
      <c r="K147" s="376"/>
      <c r="L147" s="376"/>
      <c r="M147" s="376"/>
      <c r="N147" s="376"/>
      <c r="O147" s="376"/>
      <c r="P147" s="376"/>
      <c r="Q147" s="376"/>
      <c r="R147" s="377"/>
    </row>
    <row r="148" spans="1:18" ht="13.5" customHeight="1">
      <c r="A148" s="619"/>
      <c r="B148" s="253"/>
      <c r="C148" s="259"/>
      <c r="D148" s="323"/>
      <c r="E148" s="323"/>
      <c r="F148" s="323"/>
      <c r="G148" s="323"/>
      <c r="H148" s="323"/>
      <c r="I148" s="323"/>
      <c r="J148" s="323"/>
      <c r="K148" s="323"/>
      <c r="L148" s="376"/>
      <c r="M148" s="376"/>
      <c r="N148" s="376"/>
      <c r="O148" s="376"/>
      <c r="P148" s="376"/>
      <c r="Q148" s="376"/>
      <c r="R148" s="377"/>
    </row>
    <row r="149" spans="1:18" ht="13.5" customHeight="1">
      <c r="A149" s="619"/>
      <c r="B149" s="253"/>
      <c r="C149" s="259"/>
      <c r="D149" s="323"/>
      <c r="E149" s="323"/>
      <c r="F149" s="323"/>
      <c r="G149" s="323"/>
      <c r="H149" s="323"/>
      <c r="I149" s="323"/>
      <c r="J149" s="323"/>
      <c r="K149" s="323"/>
      <c r="L149" s="376"/>
      <c r="M149" s="376"/>
      <c r="N149" s="376"/>
      <c r="O149" s="376"/>
      <c r="P149" s="376"/>
      <c r="Q149" s="376"/>
      <c r="R149" s="377"/>
    </row>
    <row r="150" spans="1:18" ht="13.5" customHeight="1">
      <c r="A150" s="619"/>
      <c r="B150" s="253"/>
      <c r="C150" s="259"/>
      <c r="D150" s="323"/>
      <c r="E150" s="323"/>
      <c r="F150" s="323"/>
      <c r="G150" s="323"/>
      <c r="H150" s="323"/>
      <c r="I150" s="323"/>
      <c r="J150" s="323"/>
      <c r="K150" s="323"/>
      <c r="L150" s="376"/>
      <c r="M150" s="376"/>
      <c r="N150" s="376"/>
      <c r="O150" s="376"/>
      <c r="P150" s="376"/>
      <c r="Q150" s="376"/>
      <c r="R150" s="377"/>
    </row>
    <row r="151" spans="1:18" ht="13.5" customHeight="1">
      <c r="A151" s="619"/>
      <c r="B151" s="294"/>
      <c r="C151" s="358"/>
      <c r="D151" s="295"/>
      <c r="E151" s="295"/>
      <c r="F151" s="295"/>
      <c r="G151" s="295"/>
      <c r="H151" s="295"/>
      <c r="I151" s="295"/>
      <c r="J151" s="295"/>
      <c r="K151" s="295"/>
      <c r="L151" s="295"/>
      <c r="M151" s="295"/>
      <c r="N151" s="295"/>
      <c r="O151" s="295"/>
      <c r="P151" s="295"/>
      <c r="Q151" s="295"/>
      <c r="R151" s="466"/>
    </row>
    <row r="152" spans="1:18" ht="13.5" customHeight="1">
      <c r="A152" s="1"/>
      <c r="B152" s="1"/>
      <c r="C152" s="1"/>
      <c r="D152" s="1"/>
      <c r="E152" s="1"/>
      <c r="F152" s="1"/>
      <c r="G152" s="1"/>
      <c r="H152" s="1"/>
      <c r="I152" s="1"/>
      <c r="J152" s="1"/>
      <c r="K152" s="1"/>
      <c r="L152" s="1"/>
      <c r="M152" s="1"/>
      <c r="N152" s="1"/>
      <c r="O152" s="1"/>
      <c r="P152" s="1"/>
      <c r="Q152" s="1"/>
      <c r="R152" s="1"/>
    </row>
    <row r="153" spans="1:18" ht="13.5" customHeight="1">
      <c r="A153" s="1"/>
      <c r="B153" s="1"/>
      <c r="C153" s="15"/>
      <c r="D153" s="132"/>
      <c r="E153" s="132"/>
      <c r="F153" s="132"/>
      <c r="G153" s="132"/>
      <c r="H153" s="132"/>
      <c r="I153" s="132"/>
      <c r="J153" s="132"/>
      <c r="K153" s="132"/>
      <c r="L153" s="1"/>
      <c r="M153" s="1"/>
      <c r="N153" s="1"/>
      <c r="O153" s="1"/>
      <c r="P153" s="1"/>
      <c r="Q153" s="1"/>
      <c r="R153" s="1"/>
    </row>
    <row r="154" spans="1:18" ht="13.5" customHeight="1">
      <c r="A154" s="1"/>
      <c r="B154" s="1"/>
      <c r="C154" s="1"/>
      <c r="D154" s="1"/>
      <c r="E154" s="1"/>
      <c r="F154" s="1"/>
      <c r="G154" s="1"/>
      <c r="H154" s="1"/>
      <c r="I154" s="1"/>
      <c r="J154" s="1"/>
      <c r="K154" s="1"/>
      <c r="L154" s="1"/>
      <c r="M154" s="1"/>
      <c r="N154" s="1"/>
      <c r="O154" s="1"/>
      <c r="P154" s="1"/>
      <c r="Q154" s="1"/>
      <c r="R154" s="1"/>
    </row>
    <row r="155" spans="1:18" ht="13.5" customHeight="1">
      <c r="A155" s="619"/>
      <c r="B155" s="23"/>
      <c r="C155" s="250"/>
      <c r="D155" s="249"/>
      <c r="E155" s="249"/>
      <c r="F155" s="249"/>
      <c r="G155" s="249"/>
      <c r="H155" s="249"/>
      <c r="I155" s="249"/>
      <c r="J155" s="249"/>
      <c r="K155" s="249"/>
      <c r="L155" s="249"/>
      <c r="M155" s="249"/>
      <c r="N155" s="249"/>
      <c r="O155" s="249"/>
      <c r="P155" s="249"/>
      <c r="Q155" s="249"/>
      <c r="R155" s="375"/>
    </row>
    <row r="156" spans="1:18" ht="20.25" customHeight="1">
      <c r="A156" s="619"/>
      <c r="B156" s="253"/>
      <c r="C156" s="493" t="s">
        <v>724</v>
      </c>
      <c r="D156" s="258"/>
      <c r="E156" s="258"/>
      <c r="F156" s="258"/>
      <c r="G156" s="258"/>
      <c r="H156" s="258"/>
      <c r="I156" s="258"/>
      <c r="J156" s="258"/>
      <c r="K156" s="258"/>
      <c r="L156" s="258"/>
      <c r="M156" s="258"/>
      <c r="N156" s="258"/>
      <c r="O156" s="258"/>
      <c r="P156" s="258"/>
      <c r="Q156" s="258"/>
      <c r="R156" s="377"/>
    </row>
    <row r="157" spans="1:18" ht="13.5" customHeight="1">
      <c r="A157" s="619"/>
      <c r="B157" s="253"/>
      <c r="C157" s="259" t="s">
        <v>725</v>
      </c>
      <c r="D157" s="323" t="e">
        <f t="shared" ref="D157:G157" si="0">#REF!*#REF!</f>
        <v>#REF!</v>
      </c>
      <c r="E157" s="323" t="e">
        <f t="shared" si="0"/>
        <v>#REF!</v>
      </c>
      <c r="F157" s="323" t="e">
        <f t="shared" si="0"/>
        <v>#REF!</v>
      </c>
      <c r="G157" s="323" t="e">
        <f t="shared" si="0"/>
        <v>#REF!</v>
      </c>
      <c r="H157" s="323"/>
      <c r="I157" s="323"/>
      <c r="J157" s="323"/>
      <c r="K157" s="323"/>
      <c r="L157" s="376"/>
      <c r="M157" s="376"/>
      <c r="N157" s="376"/>
      <c r="O157" s="376"/>
      <c r="P157" s="376"/>
      <c r="Q157" s="376"/>
      <c r="R157" s="377"/>
    </row>
    <row r="158" spans="1:18" ht="13.5" customHeight="1">
      <c r="A158" s="619"/>
      <c r="B158" s="253"/>
      <c r="C158" s="281"/>
      <c r="D158" s="376"/>
      <c r="E158" s="376"/>
      <c r="F158" s="376"/>
      <c r="G158" s="376"/>
      <c r="H158" s="376"/>
      <c r="I158" s="376"/>
      <c r="J158" s="376"/>
      <c r="K158" s="376"/>
      <c r="L158" s="376"/>
      <c r="M158" s="376"/>
      <c r="N158" s="376"/>
      <c r="O158" s="376"/>
      <c r="P158" s="376"/>
      <c r="Q158" s="376"/>
      <c r="R158" s="377"/>
    </row>
    <row r="159" spans="1:18" ht="15.75" customHeight="1">
      <c r="A159" s="619"/>
      <c r="B159" s="253"/>
      <c r="C159" s="506" t="s">
        <v>726</v>
      </c>
      <c r="D159" s="522" t="e">
        <f t="shared" ref="D159:G159" si="1">D102/D157</f>
        <v>#REF!</v>
      </c>
      <c r="E159" s="522" t="e">
        <f t="shared" si="1"/>
        <v>#REF!</v>
      </c>
      <c r="F159" s="522" t="e">
        <f t="shared" si="1"/>
        <v>#REF!</v>
      </c>
      <c r="G159" s="522" t="e">
        <f t="shared" si="1"/>
        <v>#REF!</v>
      </c>
      <c r="H159" s="522"/>
      <c r="I159" s="522"/>
      <c r="J159" s="522"/>
      <c r="K159" s="522"/>
      <c r="L159" s="376"/>
      <c r="M159" s="376"/>
      <c r="N159" s="376"/>
      <c r="O159" s="376"/>
      <c r="P159" s="376"/>
      <c r="Q159" s="376"/>
      <c r="R159" s="377"/>
    </row>
    <row r="160" spans="1:18" ht="13.5" customHeight="1">
      <c r="A160" s="619"/>
      <c r="B160" s="253"/>
      <c r="C160" s="259"/>
      <c r="D160" s="387"/>
      <c r="E160" s="387"/>
      <c r="F160" s="387"/>
      <c r="G160" s="387"/>
      <c r="H160" s="387"/>
      <c r="I160" s="387"/>
      <c r="J160" s="387"/>
      <c r="K160" s="387"/>
      <c r="L160" s="376"/>
      <c r="M160" s="376"/>
      <c r="N160" s="376"/>
      <c r="O160" s="376"/>
      <c r="P160" s="376"/>
      <c r="Q160" s="376"/>
      <c r="R160" s="377"/>
    </row>
    <row r="161" spans="1:18" ht="13.5" customHeight="1">
      <c r="A161" s="619"/>
      <c r="B161" s="253"/>
      <c r="C161" s="259" t="s">
        <v>744</v>
      </c>
      <c r="D161" s="323" t="e">
        <f t="shared" ref="D161:D162" si="2">#REF!/1000</f>
        <v>#REF!</v>
      </c>
      <c r="E161" s="387"/>
      <c r="F161" s="387"/>
      <c r="G161" s="387"/>
      <c r="H161" s="387"/>
      <c r="I161" s="387"/>
      <c r="J161" s="387"/>
      <c r="K161" s="387"/>
      <c r="L161" s="376"/>
      <c r="M161" s="376"/>
      <c r="N161" s="376"/>
      <c r="O161" s="376"/>
      <c r="P161" s="376"/>
      <c r="Q161" s="376"/>
      <c r="R161" s="377"/>
    </row>
    <row r="162" spans="1:18" ht="13.5" customHeight="1">
      <c r="A162" s="619"/>
      <c r="B162" s="253"/>
      <c r="C162" s="259" t="s">
        <v>745</v>
      </c>
      <c r="D162" s="323" t="e">
        <f t="shared" si="2"/>
        <v>#REF!</v>
      </c>
      <c r="E162" s="387"/>
      <c r="F162" s="387"/>
      <c r="G162" s="387"/>
      <c r="H162" s="387"/>
      <c r="I162" s="387"/>
      <c r="J162" s="387"/>
      <c r="K162" s="387"/>
      <c r="L162" s="376"/>
      <c r="M162" s="376"/>
      <c r="N162" s="376"/>
      <c r="O162" s="376"/>
      <c r="P162" s="376"/>
      <c r="Q162" s="376"/>
      <c r="R162" s="377"/>
    </row>
    <row r="163" spans="1:18" ht="13.5" customHeight="1">
      <c r="A163" s="619"/>
      <c r="B163" s="253"/>
      <c r="C163" s="259"/>
      <c r="D163" s="387"/>
      <c r="E163" s="387"/>
      <c r="F163" s="387"/>
      <c r="G163" s="387"/>
      <c r="H163" s="387"/>
      <c r="I163" s="387"/>
      <c r="J163" s="387"/>
      <c r="K163" s="387"/>
      <c r="L163" s="376"/>
      <c r="M163" s="376"/>
      <c r="N163" s="376"/>
      <c r="O163" s="376"/>
      <c r="P163" s="376"/>
      <c r="Q163" s="376"/>
      <c r="R163" s="377"/>
    </row>
    <row r="164" spans="1:18" ht="15.75" customHeight="1">
      <c r="A164" s="619"/>
      <c r="B164" s="253"/>
      <c r="C164" s="506" t="s">
        <v>746</v>
      </c>
      <c r="D164" s="387" t="e">
        <f>D162/D161</f>
        <v>#REF!</v>
      </c>
      <c r="E164" s="387"/>
      <c r="F164" s="387"/>
      <c r="G164" s="387"/>
      <c r="H164" s="387"/>
      <c r="I164" s="387"/>
      <c r="J164" s="387"/>
      <c r="K164" s="387"/>
      <c r="L164" s="376"/>
      <c r="M164" s="376"/>
      <c r="N164" s="376"/>
      <c r="O164" s="376"/>
      <c r="P164" s="376"/>
      <c r="Q164" s="376"/>
      <c r="R164" s="377"/>
    </row>
    <row r="165" spans="1:18" ht="13.5" customHeight="1">
      <c r="A165" s="619"/>
      <c r="B165" s="294"/>
      <c r="C165" s="358"/>
      <c r="D165" s="295"/>
      <c r="E165" s="295"/>
      <c r="F165" s="295"/>
      <c r="G165" s="295"/>
      <c r="H165" s="295"/>
      <c r="I165" s="295"/>
      <c r="J165" s="295"/>
      <c r="K165" s="295"/>
      <c r="L165" s="295"/>
      <c r="M165" s="295"/>
      <c r="N165" s="295"/>
      <c r="O165" s="295"/>
      <c r="P165" s="295"/>
      <c r="Q165" s="295"/>
      <c r="R165" s="466"/>
    </row>
    <row r="166" spans="1:18" ht="13.5" customHeight="1">
      <c r="A166" s="1"/>
      <c r="B166" s="1"/>
      <c r="C166" s="1"/>
      <c r="D166" s="1"/>
      <c r="E166" s="1"/>
      <c r="F166" s="1"/>
      <c r="G166" s="1"/>
      <c r="H166" s="1"/>
      <c r="I166" s="1"/>
      <c r="J166" s="1"/>
      <c r="K166" s="1"/>
      <c r="L166" s="1"/>
      <c r="M166" s="1"/>
      <c r="N166" s="1"/>
      <c r="O166" s="1"/>
      <c r="P166" s="1"/>
      <c r="Q166" s="1"/>
      <c r="R166" s="1"/>
    </row>
    <row r="167" spans="1:18" ht="13.5" customHeight="1">
      <c r="A167" s="1"/>
      <c r="B167" s="1"/>
      <c r="C167" s="1"/>
      <c r="D167" s="1"/>
      <c r="E167" s="1"/>
      <c r="F167" s="1"/>
      <c r="G167" s="1"/>
      <c r="H167" s="1"/>
      <c r="I167" s="1"/>
      <c r="J167" s="1"/>
      <c r="K167" s="1"/>
      <c r="L167" s="1"/>
      <c r="M167" s="1"/>
      <c r="N167" s="1"/>
      <c r="O167" s="1"/>
      <c r="P167" s="1"/>
      <c r="Q167" s="1"/>
      <c r="R167" s="1"/>
    </row>
    <row r="168" spans="1:18" ht="13.5" customHeight="1">
      <c r="A168" s="1"/>
      <c r="B168" s="1"/>
      <c r="C168" s="1"/>
      <c r="D168" s="1"/>
      <c r="E168" s="1"/>
      <c r="F168" s="1"/>
      <c r="G168" s="1"/>
      <c r="H168" s="1"/>
      <c r="I168" s="1"/>
      <c r="J168" s="1"/>
      <c r="K168" s="1"/>
      <c r="L168" s="1"/>
      <c r="M168" s="1"/>
      <c r="N168" s="1"/>
      <c r="O168" s="1"/>
      <c r="P168" s="1"/>
      <c r="Q168" s="1"/>
      <c r="R168" s="1"/>
    </row>
    <row r="169" spans="1:18" ht="13.5" customHeight="1">
      <c r="A169" s="1"/>
      <c r="B169" s="1"/>
      <c r="C169" s="1"/>
      <c r="D169" s="1"/>
      <c r="E169" s="1"/>
      <c r="F169" s="1"/>
      <c r="G169" s="1"/>
      <c r="H169" s="1"/>
      <c r="I169" s="1"/>
      <c r="J169" s="1"/>
      <c r="K169" s="1"/>
      <c r="L169" s="1"/>
      <c r="M169" s="1"/>
      <c r="N169" s="1"/>
      <c r="O169" s="1"/>
      <c r="P169" s="1"/>
      <c r="Q169" s="1"/>
      <c r="R169" s="1"/>
    </row>
    <row r="170" spans="1:18" ht="13.5" customHeight="1">
      <c r="A170" s="1"/>
      <c r="B170" s="1"/>
      <c r="C170" s="1"/>
      <c r="D170" s="1"/>
      <c r="E170" s="1"/>
      <c r="F170" s="1"/>
      <c r="G170" s="1"/>
      <c r="H170" s="1"/>
      <c r="I170" s="1"/>
      <c r="J170" s="1"/>
      <c r="K170" s="1"/>
      <c r="L170" s="1"/>
      <c r="M170" s="1"/>
      <c r="N170" s="1"/>
      <c r="O170" s="1"/>
      <c r="P170" s="1"/>
      <c r="Q170" s="1"/>
      <c r="R170" s="1"/>
    </row>
    <row r="171" spans="1:18" ht="13.5" customHeight="1">
      <c r="A171" s="1"/>
      <c r="B171" s="1"/>
      <c r="C171" s="1"/>
      <c r="D171" s="1"/>
      <c r="E171" s="1"/>
      <c r="F171" s="1"/>
      <c r="G171" s="1"/>
      <c r="H171" s="1"/>
      <c r="I171" s="1"/>
      <c r="J171" s="1"/>
      <c r="K171" s="1"/>
      <c r="L171" s="1"/>
      <c r="M171" s="1"/>
      <c r="N171" s="1"/>
      <c r="O171" s="1"/>
      <c r="P171" s="1"/>
      <c r="Q171" s="1"/>
      <c r="R171" s="1"/>
    </row>
    <row r="172" spans="1:18" ht="13.5" customHeight="1">
      <c r="A172" s="1"/>
      <c r="B172" s="1"/>
      <c r="C172" s="1"/>
      <c r="D172" s="1"/>
      <c r="E172" s="1"/>
      <c r="F172" s="1"/>
      <c r="G172" s="1"/>
      <c r="H172" s="1"/>
      <c r="I172" s="1"/>
      <c r="J172" s="1"/>
      <c r="K172" s="1"/>
      <c r="L172" s="1"/>
      <c r="M172" s="1"/>
      <c r="N172" s="1"/>
      <c r="O172" s="1"/>
      <c r="P172" s="1"/>
      <c r="Q172" s="1"/>
      <c r="R172" s="1"/>
    </row>
    <row r="173" spans="1:18" ht="13.5" customHeight="1">
      <c r="A173" s="1"/>
      <c r="B173" s="1"/>
      <c r="C173" s="1"/>
      <c r="D173" s="1"/>
      <c r="E173" s="1"/>
      <c r="F173" s="1"/>
      <c r="G173" s="1"/>
      <c r="H173" s="1"/>
      <c r="I173" s="1"/>
      <c r="J173" s="1"/>
      <c r="K173" s="1"/>
      <c r="L173" s="1"/>
      <c r="M173" s="1"/>
      <c r="N173" s="1"/>
      <c r="O173" s="1"/>
      <c r="P173" s="1"/>
      <c r="Q173" s="1"/>
      <c r="R173" s="1"/>
    </row>
    <row r="174" spans="1:18" ht="13.5" customHeight="1">
      <c r="A174" s="1"/>
      <c r="B174" s="1"/>
      <c r="C174" s="1"/>
      <c r="D174" s="1"/>
      <c r="E174" s="1"/>
      <c r="F174" s="1"/>
      <c r="G174" s="1"/>
      <c r="H174" s="1"/>
      <c r="I174" s="1"/>
      <c r="J174" s="1"/>
      <c r="K174" s="1"/>
      <c r="L174" s="1"/>
      <c r="M174" s="1"/>
      <c r="N174" s="1"/>
      <c r="O174" s="1"/>
      <c r="P174" s="1"/>
      <c r="Q174" s="1"/>
      <c r="R174" s="1"/>
    </row>
    <row r="175" spans="1:18" ht="13.5" customHeight="1">
      <c r="A175" s="1"/>
      <c r="B175" s="1"/>
      <c r="C175" s="1"/>
      <c r="D175" s="1"/>
      <c r="E175" s="1"/>
      <c r="F175" s="1"/>
      <c r="G175" s="1"/>
      <c r="H175" s="1"/>
      <c r="I175" s="1"/>
      <c r="J175" s="1"/>
      <c r="K175" s="1"/>
      <c r="L175" s="1"/>
      <c r="M175" s="1"/>
      <c r="N175" s="1"/>
      <c r="O175" s="1"/>
      <c r="P175" s="1"/>
      <c r="Q175" s="1"/>
      <c r="R175" s="1"/>
    </row>
    <row r="176" spans="1:18" ht="13.5" customHeight="1">
      <c r="A176" s="1"/>
      <c r="B176" s="1"/>
      <c r="C176" s="1"/>
      <c r="D176" s="1"/>
      <c r="E176" s="1"/>
      <c r="F176" s="1"/>
      <c r="G176" s="1"/>
      <c r="H176" s="1"/>
      <c r="I176" s="1"/>
      <c r="J176" s="1"/>
      <c r="K176" s="1"/>
      <c r="L176" s="1"/>
      <c r="M176" s="1"/>
      <c r="N176" s="1"/>
      <c r="O176" s="1"/>
      <c r="P176" s="1"/>
      <c r="Q176" s="1"/>
      <c r="R176" s="1"/>
    </row>
    <row r="177" spans="1:18" ht="13.5" customHeight="1">
      <c r="A177" s="1"/>
      <c r="B177" s="1"/>
      <c r="C177" s="1"/>
      <c r="D177" s="1"/>
      <c r="E177" s="1"/>
      <c r="F177" s="1"/>
      <c r="G177" s="1"/>
      <c r="H177" s="1"/>
      <c r="I177" s="1"/>
      <c r="J177" s="1"/>
      <c r="K177" s="1"/>
      <c r="L177" s="1"/>
      <c r="M177" s="1"/>
      <c r="N177" s="1"/>
      <c r="O177" s="1"/>
      <c r="P177" s="1"/>
      <c r="Q177" s="1"/>
      <c r="R177" s="1"/>
    </row>
    <row r="178" spans="1:18" ht="13.5" customHeight="1">
      <c r="A178" s="1"/>
      <c r="B178" s="1"/>
      <c r="C178" s="1"/>
      <c r="D178" s="1"/>
      <c r="E178" s="1"/>
      <c r="F178" s="1"/>
      <c r="G178" s="1"/>
      <c r="H178" s="1"/>
      <c r="I178" s="1"/>
      <c r="J178" s="1"/>
      <c r="K178" s="1"/>
      <c r="L178" s="1"/>
      <c r="M178" s="1"/>
      <c r="N178" s="1"/>
      <c r="O178" s="1"/>
      <c r="P178" s="1"/>
      <c r="Q178" s="1"/>
      <c r="R178" s="1"/>
    </row>
    <row r="179" spans="1:18" ht="13.5" customHeight="1">
      <c r="A179" s="1"/>
      <c r="B179" s="1"/>
      <c r="C179" s="1"/>
      <c r="D179" s="1"/>
      <c r="E179" s="1"/>
      <c r="F179" s="1"/>
      <c r="G179" s="1"/>
      <c r="H179" s="1"/>
      <c r="I179" s="1"/>
      <c r="J179" s="1"/>
      <c r="K179" s="1"/>
      <c r="L179" s="1"/>
      <c r="M179" s="1"/>
      <c r="N179" s="1"/>
      <c r="O179" s="1"/>
      <c r="P179" s="1"/>
      <c r="Q179" s="1"/>
      <c r="R179" s="1"/>
    </row>
    <row r="180" spans="1:18" ht="13.5" customHeight="1">
      <c r="A180" s="1"/>
      <c r="B180" s="1"/>
      <c r="C180" s="1"/>
      <c r="D180" s="1"/>
      <c r="E180" s="1"/>
      <c r="F180" s="1"/>
      <c r="G180" s="1"/>
      <c r="H180" s="1"/>
      <c r="I180" s="1"/>
      <c r="J180" s="1"/>
      <c r="K180" s="1"/>
      <c r="L180" s="1"/>
      <c r="M180" s="1"/>
      <c r="N180" s="1"/>
      <c r="O180" s="1"/>
      <c r="P180" s="1"/>
      <c r="Q180" s="1"/>
      <c r="R180" s="1"/>
    </row>
    <row r="181" spans="1:18" ht="13.5" customHeight="1">
      <c r="A181" s="1"/>
      <c r="B181" s="1"/>
      <c r="C181" s="1"/>
      <c r="D181" s="1"/>
      <c r="E181" s="1"/>
      <c r="F181" s="1"/>
      <c r="G181" s="1"/>
      <c r="H181" s="1"/>
      <c r="I181" s="1"/>
      <c r="J181" s="1"/>
      <c r="K181" s="1"/>
      <c r="L181" s="1"/>
      <c r="M181" s="1"/>
      <c r="N181" s="1"/>
      <c r="O181" s="1"/>
      <c r="P181" s="1"/>
      <c r="Q181" s="1"/>
      <c r="R181" s="1"/>
    </row>
    <row r="182" spans="1:18" ht="13.5" customHeight="1">
      <c r="A182" s="1"/>
      <c r="B182" s="1"/>
      <c r="C182" s="1"/>
      <c r="D182" s="1"/>
      <c r="E182" s="1"/>
      <c r="F182" s="1"/>
      <c r="G182" s="1"/>
      <c r="H182" s="1"/>
      <c r="I182" s="1"/>
      <c r="J182" s="1"/>
      <c r="K182" s="1"/>
      <c r="L182" s="1"/>
      <c r="M182" s="1"/>
      <c r="N182" s="1"/>
      <c r="O182" s="1"/>
      <c r="P182" s="1"/>
      <c r="Q182" s="1"/>
      <c r="R182" s="1"/>
    </row>
    <row r="183" spans="1:18" ht="13.5" customHeight="1">
      <c r="A183" s="1"/>
      <c r="B183" s="1"/>
      <c r="C183" s="1"/>
      <c r="D183" s="1"/>
      <c r="E183" s="1"/>
      <c r="F183" s="1"/>
      <c r="G183" s="1"/>
      <c r="H183" s="1"/>
      <c r="I183" s="1"/>
      <c r="J183" s="1"/>
      <c r="K183" s="1"/>
      <c r="L183" s="1"/>
      <c r="M183" s="1"/>
      <c r="N183" s="1"/>
      <c r="O183" s="1"/>
      <c r="P183" s="1"/>
      <c r="Q183" s="1"/>
      <c r="R183" s="1"/>
    </row>
    <row r="184" spans="1:18" ht="13.5" customHeight="1">
      <c r="A184" s="1"/>
      <c r="B184" s="1"/>
      <c r="C184" s="1"/>
      <c r="D184" s="1"/>
      <c r="E184" s="1"/>
      <c r="F184" s="1"/>
      <c r="G184" s="1"/>
      <c r="H184" s="1"/>
      <c r="I184" s="1"/>
      <c r="J184" s="1"/>
      <c r="K184" s="1"/>
      <c r="L184" s="1"/>
      <c r="M184" s="1"/>
      <c r="N184" s="1"/>
      <c r="O184" s="1"/>
      <c r="P184" s="1"/>
      <c r="Q184" s="1"/>
      <c r="R184" s="1"/>
    </row>
    <row r="185" spans="1:18" ht="13.5" customHeight="1">
      <c r="A185" s="1"/>
      <c r="B185" s="1"/>
      <c r="C185" s="1"/>
      <c r="D185" s="1"/>
      <c r="E185" s="1"/>
      <c r="F185" s="1"/>
      <c r="G185" s="1"/>
      <c r="H185" s="1"/>
      <c r="I185" s="1"/>
      <c r="J185" s="1"/>
      <c r="K185" s="1"/>
      <c r="L185" s="1"/>
      <c r="M185" s="1"/>
      <c r="N185" s="1"/>
      <c r="O185" s="1"/>
      <c r="P185" s="1"/>
      <c r="Q185" s="1"/>
      <c r="R185" s="1"/>
    </row>
    <row r="186" spans="1:18" ht="13.5" customHeight="1">
      <c r="A186" s="1"/>
      <c r="B186" s="1"/>
      <c r="C186" s="1"/>
      <c r="D186" s="1"/>
      <c r="E186" s="1"/>
      <c r="F186" s="1"/>
      <c r="G186" s="1"/>
      <c r="H186" s="1"/>
      <c r="I186" s="1"/>
      <c r="J186" s="1"/>
      <c r="K186" s="1"/>
      <c r="L186" s="1"/>
      <c r="M186" s="1"/>
      <c r="N186" s="1"/>
      <c r="O186" s="1"/>
      <c r="P186" s="1"/>
      <c r="Q186" s="1"/>
      <c r="R186" s="1"/>
    </row>
    <row r="187" spans="1:18" ht="13.5" customHeight="1">
      <c r="A187" s="1"/>
      <c r="B187" s="1"/>
      <c r="C187" s="1"/>
      <c r="D187" s="1"/>
      <c r="E187" s="1"/>
      <c r="F187" s="1"/>
      <c r="G187" s="1"/>
      <c r="H187" s="1"/>
      <c r="I187" s="1"/>
      <c r="J187" s="1"/>
      <c r="K187" s="1"/>
      <c r="L187" s="1"/>
      <c r="M187" s="1"/>
      <c r="N187" s="1"/>
      <c r="O187" s="1"/>
      <c r="P187" s="1"/>
      <c r="Q187" s="1"/>
      <c r="R187" s="1"/>
    </row>
    <row r="188" spans="1:18" ht="13.5" customHeight="1">
      <c r="A188" s="1"/>
      <c r="B188" s="1"/>
      <c r="C188" s="1"/>
      <c r="D188" s="1"/>
      <c r="E188" s="1"/>
      <c r="F188" s="1"/>
      <c r="G188" s="1"/>
      <c r="H188" s="1"/>
      <c r="I188" s="1"/>
      <c r="J188" s="1"/>
      <c r="K188" s="1"/>
      <c r="L188" s="1"/>
      <c r="M188" s="1"/>
      <c r="N188" s="1"/>
      <c r="O188" s="1"/>
      <c r="P188" s="1"/>
      <c r="Q188" s="1"/>
      <c r="R188" s="1"/>
    </row>
    <row r="189" spans="1:18" ht="13.5" customHeight="1">
      <c r="A189" s="1"/>
      <c r="B189" s="1"/>
      <c r="C189" s="1"/>
      <c r="D189" s="1"/>
      <c r="E189" s="1"/>
      <c r="F189" s="1"/>
      <c r="G189" s="1"/>
      <c r="H189" s="1"/>
      <c r="I189" s="1"/>
      <c r="J189" s="1"/>
      <c r="K189" s="1"/>
      <c r="L189" s="1"/>
      <c r="M189" s="1"/>
      <c r="N189" s="1"/>
      <c r="O189" s="1"/>
      <c r="P189" s="1"/>
      <c r="Q189" s="1"/>
      <c r="R189" s="1"/>
    </row>
    <row r="190" spans="1:18" ht="13.5" customHeight="1">
      <c r="A190" s="1"/>
      <c r="B190" s="1"/>
      <c r="C190" s="1"/>
      <c r="D190" s="1"/>
      <c r="E190" s="1"/>
      <c r="F190" s="1"/>
      <c r="G190" s="1"/>
      <c r="H190" s="1"/>
      <c r="I190" s="1"/>
      <c r="J190" s="1"/>
      <c r="K190" s="1"/>
      <c r="L190" s="1"/>
      <c r="M190" s="1"/>
      <c r="N190" s="1"/>
      <c r="O190" s="1"/>
      <c r="P190" s="1"/>
      <c r="Q190" s="1"/>
      <c r="R190" s="1"/>
    </row>
    <row r="191" spans="1:18" ht="13.5" customHeight="1">
      <c r="A191" s="1"/>
      <c r="B191" s="1"/>
      <c r="C191" s="1"/>
      <c r="D191" s="1"/>
      <c r="E191" s="1"/>
      <c r="F191" s="1"/>
      <c r="G191" s="1"/>
      <c r="H191" s="1"/>
      <c r="I191" s="1"/>
      <c r="J191" s="1"/>
      <c r="K191" s="1"/>
      <c r="L191" s="1"/>
      <c r="M191" s="1"/>
      <c r="N191" s="1"/>
      <c r="O191" s="1"/>
      <c r="P191" s="1"/>
      <c r="Q191" s="1"/>
      <c r="R191" s="1"/>
    </row>
    <row r="192" spans="1:18" ht="13.5" customHeight="1">
      <c r="A192" s="1"/>
      <c r="B192" s="1"/>
      <c r="C192" s="1"/>
      <c r="D192" s="1"/>
      <c r="E192" s="1"/>
      <c r="F192" s="1"/>
      <c r="G192" s="1"/>
      <c r="H192" s="1"/>
      <c r="I192" s="1"/>
      <c r="J192" s="1"/>
      <c r="K192" s="1"/>
      <c r="L192" s="1"/>
      <c r="M192" s="1"/>
      <c r="N192" s="1"/>
      <c r="O192" s="1"/>
      <c r="P192" s="1"/>
      <c r="Q192" s="1"/>
      <c r="R192" s="1"/>
    </row>
    <row r="193" spans="1:18" ht="13.5" customHeight="1">
      <c r="A193" s="1"/>
      <c r="B193" s="1"/>
      <c r="C193" s="1"/>
      <c r="D193" s="1"/>
      <c r="E193" s="1"/>
      <c r="F193" s="1"/>
      <c r="G193" s="1"/>
      <c r="H193" s="1"/>
      <c r="I193" s="1"/>
      <c r="J193" s="1"/>
      <c r="K193" s="1"/>
      <c r="L193" s="1"/>
      <c r="M193" s="1"/>
      <c r="N193" s="1"/>
      <c r="O193" s="1"/>
      <c r="P193" s="1"/>
      <c r="Q193" s="1"/>
      <c r="R193" s="1"/>
    </row>
    <row r="194" spans="1:18" ht="13.5" customHeight="1">
      <c r="A194" s="1"/>
      <c r="B194" s="1"/>
      <c r="C194" s="1"/>
      <c r="D194" s="1"/>
      <c r="E194" s="1"/>
      <c r="F194" s="1"/>
      <c r="G194" s="1"/>
      <c r="H194" s="1"/>
      <c r="I194" s="1"/>
      <c r="J194" s="1"/>
      <c r="K194" s="1"/>
      <c r="L194" s="1"/>
      <c r="M194" s="1"/>
      <c r="N194" s="1"/>
      <c r="O194" s="1"/>
      <c r="P194" s="1"/>
      <c r="Q194" s="1"/>
      <c r="R194" s="1"/>
    </row>
    <row r="195" spans="1:18" ht="13.5" customHeight="1">
      <c r="A195" s="1"/>
      <c r="B195" s="1"/>
      <c r="C195" s="1"/>
      <c r="D195" s="1"/>
      <c r="E195" s="1"/>
      <c r="F195" s="1"/>
      <c r="G195" s="1"/>
      <c r="H195" s="1"/>
      <c r="I195" s="1"/>
      <c r="J195" s="1"/>
      <c r="K195" s="1"/>
      <c r="L195" s="1"/>
      <c r="M195" s="1"/>
      <c r="N195" s="1"/>
      <c r="O195" s="1"/>
      <c r="P195" s="1"/>
      <c r="Q195" s="1"/>
      <c r="R195" s="1"/>
    </row>
    <row r="196" spans="1:18" ht="13.5" customHeight="1">
      <c r="A196" s="1"/>
      <c r="B196" s="1"/>
      <c r="C196" s="1"/>
      <c r="D196" s="1"/>
      <c r="E196" s="1"/>
      <c r="F196" s="1"/>
      <c r="G196" s="1"/>
      <c r="H196" s="1"/>
      <c r="I196" s="1"/>
      <c r="J196" s="1"/>
      <c r="K196" s="1"/>
      <c r="L196" s="1"/>
      <c r="M196" s="1"/>
      <c r="N196" s="1"/>
      <c r="O196" s="1"/>
      <c r="P196" s="1"/>
      <c r="Q196" s="1"/>
      <c r="R196" s="1"/>
    </row>
    <row r="197" spans="1:18" ht="13.5" customHeight="1">
      <c r="A197" s="1"/>
      <c r="B197" s="1"/>
      <c r="C197" s="1"/>
      <c r="D197" s="1"/>
      <c r="E197" s="1"/>
      <c r="F197" s="1"/>
      <c r="G197" s="1"/>
      <c r="H197" s="1"/>
      <c r="I197" s="1"/>
      <c r="J197" s="1"/>
      <c r="K197" s="1"/>
      <c r="L197" s="1"/>
      <c r="M197" s="1"/>
      <c r="N197" s="1"/>
      <c r="O197" s="1"/>
      <c r="P197" s="1"/>
      <c r="Q197" s="1"/>
      <c r="R197" s="1"/>
    </row>
    <row r="198" spans="1:18" ht="13.5" customHeight="1">
      <c r="A198" s="1"/>
      <c r="B198" s="1"/>
      <c r="C198" s="1"/>
      <c r="D198" s="1"/>
      <c r="E198" s="1"/>
      <c r="F198" s="1"/>
      <c r="G198" s="1"/>
      <c r="H198" s="1"/>
      <c r="I198" s="1"/>
      <c r="J198" s="1"/>
      <c r="K198" s="1"/>
      <c r="L198" s="1"/>
      <c r="M198" s="1"/>
      <c r="N198" s="1"/>
      <c r="O198" s="1"/>
      <c r="P198" s="1"/>
      <c r="Q198" s="1"/>
      <c r="R198" s="1"/>
    </row>
    <row r="199" spans="1:18" ht="13.5" customHeight="1">
      <c r="A199" s="1"/>
      <c r="B199" s="1"/>
      <c r="C199" s="1"/>
      <c r="D199" s="1"/>
      <c r="E199" s="1"/>
      <c r="F199" s="1"/>
      <c r="G199" s="1"/>
      <c r="H199" s="1"/>
      <c r="I199" s="1"/>
      <c r="J199" s="1"/>
      <c r="K199" s="1"/>
      <c r="L199" s="1"/>
      <c r="M199" s="1"/>
      <c r="N199" s="1"/>
      <c r="O199" s="1"/>
      <c r="P199" s="1"/>
      <c r="Q199" s="1"/>
      <c r="R199" s="1"/>
    </row>
    <row r="200" spans="1:18" ht="13.5" customHeight="1">
      <c r="A200" s="1"/>
      <c r="B200" s="1"/>
      <c r="C200" s="1"/>
      <c r="D200" s="1"/>
      <c r="E200" s="1"/>
      <c r="F200" s="1"/>
      <c r="G200" s="1"/>
      <c r="H200" s="1"/>
      <c r="I200" s="1"/>
      <c r="J200" s="1"/>
      <c r="K200" s="1"/>
      <c r="L200" s="1"/>
      <c r="M200" s="1"/>
      <c r="N200" s="1"/>
      <c r="O200" s="1"/>
      <c r="P200" s="1"/>
      <c r="Q200" s="1"/>
      <c r="R200" s="1"/>
    </row>
    <row r="201" spans="1:18" ht="13.5" customHeight="1">
      <c r="A201" s="1"/>
      <c r="B201" s="1"/>
      <c r="C201" s="1"/>
      <c r="D201" s="1"/>
      <c r="E201" s="1"/>
      <c r="F201" s="1"/>
      <c r="G201" s="1"/>
      <c r="H201" s="1"/>
      <c r="I201" s="1"/>
      <c r="J201" s="1"/>
      <c r="K201" s="1"/>
      <c r="L201" s="1"/>
      <c r="M201" s="1"/>
      <c r="N201" s="1"/>
      <c r="O201" s="1"/>
      <c r="P201" s="1"/>
      <c r="Q201" s="1"/>
      <c r="R201" s="1"/>
    </row>
    <row r="202" spans="1:18" ht="13.5" customHeight="1">
      <c r="A202" s="1"/>
      <c r="B202" s="1"/>
      <c r="C202" s="1"/>
      <c r="D202" s="1"/>
      <c r="E202" s="1"/>
      <c r="F202" s="1"/>
      <c r="G202" s="1"/>
      <c r="H202" s="1"/>
      <c r="I202" s="1"/>
      <c r="J202" s="1"/>
      <c r="K202" s="1"/>
      <c r="L202" s="1"/>
      <c r="M202" s="1"/>
      <c r="N202" s="1"/>
      <c r="O202" s="1"/>
      <c r="P202" s="1"/>
      <c r="Q202" s="1"/>
      <c r="R202" s="1"/>
    </row>
    <row r="203" spans="1:18" ht="13.5" customHeight="1">
      <c r="A203" s="1"/>
      <c r="B203" s="1"/>
      <c r="C203" s="1"/>
      <c r="D203" s="1"/>
      <c r="E203" s="1"/>
      <c r="F203" s="1"/>
      <c r="G203" s="1"/>
      <c r="H203" s="1"/>
      <c r="I203" s="1"/>
      <c r="J203" s="1"/>
      <c r="K203" s="1"/>
      <c r="L203" s="1"/>
      <c r="M203" s="1"/>
      <c r="N203" s="1"/>
      <c r="O203" s="1"/>
      <c r="P203" s="1"/>
      <c r="Q203" s="1"/>
      <c r="R203" s="1"/>
    </row>
    <row r="204" spans="1:18" ht="13.5" customHeight="1">
      <c r="A204" s="1"/>
      <c r="B204" s="1"/>
      <c r="C204" s="1"/>
      <c r="D204" s="1"/>
      <c r="E204" s="1"/>
      <c r="F204" s="1"/>
      <c r="G204" s="1"/>
      <c r="H204" s="1"/>
      <c r="I204" s="1"/>
      <c r="J204" s="1"/>
      <c r="K204" s="1"/>
      <c r="L204" s="1"/>
      <c r="M204" s="1"/>
      <c r="N204" s="1"/>
      <c r="O204" s="1"/>
      <c r="P204" s="1"/>
      <c r="Q204" s="1"/>
      <c r="R204" s="1"/>
    </row>
    <row r="205" spans="1:18" ht="13.5" customHeight="1">
      <c r="A205" s="1"/>
      <c r="B205" s="1"/>
      <c r="C205" s="1"/>
      <c r="D205" s="1"/>
      <c r="E205" s="1"/>
      <c r="F205" s="1"/>
      <c r="G205" s="1"/>
      <c r="H205" s="1"/>
      <c r="I205" s="1"/>
      <c r="J205" s="1"/>
      <c r="K205" s="1"/>
      <c r="L205" s="1"/>
      <c r="M205" s="1"/>
      <c r="N205" s="1"/>
      <c r="O205" s="1"/>
      <c r="P205" s="1"/>
      <c r="Q205" s="1"/>
      <c r="R205" s="1"/>
    </row>
    <row r="206" spans="1:18" ht="13.5" customHeight="1">
      <c r="A206" s="1"/>
      <c r="B206" s="1"/>
      <c r="C206" s="1"/>
      <c r="D206" s="1"/>
      <c r="E206" s="1"/>
      <c r="F206" s="1"/>
      <c r="G206" s="1"/>
      <c r="H206" s="1"/>
      <c r="I206" s="1"/>
      <c r="J206" s="1"/>
      <c r="K206" s="1"/>
      <c r="L206" s="1"/>
      <c r="M206" s="1"/>
      <c r="N206" s="1"/>
      <c r="O206" s="1"/>
      <c r="P206" s="1"/>
      <c r="Q206" s="1"/>
      <c r="R206" s="1"/>
    </row>
    <row r="207" spans="1:18" ht="13.5" customHeight="1">
      <c r="A207" s="1"/>
      <c r="B207" s="1"/>
      <c r="C207" s="1"/>
      <c r="D207" s="1"/>
      <c r="E207" s="1"/>
      <c r="F207" s="1"/>
      <c r="G207" s="1"/>
      <c r="H207" s="1"/>
      <c r="I207" s="1"/>
      <c r="J207" s="1"/>
      <c r="K207" s="1"/>
      <c r="L207" s="1"/>
      <c r="M207" s="1"/>
      <c r="N207" s="1"/>
      <c r="O207" s="1"/>
      <c r="P207" s="1"/>
      <c r="Q207" s="1"/>
      <c r="R207" s="1"/>
    </row>
    <row r="208" spans="1:18" ht="13.5" customHeight="1">
      <c r="A208" s="1"/>
      <c r="B208" s="1"/>
      <c r="C208" s="1"/>
      <c r="D208" s="1"/>
      <c r="E208" s="1"/>
      <c r="F208" s="1"/>
      <c r="G208" s="1"/>
      <c r="H208" s="1"/>
      <c r="I208" s="1"/>
      <c r="J208" s="1"/>
      <c r="K208" s="1"/>
      <c r="L208" s="1"/>
      <c r="M208" s="1"/>
      <c r="N208" s="1"/>
      <c r="O208" s="1"/>
      <c r="P208" s="1"/>
      <c r="Q208" s="1"/>
      <c r="R208" s="1"/>
    </row>
    <row r="209" spans="1:18" ht="13.5" customHeight="1">
      <c r="A209" s="1"/>
      <c r="B209" s="1"/>
      <c r="C209" s="1"/>
      <c r="D209" s="1"/>
      <c r="E209" s="1"/>
      <c r="F209" s="1"/>
      <c r="G209" s="1"/>
      <c r="H209" s="1"/>
      <c r="I209" s="1"/>
      <c r="J209" s="1"/>
      <c r="K209" s="1"/>
      <c r="L209" s="1"/>
      <c r="M209" s="1"/>
      <c r="N209" s="1"/>
      <c r="O209" s="1"/>
      <c r="P209" s="1"/>
      <c r="Q209" s="1"/>
      <c r="R209" s="1"/>
    </row>
    <row r="210" spans="1:18" ht="13.5" customHeight="1">
      <c r="A210" s="1"/>
      <c r="B210" s="1"/>
      <c r="C210" s="1"/>
      <c r="D210" s="1"/>
      <c r="E210" s="1"/>
      <c r="F210" s="1"/>
      <c r="G210" s="1"/>
      <c r="H210" s="1"/>
      <c r="I210" s="1"/>
      <c r="J210" s="1"/>
      <c r="K210" s="1"/>
      <c r="L210" s="1"/>
      <c r="M210" s="1"/>
      <c r="N210" s="1"/>
      <c r="O210" s="1"/>
      <c r="P210" s="1"/>
      <c r="Q210" s="1"/>
      <c r="R210" s="1"/>
    </row>
    <row r="211" spans="1:18" ht="13.5" customHeight="1">
      <c r="A211" s="1"/>
      <c r="B211" s="1"/>
      <c r="C211" s="1"/>
      <c r="D211" s="1"/>
      <c r="E211" s="1"/>
      <c r="F211" s="1"/>
      <c r="G211" s="1"/>
      <c r="H211" s="1"/>
      <c r="I211" s="1"/>
      <c r="J211" s="1"/>
      <c r="K211" s="1"/>
      <c r="L211" s="1"/>
      <c r="M211" s="1"/>
      <c r="N211" s="1"/>
      <c r="O211" s="1"/>
      <c r="P211" s="1"/>
      <c r="Q211" s="1"/>
      <c r="R211" s="1"/>
    </row>
    <row r="212" spans="1:18" ht="13.5" customHeight="1">
      <c r="A212" s="1"/>
      <c r="B212" s="1"/>
      <c r="C212" s="1"/>
      <c r="D212" s="1"/>
      <c r="E212" s="1"/>
      <c r="F212" s="1"/>
      <c r="G212" s="1"/>
      <c r="H212" s="1"/>
      <c r="I212" s="1"/>
      <c r="J212" s="1"/>
      <c r="K212" s="1"/>
      <c r="L212" s="1"/>
      <c r="M212" s="1"/>
      <c r="N212" s="1"/>
      <c r="O212" s="1"/>
      <c r="P212" s="1"/>
      <c r="Q212" s="1"/>
      <c r="R212" s="1"/>
    </row>
    <row r="213" spans="1:18" ht="13.5" customHeight="1">
      <c r="A213" s="1"/>
      <c r="B213" s="1"/>
      <c r="C213" s="1"/>
      <c r="D213" s="1"/>
      <c r="E213" s="1"/>
      <c r="F213" s="1"/>
      <c r="G213" s="1"/>
      <c r="H213" s="1"/>
      <c r="I213" s="1"/>
      <c r="J213" s="1"/>
      <c r="K213" s="1"/>
      <c r="L213" s="1"/>
      <c r="M213" s="1"/>
      <c r="N213" s="1"/>
      <c r="O213" s="1"/>
      <c r="P213" s="1"/>
      <c r="Q213" s="1"/>
      <c r="R213" s="1"/>
    </row>
    <row r="214" spans="1:18" ht="13.5" customHeight="1">
      <c r="A214" s="1"/>
      <c r="B214" s="1"/>
      <c r="C214" s="1"/>
      <c r="D214" s="1"/>
      <c r="E214" s="1"/>
      <c r="F214" s="1"/>
      <c r="G214" s="1"/>
      <c r="H214" s="1"/>
      <c r="I214" s="1"/>
      <c r="J214" s="1"/>
      <c r="K214" s="1"/>
      <c r="L214" s="1"/>
      <c r="M214" s="1"/>
      <c r="N214" s="1"/>
      <c r="O214" s="1"/>
      <c r="P214" s="1"/>
      <c r="Q214" s="1"/>
      <c r="R214" s="1"/>
    </row>
    <row r="215" spans="1:18" ht="13.5" customHeight="1">
      <c r="A215" s="1"/>
      <c r="B215" s="1"/>
      <c r="C215" s="1"/>
      <c r="D215" s="1"/>
      <c r="E215" s="1"/>
      <c r="F215" s="1"/>
      <c r="G215" s="1"/>
      <c r="H215" s="1"/>
      <c r="I215" s="1"/>
      <c r="J215" s="1"/>
      <c r="K215" s="1"/>
      <c r="L215" s="1"/>
      <c r="M215" s="1"/>
      <c r="N215" s="1"/>
      <c r="O215" s="1"/>
      <c r="P215" s="1"/>
      <c r="Q215" s="1"/>
      <c r="R215" s="1"/>
    </row>
    <row r="216" spans="1:18" ht="13.5" customHeight="1">
      <c r="A216" s="1"/>
      <c r="B216" s="1"/>
      <c r="C216" s="1"/>
      <c r="D216" s="1"/>
      <c r="E216" s="1"/>
      <c r="F216" s="1"/>
      <c r="G216" s="1"/>
      <c r="H216" s="1"/>
      <c r="I216" s="1"/>
      <c r="J216" s="1"/>
      <c r="K216" s="1"/>
      <c r="L216" s="1"/>
      <c r="M216" s="1"/>
      <c r="N216" s="1"/>
      <c r="O216" s="1"/>
      <c r="P216" s="1"/>
      <c r="Q216" s="1"/>
      <c r="R216" s="1"/>
    </row>
    <row r="217" spans="1:18" ht="13.5" customHeight="1">
      <c r="A217" s="1"/>
      <c r="B217" s="1"/>
      <c r="C217" s="1"/>
      <c r="D217" s="1"/>
      <c r="E217" s="1"/>
      <c r="F217" s="1"/>
      <c r="G217" s="1"/>
      <c r="H217" s="1"/>
      <c r="I217" s="1"/>
      <c r="J217" s="1"/>
      <c r="K217" s="1"/>
      <c r="L217" s="1"/>
      <c r="M217" s="1"/>
      <c r="N217" s="1"/>
      <c r="O217" s="1"/>
      <c r="P217" s="1"/>
      <c r="Q217" s="1"/>
      <c r="R217" s="1"/>
    </row>
    <row r="218" spans="1:18" ht="13.5" customHeight="1">
      <c r="A218" s="1"/>
      <c r="B218" s="1"/>
      <c r="C218" s="1"/>
      <c r="D218" s="1"/>
      <c r="E218" s="1"/>
      <c r="F218" s="1"/>
      <c r="G218" s="1"/>
      <c r="H218" s="1"/>
      <c r="I218" s="1"/>
      <c r="J218" s="1"/>
      <c r="K218" s="1"/>
      <c r="L218" s="1"/>
      <c r="M218" s="1"/>
      <c r="N218" s="1"/>
      <c r="O218" s="1"/>
      <c r="P218" s="1"/>
      <c r="Q218" s="1"/>
      <c r="R218" s="1"/>
    </row>
    <row r="219" spans="1:18" ht="13.5" customHeight="1">
      <c r="A219" s="1"/>
      <c r="B219" s="1"/>
      <c r="C219" s="1"/>
      <c r="D219" s="1"/>
      <c r="E219" s="1"/>
      <c r="F219" s="1"/>
      <c r="G219" s="1"/>
      <c r="H219" s="1"/>
      <c r="I219" s="1"/>
      <c r="J219" s="1"/>
      <c r="K219" s="1"/>
      <c r="L219" s="1"/>
      <c r="M219" s="1"/>
      <c r="N219" s="1"/>
      <c r="O219" s="1"/>
      <c r="P219" s="1"/>
      <c r="Q219" s="1"/>
      <c r="R219" s="1"/>
    </row>
    <row r="220" spans="1:18" ht="13.5" customHeight="1">
      <c r="A220" s="1"/>
      <c r="B220" s="1"/>
      <c r="C220" s="1"/>
      <c r="D220" s="1"/>
      <c r="E220" s="1"/>
      <c r="F220" s="1"/>
      <c r="G220" s="1"/>
      <c r="H220" s="1"/>
      <c r="I220" s="1"/>
      <c r="J220" s="1"/>
      <c r="K220" s="1"/>
      <c r="L220" s="1"/>
      <c r="M220" s="1"/>
      <c r="N220" s="1"/>
      <c r="O220" s="1"/>
      <c r="P220" s="1"/>
      <c r="Q220" s="1"/>
      <c r="R220" s="1"/>
    </row>
    <row r="221" spans="1:18" ht="13.5" customHeight="1">
      <c r="A221" s="1"/>
      <c r="B221" s="1"/>
      <c r="C221" s="1"/>
      <c r="D221" s="1"/>
      <c r="E221" s="1"/>
      <c r="F221" s="1"/>
      <c r="G221" s="1"/>
      <c r="H221" s="1"/>
      <c r="I221" s="1"/>
      <c r="J221" s="1"/>
      <c r="K221" s="1"/>
      <c r="L221" s="1"/>
      <c r="M221" s="1"/>
      <c r="N221" s="1"/>
      <c r="O221" s="1"/>
      <c r="P221" s="1"/>
      <c r="Q221" s="1"/>
      <c r="R221" s="1"/>
    </row>
    <row r="222" spans="1:18" ht="13.5" customHeight="1">
      <c r="A222" s="1"/>
      <c r="B222" s="1"/>
      <c r="C222" s="1"/>
      <c r="D222" s="1"/>
      <c r="E222" s="1"/>
      <c r="F222" s="1"/>
      <c r="G222" s="1"/>
      <c r="H222" s="1"/>
      <c r="I222" s="1"/>
      <c r="J222" s="1"/>
      <c r="K222" s="1"/>
      <c r="L222" s="1"/>
      <c r="M222" s="1"/>
      <c r="N222" s="1"/>
      <c r="O222" s="1"/>
      <c r="P222" s="1"/>
      <c r="Q222" s="1"/>
      <c r="R222" s="1"/>
    </row>
    <row r="223" spans="1:18" ht="13.5" customHeight="1">
      <c r="A223" s="1"/>
      <c r="B223" s="1"/>
      <c r="C223" s="1"/>
      <c r="D223" s="1"/>
      <c r="E223" s="1"/>
      <c r="F223" s="1"/>
      <c r="G223" s="1"/>
      <c r="H223" s="1"/>
      <c r="I223" s="1"/>
      <c r="J223" s="1"/>
      <c r="K223" s="1"/>
      <c r="L223" s="1"/>
      <c r="M223" s="1"/>
      <c r="N223" s="1"/>
      <c r="O223" s="1"/>
      <c r="P223" s="1"/>
      <c r="Q223" s="1"/>
      <c r="R223" s="1"/>
    </row>
    <row r="224" spans="1:18" ht="13.5" customHeight="1">
      <c r="A224" s="1"/>
      <c r="B224" s="1"/>
      <c r="C224" s="1"/>
      <c r="D224" s="1"/>
      <c r="E224" s="1"/>
      <c r="F224" s="1"/>
      <c r="G224" s="1"/>
      <c r="H224" s="1"/>
      <c r="I224" s="1"/>
      <c r="J224" s="1"/>
      <c r="K224" s="1"/>
      <c r="L224" s="1"/>
      <c r="M224" s="1"/>
      <c r="N224" s="1"/>
      <c r="O224" s="1"/>
      <c r="P224" s="1"/>
      <c r="Q224" s="1"/>
      <c r="R224" s="1"/>
    </row>
    <row r="225" spans="1:18" ht="13.5" customHeight="1">
      <c r="A225" s="1"/>
      <c r="B225" s="1"/>
      <c r="C225" s="1"/>
      <c r="D225" s="1"/>
      <c r="E225" s="1"/>
      <c r="F225" s="1"/>
      <c r="G225" s="1"/>
      <c r="H225" s="1"/>
      <c r="I225" s="1"/>
      <c r="J225" s="1"/>
      <c r="K225" s="1"/>
      <c r="L225" s="1"/>
      <c r="M225" s="1"/>
      <c r="N225" s="1"/>
      <c r="O225" s="1"/>
      <c r="P225" s="1"/>
      <c r="Q225" s="1"/>
      <c r="R225" s="1"/>
    </row>
    <row r="226" spans="1:18" ht="13.5" customHeight="1">
      <c r="A226" s="1"/>
      <c r="B226" s="1"/>
      <c r="C226" s="1"/>
      <c r="D226" s="1"/>
      <c r="E226" s="1"/>
      <c r="F226" s="1"/>
      <c r="G226" s="1"/>
      <c r="H226" s="1"/>
      <c r="I226" s="1"/>
      <c r="J226" s="1"/>
      <c r="K226" s="1"/>
      <c r="L226" s="1"/>
      <c r="M226" s="1"/>
      <c r="N226" s="1"/>
      <c r="O226" s="1"/>
      <c r="P226" s="1"/>
      <c r="Q226" s="1"/>
      <c r="R226" s="1"/>
    </row>
    <row r="227" spans="1:18" ht="13.5" customHeight="1">
      <c r="A227" s="1"/>
      <c r="B227" s="1"/>
      <c r="C227" s="1"/>
      <c r="D227" s="1"/>
      <c r="E227" s="1"/>
      <c r="F227" s="1"/>
      <c r="G227" s="1"/>
      <c r="H227" s="1"/>
      <c r="I227" s="1"/>
      <c r="J227" s="1"/>
      <c r="K227" s="1"/>
      <c r="L227" s="1"/>
      <c r="M227" s="1"/>
      <c r="N227" s="1"/>
      <c r="O227" s="1"/>
      <c r="P227" s="1"/>
      <c r="Q227" s="1"/>
      <c r="R227" s="1"/>
    </row>
    <row r="228" spans="1:18" ht="13.5" customHeight="1">
      <c r="A228" s="1"/>
      <c r="B228" s="1"/>
      <c r="C228" s="1"/>
      <c r="D228" s="1"/>
      <c r="E228" s="1"/>
      <c r="F228" s="1"/>
      <c r="G228" s="1"/>
      <c r="H228" s="1"/>
      <c r="I228" s="1"/>
      <c r="J228" s="1"/>
      <c r="K228" s="1"/>
      <c r="L228" s="1"/>
      <c r="M228" s="1"/>
      <c r="N228" s="1"/>
      <c r="O228" s="1"/>
      <c r="P228" s="1"/>
      <c r="Q228" s="1"/>
      <c r="R228" s="1"/>
    </row>
    <row r="229" spans="1:18" ht="13.5" customHeight="1">
      <c r="A229" s="1"/>
      <c r="B229" s="1"/>
      <c r="C229" s="1"/>
      <c r="D229" s="1"/>
      <c r="E229" s="1"/>
      <c r="F229" s="1"/>
      <c r="G229" s="1"/>
      <c r="H229" s="1"/>
      <c r="I229" s="1"/>
      <c r="J229" s="1"/>
      <c r="K229" s="1"/>
      <c r="L229" s="1"/>
      <c r="M229" s="1"/>
      <c r="N229" s="1"/>
      <c r="O229" s="1"/>
      <c r="P229" s="1"/>
      <c r="Q229" s="1"/>
      <c r="R229" s="1"/>
    </row>
    <row r="230" spans="1:18" ht="13.5" customHeight="1">
      <c r="A230" s="1"/>
      <c r="B230" s="1"/>
      <c r="C230" s="1"/>
      <c r="D230" s="1"/>
      <c r="E230" s="1"/>
      <c r="F230" s="1"/>
      <c r="G230" s="1"/>
      <c r="H230" s="1"/>
      <c r="I230" s="1"/>
      <c r="J230" s="1"/>
      <c r="K230" s="1"/>
      <c r="L230" s="1"/>
      <c r="M230" s="1"/>
      <c r="N230" s="1"/>
      <c r="O230" s="1"/>
      <c r="P230" s="1"/>
      <c r="Q230" s="1"/>
      <c r="R230" s="1"/>
    </row>
    <row r="231" spans="1:18" ht="13.5" customHeight="1">
      <c r="A231" s="1"/>
      <c r="B231" s="1"/>
      <c r="C231" s="1"/>
      <c r="D231" s="1"/>
      <c r="E231" s="1"/>
      <c r="F231" s="1"/>
      <c r="G231" s="1"/>
      <c r="H231" s="1"/>
      <c r="I231" s="1"/>
      <c r="J231" s="1"/>
      <c r="K231" s="1"/>
      <c r="L231" s="1"/>
      <c r="M231" s="1"/>
      <c r="N231" s="1"/>
      <c r="O231" s="1"/>
      <c r="P231" s="1"/>
      <c r="Q231" s="1"/>
      <c r="R231" s="1"/>
    </row>
    <row r="232" spans="1:18" ht="13.5" customHeight="1">
      <c r="A232" s="1"/>
      <c r="B232" s="1"/>
      <c r="C232" s="1"/>
      <c r="D232" s="1"/>
      <c r="E232" s="1"/>
      <c r="F232" s="1"/>
      <c r="G232" s="1"/>
      <c r="H232" s="1"/>
      <c r="I232" s="1"/>
      <c r="J232" s="1"/>
      <c r="K232" s="1"/>
      <c r="L232" s="1"/>
      <c r="M232" s="1"/>
      <c r="N232" s="1"/>
      <c r="O232" s="1"/>
      <c r="P232" s="1"/>
      <c r="Q232" s="1"/>
      <c r="R232" s="1"/>
    </row>
    <row r="233" spans="1:18" ht="13.5" customHeight="1">
      <c r="A233" s="1"/>
      <c r="B233" s="1"/>
      <c r="C233" s="1"/>
      <c r="D233" s="1"/>
      <c r="E233" s="1"/>
      <c r="F233" s="1"/>
      <c r="G233" s="1"/>
      <c r="H233" s="1"/>
      <c r="I233" s="1"/>
      <c r="J233" s="1"/>
      <c r="K233" s="1"/>
      <c r="L233" s="1"/>
      <c r="M233" s="1"/>
      <c r="N233" s="1"/>
      <c r="O233" s="1"/>
      <c r="P233" s="1"/>
      <c r="Q233" s="1"/>
      <c r="R233" s="1"/>
    </row>
    <row r="234" spans="1:18" ht="13.5" customHeight="1">
      <c r="A234" s="1"/>
      <c r="B234" s="1"/>
      <c r="C234" s="1"/>
      <c r="D234" s="1"/>
      <c r="E234" s="1"/>
      <c r="F234" s="1"/>
      <c r="G234" s="1"/>
      <c r="H234" s="1"/>
      <c r="I234" s="1"/>
      <c r="J234" s="1"/>
      <c r="K234" s="1"/>
      <c r="L234" s="1"/>
      <c r="M234" s="1"/>
      <c r="N234" s="1"/>
      <c r="O234" s="1"/>
      <c r="P234" s="1"/>
      <c r="Q234" s="1"/>
      <c r="R234" s="1"/>
    </row>
    <row r="235" spans="1:18" ht="13.5" customHeight="1">
      <c r="A235" s="1"/>
      <c r="B235" s="1"/>
      <c r="C235" s="1"/>
      <c r="D235" s="1"/>
      <c r="E235" s="1"/>
      <c r="F235" s="1"/>
      <c r="G235" s="1"/>
      <c r="H235" s="1"/>
      <c r="I235" s="1"/>
      <c r="J235" s="1"/>
      <c r="K235" s="1"/>
      <c r="L235" s="1"/>
      <c r="M235" s="1"/>
      <c r="N235" s="1"/>
      <c r="O235" s="1"/>
      <c r="P235" s="1"/>
      <c r="Q235" s="1"/>
      <c r="R235" s="1"/>
    </row>
    <row r="236" spans="1:18" ht="13.5" customHeight="1">
      <c r="A236" s="1"/>
      <c r="B236" s="1"/>
      <c r="C236" s="1"/>
      <c r="D236" s="1"/>
      <c r="E236" s="1"/>
      <c r="F236" s="1"/>
      <c r="G236" s="1"/>
      <c r="H236" s="1"/>
      <c r="I236" s="1"/>
      <c r="J236" s="1"/>
      <c r="K236" s="1"/>
      <c r="L236" s="1"/>
      <c r="M236" s="1"/>
      <c r="N236" s="1"/>
      <c r="O236" s="1"/>
      <c r="P236" s="1"/>
      <c r="Q236" s="1"/>
      <c r="R236" s="1"/>
    </row>
    <row r="237" spans="1:18" ht="13.5" customHeight="1">
      <c r="A237" s="1"/>
      <c r="B237" s="1"/>
      <c r="C237" s="1"/>
      <c r="D237" s="1"/>
      <c r="E237" s="1"/>
      <c r="F237" s="1"/>
      <c r="G237" s="1"/>
      <c r="H237" s="1"/>
      <c r="I237" s="1"/>
      <c r="J237" s="1"/>
      <c r="K237" s="1"/>
      <c r="L237" s="1"/>
      <c r="M237" s="1"/>
      <c r="N237" s="1"/>
      <c r="O237" s="1"/>
      <c r="P237" s="1"/>
      <c r="Q237" s="1"/>
      <c r="R237" s="1"/>
    </row>
    <row r="238" spans="1:18" ht="13.5" customHeight="1">
      <c r="A238" s="1"/>
      <c r="B238" s="1"/>
      <c r="C238" s="1"/>
      <c r="D238" s="1"/>
      <c r="E238" s="1"/>
      <c r="F238" s="1"/>
      <c r="G238" s="1"/>
      <c r="H238" s="1"/>
      <c r="I238" s="1"/>
      <c r="J238" s="1"/>
      <c r="K238" s="1"/>
      <c r="L238" s="1"/>
      <c r="M238" s="1"/>
      <c r="N238" s="1"/>
      <c r="O238" s="1"/>
      <c r="P238" s="1"/>
      <c r="Q238" s="1"/>
      <c r="R238" s="1"/>
    </row>
    <row r="239" spans="1:18" ht="13.5" customHeight="1">
      <c r="A239" s="1"/>
      <c r="B239" s="1"/>
      <c r="C239" s="1"/>
      <c r="D239" s="1"/>
      <c r="E239" s="1"/>
      <c r="F239" s="1"/>
      <c r="G239" s="1"/>
      <c r="H239" s="1"/>
      <c r="I239" s="1"/>
      <c r="J239" s="1"/>
      <c r="K239" s="1"/>
      <c r="L239" s="1"/>
      <c r="M239" s="1"/>
      <c r="N239" s="1"/>
      <c r="O239" s="1"/>
      <c r="P239" s="1"/>
      <c r="Q239" s="1"/>
      <c r="R239" s="1"/>
    </row>
    <row r="240" spans="1:18" ht="13.5" customHeight="1">
      <c r="A240" s="1"/>
      <c r="B240" s="1"/>
      <c r="C240" s="1"/>
      <c r="D240" s="1"/>
      <c r="E240" s="1"/>
      <c r="F240" s="1"/>
      <c r="G240" s="1"/>
      <c r="H240" s="1"/>
      <c r="I240" s="1"/>
      <c r="J240" s="1"/>
      <c r="K240" s="1"/>
      <c r="L240" s="1"/>
      <c r="M240" s="1"/>
      <c r="N240" s="1"/>
      <c r="O240" s="1"/>
      <c r="P240" s="1"/>
      <c r="Q240" s="1"/>
      <c r="R240" s="1"/>
    </row>
    <row r="241" spans="1:18" ht="13.5" customHeight="1">
      <c r="A241" s="1"/>
      <c r="B241" s="1"/>
      <c r="C241" s="1"/>
      <c r="D241" s="1"/>
      <c r="E241" s="1"/>
      <c r="F241" s="1"/>
      <c r="G241" s="1"/>
      <c r="H241" s="1"/>
      <c r="I241" s="1"/>
      <c r="J241" s="1"/>
      <c r="K241" s="1"/>
      <c r="L241" s="1"/>
      <c r="M241" s="1"/>
      <c r="N241" s="1"/>
      <c r="O241" s="1"/>
      <c r="P241" s="1"/>
      <c r="Q241" s="1"/>
      <c r="R241" s="1"/>
    </row>
    <row r="242" spans="1:18" ht="13.5" customHeight="1">
      <c r="A242" s="1"/>
      <c r="B242" s="1"/>
      <c r="C242" s="1"/>
      <c r="D242" s="1"/>
      <c r="E242" s="1"/>
      <c r="F242" s="1"/>
      <c r="G242" s="1"/>
      <c r="H242" s="1"/>
      <c r="I242" s="1"/>
      <c r="J242" s="1"/>
      <c r="K242" s="1"/>
      <c r="L242" s="1"/>
      <c r="M242" s="1"/>
      <c r="N242" s="1"/>
      <c r="O242" s="1"/>
      <c r="P242" s="1"/>
      <c r="Q242" s="1"/>
      <c r="R242" s="1"/>
    </row>
    <row r="243" spans="1:18" ht="13.5" customHeight="1">
      <c r="A243" s="1"/>
      <c r="B243" s="1"/>
      <c r="C243" s="1"/>
      <c r="D243" s="1"/>
      <c r="E243" s="1"/>
      <c r="F243" s="1"/>
      <c r="G243" s="1"/>
      <c r="H243" s="1"/>
      <c r="I243" s="1"/>
      <c r="J243" s="1"/>
      <c r="K243" s="1"/>
      <c r="L243" s="1"/>
      <c r="M243" s="1"/>
      <c r="N243" s="1"/>
      <c r="O243" s="1"/>
      <c r="P243" s="1"/>
      <c r="Q243" s="1"/>
      <c r="R243" s="1"/>
    </row>
    <row r="244" spans="1:18" ht="13.5" customHeight="1">
      <c r="A244" s="1"/>
      <c r="B244" s="1"/>
      <c r="C244" s="1"/>
      <c r="D244" s="1"/>
      <c r="E244" s="1"/>
      <c r="F244" s="1"/>
      <c r="G244" s="1"/>
      <c r="H244" s="1"/>
      <c r="I244" s="1"/>
      <c r="J244" s="1"/>
      <c r="K244" s="1"/>
      <c r="L244" s="1"/>
      <c r="M244" s="1"/>
      <c r="N244" s="1"/>
      <c r="O244" s="1"/>
      <c r="P244" s="1"/>
      <c r="Q244" s="1"/>
      <c r="R244" s="1"/>
    </row>
    <row r="245" spans="1:18" ht="13.5" customHeight="1">
      <c r="A245" s="1"/>
      <c r="B245" s="1"/>
      <c r="C245" s="1"/>
      <c r="D245" s="1"/>
      <c r="E245" s="1"/>
      <c r="F245" s="1"/>
      <c r="G245" s="1"/>
      <c r="H245" s="1"/>
      <c r="I245" s="1"/>
      <c r="J245" s="1"/>
      <c r="K245" s="1"/>
      <c r="L245" s="1"/>
      <c r="M245" s="1"/>
      <c r="N245" s="1"/>
      <c r="O245" s="1"/>
      <c r="P245" s="1"/>
      <c r="Q245" s="1"/>
      <c r="R245" s="1"/>
    </row>
    <row r="246" spans="1:18" ht="13.5" customHeight="1">
      <c r="A246" s="1"/>
      <c r="B246" s="1"/>
      <c r="C246" s="1"/>
      <c r="D246" s="1"/>
      <c r="E246" s="1"/>
      <c r="F246" s="1"/>
      <c r="G246" s="1"/>
      <c r="H246" s="1"/>
      <c r="I246" s="1"/>
      <c r="J246" s="1"/>
      <c r="K246" s="1"/>
      <c r="L246" s="1"/>
      <c r="M246" s="1"/>
      <c r="N246" s="1"/>
      <c r="O246" s="1"/>
      <c r="P246" s="1"/>
      <c r="Q246" s="1"/>
      <c r="R246" s="1"/>
    </row>
    <row r="247" spans="1:18" ht="13.5" customHeight="1">
      <c r="A247" s="1"/>
      <c r="B247" s="1"/>
      <c r="C247" s="1"/>
      <c r="D247" s="1"/>
      <c r="E247" s="1"/>
      <c r="F247" s="1"/>
      <c r="G247" s="1"/>
      <c r="H247" s="1"/>
      <c r="I247" s="1"/>
      <c r="J247" s="1"/>
      <c r="K247" s="1"/>
      <c r="L247" s="1"/>
      <c r="M247" s="1"/>
      <c r="N247" s="1"/>
      <c r="O247" s="1"/>
      <c r="P247" s="1"/>
      <c r="Q247" s="1"/>
      <c r="R247" s="1"/>
    </row>
    <row r="248" spans="1:18" ht="13.5" customHeight="1">
      <c r="A248" s="1"/>
      <c r="B248" s="1"/>
      <c r="C248" s="1"/>
      <c r="D248" s="1"/>
      <c r="E248" s="1"/>
      <c r="F248" s="1"/>
      <c r="G248" s="1"/>
      <c r="H248" s="1"/>
      <c r="I248" s="1"/>
      <c r="J248" s="1"/>
      <c r="K248" s="1"/>
      <c r="L248" s="1"/>
      <c r="M248" s="1"/>
      <c r="N248" s="1"/>
      <c r="O248" s="1"/>
      <c r="P248" s="1"/>
      <c r="Q248" s="1"/>
      <c r="R248" s="1"/>
    </row>
    <row r="249" spans="1:18" ht="13.5" customHeight="1">
      <c r="A249" s="1"/>
      <c r="B249" s="1"/>
      <c r="C249" s="1"/>
      <c r="D249" s="1"/>
      <c r="E249" s="1"/>
      <c r="F249" s="1"/>
      <c r="G249" s="1"/>
      <c r="H249" s="1"/>
      <c r="I249" s="1"/>
      <c r="J249" s="1"/>
      <c r="K249" s="1"/>
      <c r="L249" s="1"/>
      <c r="M249" s="1"/>
      <c r="N249" s="1"/>
      <c r="O249" s="1"/>
      <c r="P249" s="1"/>
      <c r="Q249" s="1"/>
      <c r="R249" s="1"/>
    </row>
    <row r="250" spans="1:18" ht="13.5" customHeight="1">
      <c r="A250" s="1"/>
      <c r="B250" s="1"/>
      <c r="C250" s="1"/>
      <c r="D250" s="1"/>
      <c r="E250" s="1"/>
      <c r="F250" s="1"/>
      <c r="G250" s="1"/>
      <c r="H250" s="1"/>
      <c r="I250" s="1"/>
      <c r="J250" s="1"/>
      <c r="K250" s="1"/>
      <c r="L250" s="1"/>
      <c r="M250" s="1"/>
      <c r="N250" s="1"/>
      <c r="O250" s="1"/>
      <c r="P250" s="1"/>
      <c r="Q250" s="1"/>
      <c r="R250" s="1"/>
    </row>
    <row r="251" spans="1:18" ht="13.5" customHeight="1">
      <c r="A251" s="1"/>
      <c r="B251" s="1"/>
      <c r="C251" s="1"/>
      <c r="D251" s="1"/>
      <c r="E251" s="1"/>
      <c r="F251" s="1"/>
      <c r="G251" s="1"/>
      <c r="H251" s="1"/>
      <c r="I251" s="1"/>
      <c r="J251" s="1"/>
      <c r="K251" s="1"/>
      <c r="L251" s="1"/>
      <c r="M251" s="1"/>
      <c r="N251" s="1"/>
      <c r="O251" s="1"/>
      <c r="P251" s="1"/>
      <c r="Q251" s="1"/>
      <c r="R251" s="1"/>
    </row>
    <row r="252" spans="1:18" ht="13.5" customHeight="1">
      <c r="A252" s="1"/>
      <c r="B252" s="1"/>
      <c r="C252" s="1"/>
      <c r="D252" s="1"/>
      <c r="E252" s="1"/>
      <c r="F252" s="1"/>
      <c r="G252" s="1"/>
      <c r="H252" s="1"/>
      <c r="I252" s="1"/>
      <c r="J252" s="1"/>
      <c r="K252" s="1"/>
      <c r="L252" s="1"/>
      <c r="M252" s="1"/>
      <c r="N252" s="1"/>
      <c r="O252" s="1"/>
      <c r="P252" s="1"/>
      <c r="Q252" s="1"/>
      <c r="R252" s="1"/>
    </row>
    <row r="253" spans="1:18" ht="13.5" customHeight="1">
      <c r="A253" s="1"/>
      <c r="B253" s="1"/>
      <c r="C253" s="1"/>
      <c r="D253" s="1"/>
      <c r="E253" s="1"/>
      <c r="F253" s="1"/>
      <c r="G253" s="1"/>
      <c r="H253" s="1"/>
      <c r="I253" s="1"/>
      <c r="J253" s="1"/>
      <c r="K253" s="1"/>
      <c r="L253" s="1"/>
      <c r="M253" s="1"/>
      <c r="N253" s="1"/>
      <c r="O253" s="1"/>
      <c r="P253" s="1"/>
      <c r="Q253" s="1"/>
      <c r="R253" s="1"/>
    </row>
    <row r="254" spans="1:18" ht="13.5" customHeight="1">
      <c r="A254" s="1"/>
      <c r="B254" s="1"/>
      <c r="C254" s="1"/>
      <c r="D254" s="1"/>
      <c r="E254" s="1"/>
      <c r="F254" s="1"/>
      <c r="G254" s="1"/>
      <c r="H254" s="1"/>
      <c r="I254" s="1"/>
      <c r="J254" s="1"/>
      <c r="K254" s="1"/>
      <c r="L254" s="1"/>
      <c r="M254" s="1"/>
      <c r="N254" s="1"/>
      <c r="O254" s="1"/>
      <c r="P254" s="1"/>
      <c r="Q254" s="1"/>
      <c r="R254" s="1"/>
    </row>
    <row r="255" spans="1:18" ht="13.5" customHeight="1">
      <c r="A255" s="1"/>
      <c r="B255" s="1"/>
      <c r="C255" s="1"/>
      <c r="D255" s="1"/>
      <c r="E255" s="1"/>
      <c r="F255" s="1"/>
      <c r="G255" s="1"/>
      <c r="H255" s="1"/>
      <c r="I255" s="1"/>
      <c r="J255" s="1"/>
      <c r="K255" s="1"/>
      <c r="L255" s="1"/>
      <c r="M255" s="1"/>
      <c r="N255" s="1"/>
      <c r="O255" s="1"/>
      <c r="P255" s="1"/>
      <c r="Q255" s="1"/>
      <c r="R255" s="1"/>
    </row>
    <row r="256" spans="1:18" ht="13.5" customHeight="1">
      <c r="A256" s="1"/>
      <c r="B256" s="1"/>
      <c r="C256" s="1"/>
      <c r="D256" s="1"/>
      <c r="E256" s="1"/>
      <c r="F256" s="1"/>
      <c r="G256" s="1"/>
      <c r="H256" s="1"/>
      <c r="I256" s="1"/>
      <c r="J256" s="1"/>
      <c r="K256" s="1"/>
      <c r="L256" s="1"/>
      <c r="M256" s="1"/>
      <c r="N256" s="1"/>
      <c r="O256" s="1"/>
      <c r="P256" s="1"/>
      <c r="Q256" s="1"/>
      <c r="R256" s="1"/>
    </row>
    <row r="257" spans="1:18" ht="13.5" customHeight="1">
      <c r="A257" s="1"/>
      <c r="B257" s="1"/>
      <c r="C257" s="1"/>
      <c r="D257" s="1"/>
      <c r="E257" s="1"/>
      <c r="F257" s="1"/>
      <c r="G257" s="1"/>
      <c r="H257" s="1"/>
      <c r="I257" s="1"/>
      <c r="J257" s="1"/>
      <c r="K257" s="1"/>
      <c r="L257" s="1"/>
      <c r="M257" s="1"/>
      <c r="N257" s="1"/>
      <c r="O257" s="1"/>
      <c r="P257" s="1"/>
      <c r="Q257" s="1"/>
      <c r="R257" s="1"/>
    </row>
    <row r="258" spans="1:18" ht="13.5" customHeight="1">
      <c r="A258" s="1"/>
      <c r="B258" s="1"/>
      <c r="C258" s="1"/>
      <c r="D258" s="1"/>
      <c r="E258" s="1"/>
      <c r="F258" s="1"/>
      <c r="G258" s="1"/>
      <c r="H258" s="1"/>
      <c r="I258" s="1"/>
      <c r="J258" s="1"/>
      <c r="K258" s="1"/>
      <c r="L258" s="1"/>
      <c r="M258" s="1"/>
      <c r="N258" s="1"/>
      <c r="O258" s="1"/>
      <c r="P258" s="1"/>
      <c r="Q258" s="1"/>
      <c r="R258" s="1"/>
    </row>
    <row r="259" spans="1:18" ht="13.5" customHeight="1">
      <c r="A259" s="1"/>
      <c r="B259" s="1"/>
      <c r="C259" s="1"/>
      <c r="D259" s="1"/>
      <c r="E259" s="1"/>
      <c r="F259" s="1"/>
      <c r="G259" s="1"/>
      <c r="H259" s="1"/>
      <c r="I259" s="1"/>
      <c r="J259" s="1"/>
      <c r="K259" s="1"/>
      <c r="L259" s="1"/>
      <c r="M259" s="1"/>
      <c r="N259" s="1"/>
      <c r="O259" s="1"/>
      <c r="P259" s="1"/>
      <c r="Q259" s="1"/>
      <c r="R259" s="1"/>
    </row>
    <row r="260" spans="1:18" ht="13.5" customHeight="1">
      <c r="A260" s="1"/>
      <c r="B260" s="1"/>
      <c r="C260" s="1"/>
      <c r="D260" s="1"/>
      <c r="E260" s="1"/>
      <c r="F260" s="1"/>
      <c r="G260" s="1"/>
      <c r="H260" s="1"/>
      <c r="I260" s="1"/>
      <c r="J260" s="1"/>
      <c r="K260" s="1"/>
      <c r="L260" s="1"/>
      <c r="M260" s="1"/>
      <c r="N260" s="1"/>
      <c r="O260" s="1"/>
      <c r="P260" s="1"/>
      <c r="Q260" s="1"/>
      <c r="R260" s="1"/>
    </row>
    <row r="261" spans="1:18" ht="13.5" customHeight="1">
      <c r="A261" s="1"/>
      <c r="B261" s="1"/>
      <c r="C261" s="1"/>
      <c r="D261" s="1"/>
      <c r="E261" s="1"/>
      <c r="F261" s="1"/>
      <c r="G261" s="1"/>
      <c r="H261" s="1"/>
      <c r="I261" s="1"/>
      <c r="J261" s="1"/>
      <c r="K261" s="1"/>
      <c r="L261" s="1"/>
      <c r="M261" s="1"/>
      <c r="N261" s="1"/>
      <c r="O261" s="1"/>
      <c r="P261" s="1"/>
      <c r="Q261" s="1"/>
      <c r="R261" s="1"/>
    </row>
    <row r="262" spans="1:18" ht="13.5" customHeight="1">
      <c r="A262" s="1"/>
      <c r="B262" s="1"/>
      <c r="C262" s="1"/>
      <c r="D262" s="1"/>
      <c r="E262" s="1"/>
      <c r="F262" s="1"/>
      <c r="G262" s="1"/>
      <c r="H262" s="1"/>
      <c r="I262" s="1"/>
      <c r="J262" s="1"/>
      <c r="K262" s="1"/>
      <c r="L262" s="1"/>
      <c r="M262" s="1"/>
      <c r="N262" s="1"/>
      <c r="O262" s="1"/>
      <c r="P262" s="1"/>
      <c r="Q262" s="1"/>
      <c r="R262" s="1"/>
    </row>
    <row r="263" spans="1:18" ht="13.5" customHeight="1">
      <c r="A263" s="1"/>
      <c r="B263" s="1"/>
      <c r="C263" s="1"/>
      <c r="D263" s="1"/>
      <c r="E263" s="1"/>
      <c r="F263" s="1"/>
      <c r="G263" s="1"/>
      <c r="H263" s="1"/>
      <c r="I263" s="1"/>
      <c r="J263" s="1"/>
      <c r="K263" s="1"/>
      <c r="L263" s="1"/>
      <c r="M263" s="1"/>
      <c r="N263" s="1"/>
      <c r="O263" s="1"/>
      <c r="P263" s="1"/>
      <c r="Q263" s="1"/>
      <c r="R263" s="1"/>
    </row>
    <row r="264" spans="1:18" ht="13.5" customHeight="1">
      <c r="A264" s="1"/>
      <c r="B264" s="1"/>
      <c r="C264" s="1"/>
      <c r="D264" s="1"/>
      <c r="E264" s="1"/>
      <c r="F264" s="1"/>
      <c r="G264" s="1"/>
      <c r="H264" s="1"/>
      <c r="I264" s="1"/>
      <c r="J264" s="1"/>
      <c r="K264" s="1"/>
      <c r="L264" s="1"/>
      <c r="M264" s="1"/>
      <c r="N264" s="1"/>
      <c r="O264" s="1"/>
      <c r="P264" s="1"/>
      <c r="Q264" s="1"/>
      <c r="R264" s="1"/>
    </row>
    <row r="265" spans="1:18" ht="13.5" customHeight="1">
      <c r="A265" s="1"/>
      <c r="B265" s="1"/>
      <c r="C265" s="1"/>
      <c r="D265" s="1"/>
      <c r="E265" s="1"/>
      <c r="F265" s="1"/>
      <c r="G265" s="1"/>
      <c r="H265" s="1"/>
      <c r="I265" s="1"/>
      <c r="J265" s="1"/>
      <c r="K265" s="1"/>
      <c r="L265" s="1"/>
      <c r="M265" s="1"/>
      <c r="N265" s="1"/>
      <c r="O265" s="1"/>
      <c r="P265" s="1"/>
      <c r="Q265" s="1"/>
      <c r="R265" s="1"/>
    </row>
    <row r="266" spans="1:18" ht="13.5" customHeight="1">
      <c r="A266" s="1"/>
      <c r="B266" s="1"/>
      <c r="C266" s="1"/>
      <c r="D266" s="1"/>
      <c r="E266" s="1"/>
      <c r="F266" s="1"/>
      <c r="G266" s="1"/>
      <c r="H266" s="1"/>
      <c r="I266" s="1"/>
      <c r="J266" s="1"/>
      <c r="K266" s="1"/>
      <c r="L266" s="1"/>
      <c r="M266" s="1"/>
      <c r="N266" s="1"/>
      <c r="O266" s="1"/>
      <c r="P266" s="1"/>
      <c r="Q266" s="1"/>
      <c r="R266" s="1"/>
    </row>
    <row r="267" spans="1:18" ht="13.5" customHeight="1">
      <c r="A267" s="1"/>
      <c r="B267" s="1"/>
      <c r="C267" s="1"/>
      <c r="D267" s="1"/>
      <c r="E267" s="1"/>
      <c r="F267" s="1"/>
      <c r="G267" s="1"/>
      <c r="H267" s="1"/>
      <c r="I267" s="1"/>
      <c r="J267" s="1"/>
      <c r="K267" s="1"/>
      <c r="L267" s="1"/>
      <c r="M267" s="1"/>
      <c r="N267" s="1"/>
      <c r="O267" s="1"/>
      <c r="P267" s="1"/>
      <c r="Q267" s="1"/>
      <c r="R267" s="1"/>
    </row>
    <row r="268" spans="1:18" ht="13.5" customHeight="1">
      <c r="A268" s="1"/>
      <c r="B268" s="1"/>
      <c r="C268" s="1"/>
      <c r="D268" s="1"/>
      <c r="E268" s="1"/>
      <c r="F268" s="1"/>
      <c r="G268" s="1"/>
      <c r="H268" s="1"/>
      <c r="I268" s="1"/>
      <c r="J268" s="1"/>
      <c r="K268" s="1"/>
      <c r="L268" s="1"/>
      <c r="M268" s="1"/>
      <c r="N268" s="1"/>
      <c r="O268" s="1"/>
      <c r="P268" s="1"/>
      <c r="Q268" s="1"/>
      <c r="R268" s="1"/>
    </row>
    <row r="269" spans="1:18" ht="13.5" customHeight="1">
      <c r="A269" s="1"/>
      <c r="B269" s="1"/>
      <c r="C269" s="1"/>
      <c r="D269" s="1"/>
      <c r="E269" s="1"/>
      <c r="F269" s="1"/>
      <c r="G269" s="1"/>
      <c r="H269" s="1"/>
      <c r="I269" s="1"/>
      <c r="J269" s="1"/>
      <c r="K269" s="1"/>
      <c r="L269" s="1"/>
      <c r="M269" s="1"/>
      <c r="N269" s="1"/>
      <c r="O269" s="1"/>
      <c r="P269" s="1"/>
      <c r="Q269" s="1"/>
      <c r="R269" s="1"/>
    </row>
    <row r="270" spans="1:18" ht="13.5" customHeight="1">
      <c r="A270" s="1"/>
      <c r="B270" s="1"/>
      <c r="C270" s="1"/>
      <c r="D270" s="1"/>
      <c r="E270" s="1"/>
      <c r="F270" s="1"/>
      <c r="G270" s="1"/>
      <c r="H270" s="1"/>
      <c r="I270" s="1"/>
      <c r="J270" s="1"/>
      <c r="K270" s="1"/>
      <c r="L270" s="1"/>
      <c r="M270" s="1"/>
      <c r="N270" s="1"/>
      <c r="O270" s="1"/>
      <c r="P270" s="1"/>
      <c r="Q270" s="1"/>
      <c r="R270" s="1"/>
    </row>
    <row r="271" spans="1:18" ht="13.5" customHeight="1">
      <c r="A271" s="1"/>
      <c r="B271" s="1"/>
      <c r="C271" s="1"/>
      <c r="D271" s="1"/>
      <c r="E271" s="1"/>
      <c r="F271" s="1"/>
      <c r="G271" s="1"/>
      <c r="H271" s="1"/>
      <c r="I271" s="1"/>
      <c r="J271" s="1"/>
      <c r="K271" s="1"/>
      <c r="L271" s="1"/>
      <c r="M271" s="1"/>
      <c r="N271" s="1"/>
      <c r="O271" s="1"/>
      <c r="P271" s="1"/>
      <c r="Q271" s="1"/>
      <c r="R271" s="1"/>
    </row>
    <row r="272" spans="1:18" ht="13.5" customHeight="1">
      <c r="A272" s="1"/>
      <c r="B272" s="1"/>
      <c r="C272" s="1"/>
      <c r="D272" s="1"/>
      <c r="E272" s="1"/>
      <c r="F272" s="1"/>
      <c r="G272" s="1"/>
      <c r="H272" s="1"/>
      <c r="I272" s="1"/>
      <c r="J272" s="1"/>
      <c r="K272" s="1"/>
      <c r="L272" s="1"/>
      <c r="M272" s="1"/>
      <c r="N272" s="1"/>
      <c r="O272" s="1"/>
      <c r="P272" s="1"/>
      <c r="Q272" s="1"/>
      <c r="R272" s="1"/>
    </row>
    <row r="273" spans="1:18" ht="13.5" customHeight="1">
      <c r="A273" s="1"/>
      <c r="B273" s="1"/>
      <c r="C273" s="1"/>
      <c r="D273" s="1"/>
      <c r="E273" s="1"/>
      <c r="F273" s="1"/>
      <c r="G273" s="1"/>
      <c r="H273" s="1"/>
      <c r="I273" s="1"/>
      <c r="J273" s="1"/>
      <c r="K273" s="1"/>
      <c r="L273" s="1"/>
      <c r="M273" s="1"/>
      <c r="N273" s="1"/>
      <c r="O273" s="1"/>
      <c r="P273" s="1"/>
      <c r="Q273" s="1"/>
      <c r="R273" s="1"/>
    </row>
    <row r="274" spans="1:18" ht="13.5" customHeight="1">
      <c r="A274" s="1"/>
      <c r="B274" s="1"/>
      <c r="C274" s="1"/>
      <c r="D274" s="1"/>
      <c r="E274" s="1"/>
      <c r="F274" s="1"/>
      <c r="G274" s="1"/>
      <c r="H274" s="1"/>
      <c r="I274" s="1"/>
      <c r="J274" s="1"/>
      <c r="K274" s="1"/>
      <c r="L274" s="1"/>
      <c r="M274" s="1"/>
      <c r="N274" s="1"/>
      <c r="O274" s="1"/>
      <c r="P274" s="1"/>
      <c r="Q274" s="1"/>
      <c r="R274" s="1"/>
    </row>
    <row r="275" spans="1:18" ht="13.5" customHeight="1">
      <c r="A275" s="1"/>
      <c r="B275" s="1"/>
      <c r="C275" s="1"/>
      <c r="D275" s="1"/>
      <c r="E275" s="1"/>
      <c r="F275" s="1"/>
      <c r="G275" s="1"/>
      <c r="H275" s="1"/>
      <c r="I275" s="1"/>
      <c r="J275" s="1"/>
      <c r="K275" s="1"/>
      <c r="L275" s="1"/>
      <c r="M275" s="1"/>
      <c r="N275" s="1"/>
      <c r="O275" s="1"/>
      <c r="P275" s="1"/>
      <c r="Q275" s="1"/>
      <c r="R275" s="1"/>
    </row>
    <row r="276" spans="1:18" ht="13.5" customHeight="1">
      <c r="A276" s="1"/>
      <c r="B276" s="1"/>
      <c r="C276" s="1"/>
      <c r="D276" s="1"/>
      <c r="E276" s="1"/>
      <c r="F276" s="1"/>
      <c r="G276" s="1"/>
      <c r="H276" s="1"/>
      <c r="I276" s="1"/>
      <c r="J276" s="1"/>
      <c r="K276" s="1"/>
      <c r="L276" s="1"/>
      <c r="M276" s="1"/>
      <c r="N276" s="1"/>
      <c r="O276" s="1"/>
      <c r="P276" s="1"/>
      <c r="Q276" s="1"/>
      <c r="R276" s="1"/>
    </row>
    <row r="277" spans="1:18" ht="13.5" customHeight="1">
      <c r="A277" s="1"/>
      <c r="B277" s="1"/>
      <c r="C277" s="1"/>
      <c r="D277" s="1"/>
      <c r="E277" s="1"/>
      <c r="F277" s="1"/>
      <c r="G277" s="1"/>
      <c r="H277" s="1"/>
      <c r="I277" s="1"/>
      <c r="J277" s="1"/>
      <c r="K277" s="1"/>
      <c r="L277" s="1"/>
      <c r="M277" s="1"/>
      <c r="N277" s="1"/>
      <c r="O277" s="1"/>
      <c r="P277" s="1"/>
      <c r="Q277" s="1"/>
      <c r="R277" s="1"/>
    </row>
    <row r="278" spans="1:18" ht="13.5" customHeight="1">
      <c r="A278" s="1"/>
      <c r="B278" s="1"/>
      <c r="C278" s="1"/>
      <c r="D278" s="1"/>
      <c r="E278" s="1"/>
      <c r="F278" s="1"/>
      <c r="G278" s="1"/>
      <c r="H278" s="1"/>
      <c r="I278" s="1"/>
      <c r="J278" s="1"/>
      <c r="K278" s="1"/>
      <c r="L278" s="1"/>
      <c r="M278" s="1"/>
      <c r="N278" s="1"/>
      <c r="O278" s="1"/>
      <c r="P278" s="1"/>
      <c r="Q278" s="1"/>
      <c r="R278" s="1"/>
    </row>
    <row r="279" spans="1:18" ht="13.5" customHeight="1">
      <c r="A279" s="1"/>
      <c r="B279" s="1"/>
      <c r="C279" s="1"/>
      <c r="D279" s="1"/>
      <c r="E279" s="1"/>
      <c r="F279" s="1"/>
      <c r="G279" s="1"/>
      <c r="H279" s="1"/>
      <c r="I279" s="1"/>
      <c r="J279" s="1"/>
      <c r="K279" s="1"/>
      <c r="L279" s="1"/>
      <c r="M279" s="1"/>
      <c r="N279" s="1"/>
      <c r="O279" s="1"/>
      <c r="P279" s="1"/>
      <c r="Q279" s="1"/>
      <c r="R279" s="1"/>
    </row>
    <row r="280" spans="1:18" ht="13.5" customHeight="1">
      <c r="A280" s="1"/>
      <c r="B280" s="1"/>
      <c r="C280" s="1"/>
      <c r="D280" s="1"/>
      <c r="E280" s="1"/>
      <c r="F280" s="1"/>
      <c r="G280" s="1"/>
      <c r="H280" s="1"/>
      <c r="I280" s="1"/>
      <c r="J280" s="1"/>
      <c r="K280" s="1"/>
      <c r="L280" s="1"/>
      <c r="M280" s="1"/>
      <c r="N280" s="1"/>
      <c r="O280" s="1"/>
      <c r="P280" s="1"/>
      <c r="Q280" s="1"/>
      <c r="R280" s="1"/>
    </row>
    <row r="281" spans="1:18" ht="13.5" customHeight="1">
      <c r="A281" s="1"/>
      <c r="B281" s="1"/>
      <c r="C281" s="1"/>
      <c r="D281" s="1"/>
      <c r="E281" s="1"/>
      <c r="F281" s="1"/>
      <c r="G281" s="1"/>
      <c r="H281" s="1"/>
      <c r="I281" s="1"/>
      <c r="J281" s="1"/>
      <c r="K281" s="1"/>
      <c r="L281" s="1"/>
      <c r="M281" s="1"/>
      <c r="N281" s="1"/>
      <c r="O281" s="1"/>
      <c r="P281" s="1"/>
      <c r="Q281" s="1"/>
      <c r="R281" s="1"/>
    </row>
    <row r="282" spans="1:18" ht="13.5" customHeight="1">
      <c r="A282" s="1"/>
      <c r="B282" s="1"/>
      <c r="C282" s="1"/>
      <c r="D282" s="1"/>
      <c r="E282" s="1"/>
      <c r="F282" s="1"/>
      <c r="G282" s="1"/>
      <c r="H282" s="1"/>
      <c r="I282" s="1"/>
      <c r="J282" s="1"/>
      <c r="K282" s="1"/>
      <c r="L282" s="1"/>
      <c r="M282" s="1"/>
      <c r="N282" s="1"/>
      <c r="O282" s="1"/>
      <c r="P282" s="1"/>
      <c r="Q282" s="1"/>
      <c r="R282" s="1"/>
    </row>
    <row r="283" spans="1:18" ht="13.5" customHeight="1">
      <c r="A283" s="1"/>
      <c r="B283" s="1"/>
      <c r="C283" s="1"/>
      <c r="D283" s="1"/>
      <c r="E283" s="1"/>
      <c r="F283" s="1"/>
      <c r="G283" s="1"/>
      <c r="H283" s="1"/>
      <c r="I283" s="1"/>
      <c r="J283" s="1"/>
      <c r="K283" s="1"/>
      <c r="L283" s="1"/>
      <c r="M283" s="1"/>
      <c r="N283" s="1"/>
      <c r="O283" s="1"/>
      <c r="P283" s="1"/>
      <c r="Q283" s="1"/>
      <c r="R283" s="1"/>
    </row>
    <row r="284" spans="1:18" ht="13.5" customHeight="1">
      <c r="A284" s="1"/>
      <c r="B284" s="1"/>
      <c r="C284" s="1"/>
      <c r="D284" s="1"/>
      <c r="E284" s="1"/>
      <c r="F284" s="1"/>
      <c r="G284" s="1"/>
      <c r="H284" s="1"/>
      <c r="I284" s="1"/>
      <c r="J284" s="1"/>
      <c r="K284" s="1"/>
      <c r="L284" s="1"/>
      <c r="M284" s="1"/>
      <c r="N284" s="1"/>
      <c r="O284" s="1"/>
      <c r="P284" s="1"/>
      <c r="Q284" s="1"/>
      <c r="R284" s="1"/>
    </row>
    <row r="285" spans="1:18" ht="13.5" customHeight="1">
      <c r="A285" s="1"/>
      <c r="B285" s="1"/>
      <c r="C285" s="1"/>
      <c r="D285" s="1"/>
      <c r="E285" s="1"/>
      <c r="F285" s="1"/>
      <c r="G285" s="1"/>
      <c r="H285" s="1"/>
      <c r="I285" s="1"/>
      <c r="J285" s="1"/>
      <c r="K285" s="1"/>
      <c r="L285" s="1"/>
      <c r="M285" s="1"/>
      <c r="N285" s="1"/>
      <c r="O285" s="1"/>
      <c r="P285" s="1"/>
      <c r="Q285" s="1"/>
      <c r="R285" s="1"/>
    </row>
    <row r="286" spans="1:18" ht="13.5" customHeight="1">
      <c r="A286" s="1"/>
      <c r="B286" s="1"/>
      <c r="C286" s="1"/>
      <c r="D286" s="1"/>
      <c r="E286" s="1"/>
      <c r="F286" s="1"/>
      <c r="G286" s="1"/>
      <c r="H286" s="1"/>
      <c r="I286" s="1"/>
      <c r="J286" s="1"/>
      <c r="K286" s="1"/>
      <c r="L286" s="1"/>
      <c r="M286" s="1"/>
      <c r="N286" s="1"/>
      <c r="O286" s="1"/>
      <c r="P286" s="1"/>
      <c r="Q286" s="1"/>
      <c r="R286" s="1"/>
    </row>
    <row r="287" spans="1:18" ht="13.5" customHeight="1">
      <c r="A287" s="1"/>
      <c r="B287" s="1"/>
      <c r="C287" s="1"/>
      <c r="D287" s="1"/>
      <c r="E287" s="1"/>
      <c r="F287" s="1"/>
      <c r="G287" s="1"/>
      <c r="H287" s="1"/>
      <c r="I287" s="1"/>
      <c r="J287" s="1"/>
      <c r="K287" s="1"/>
      <c r="L287" s="1"/>
      <c r="M287" s="1"/>
      <c r="N287" s="1"/>
      <c r="O287" s="1"/>
      <c r="P287" s="1"/>
      <c r="Q287" s="1"/>
      <c r="R287" s="1"/>
    </row>
    <row r="288" spans="1:18" ht="13.5" customHeight="1">
      <c r="A288" s="1"/>
      <c r="B288" s="1"/>
      <c r="C288" s="1"/>
      <c r="D288" s="1"/>
      <c r="E288" s="1"/>
      <c r="F288" s="1"/>
      <c r="G288" s="1"/>
      <c r="H288" s="1"/>
      <c r="I288" s="1"/>
      <c r="J288" s="1"/>
      <c r="K288" s="1"/>
      <c r="L288" s="1"/>
      <c r="M288" s="1"/>
      <c r="N288" s="1"/>
      <c r="O288" s="1"/>
      <c r="P288" s="1"/>
      <c r="Q288" s="1"/>
      <c r="R288" s="1"/>
    </row>
    <row r="289" spans="1:18" ht="13.5" customHeight="1">
      <c r="A289" s="1"/>
      <c r="B289" s="1"/>
      <c r="C289" s="1"/>
      <c r="D289" s="1"/>
      <c r="E289" s="1"/>
      <c r="F289" s="1"/>
      <c r="G289" s="1"/>
      <c r="H289" s="1"/>
      <c r="I289" s="1"/>
      <c r="J289" s="1"/>
      <c r="K289" s="1"/>
      <c r="L289" s="1"/>
      <c r="M289" s="1"/>
      <c r="N289" s="1"/>
      <c r="O289" s="1"/>
      <c r="P289" s="1"/>
      <c r="Q289" s="1"/>
      <c r="R289" s="1"/>
    </row>
    <row r="290" spans="1:18" ht="13.5" customHeight="1">
      <c r="A290" s="1"/>
      <c r="B290" s="1"/>
      <c r="C290" s="1"/>
      <c r="D290" s="1"/>
      <c r="E290" s="1"/>
      <c r="F290" s="1"/>
      <c r="G290" s="1"/>
      <c r="H290" s="1"/>
      <c r="I290" s="1"/>
      <c r="J290" s="1"/>
      <c r="K290" s="1"/>
      <c r="L290" s="1"/>
      <c r="M290" s="1"/>
      <c r="N290" s="1"/>
      <c r="O290" s="1"/>
      <c r="P290" s="1"/>
      <c r="Q290" s="1"/>
      <c r="R290" s="1"/>
    </row>
    <row r="291" spans="1:18" ht="13.5" customHeight="1">
      <c r="A291" s="1"/>
      <c r="B291" s="1"/>
      <c r="C291" s="1"/>
      <c r="D291" s="1"/>
      <c r="E291" s="1"/>
      <c r="F291" s="1"/>
      <c r="G291" s="1"/>
      <c r="H291" s="1"/>
      <c r="I291" s="1"/>
      <c r="J291" s="1"/>
      <c r="K291" s="1"/>
      <c r="L291" s="1"/>
      <c r="M291" s="1"/>
      <c r="N291" s="1"/>
      <c r="O291" s="1"/>
      <c r="P291" s="1"/>
      <c r="Q291" s="1"/>
      <c r="R291" s="1"/>
    </row>
    <row r="292" spans="1:18" ht="13.5" customHeight="1">
      <c r="A292" s="1"/>
      <c r="B292" s="1"/>
      <c r="C292" s="1"/>
      <c r="D292" s="1"/>
      <c r="E292" s="1"/>
      <c r="F292" s="1"/>
      <c r="G292" s="1"/>
      <c r="H292" s="1"/>
      <c r="I292" s="1"/>
      <c r="J292" s="1"/>
      <c r="K292" s="1"/>
      <c r="L292" s="1"/>
      <c r="M292" s="1"/>
      <c r="N292" s="1"/>
      <c r="O292" s="1"/>
      <c r="P292" s="1"/>
      <c r="Q292" s="1"/>
      <c r="R292" s="1"/>
    </row>
    <row r="293" spans="1:18" ht="13.5" customHeight="1">
      <c r="A293" s="1"/>
      <c r="B293" s="1"/>
      <c r="C293" s="1"/>
      <c r="D293" s="1"/>
      <c r="E293" s="1"/>
      <c r="F293" s="1"/>
      <c r="G293" s="1"/>
      <c r="H293" s="1"/>
      <c r="I293" s="1"/>
      <c r="J293" s="1"/>
      <c r="K293" s="1"/>
      <c r="L293" s="1"/>
      <c r="M293" s="1"/>
      <c r="N293" s="1"/>
      <c r="O293" s="1"/>
      <c r="P293" s="1"/>
      <c r="Q293" s="1"/>
      <c r="R293" s="1"/>
    </row>
    <row r="294" spans="1:18" ht="13.5" customHeight="1">
      <c r="A294" s="1"/>
      <c r="B294" s="1"/>
      <c r="C294" s="1"/>
      <c r="D294" s="1"/>
      <c r="E294" s="1"/>
      <c r="F294" s="1"/>
      <c r="G294" s="1"/>
      <c r="H294" s="1"/>
      <c r="I294" s="1"/>
      <c r="J294" s="1"/>
      <c r="K294" s="1"/>
      <c r="L294" s="1"/>
      <c r="M294" s="1"/>
      <c r="N294" s="1"/>
      <c r="O294" s="1"/>
      <c r="P294" s="1"/>
      <c r="Q294" s="1"/>
      <c r="R294" s="1"/>
    </row>
    <row r="295" spans="1:18" ht="13.5" customHeight="1">
      <c r="A295" s="1"/>
      <c r="B295" s="1"/>
      <c r="C295" s="1"/>
      <c r="D295" s="1"/>
      <c r="E295" s="1"/>
      <c r="F295" s="1"/>
      <c r="G295" s="1"/>
      <c r="H295" s="1"/>
      <c r="I295" s="1"/>
      <c r="J295" s="1"/>
      <c r="K295" s="1"/>
      <c r="L295" s="1"/>
      <c r="M295" s="1"/>
      <c r="N295" s="1"/>
      <c r="O295" s="1"/>
      <c r="P295" s="1"/>
      <c r="Q295" s="1"/>
      <c r="R295" s="1"/>
    </row>
    <row r="296" spans="1:18" ht="13.5" customHeight="1">
      <c r="A296" s="1"/>
      <c r="B296" s="1"/>
      <c r="C296" s="1"/>
      <c r="D296" s="1"/>
      <c r="E296" s="1"/>
      <c r="F296" s="1"/>
      <c r="G296" s="1"/>
      <c r="H296" s="1"/>
      <c r="I296" s="1"/>
      <c r="J296" s="1"/>
      <c r="K296" s="1"/>
      <c r="L296" s="1"/>
      <c r="M296" s="1"/>
      <c r="N296" s="1"/>
      <c r="O296" s="1"/>
      <c r="P296" s="1"/>
      <c r="Q296" s="1"/>
      <c r="R296" s="1"/>
    </row>
    <row r="297" spans="1:18" ht="13.5" customHeight="1">
      <c r="A297" s="1"/>
      <c r="B297" s="1"/>
      <c r="C297" s="1"/>
      <c r="D297" s="1"/>
      <c r="E297" s="1"/>
      <c r="F297" s="1"/>
      <c r="G297" s="1"/>
      <c r="H297" s="1"/>
      <c r="I297" s="1"/>
      <c r="J297" s="1"/>
      <c r="K297" s="1"/>
      <c r="L297" s="1"/>
      <c r="M297" s="1"/>
      <c r="N297" s="1"/>
      <c r="O297" s="1"/>
      <c r="P297" s="1"/>
      <c r="Q297" s="1"/>
      <c r="R297" s="1"/>
    </row>
    <row r="298" spans="1:18" ht="13.5" customHeight="1">
      <c r="A298" s="1"/>
      <c r="B298" s="1"/>
      <c r="C298" s="1"/>
      <c r="D298" s="1"/>
      <c r="E298" s="1"/>
      <c r="F298" s="1"/>
      <c r="G298" s="1"/>
      <c r="H298" s="1"/>
      <c r="I298" s="1"/>
      <c r="J298" s="1"/>
      <c r="K298" s="1"/>
      <c r="L298" s="1"/>
      <c r="M298" s="1"/>
      <c r="N298" s="1"/>
      <c r="O298" s="1"/>
      <c r="P298" s="1"/>
      <c r="Q298" s="1"/>
      <c r="R298" s="1"/>
    </row>
    <row r="299" spans="1:18" ht="13.5" customHeight="1">
      <c r="A299" s="1"/>
      <c r="B299" s="1"/>
      <c r="C299" s="1"/>
      <c r="D299" s="1"/>
      <c r="E299" s="1"/>
      <c r="F299" s="1"/>
      <c r="G299" s="1"/>
      <c r="H299" s="1"/>
      <c r="I299" s="1"/>
      <c r="J299" s="1"/>
      <c r="K299" s="1"/>
      <c r="L299" s="1"/>
      <c r="M299" s="1"/>
      <c r="N299" s="1"/>
      <c r="O299" s="1"/>
      <c r="P299" s="1"/>
      <c r="Q299" s="1"/>
      <c r="R299" s="1"/>
    </row>
    <row r="300" spans="1:18" ht="13.5" customHeight="1">
      <c r="A300" s="1"/>
      <c r="B300" s="1"/>
      <c r="C300" s="1"/>
      <c r="D300" s="1"/>
      <c r="E300" s="1"/>
      <c r="F300" s="1"/>
      <c r="G300" s="1"/>
      <c r="H300" s="1"/>
      <c r="I300" s="1"/>
      <c r="J300" s="1"/>
      <c r="K300" s="1"/>
      <c r="L300" s="1"/>
      <c r="M300" s="1"/>
      <c r="N300" s="1"/>
      <c r="O300" s="1"/>
      <c r="P300" s="1"/>
      <c r="Q300" s="1"/>
      <c r="R300" s="1"/>
    </row>
    <row r="301" spans="1:18" ht="13.5" customHeight="1">
      <c r="A301" s="1"/>
      <c r="B301" s="1"/>
      <c r="C301" s="1"/>
      <c r="D301" s="1"/>
      <c r="E301" s="1"/>
      <c r="F301" s="1"/>
      <c r="G301" s="1"/>
      <c r="H301" s="1"/>
      <c r="I301" s="1"/>
      <c r="J301" s="1"/>
      <c r="K301" s="1"/>
      <c r="L301" s="1"/>
      <c r="M301" s="1"/>
      <c r="N301" s="1"/>
      <c r="O301" s="1"/>
      <c r="P301" s="1"/>
      <c r="Q301" s="1"/>
      <c r="R301" s="1"/>
    </row>
    <row r="302" spans="1:18" ht="13.5" customHeight="1">
      <c r="A302" s="1"/>
      <c r="B302" s="1"/>
      <c r="C302" s="1"/>
      <c r="D302" s="1"/>
      <c r="E302" s="1"/>
      <c r="F302" s="1"/>
      <c r="G302" s="1"/>
      <c r="H302" s="1"/>
      <c r="I302" s="1"/>
      <c r="J302" s="1"/>
      <c r="K302" s="1"/>
      <c r="L302" s="1"/>
      <c r="M302" s="1"/>
      <c r="N302" s="1"/>
      <c r="O302" s="1"/>
      <c r="P302" s="1"/>
      <c r="Q302" s="1"/>
      <c r="R302" s="1"/>
    </row>
    <row r="303" spans="1:18" ht="13.5" customHeight="1">
      <c r="A303" s="1"/>
      <c r="B303" s="1"/>
      <c r="C303" s="1"/>
      <c r="D303" s="1"/>
      <c r="E303" s="1"/>
      <c r="F303" s="1"/>
      <c r="G303" s="1"/>
      <c r="H303" s="1"/>
      <c r="I303" s="1"/>
      <c r="J303" s="1"/>
      <c r="K303" s="1"/>
      <c r="L303" s="1"/>
      <c r="M303" s="1"/>
      <c r="N303" s="1"/>
      <c r="O303" s="1"/>
      <c r="P303" s="1"/>
      <c r="Q303" s="1"/>
      <c r="R303" s="1"/>
    </row>
    <row r="304" spans="1:18" ht="13.5" customHeight="1">
      <c r="A304" s="1"/>
      <c r="B304" s="1"/>
      <c r="C304" s="1"/>
      <c r="D304" s="1"/>
      <c r="E304" s="1"/>
      <c r="F304" s="1"/>
      <c r="G304" s="1"/>
      <c r="H304" s="1"/>
      <c r="I304" s="1"/>
      <c r="J304" s="1"/>
      <c r="K304" s="1"/>
      <c r="L304" s="1"/>
      <c r="M304" s="1"/>
      <c r="N304" s="1"/>
      <c r="O304" s="1"/>
      <c r="P304" s="1"/>
      <c r="Q304" s="1"/>
      <c r="R304" s="1"/>
    </row>
    <row r="305" spans="1:18" ht="13.5" customHeight="1">
      <c r="A305" s="1"/>
      <c r="B305" s="1"/>
      <c r="C305" s="1"/>
      <c r="D305" s="1"/>
      <c r="E305" s="1"/>
      <c r="F305" s="1"/>
      <c r="G305" s="1"/>
      <c r="H305" s="1"/>
      <c r="I305" s="1"/>
      <c r="J305" s="1"/>
      <c r="K305" s="1"/>
      <c r="L305" s="1"/>
      <c r="M305" s="1"/>
      <c r="N305" s="1"/>
      <c r="O305" s="1"/>
      <c r="P305" s="1"/>
      <c r="Q305" s="1"/>
      <c r="R305" s="1"/>
    </row>
    <row r="306" spans="1:18" ht="13.5" customHeight="1">
      <c r="A306" s="1"/>
      <c r="B306" s="1"/>
      <c r="C306" s="1"/>
      <c r="D306" s="1"/>
      <c r="E306" s="1"/>
      <c r="F306" s="1"/>
      <c r="G306" s="1"/>
      <c r="H306" s="1"/>
      <c r="I306" s="1"/>
      <c r="J306" s="1"/>
      <c r="K306" s="1"/>
      <c r="L306" s="1"/>
      <c r="M306" s="1"/>
      <c r="N306" s="1"/>
      <c r="O306" s="1"/>
      <c r="P306" s="1"/>
      <c r="Q306" s="1"/>
      <c r="R306" s="1"/>
    </row>
    <row r="307" spans="1:18" ht="13.5" customHeight="1">
      <c r="A307" s="1"/>
      <c r="B307" s="1"/>
      <c r="C307" s="1"/>
      <c r="D307" s="1"/>
      <c r="E307" s="1"/>
      <c r="F307" s="1"/>
      <c r="G307" s="1"/>
      <c r="H307" s="1"/>
      <c r="I307" s="1"/>
      <c r="J307" s="1"/>
      <c r="K307" s="1"/>
      <c r="L307" s="1"/>
      <c r="M307" s="1"/>
      <c r="N307" s="1"/>
      <c r="O307" s="1"/>
      <c r="P307" s="1"/>
      <c r="Q307" s="1"/>
      <c r="R307" s="1"/>
    </row>
    <row r="308" spans="1:18" ht="13.5" customHeight="1">
      <c r="A308" s="1"/>
      <c r="B308" s="1"/>
      <c r="C308" s="1"/>
      <c r="D308" s="1"/>
      <c r="E308" s="1"/>
      <c r="F308" s="1"/>
      <c r="G308" s="1"/>
      <c r="H308" s="1"/>
      <c r="I308" s="1"/>
      <c r="J308" s="1"/>
      <c r="K308" s="1"/>
      <c r="L308" s="1"/>
      <c r="M308" s="1"/>
      <c r="N308" s="1"/>
      <c r="O308" s="1"/>
      <c r="P308" s="1"/>
      <c r="Q308" s="1"/>
      <c r="R308" s="1"/>
    </row>
    <row r="309" spans="1:18" ht="13.5" customHeight="1">
      <c r="A309" s="1"/>
      <c r="B309" s="1"/>
      <c r="C309" s="1"/>
      <c r="D309" s="1"/>
      <c r="E309" s="1"/>
      <c r="F309" s="1"/>
      <c r="G309" s="1"/>
      <c r="H309" s="1"/>
      <c r="I309" s="1"/>
      <c r="J309" s="1"/>
      <c r="K309" s="1"/>
      <c r="L309" s="1"/>
      <c r="M309" s="1"/>
      <c r="N309" s="1"/>
      <c r="O309" s="1"/>
      <c r="P309" s="1"/>
      <c r="Q309" s="1"/>
      <c r="R309" s="1"/>
    </row>
    <row r="310" spans="1:18" ht="13.5" customHeight="1">
      <c r="A310" s="1"/>
      <c r="B310" s="1"/>
      <c r="C310" s="1"/>
      <c r="D310" s="1"/>
      <c r="E310" s="1"/>
      <c r="F310" s="1"/>
      <c r="G310" s="1"/>
      <c r="H310" s="1"/>
      <c r="I310" s="1"/>
      <c r="J310" s="1"/>
      <c r="K310" s="1"/>
      <c r="L310" s="1"/>
      <c r="M310" s="1"/>
      <c r="N310" s="1"/>
      <c r="O310" s="1"/>
      <c r="P310" s="1"/>
      <c r="Q310" s="1"/>
      <c r="R310" s="1"/>
    </row>
    <row r="311" spans="1:18" ht="13.5" customHeight="1">
      <c r="A311" s="1"/>
      <c r="B311" s="1"/>
      <c r="C311" s="1"/>
      <c r="D311" s="1"/>
      <c r="E311" s="1"/>
      <c r="F311" s="1"/>
      <c r="G311" s="1"/>
      <c r="H311" s="1"/>
      <c r="I311" s="1"/>
      <c r="J311" s="1"/>
      <c r="K311" s="1"/>
      <c r="L311" s="1"/>
      <c r="M311" s="1"/>
      <c r="N311" s="1"/>
      <c r="O311" s="1"/>
      <c r="P311" s="1"/>
      <c r="Q311" s="1"/>
      <c r="R311" s="1"/>
    </row>
    <row r="312" spans="1:18" ht="13.5" customHeight="1">
      <c r="A312" s="1"/>
      <c r="B312" s="1"/>
      <c r="C312" s="1"/>
      <c r="D312" s="1"/>
      <c r="E312" s="1"/>
      <c r="F312" s="1"/>
      <c r="G312" s="1"/>
      <c r="H312" s="1"/>
      <c r="I312" s="1"/>
      <c r="J312" s="1"/>
      <c r="K312" s="1"/>
      <c r="L312" s="1"/>
      <c r="M312" s="1"/>
      <c r="N312" s="1"/>
      <c r="O312" s="1"/>
      <c r="P312" s="1"/>
      <c r="Q312" s="1"/>
      <c r="R312" s="1"/>
    </row>
    <row r="313" spans="1:18" ht="13.5" customHeight="1">
      <c r="A313" s="1"/>
      <c r="B313" s="1"/>
      <c r="C313" s="1"/>
      <c r="D313" s="1"/>
      <c r="E313" s="1"/>
      <c r="F313" s="1"/>
      <c r="G313" s="1"/>
      <c r="H313" s="1"/>
      <c r="I313" s="1"/>
      <c r="J313" s="1"/>
      <c r="K313" s="1"/>
      <c r="L313" s="1"/>
      <c r="M313" s="1"/>
      <c r="N313" s="1"/>
      <c r="O313" s="1"/>
      <c r="P313" s="1"/>
      <c r="Q313" s="1"/>
      <c r="R313" s="1"/>
    </row>
    <row r="314" spans="1:18" ht="13.5" customHeight="1">
      <c r="A314" s="1"/>
      <c r="B314" s="1"/>
      <c r="C314" s="1"/>
      <c r="D314" s="1"/>
      <c r="E314" s="1"/>
      <c r="F314" s="1"/>
      <c r="G314" s="1"/>
      <c r="H314" s="1"/>
      <c r="I314" s="1"/>
      <c r="J314" s="1"/>
      <c r="K314" s="1"/>
      <c r="L314" s="1"/>
      <c r="M314" s="1"/>
      <c r="N314" s="1"/>
      <c r="O314" s="1"/>
      <c r="P314" s="1"/>
      <c r="Q314" s="1"/>
      <c r="R314" s="1"/>
    </row>
    <row r="315" spans="1:18" ht="13.5" customHeight="1">
      <c r="A315" s="1"/>
      <c r="B315" s="1"/>
      <c r="C315" s="1"/>
      <c r="D315" s="1"/>
      <c r="E315" s="1"/>
      <c r="F315" s="1"/>
      <c r="G315" s="1"/>
      <c r="H315" s="1"/>
      <c r="I315" s="1"/>
      <c r="J315" s="1"/>
      <c r="K315" s="1"/>
      <c r="L315" s="1"/>
      <c r="M315" s="1"/>
      <c r="N315" s="1"/>
      <c r="O315" s="1"/>
      <c r="P315" s="1"/>
      <c r="Q315" s="1"/>
      <c r="R315" s="1"/>
    </row>
    <row r="316" spans="1:18" ht="13.5" customHeight="1">
      <c r="A316" s="1"/>
      <c r="B316" s="1"/>
      <c r="C316" s="1"/>
      <c r="D316" s="1"/>
      <c r="E316" s="1"/>
      <c r="F316" s="1"/>
      <c r="G316" s="1"/>
      <c r="H316" s="1"/>
      <c r="I316" s="1"/>
      <c r="J316" s="1"/>
      <c r="K316" s="1"/>
      <c r="L316" s="1"/>
      <c r="M316" s="1"/>
      <c r="N316" s="1"/>
      <c r="O316" s="1"/>
      <c r="P316" s="1"/>
      <c r="Q316" s="1"/>
      <c r="R316" s="1"/>
    </row>
    <row r="317" spans="1:18" ht="13.5" customHeight="1">
      <c r="A317" s="1"/>
      <c r="B317" s="1"/>
      <c r="C317" s="1"/>
      <c r="D317" s="1"/>
      <c r="E317" s="1"/>
      <c r="F317" s="1"/>
      <c r="G317" s="1"/>
      <c r="H317" s="1"/>
      <c r="I317" s="1"/>
      <c r="J317" s="1"/>
      <c r="K317" s="1"/>
      <c r="L317" s="1"/>
      <c r="M317" s="1"/>
      <c r="N317" s="1"/>
      <c r="O317" s="1"/>
      <c r="P317" s="1"/>
      <c r="Q317" s="1"/>
      <c r="R317" s="1"/>
    </row>
    <row r="318" spans="1:18" ht="13.5" customHeight="1">
      <c r="A318" s="1"/>
      <c r="B318" s="1"/>
      <c r="C318" s="1"/>
      <c r="D318" s="1"/>
      <c r="E318" s="1"/>
      <c r="F318" s="1"/>
      <c r="G318" s="1"/>
      <c r="H318" s="1"/>
      <c r="I318" s="1"/>
      <c r="J318" s="1"/>
      <c r="K318" s="1"/>
      <c r="L318" s="1"/>
      <c r="M318" s="1"/>
      <c r="N318" s="1"/>
      <c r="O318" s="1"/>
      <c r="P318" s="1"/>
      <c r="Q318" s="1"/>
      <c r="R318" s="1"/>
    </row>
    <row r="319" spans="1:18" ht="13.5" customHeight="1">
      <c r="A319" s="1"/>
      <c r="B319" s="1"/>
      <c r="C319" s="1"/>
      <c r="D319" s="1"/>
      <c r="E319" s="1"/>
      <c r="F319" s="1"/>
      <c r="G319" s="1"/>
      <c r="H319" s="1"/>
      <c r="I319" s="1"/>
      <c r="J319" s="1"/>
      <c r="K319" s="1"/>
      <c r="L319" s="1"/>
      <c r="M319" s="1"/>
      <c r="N319" s="1"/>
      <c r="O319" s="1"/>
      <c r="P319" s="1"/>
      <c r="Q319" s="1"/>
      <c r="R319" s="1"/>
    </row>
    <row r="320" spans="1:18" ht="13.5" customHeight="1">
      <c r="A320" s="1"/>
      <c r="B320" s="1"/>
      <c r="C320" s="1"/>
      <c r="D320" s="1"/>
      <c r="E320" s="1"/>
      <c r="F320" s="1"/>
      <c r="G320" s="1"/>
      <c r="H320" s="1"/>
      <c r="I320" s="1"/>
      <c r="J320" s="1"/>
      <c r="K320" s="1"/>
      <c r="L320" s="1"/>
      <c r="M320" s="1"/>
      <c r="N320" s="1"/>
      <c r="O320" s="1"/>
      <c r="P320" s="1"/>
      <c r="Q320" s="1"/>
      <c r="R320" s="1"/>
    </row>
    <row r="321" spans="1:18" ht="13.5" customHeight="1">
      <c r="A321" s="1"/>
      <c r="B321" s="1"/>
      <c r="C321" s="1"/>
      <c r="D321" s="1"/>
      <c r="E321" s="1"/>
      <c r="F321" s="1"/>
      <c r="G321" s="1"/>
      <c r="H321" s="1"/>
      <c r="I321" s="1"/>
      <c r="J321" s="1"/>
      <c r="K321" s="1"/>
      <c r="L321" s="1"/>
      <c r="M321" s="1"/>
      <c r="N321" s="1"/>
      <c r="O321" s="1"/>
      <c r="P321" s="1"/>
      <c r="Q321" s="1"/>
      <c r="R321" s="1"/>
    </row>
    <row r="322" spans="1:18" ht="13.5" customHeight="1">
      <c r="A322" s="1"/>
      <c r="B322" s="1"/>
      <c r="C322" s="1"/>
      <c r="D322" s="1"/>
      <c r="E322" s="1"/>
      <c r="F322" s="1"/>
      <c r="G322" s="1"/>
      <c r="H322" s="1"/>
      <c r="I322" s="1"/>
      <c r="J322" s="1"/>
      <c r="K322" s="1"/>
      <c r="L322" s="1"/>
      <c r="M322" s="1"/>
      <c r="N322" s="1"/>
      <c r="O322" s="1"/>
      <c r="P322" s="1"/>
      <c r="Q322" s="1"/>
      <c r="R322" s="1"/>
    </row>
    <row r="323" spans="1:18" ht="13.5" customHeight="1">
      <c r="A323" s="1"/>
      <c r="B323" s="1"/>
      <c r="C323" s="1"/>
      <c r="D323" s="1"/>
      <c r="E323" s="1"/>
      <c r="F323" s="1"/>
      <c r="G323" s="1"/>
      <c r="H323" s="1"/>
      <c r="I323" s="1"/>
      <c r="J323" s="1"/>
      <c r="K323" s="1"/>
      <c r="L323" s="1"/>
      <c r="M323" s="1"/>
      <c r="N323" s="1"/>
      <c r="O323" s="1"/>
      <c r="P323" s="1"/>
      <c r="Q323" s="1"/>
      <c r="R323" s="1"/>
    </row>
    <row r="324" spans="1:18" ht="13.5" customHeight="1">
      <c r="A324" s="1"/>
      <c r="B324" s="1"/>
      <c r="C324" s="1"/>
      <c r="D324" s="1"/>
      <c r="E324" s="1"/>
      <c r="F324" s="1"/>
      <c r="G324" s="1"/>
      <c r="H324" s="1"/>
      <c r="I324" s="1"/>
      <c r="J324" s="1"/>
      <c r="K324" s="1"/>
      <c r="L324" s="1"/>
      <c r="M324" s="1"/>
      <c r="N324" s="1"/>
      <c r="O324" s="1"/>
      <c r="P324" s="1"/>
      <c r="Q324" s="1"/>
      <c r="R324" s="1"/>
    </row>
    <row r="325" spans="1:18" ht="13.5" customHeight="1">
      <c r="A325" s="1"/>
      <c r="B325" s="1"/>
      <c r="C325" s="1"/>
      <c r="D325" s="1"/>
      <c r="E325" s="1"/>
      <c r="F325" s="1"/>
      <c r="G325" s="1"/>
      <c r="H325" s="1"/>
      <c r="I325" s="1"/>
      <c r="J325" s="1"/>
      <c r="K325" s="1"/>
      <c r="L325" s="1"/>
      <c r="M325" s="1"/>
      <c r="N325" s="1"/>
      <c r="O325" s="1"/>
      <c r="P325" s="1"/>
      <c r="Q325" s="1"/>
      <c r="R325" s="1"/>
    </row>
    <row r="326" spans="1:18" ht="13.5" customHeight="1">
      <c r="A326" s="1"/>
      <c r="B326" s="1"/>
      <c r="C326" s="1"/>
      <c r="D326" s="1"/>
      <c r="E326" s="1"/>
      <c r="F326" s="1"/>
      <c r="G326" s="1"/>
      <c r="H326" s="1"/>
      <c r="I326" s="1"/>
      <c r="J326" s="1"/>
      <c r="K326" s="1"/>
      <c r="L326" s="1"/>
      <c r="M326" s="1"/>
      <c r="N326" s="1"/>
      <c r="O326" s="1"/>
      <c r="P326" s="1"/>
      <c r="Q326" s="1"/>
      <c r="R326" s="1"/>
    </row>
    <row r="327" spans="1:18" ht="13.5" customHeight="1">
      <c r="A327" s="1"/>
      <c r="B327" s="1"/>
      <c r="C327" s="1"/>
      <c r="D327" s="1"/>
      <c r="E327" s="1"/>
      <c r="F327" s="1"/>
      <c r="G327" s="1"/>
      <c r="H327" s="1"/>
      <c r="I327" s="1"/>
      <c r="J327" s="1"/>
      <c r="K327" s="1"/>
      <c r="L327" s="1"/>
      <c r="M327" s="1"/>
      <c r="N327" s="1"/>
      <c r="O327" s="1"/>
      <c r="P327" s="1"/>
      <c r="Q327" s="1"/>
      <c r="R327" s="1"/>
    </row>
    <row r="328" spans="1:18" ht="13.5" customHeight="1">
      <c r="A328" s="1"/>
      <c r="B328" s="1"/>
      <c r="C328" s="1"/>
      <c r="D328" s="1"/>
      <c r="E328" s="1"/>
      <c r="F328" s="1"/>
      <c r="G328" s="1"/>
      <c r="H328" s="1"/>
      <c r="I328" s="1"/>
      <c r="J328" s="1"/>
      <c r="K328" s="1"/>
      <c r="L328" s="1"/>
      <c r="M328" s="1"/>
      <c r="N328" s="1"/>
      <c r="O328" s="1"/>
      <c r="P328" s="1"/>
      <c r="Q328" s="1"/>
      <c r="R328" s="1"/>
    </row>
    <row r="329" spans="1:18" ht="13.5" customHeight="1">
      <c r="A329" s="1"/>
      <c r="B329" s="1"/>
      <c r="C329" s="1"/>
      <c r="D329" s="1"/>
      <c r="E329" s="1"/>
      <c r="F329" s="1"/>
      <c r="G329" s="1"/>
      <c r="H329" s="1"/>
      <c r="I329" s="1"/>
      <c r="J329" s="1"/>
      <c r="K329" s="1"/>
      <c r="L329" s="1"/>
      <c r="M329" s="1"/>
      <c r="N329" s="1"/>
      <c r="O329" s="1"/>
      <c r="P329" s="1"/>
      <c r="Q329" s="1"/>
      <c r="R329" s="1"/>
    </row>
    <row r="330" spans="1:18" ht="13.5" customHeight="1">
      <c r="A330" s="1"/>
      <c r="B330" s="1"/>
      <c r="C330" s="1"/>
      <c r="D330" s="1"/>
      <c r="E330" s="1"/>
      <c r="F330" s="1"/>
      <c r="G330" s="1"/>
      <c r="H330" s="1"/>
      <c r="I330" s="1"/>
      <c r="J330" s="1"/>
      <c r="K330" s="1"/>
      <c r="L330" s="1"/>
      <c r="M330" s="1"/>
      <c r="N330" s="1"/>
      <c r="O330" s="1"/>
      <c r="P330" s="1"/>
      <c r="Q330" s="1"/>
      <c r="R330" s="1"/>
    </row>
    <row r="331" spans="1:18" ht="13.5" customHeight="1">
      <c r="A331" s="1"/>
      <c r="B331" s="1"/>
      <c r="C331" s="1"/>
      <c r="D331" s="1"/>
      <c r="E331" s="1"/>
      <c r="F331" s="1"/>
      <c r="G331" s="1"/>
      <c r="H331" s="1"/>
      <c r="I331" s="1"/>
      <c r="J331" s="1"/>
      <c r="K331" s="1"/>
      <c r="L331" s="1"/>
      <c r="M331" s="1"/>
      <c r="N331" s="1"/>
      <c r="O331" s="1"/>
      <c r="P331" s="1"/>
      <c r="Q331" s="1"/>
      <c r="R331" s="1"/>
    </row>
    <row r="332" spans="1:18" ht="13.5" customHeight="1">
      <c r="A332" s="1"/>
      <c r="B332" s="1"/>
      <c r="C332" s="1"/>
      <c r="D332" s="1"/>
      <c r="E332" s="1"/>
      <c r="F332" s="1"/>
      <c r="G332" s="1"/>
      <c r="H332" s="1"/>
      <c r="I332" s="1"/>
      <c r="J332" s="1"/>
      <c r="K332" s="1"/>
      <c r="L332" s="1"/>
      <c r="M332" s="1"/>
      <c r="N332" s="1"/>
      <c r="O332" s="1"/>
      <c r="P332" s="1"/>
      <c r="Q332" s="1"/>
      <c r="R332" s="1"/>
    </row>
    <row r="333" spans="1:18" ht="13.5" customHeight="1">
      <c r="A333" s="1"/>
      <c r="B333" s="1"/>
      <c r="C333" s="1"/>
      <c r="D333" s="1"/>
      <c r="E333" s="1"/>
      <c r="F333" s="1"/>
      <c r="G333" s="1"/>
      <c r="H333" s="1"/>
      <c r="I333" s="1"/>
      <c r="J333" s="1"/>
      <c r="K333" s="1"/>
      <c r="L333" s="1"/>
      <c r="M333" s="1"/>
      <c r="N333" s="1"/>
      <c r="O333" s="1"/>
      <c r="P333" s="1"/>
      <c r="Q333" s="1"/>
      <c r="R333" s="1"/>
    </row>
    <row r="334" spans="1:18" ht="13.5" customHeight="1">
      <c r="A334" s="1"/>
      <c r="B334" s="1"/>
      <c r="C334" s="1"/>
      <c r="D334" s="1"/>
      <c r="E334" s="1"/>
      <c r="F334" s="1"/>
      <c r="G334" s="1"/>
      <c r="H334" s="1"/>
      <c r="I334" s="1"/>
      <c r="J334" s="1"/>
      <c r="K334" s="1"/>
      <c r="L334" s="1"/>
      <c r="M334" s="1"/>
      <c r="N334" s="1"/>
      <c r="O334" s="1"/>
      <c r="P334" s="1"/>
      <c r="Q334" s="1"/>
      <c r="R334" s="1"/>
    </row>
    <row r="335" spans="1:18" ht="13.5" customHeight="1">
      <c r="A335" s="1"/>
      <c r="B335" s="1"/>
      <c r="C335" s="1"/>
      <c r="D335" s="1"/>
      <c r="E335" s="1"/>
      <c r="F335" s="1"/>
      <c r="G335" s="1"/>
      <c r="H335" s="1"/>
      <c r="I335" s="1"/>
      <c r="J335" s="1"/>
      <c r="K335" s="1"/>
      <c r="L335" s="1"/>
      <c r="M335" s="1"/>
      <c r="N335" s="1"/>
      <c r="O335" s="1"/>
      <c r="P335" s="1"/>
      <c r="Q335" s="1"/>
      <c r="R335" s="1"/>
    </row>
    <row r="336" spans="1:18" ht="13.5" customHeight="1">
      <c r="A336" s="1"/>
      <c r="B336" s="1"/>
      <c r="C336" s="1"/>
      <c r="D336" s="1"/>
      <c r="E336" s="1"/>
      <c r="F336" s="1"/>
      <c r="G336" s="1"/>
      <c r="H336" s="1"/>
      <c r="I336" s="1"/>
      <c r="J336" s="1"/>
      <c r="K336" s="1"/>
      <c r="L336" s="1"/>
      <c r="M336" s="1"/>
      <c r="N336" s="1"/>
      <c r="O336" s="1"/>
      <c r="P336" s="1"/>
      <c r="Q336" s="1"/>
      <c r="R336" s="1"/>
    </row>
    <row r="337" spans="1:18" ht="13.5" customHeight="1">
      <c r="A337" s="1"/>
      <c r="B337" s="1"/>
      <c r="C337" s="1"/>
      <c r="D337" s="1"/>
      <c r="E337" s="1"/>
      <c r="F337" s="1"/>
      <c r="G337" s="1"/>
      <c r="H337" s="1"/>
      <c r="I337" s="1"/>
      <c r="J337" s="1"/>
      <c r="K337" s="1"/>
      <c r="L337" s="1"/>
      <c r="M337" s="1"/>
      <c r="N337" s="1"/>
      <c r="O337" s="1"/>
      <c r="P337" s="1"/>
      <c r="Q337" s="1"/>
      <c r="R337" s="1"/>
    </row>
    <row r="338" spans="1:18" ht="13.5" customHeight="1">
      <c r="A338" s="1"/>
      <c r="B338" s="1"/>
      <c r="C338" s="1"/>
      <c r="D338" s="1"/>
      <c r="E338" s="1"/>
      <c r="F338" s="1"/>
      <c r="G338" s="1"/>
      <c r="H338" s="1"/>
      <c r="I338" s="1"/>
      <c r="J338" s="1"/>
      <c r="K338" s="1"/>
      <c r="L338" s="1"/>
      <c r="M338" s="1"/>
      <c r="N338" s="1"/>
      <c r="O338" s="1"/>
      <c r="P338" s="1"/>
      <c r="Q338" s="1"/>
      <c r="R338" s="1"/>
    </row>
    <row r="339" spans="1:18" ht="13.5" customHeight="1">
      <c r="A339" s="1"/>
      <c r="B339" s="1"/>
      <c r="C339" s="1"/>
      <c r="D339" s="1"/>
      <c r="E339" s="1"/>
      <c r="F339" s="1"/>
      <c r="G339" s="1"/>
      <c r="H339" s="1"/>
      <c r="I339" s="1"/>
      <c r="J339" s="1"/>
      <c r="K339" s="1"/>
      <c r="L339" s="1"/>
      <c r="M339" s="1"/>
      <c r="N339" s="1"/>
      <c r="O339" s="1"/>
      <c r="P339" s="1"/>
      <c r="Q339" s="1"/>
      <c r="R339" s="1"/>
    </row>
    <row r="340" spans="1:18" ht="13.5" customHeight="1">
      <c r="A340" s="1"/>
      <c r="B340" s="1"/>
      <c r="C340" s="1"/>
      <c r="D340" s="1"/>
      <c r="E340" s="1"/>
      <c r="F340" s="1"/>
      <c r="G340" s="1"/>
      <c r="H340" s="1"/>
      <c r="I340" s="1"/>
      <c r="J340" s="1"/>
      <c r="K340" s="1"/>
      <c r="L340" s="1"/>
      <c r="M340" s="1"/>
      <c r="N340" s="1"/>
      <c r="O340" s="1"/>
      <c r="P340" s="1"/>
      <c r="Q340" s="1"/>
      <c r="R340" s="1"/>
    </row>
    <row r="341" spans="1:18" ht="13.5" customHeight="1">
      <c r="A341" s="1"/>
      <c r="B341" s="1"/>
      <c r="C341" s="1"/>
      <c r="D341" s="1"/>
      <c r="E341" s="1"/>
      <c r="F341" s="1"/>
      <c r="G341" s="1"/>
      <c r="H341" s="1"/>
      <c r="I341" s="1"/>
      <c r="J341" s="1"/>
      <c r="K341" s="1"/>
      <c r="L341" s="1"/>
      <c r="M341" s="1"/>
      <c r="N341" s="1"/>
      <c r="O341" s="1"/>
      <c r="P341" s="1"/>
      <c r="Q341" s="1"/>
      <c r="R341" s="1"/>
    </row>
    <row r="342" spans="1:18" ht="13.5" customHeight="1">
      <c r="A342" s="1"/>
      <c r="B342" s="1"/>
      <c r="C342" s="1"/>
      <c r="D342" s="1"/>
      <c r="E342" s="1"/>
      <c r="F342" s="1"/>
      <c r="G342" s="1"/>
      <c r="H342" s="1"/>
      <c r="I342" s="1"/>
      <c r="J342" s="1"/>
      <c r="K342" s="1"/>
      <c r="L342" s="1"/>
      <c r="M342" s="1"/>
      <c r="N342" s="1"/>
      <c r="O342" s="1"/>
      <c r="P342" s="1"/>
      <c r="Q342" s="1"/>
      <c r="R342" s="1"/>
    </row>
    <row r="343" spans="1:18" ht="13.5" customHeight="1">
      <c r="A343" s="1"/>
      <c r="B343" s="1"/>
      <c r="C343" s="1"/>
      <c r="D343" s="1"/>
      <c r="E343" s="1"/>
      <c r="F343" s="1"/>
      <c r="G343" s="1"/>
      <c r="H343" s="1"/>
      <c r="I343" s="1"/>
      <c r="J343" s="1"/>
      <c r="K343" s="1"/>
      <c r="L343" s="1"/>
      <c r="M343" s="1"/>
      <c r="N343" s="1"/>
      <c r="O343" s="1"/>
      <c r="P343" s="1"/>
      <c r="Q343" s="1"/>
      <c r="R343" s="1"/>
    </row>
    <row r="344" spans="1:18" ht="13.5" customHeight="1">
      <c r="A344" s="1"/>
      <c r="B344" s="1"/>
      <c r="C344" s="1"/>
      <c r="D344" s="1"/>
      <c r="E344" s="1"/>
      <c r="F344" s="1"/>
      <c r="G344" s="1"/>
      <c r="H344" s="1"/>
      <c r="I344" s="1"/>
      <c r="J344" s="1"/>
      <c r="K344" s="1"/>
      <c r="L344" s="1"/>
      <c r="M344" s="1"/>
      <c r="N344" s="1"/>
      <c r="O344" s="1"/>
      <c r="P344" s="1"/>
      <c r="Q344" s="1"/>
      <c r="R344" s="1"/>
    </row>
    <row r="345" spans="1:18" ht="13.5" customHeight="1">
      <c r="A345" s="1"/>
      <c r="B345" s="1"/>
      <c r="C345" s="1"/>
      <c r="D345" s="1"/>
      <c r="E345" s="1"/>
      <c r="F345" s="1"/>
      <c r="G345" s="1"/>
      <c r="H345" s="1"/>
      <c r="I345" s="1"/>
      <c r="J345" s="1"/>
      <c r="K345" s="1"/>
      <c r="L345" s="1"/>
      <c r="M345" s="1"/>
      <c r="N345" s="1"/>
      <c r="O345" s="1"/>
      <c r="P345" s="1"/>
      <c r="Q345" s="1"/>
      <c r="R345" s="1"/>
    </row>
    <row r="346" spans="1:18" ht="13.5" customHeight="1">
      <c r="A346" s="1"/>
      <c r="B346" s="1"/>
      <c r="C346" s="1"/>
      <c r="D346" s="1"/>
      <c r="E346" s="1"/>
      <c r="F346" s="1"/>
      <c r="G346" s="1"/>
      <c r="H346" s="1"/>
      <c r="I346" s="1"/>
      <c r="J346" s="1"/>
      <c r="K346" s="1"/>
      <c r="L346" s="1"/>
      <c r="M346" s="1"/>
      <c r="N346" s="1"/>
      <c r="O346" s="1"/>
      <c r="P346" s="1"/>
      <c r="Q346" s="1"/>
      <c r="R346" s="1"/>
    </row>
    <row r="347" spans="1:18" ht="13.5" customHeight="1">
      <c r="A347" s="1"/>
      <c r="B347" s="1"/>
      <c r="C347" s="1"/>
      <c r="D347" s="1"/>
      <c r="E347" s="1"/>
      <c r="F347" s="1"/>
      <c r="G347" s="1"/>
      <c r="H347" s="1"/>
      <c r="I347" s="1"/>
      <c r="J347" s="1"/>
      <c r="K347" s="1"/>
      <c r="L347" s="1"/>
      <c r="M347" s="1"/>
      <c r="N347" s="1"/>
      <c r="O347" s="1"/>
      <c r="P347" s="1"/>
      <c r="Q347" s="1"/>
      <c r="R347" s="1"/>
    </row>
    <row r="348" spans="1:18" ht="13.5" customHeight="1">
      <c r="A348" s="1"/>
      <c r="B348" s="1"/>
      <c r="C348" s="1"/>
      <c r="D348" s="1"/>
      <c r="E348" s="1"/>
      <c r="F348" s="1"/>
      <c r="G348" s="1"/>
      <c r="H348" s="1"/>
      <c r="I348" s="1"/>
      <c r="J348" s="1"/>
      <c r="K348" s="1"/>
      <c r="L348" s="1"/>
      <c r="M348" s="1"/>
      <c r="N348" s="1"/>
      <c r="O348" s="1"/>
      <c r="P348" s="1"/>
      <c r="Q348" s="1"/>
      <c r="R348" s="1"/>
    </row>
    <row r="349" spans="1:18" ht="15.75" customHeight="1">
      <c r="A349" s="1"/>
      <c r="B349" s="1"/>
      <c r="C349" s="1"/>
      <c r="D349" s="1"/>
      <c r="E349" s="1"/>
      <c r="F349" s="1"/>
      <c r="G349" s="1"/>
      <c r="H349" s="1"/>
      <c r="I349" s="1"/>
      <c r="J349" s="1"/>
      <c r="K349" s="1"/>
      <c r="L349" s="1"/>
      <c r="M349" s="1"/>
      <c r="N349" s="1"/>
      <c r="O349" s="1"/>
      <c r="P349" s="1"/>
      <c r="Q349" s="1"/>
      <c r="R349" s="1"/>
    </row>
    <row r="350" spans="1:18" ht="15.75" customHeight="1">
      <c r="A350" s="1"/>
      <c r="B350" s="1"/>
      <c r="C350" s="1"/>
      <c r="D350" s="1"/>
      <c r="E350" s="1"/>
      <c r="F350" s="1"/>
      <c r="G350" s="1"/>
      <c r="H350" s="1"/>
      <c r="I350" s="1"/>
      <c r="J350" s="1"/>
      <c r="K350" s="1"/>
      <c r="L350" s="1"/>
      <c r="M350" s="1"/>
      <c r="N350" s="1"/>
      <c r="O350" s="1"/>
      <c r="P350" s="1"/>
      <c r="Q350" s="1"/>
      <c r="R350" s="1"/>
    </row>
    <row r="351" spans="1:18" ht="15.75" customHeight="1">
      <c r="A351" s="1"/>
      <c r="B351" s="1"/>
      <c r="C351" s="1"/>
      <c r="D351" s="1"/>
      <c r="E351" s="1"/>
      <c r="F351" s="1"/>
      <c r="G351" s="1"/>
      <c r="H351" s="1"/>
      <c r="I351" s="1"/>
      <c r="J351" s="1"/>
      <c r="K351" s="1"/>
      <c r="L351" s="1"/>
      <c r="M351" s="1"/>
      <c r="N351" s="1"/>
      <c r="O351" s="1"/>
      <c r="P351" s="1"/>
      <c r="Q351" s="1"/>
      <c r="R351" s="1"/>
    </row>
    <row r="352" spans="1:18" ht="15.75" customHeight="1">
      <c r="A352" s="1"/>
      <c r="B352" s="1"/>
      <c r="C352" s="1"/>
      <c r="D352" s="1"/>
      <c r="E352" s="1"/>
      <c r="F352" s="1"/>
      <c r="G352" s="1"/>
      <c r="H352" s="1"/>
      <c r="I352" s="1"/>
      <c r="J352" s="1"/>
      <c r="K352" s="1"/>
      <c r="L352" s="1"/>
      <c r="M352" s="1"/>
      <c r="N352" s="1"/>
      <c r="O352" s="1"/>
      <c r="P352" s="1"/>
      <c r="Q352" s="1"/>
      <c r="R352" s="1"/>
    </row>
    <row r="353" spans="1:18" ht="15.75" customHeight="1">
      <c r="A353" s="1"/>
      <c r="B353" s="1"/>
      <c r="C353" s="1"/>
      <c r="D353" s="1"/>
      <c r="E353" s="1"/>
      <c r="F353" s="1"/>
      <c r="G353" s="1"/>
      <c r="H353" s="1"/>
      <c r="I353" s="1"/>
      <c r="J353" s="1"/>
      <c r="K353" s="1"/>
      <c r="L353" s="1"/>
      <c r="M353" s="1"/>
      <c r="N353" s="1"/>
      <c r="O353" s="1"/>
      <c r="P353" s="1"/>
      <c r="Q353" s="1"/>
      <c r="R353" s="1"/>
    </row>
    <row r="354" spans="1:18" ht="15.75" customHeight="1">
      <c r="A354" s="1"/>
      <c r="B354" s="1"/>
      <c r="C354" s="1"/>
      <c r="D354" s="1"/>
      <c r="E354" s="1"/>
      <c r="F354" s="1"/>
      <c r="G354" s="1"/>
      <c r="H354" s="1"/>
      <c r="I354" s="1"/>
      <c r="J354" s="1"/>
      <c r="K354" s="1"/>
      <c r="L354" s="1"/>
      <c r="M354" s="1"/>
      <c r="N354" s="1"/>
      <c r="O354" s="1"/>
      <c r="P354" s="1"/>
      <c r="Q354" s="1"/>
      <c r="R354" s="1"/>
    </row>
    <row r="355" spans="1:18" ht="15.75" customHeight="1">
      <c r="A355" s="1"/>
      <c r="B355" s="1"/>
      <c r="C355" s="1"/>
      <c r="D355" s="1"/>
      <c r="E355" s="1"/>
      <c r="F355" s="1"/>
      <c r="G355" s="1"/>
      <c r="H355" s="1"/>
      <c r="I355" s="1"/>
      <c r="J355" s="1"/>
      <c r="K355" s="1"/>
      <c r="L355" s="1"/>
      <c r="M355" s="1"/>
      <c r="N355" s="1"/>
      <c r="O355" s="1"/>
      <c r="P355" s="1"/>
      <c r="Q355" s="1"/>
      <c r="R355" s="1"/>
    </row>
    <row r="356" spans="1:18" ht="15.75" customHeight="1">
      <c r="A356" s="1"/>
      <c r="B356" s="1"/>
      <c r="C356" s="1"/>
      <c r="D356" s="1"/>
      <c r="E356" s="1"/>
      <c r="F356" s="1"/>
      <c r="G356" s="1"/>
      <c r="H356" s="1"/>
      <c r="I356" s="1"/>
      <c r="J356" s="1"/>
      <c r="K356" s="1"/>
      <c r="L356" s="1"/>
      <c r="M356" s="1"/>
      <c r="N356" s="1"/>
      <c r="O356" s="1"/>
      <c r="P356" s="1"/>
      <c r="Q356" s="1"/>
      <c r="R356" s="1"/>
    </row>
    <row r="357" spans="1:18" ht="15.75" customHeight="1">
      <c r="A357" s="1"/>
      <c r="B357" s="1"/>
      <c r="C357" s="1"/>
      <c r="D357" s="1"/>
      <c r="E357" s="1"/>
      <c r="F357" s="1"/>
      <c r="G357" s="1"/>
      <c r="H357" s="1"/>
      <c r="I357" s="1"/>
      <c r="J357" s="1"/>
      <c r="K357" s="1"/>
      <c r="L357" s="1"/>
      <c r="M357" s="1"/>
      <c r="N357" s="1"/>
      <c r="O357" s="1"/>
      <c r="P357" s="1"/>
      <c r="Q357" s="1"/>
      <c r="R357" s="1"/>
    </row>
    <row r="358" spans="1:18" ht="15.75" customHeight="1">
      <c r="A358" s="1"/>
      <c r="B358" s="1"/>
      <c r="C358" s="1"/>
      <c r="D358" s="1"/>
      <c r="E358" s="1"/>
      <c r="F358" s="1"/>
      <c r="G358" s="1"/>
      <c r="H358" s="1"/>
      <c r="I358" s="1"/>
      <c r="J358" s="1"/>
      <c r="K358" s="1"/>
      <c r="L358" s="1"/>
      <c r="M358" s="1"/>
      <c r="N358" s="1"/>
      <c r="O358" s="1"/>
      <c r="P358" s="1"/>
      <c r="Q358" s="1"/>
      <c r="R358" s="1"/>
    </row>
    <row r="359" spans="1:18" ht="15.75" customHeight="1">
      <c r="A359" s="1"/>
      <c r="B359" s="1"/>
      <c r="C359" s="1"/>
      <c r="D359" s="1"/>
      <c r="E359" s="1"/>
      <c r="F359" s="1"/>
      <c r="G359" s="1"/>
      <c r="H359" s="1"/>
      <c r="I359" s="1"/>
      <c r="J359" s="1"/>
      <c r="K359" s="1"/>
      <c r="L359" s="1"/>
      <c r="M359" s="1"/>
      <c r="N359" s="1"/>
      <c r="O359" s="1"/>
      <c r="P359" s="1"/>
      <c r="Q359" s="1"/>
      <c r="R359" s="1"/>
    </row>
    <row r="360" spans="1:18" ht="15.75" customHeight="1">
      <c r="A360" s="1"/>
      <c r="B360" s="1"/>
      <c r="C360" s="1"/>
      <c r="D360" s="1"/>
      <c r="E360" s="1"/>
      <c r="F360" s="1"/>
      <c r="G360" s="1"/>
      <c r="H360" s="1"/>
      <c r="I360" s="1"/>
      <c r="J360" s="1"/>
      <c r="K360" s="1"/>
      <c r="L360" s="1"/>
      <c r="M360" s="1"/>
      <c r="N360" s="1"/>
      <c r="O360" s="1"/>
      <c r="P360" s="1"/>
      <c r="Q360" s="1"/>
      <c r="R360" s="1"/>
    </row>
    <row r="361" spans="1:18" ht="15.75" customHeight="1">
      <c r="A361" s="1"/>
      <c r="B361" s="1"/>
      <c r="C361" s="1"/>
      <c r="D361" s="1"/>
      <c r="E361" s="1"/>
      <c r="F361" s="1"/>
      <c r="G361" s="1"/>
      <c r="H361" s="1"/>
      <c r="I361" s="1"/>
      <c r="J361" s="1"/>
      <c r="K361" s="1"/>
      <c r="L361" s="1"/>
      <c r="M361" s="1"/>
      <c r="N361" s="1"/>
      <c r="O361" s="1"/>
      <c r="P361" s="1"/>
      <c r="Q361" s="1"/>
      <c r="R361" s="1"/>
    </row>
    <row r="362" spans="1:18" ht="15.75" customHeight="1">
      <c r="A362" s="1"/>
      <c r="B362" s="1"/>
      <c r="C362" s="1"/>
      <c r="D362" s="1"/>
      <c r="E362" s="1"/>
      <c r="F362" s="1"/>
      <c r="G362" s="1"/>
      <c r="H362" s="1"/>
      <c r="I362" s="1"/>
      <c r="J362" s="1"/>
      <c r="K362" s="1"/>
      <c r="L362" s="1"/>
      <c r="M362" s="1"/>
      <c r="N362" s="1"/>
      <c r="O362" s="1"/>
      <c r="P362" s="1"/>
      <c r="Q362" s="1"/>
      <c r="R362" s="1"/>
    </row>
    <row r="363" spans="1:18" ht="15.75" customHeight="1">
      <c r="A363" s="1"/>
      <c r="B363" s="1"/>
      <c r="C363" s="1"/>
      <c r="D363" s="1"/>
      <c r="E363" s="1"/>
      <c r="F363" s="1"/>
      <c r="G363" s="1"/>
      <c r="H363" s="1"/>
      <c r="I363" s="1"/>
      <c r="J363" s="1"/>
      <c r="K363" s="1"/>
      <c r="L363" s="1"/>
      <c r="M363" s="1"/>
      <c r="N363" s="1"/>
      <c r="O363" s="1"/>
      <c r="P363" s="1"/>
      <c r="Q363" s="1"/>
      <c r="R363" s="1"/>
    </row>
    <row r="364" spans="1:18" ht="15.75" customHeight="1">
      <c r="A364" s="1"/>
      <c r="B364" s="1"/>
      <c r="C364" s="1"/>
      <c r="D364" s="1"/>
      <c r="E364" s="1"/>
      <c r="F364" s="1"/>
      <c r="G364" s="1"/>
      <c r="H364" s="1"/>
      <c r="I364" s="1"/>
      <c r="J364" s="1"/>
      <c r="K364" s="1"/>
      <c r="L364" s="1"/>
      <c r="M364" s="1"/>
      <c r="N364" s="1"/>
      <c r="O364" s="1"/>
      <c r="P364" s="1"/>
      <c r="Q364" s="1"/>
      <c r="R364" s="1"/>
    </row>
    <row r="365" spans="1:18" ht="15.75" customHeight="1">
      <c r="A365" s="8"/>
      <c r="B365" s="8"/>
      <c r="C365" s="8"/>
      <c r="D365" s="8"/>
      <c r="E365" s="8"/>
      <c r="F365" s="8"/>
      <c r="G365" s="8"/>
      <c r="H365" s="8"/>
      <c r="I365" s="8"/>
      <c r="J365" s="8"/>
      <c r="K365" s="8"/>
      <c r="L365" s="8"/>
      <c r="M365" s="8"/>
      <c r="N365" s="8"/>
      <c r="O365" s="8"/>
      <c r="P365" s="8"/>
      <c r="Q365" s="8"/>
      <c r="R365" s="8"/>
    </row>
    <row r="366" spans="1:18" ht="15.75" customHeight="1">
      <c r="A366" s="8"/>
      <c r="B366" s="8"/>
      <c r="C366" s="8"/>
      <c r="D366" s="8"/>
      <c r="E366" s="8"/>
      <c r="F366" s="8"/>
      <c r="G366" s="8"/>
      <c r="H366" s="8"/>
      <c r="I366" s="8"/>
      <c r="J366" s="8"/>
      <c r="K366" s="8"/>
      <c r="L366" s="8"/>
      <c r="M366" s="8"/>
      <c r="N366" s="8"/>
      <c r="O366" s="8"/>
      <c r="P366" s="8"/>
      <c r="Q366" s="8"/>
      <c r="R366" s="8"/>
    </row>
    <row r="367" spans="1:18" ht="15.75" customHeight="1">
      <c r="A367" s="8"/>
      <c r="B367" s="8"/>
      <c r="C367" s="8"/>
      <c r="D367" s="8"/>
      <c r="E367" s="8"/>
      <c r="F367" s="8"/>
      <c r="G367" s="8"/>
      <c r="H367" s="8"/>
      <c r="I367" s="8"/>
      <c r="J367" s="8"/>
      <c r="K367" s="8"/>
      <c r="L367" s="8"/>
      <c r="M367" s="8"/>
      <c r="N367" s="8"/>
      <c r="O367" s="8"/>
      <c r="P367" s="8"/>
      <c r="Q367" s="8"/>
      <c r="R367" s="8"/>
    </row>
    <row r="368" spans="1:18" ht="15.75" customHeight="1">
      <c r="A368" s="8"/>
      <c r="B368" s="8"/>
      <c r="C368" s="8"/>
      <c r="D368" s="8"/>
      <c r="E368" s="8"/>
      <c r="F368" s="8"/>
      <c r="G368" s="8"/>
      <c r="H368" s="8"/>
      <c r="I368" s="8"/>
      <c r="J368" s="8"/>
      <c r="K368" s="8"/>
      <c r="L368" s="8"/>
      <c r="M368" s="8"/>
      <c r="N368" s="8"/>
      <c r="O368" s="8"/>
      <c r="P368" s="8"/>
      <c r="Q368" s="8"/>
      <c r="R368" s="8"/>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1:Q1"/>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999"/>
  <sheetViews>
    <sheetView workbookViewId="0"/>
  </sheetViews>
  <sheetFormatPr defaultColWidth="12.6640625" defaultRowHeight="15" customHeight="1"/>
  <cols>
    <col min="1" max="1" width="8.44140625" customWidth="1"/>
    <col min="2" max="2" width="3.44140625" customWidth="1"/>
    <col min="3" max="31" width="8.44140625" customWidth="1"/>
    <col min="32" max="36" width="12.44140625" customWidth="1"/>
  </cols>
  <sheetData>
    <row r="1" spans="1:36" ht="14.25" customHeight="1">
      <c r="A1" s="619"/>
      <c r="B1" s="52"/>
      <c r="C1" s="621" t="s">
        <v>6</v>
      </c>
      <c r="D1" s="523">
        <v>2018</v>
      </c>
      <c r="E1" s="523">
        <v>2019</v>
      </c>
      <c r="F1" s="523">
        <v>2020</v>
      </c>
      <c r="G1" s="523">
        <v>2021</v>
      </c>
      <c r="H1" s="524">
        <v>2022</v>
      </c>
      <c r="I1" s="524">
        <v>2023</v>
      </c>
      <c r="J1" s="524">
        <v>2024</v>
      </c>
      <c r="K1" s="525">
        <v>2025</v>
      </c>
      <c r="L1" s="373">
        <v>2026</v>
      </c>
      <c r="M1" s="373">
        <v>2027</v>
      </c>
      <c r="N1" s="373">
        <v>2028</v>
      </c>
      <c r="O1" s="373">
        <v>2029</v>
      </c>
      <c r="P1" s="443">
        <v>2030</v>
      </c>
      <c r="Q1" s="373">
        <v>2031</v>
      </c>
      <c r="R1" s="373">
        <v>2032</v>
      </c>
      <c r="S1" s="373">
        <v>2033</v>
      </c>
      <c r="T1" s="373">
        <v>2034</v>
      </c>
      <c r="U1" s="443">
        <v>2035</v>
      </c>
      <c r="V1" s="373">
        <v>2036</v>
      </c>
      <c r="W1" s="373">
        <v>2037</v>
      </c>
      <c r="X1" s="373">
        <v>2038</v>
      </c>
      <c r="Y1" s="373">
        <v>2039</v>
      </c>
      <c r="Z1" s="443">
        <v>2040</v>
      </c>
      <c r="AA1" s="373">
        <v>2041</v>
      </c>
      <c r="AB1" s="373">
        <v>2042</v>
      </c>
      <c r="AC1" s="373">
        <v>2043</v>
      </c>
      <c r="AD1" s="373">
        <v>2044</v>
      </c>
      <c r="AE1" s="443">
        <v>2045</v>
      </c>
      <c r="AF1" s="373">
        <v>2046</v>
      </c>
      <c r="AG1" s="373">
        <v>2047</v>
      </c>
      <c r="AH1" s="373">
        <v>2048</v>
      </c>
      <c r="AI1" s="373">
        <v>2049</v>
      </c>
      <c r="AJ1" s="443">
        <v>2050</v>
      </c>
    </row>
    <row r="2" spans="1:36" ht="16.5" customHeight="1">
      <c r="A2" s="8"/>
      <c r="B2" s="135"/>
      <c r="C2" s="8" t="s">
        <v>747</v>
      </c>
      <c r="D2" s="8"/>
      <c r="E2" s="8"/>
      <c r="F2" s="8"/>
      <c r="G2" s="8"/>
      <c r="H2" s="8">
        <v>3.0425139190670945E-2</v>
      </c>
      <c r="I2" s="8">
        <v>2.5876257290315705E-2</v>
      </c>
      <c r="J2" s="8">
        <v>2.8673474225395023E-2</v>
      </c>
      <c r="K2" s="8">
        <v>2.9836119159228725E-2</v>
      </c>
      <c r="L2" s="8">
        <v>3.0666570873052367E-2</v>
      </c>
      <c r="M2" s="8">
        <v>2.6567680567706545E-2</v>
      </c>
      <c r="N2" s="8">
        <v>2.8559838492622048E-2</v>
      </c>
      <c r="O2" s="8">
        <v>2.2055656926664679E-2</v>
      </c>
      <c r="P2" s="8">
        <v>2.391508792337688E-2</v>
      </c>
      <c r="Q2" s="8">
        <v>3.177292305412735E-2</v>
      </c>
      <c r="R2" s="8">
        <v>2.4761359920334854E-2</v>
      </c>
      <c r="S2" s="8">
        <v>2.9006503515840013E-2</v>
      </c>
      <c r="T2" s="8">
        <v>2.3756839890677367E-2</v>
      </c>
      <c r="U2" s="8">
        <v>2.3733451321362658E-2</v>
      </c>
      <c r="V2" s="8">
        <v>2.5625717977004445E-2</v>
      </c>
      <c r="W2" s="8">
        <v>2.277743242915245E-2</v>
      </c>
      <c r="X2" s="8">
        <v>2.3511909817542913E-2</v>
      </c>
      <c r="Y2" s="8">
        <v>2.5294853328545776E-2</v>
      </c>
      <c r="Z2" s="8">
        <v>2.279702021591809E-2</v>
      </c>
      <c r="AA2" s="8">
        <v>2.2906837723958344E-2</v>
      </c>
      <c r="AB2" s="8">
        <v>2.2360652112870708E-2</v>
      </c>
      <c r="AC2" s="8">
        <v>1.7570572923074061E-2</v>
      </c>
      <c r="AD2" s="8">
        <v>2.1993282181575386E-2</v>
      </c>
      <c r="AE2" s="8">
        <v>1.8665848063301446E-2</v>
      </c>
      <c r="AF2" s="8">
        <v>2.2935696728031269E-2</v>
      </c>
      <c r="AG2" s="8">
        <v>1.8503000047629156E-2</v>
      </c>
      <c r="AH2" s="8">
        <v>1.7991157418718606E-2</v>
      </c>
      <c r="AI2" s="8">
        <v>1.8323178503552202E-2</v>
      </c>
      <c r="AJ2" s="8">
        <v>1.8128680484224884E-2</v>
      </c>
    </row>
    <row r="3" spans="1:36" ht="16.5"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row>
    <row r="4" spans="1:36" ht="16.5"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row>
    <row r="5" spans="1:36" ht="16.5"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row>
    <row r="6" spans="1:36" ht="16.5"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row>
    <row r="7" spans="1:36" ht="16.5"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row>
    <row r="8" spans="1:36" ht="16.5"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row>
    <row r="9" spans="1:36" ht="16.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row>
    <row r="10" spans="1:36" ht="16.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row>
    <row r="11" spans="1:36" ht="16.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6.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row>
    <row r="13" spans="1:36" ht="16.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row>
    <row r="14" spans="1:36" ht="16.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row>
    <row r="15" spans="1:36" ht="16.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row>
    <row r="16" spans="1:36" ht="16.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row>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K1000"/>
  <sheetViews>
    <sheetView workbookViewId="0"/>
  </sheetViews>
  <sheetFormatPr defaultColWidth="12.6640625" defaultRowHeight="15" customHeight="1"/>
  <cols>
    <col min="1" max="1" width="8.44140625" customWidth="1"/>
    <col min="2" max="2" width="2.44140625" customWidth="1"/>
    <col min="3" max="3" width="44.44140625" customWidth="1"/>
    <col min="4" max="4" width="9.44140625" customWidth="1"/>
    <col min="5" max="5" width="13.21875" customWidth="1"/>
    <col min="6" max="6" width="9.44140625" customWidth="1"/>
    <col min="7" max="7" width="10.44140625" customWidth="1"/>
    <col min="8" max="27" width="13.44140625" customWidth="1"/>
    <col min="28" max="29" width="12.21875" customWidth="1"/>
    <col min="30" max="36" width="13.44140625" customWidth="1"/>
    <col min="37" max="37" width="8.44140625" customWidth="1"/>
  </cols>
  <sheetData>
    <row r="1" spans="1:37" ht="14.25" customHeight="1">
      <c r="A1" s="619"/>
      <c r="B1" s="52"/>
      <c r="C1" s="621" t="s">
        <v>6</v>
      </c>
      <c r="D1" s="523">
        <v>2018</v>
      </c>
      <c r="E1" s="523">
        <v>2019</v>
      </c>
      <c r="F1" s="523">
        <v>2020</v>
      </c>
      <c r="G1" s="523">
        <v>2021</v>
      </c>
      <c r="H1" s="524">
        <v>2022</v>
      </c>
      <c r="I1" s="524">
        <v>2023</v>
      </c>
      <c r="J1" s="524">
        <v>2024</v>
      </c>
      <c r="K1" s="525">
        <v>2025</v>
      </c>
      <c r="L1" s="373">
        <v>2026</v>
      </c>
      <c r="M1" s="373">
        <v>2027</v>
      </c>
      <c r="N1" s="373">
        <v>2028</v>
      </c>
      <c r="O1" s="373">
        <v>2029</v>
      </c>
      <c r="P1" s="443">
        <v>2030</v>
      </c>
      <c r="Q1" s="373">
        <v>2031</v>
      </c>
      <c r="R1" s="373">
        <v>2032</v>
      </c>
      <c r="S1" s="373">
        <v>2033</v>
      </c>
      <c r="T1" s="373">
        <v>2034</v>
      </c>
      <c r="U1" s="443">
        <v>2035</v>
      </c>
      <c r="V1" s="373">
        <v>2036</v>
      </c>
      <c r="W1" s="373">
        <v>2037</v>
      </c>
      <c r="X1" s="373">
        <v>2038</v>
      </c>
      <c r="Y1" s="373">
        <v>2039</v>
      </c>
      <c r="Z1" s="443">
        <v>2040</v>
      </c>
      <c r="AA1" s="373">
        <v>2041</v>
      </c>
      <c r="AB1" s="373">
        <v>2042</v>
      </c>
      <c r="AC1" s="373">
        <v>2043</v>
      </c>
      <c r="AD1" s="373">
        <v>2044</v>
      </c>
      <c r="AE1" s="443">
        <v>2045</v>
      </c>
      <c r="AF1" s="373">
        <v>2046</v>
      </c>
      <c r="AG1" s="373">
        <v>2047</v>
      </c>
      <c r="AH1" s="373">
        <v>2048</v>
      </c>
      <c r="AI1" s="373">
        <v>2049</v>
      </c>
      <c r="AJ1" s="443">
        <v>2050</v>
      </c>
      <c r="AK1" s="53"/>
    </row>
    <row r="2" spans="1:37" ht="14.25" customHeight="1">
      <c r="A2" s="1"/>
      <c r="B2" s="1"/>
      <c r="C2" s="1"/>
      <c r="D2" s="15"/>
      <c r="E2" s="15"/>
      <c r="F2" s="15"/>
      <c r="G2" s="15"/>
      <c r="H2" s="136"/>
      <c r="I2" s="136"/>
      <c r="J2" s="136"/>
      <c r="K2" s="137"/>
      <c r="L2" s="1"/>
      <c r="M2" s="1"/>
      <c r="N2" s="1"/>
      <c r="O2" s="1"/>
      <c r="P2" s="15"/>
      <c r="Q2" s="1"/>
      <c r="R2" s="1"/>
      <c r="S2" s="1"/>
      <c r="T2" s="1"/>
      <c r="U2" s="15"/>
      <c r="V2" s="1"/>
      <c r="W2" s="1"/>
      <c r="X2" s="1"/>
      <c r="Y2" s="1"/>
      <c r="Z2" s="15"/>
      <c r="AA2" s="1"/>
      <c r="AB2" s="1"/>
      <c r="AC2" s="1"/>
      <c r="AD2" s="1"/>
      <c r="AE2" s="15"/>
      <c r="AF2" s="1"/>
      <c r="AG2" s="1"/>
      <c r="AH2" s="1"/>
      <c r="AI2" s="1"/>
      <c r="AJ2" s="15"/>
      <c r="AK2" s="1"/>
    </row>
    <row r="3" spans="1:37" ht="14.25" customHeight="1">
      <c r="A3" s="619"/>
      <c r="B3" s="61"/>
      <c r="C3" s="424"/>
      <c r="D3" s="526"/>
      <c r="E3" s="526"/>
      <c r="F3" s="526"/>
      <c r="G3" s="526"/>
      <c r="H3" s="527"/>
      <c r="I3" s="527"/>
      <c r="J3" s="527"/>
      <c r="K3" s="528"/>
      <c r="L3" s="423"/>
      <c r="M3" s="423"/>
      <c r="N3" s="423"/>
      <c r="O3" s="423"/>
      <c r="P3" s="526"/>
      <c r="Q3" s="423"/>
      <c r="R3" s="423"/>
      <c r="S3" s="423"/>
      <c r="T3" s="423"/>
      <c r="U3" s="526"/>
      <c r="V3" s="423"/>
      <c r="W3" s="423"/>
      <c r="X3" s="423"/>
      <c r="Y3" s="423"/>
      <c r="Z3" s="526"/>
      <c r="AA3" s="423"/>
      <c r="AB3" s="423"/>
      <c r="AC3" s="423"/>
      <c r="AD3" s="423"/>
      <c r="AE3" s="526"/>
      <c r="AF3" s="423"/>
      <c r="AG3" s="423"/>
      <c r="AH3" s="423"/>
      <c r="AI3" s="423"/>
      <c r="AJ3" s="526"/>
      <c r="AK3" s="498"/>
    </row>
    <row r="4" spans="1:37" ht="14.25" customHeight="1">
      <c r="A4" s="619"/>
      <c r="B4" s="426"/>
      <c r="C4" s="427" t="s">
        <v>411</v>
      </c>
      <c r="D4" s="438"/>
      <c r="E4" s="438"/>
      <c r="F4" s="438"/>
      <c r="G4" s="438"/>
      <c r="H4" s="529"/>
      <c r="I4" s="529"/>
      <c r="J4" s="529"/>
      <c r="K4" s="530"/>
      <c r="L4" s="428"/>
      <c r="M4" s="428"/>
      <c r="N4" s="428"/>
      <c r="O4" s="428"/>
      <c r="P4" s="438"/>
      <c r="Q4" s="428"/>
      <c r="R4" s="428"/>
      <c r="S4" s="428"/>
      <c r="T4" s="428"/>
      <c r="U4" s="438"/>
      <c r="V4" s="428"/>
      <c r="W4" s="428"/>
      <c r="X4" s="428"/>
      <c r="Y4" s="428"/>
      <c r="Z4" s="438"/>
      <c r="AA4" s="428"/>
      <c r="AB4" s="428"/>
      <c r="AC4" s="428"/>
      <c r="AD4" s="428"/>
      <c r="AE4" s="438"/>
      <c r="AF4" s="428"/>
      <c r="AG4" s="428"/>
      <c r="AH4" s="428"/>
      <c r="AI4" s="428"/>
      <c r="AJ4" s="438"/>
      <c r="AK4" s="499"/>
    </row>
    <row r="5" spans="1:37" ht="14.25" customHeight="1">
      <c r="A5" s="619"/>
      <c r="B5" s="426"/>
      <c r="C5" s="429" t="s">
        <v>412</v>
      </c>
      <c r="D5" s="438"/>
      <c r="E5" s="438"/>
      <c r="F5" s="438"/>
      <c r="G5" s="438"/>
      <c r="H5" s="529"/>
      <c r="I5" s="529"/>
      <c r="J5" s="529"/>
      <c r="K5" s="530"/>
      <c r="L5" s="428"/>
      <c r="M5" s="428"/>
      <c r="N5" s="428"/>
      <c r="O5" s="428"/>
      <c r="P5" s="438"/>
      <c r="Q5" s="428"/>
      <c r="R5" s="428"/>
      <c r="S5" s="428"/>
      <c r="T5" s="428"/>
      <c r="U5" s="438"/>
      <c r="V5" s="428"/>
      <c r="W5" s="428"/>
      <c r="X5" s="428"/>
      <c r="Y5" s="428"/>
      <c r="Z5" s="438"/>
      <c r="AA5" s="428"/>
      <c r="AB5" s="428"/>
      <c r="AC5" s="428"/>
      <c r="AD5" s="428"/>
      <c r="AE5" s="438"/>
      <c r="AF5" s="428"/>
      <c r="AG5" s="428"/>
      <c r="AH5" s="428"/>
      <c r="AI5" s="428"/>
      <c r="AJ5" s="438"/>
      <c r="AK5" s="499"/>
    </row>
    <row r="6" spans="1:37" ht="14.25" customHeight="1">
      <c r="A6" s="619">
        <v>1</v>
      </c>
      <c r="B6" s="426"/>
      <c r="C6" s="430" t="s">
        <v>413</v>
      </c>
      <c r="D6" s="431"/>
      <c r="E6" s="431"/>
      <c r="F6" s="431"/>
      <c r="G6" s="431"/>
      <c r="H6" s="529">
        <f>G6*(1+'Driver PIB'!H$2)</f>
        <v>0</v>
      </c>
      <c r="I6" s="529">
        <f>H6*(1+'Driver PIB'!I$2)</f>
        <v>0</v>
      </c>
      <c r="J6" s="529">
        <f>I6*(1+'Driver PIB'!J$2)</f>
        <v>0</v>
      </c>
      <c r="K6" s="529">
        <f>J6*(1+'Driver PIB'!K$2)</f>
        <v>0</v>
      </c>
      <c r="L6" s="431">
        <f>K6*(1+'Driver PIB'!L$2)</f>
        <v>0</v>
      </c>
      <c r="M6" s="431">
        <f>L6*(1+'Driver PIB'!M$2)</f>
        <v>0</v>
      </c>
      <c r="N6" s="431">
        <f>M6*(1+'Driver PIB'!N$2)</f>
        <v>0</v>
      </c>
      <c r="O6" s="431">
        <f>N6*(1+'Driver PIB'!O$2)</f>
        <v>0</v>
      </c>
      <c r="P6" s="431">
        <f>O6*(1+'Driver PIB'!P$2)</f>
        <v>0</v>
      </c>
      <c r="Q6" s="431">
        <f>P6*(1+'Driver PIB'!Q$2)</f>
        <v>0</v>
      </c>
      <c r="R6" s="431">
        <f>Q6*(1+'Driver PIB'!R$2)</f>
        <v>0</v>
      </c>
      <c r="S6" s="431">
        <f>R6*(1+'Driver PIB'!S$2)</f>
        <v>0</v>
      </c>
      <c r="T6" s="431">
        <f>S6*(1+'Driver PIB'!T$2)</f>
        <v>0</v>
      </c>
      <c r="U6" s="431">
        <f>T6*(1+'Driver PIB'!U$2)</f>
        <v>0</v>
      </c>
      <c r="V6" s="431">
        <f>U6*(1+'Driver PIB'!V$2)</f>
        <v>0</v>
      </c>
      <c r="W6" s="431">
        <f>V6*(1+'Driver PIB'!W$2)</f>
        <v>0</v>
      </c>
      <c r="X6" s="431">
        <f>W6*(1+'Driver PIB'!X$2)</f>
        <v>0</v>
      </c>
      <c r="Y6" s="431">
        <f>X6*(1+'Driver PIB'!Y$2)</f>
        <v>0</v>
      </c>
      <c r="Z6" s="431">
        <f>Y6*(1+'Driver PIB'!Z$2)</f>
        <v>0</v>
      </c>
      <c r="AA6" s="431">
        <f>Z6*(1+'Driver PIB'!AA$2)</f>
        <v>0</v>
      </c>
      <c r="AB6" s="431">
        <f>AA6*(1+'Driver PIB'!AB$2)</f>
        <v>0</v>
      </c>
      <c r="AC6" s="431">
        <f>AB6*(1+'Driver PIB'!AC$2)</f>
        <v>0</v>
      </c>
      <c r="AD6" s="431">
        <f>AC6*(1+'Driver PIB'!AD$2)</f>
        <v>0</v>
      </c>
      <c r="AE6" s="431">
        <f>AD6*(1+'Driver PIB'!AE$2)</f>
        <v>0</v>
      </c>
      <c r="AF6" s="431">
        <f>AE6*(1+'Driver PIB'!AF$2)</f>
        <v>0</v>
      </c>
      <c r="AG6" s="431">
        <f>AF6*(1+'Driver PIB'!AG$2)</f>
        <v>0</v>
      </c>
      <c r="AH6" s="431">
        <f>AG6*(1+'Driver PIB'!AH$2)</f>
        <v>0</v>
      </c>
      <c r="AI6" s="431">
        <f>AH6*(1+'Driver PIB'!AI$2)</f>
        <v>0</v>
      </c>
      <c r="AJ6" s="431">
        <f>AI6*(1+'Driver PIB'!AJ$2)</f>
        <v>0</v>
      </c>
      <c r="AK6" s="499"/>
    </row>
    <row r="7" spans="1:37" ht="14.25" customHeight="1">
      <c r="A7" s="619">
        <v>1</v>
      </c>
      <c r="B7" s="426"/>
      <c r="C7" s="430" t="s">
        <v>415</v>
      </c>
      <c r="D7" s="431">
        <f>'Copia de Demandas de energía '!D7*1000*($E$110)</f>
        <v>0.10753598003325099</v>
      </c>
      <c r="E7" s="431">
        <f>'Copia de Demandas de energía '!E7*1000*($E$110)</f>
        <v>0.13348047518949099</v>
      </c>
      <c r="F7" s="431">
        <f>'Copia de Demandas de energía '!F7*1000*($E$110)</f>
        <v>3.7533503399101699E-2</v>
      </c>
      <c r="G7" s="431">
        <f>'Copia de Demandas de energía '!G7*1000*($E$110)</f>
        <v>0.25710469247349299</v>
      </c>
      <c r="H7" s="529">
        <f>G7*(1+'Driver PIB'!H$2)</f>
        <v>0.26492713852857364</v>
      </c>
      <c r="I7" s="529">
        <f>H7*(1+'Driver PIB'!I$2)</f>
        <v>0.27178246132832612</v>
      </c>
      <c r="J7" s="529">
        <f>I7*(1+'Driver PIB'!J$2)</f>
        <v>0.27957540872813835</v>
      </c>
      <c r="K7" s="529">
        <f>J7*(1+'Driver PIB'!K$2)</f>
        <v>0.28791685393694116</v>
      </c>
      <c r="L7" s="431">
        <f>K7*(1+'Driver PIB'!L$2)</f>
        <v>0.29674627654374469</v>
      </c>
      <c r="M7" s="431">
        <f>L7*(1+'Driver PIB'!M$2)</f>
        <v>0.30463013682861523</v>
      </c>
      <c r="N7" s="431">
        <f>M7*(1+'Driver PIB'!N$2)</f>
        <v>0.31333032433642583</v>
      </c>
      <c r="O7" s="431">
        <f>N7*(1+'Driver PIB'!O$2)</f>
        <v>0.32024103047471064</v>
      </c>
      <c r="P7" s="431">
        <f>O7*(1+'Driver PIB'!P$2)</f>
        <v>0.3278996228751862</v>
      </c>
      <c r="Q7" s="431">
        <f>P7*(1+'Driver PIB'!Q$2)</f>
        <v>0.33831795236227685</v>
      </c>
      <c r="R7" s="431">
        <f>Q7*(1+'Driver PIB'!R$2)</f>
        <v>0.34669516494822988</v>
      </c>
      <c r="S7" s="431">
        <f>R7*(1+'Driver PIB'!S$2)</f>
        <v>0.35675157946922542</v>
      </c>
      <c r="T7" s="431">
        <f>S7*(1+'Driver PIB'!T$2)</f>
        <v>0.36522686962342205</v>
      </c>
      <c r="U7" s="431">
        <f>T7*(1+'Driver PIB'!U$2)</f>
        <v>0.37389496375488324</v>
      </c>
      <c r="V7" s="431">
        <f>U7*(1+'Driver PIB'!V$2)</f>
        <v>0.38347629064908823</v>
      </c>
      <c r="W7" s="431">
        <f>V7*(1+'Driver PIB'!W$2)</f>
        <v>0.39221089594752989</v>
      </c>
      <c r="X7" s="431">
        <f>W7*(1+'Driver PIB'!X$2)</f>
        <v>0.40143252316250594</v>
      </c>
      <c r="Y7" s="431">
        <f>X7*(1+'Driver PIB'!Y$2)</f>
        <v>0.41158669995720959</v>
      </c>
      <c r="Z7" s="431">
        <f>Y7*(1+'Driver PIB'!Z$2)</f>
        <v>0.42096965027673705</v>
      </c>
      <c r="AA7" s="431">
        <f>Z7*(1+'Driver PIB'!AA$2)</f>
        <v>0.43061273374233772</v>
      </c>
      <c r="AB7" s="431">
        <f>AA7*(1+'Driver PIB'!AB$2)</f>
        <v>0.44024151527692235</v>
      </c>
      <c r="AC7" s="431">
        <f>AB7*(1+'Driver PIB'!AC$2)</f>
        <v>0.44797681092486008</v>
      </c>
      <c r="AD7" s="431">
        <f>AC7*(1+'Driver PIB'!AD$2)</f>
        <v>0.45782929133833278</v>
      </c>
      <c r="AE7" s="431">
        <f>AD7*(1+'Driver PIB'!AE$2)</f>
        <v>0.46637506332938311</v>
      </c>
      <c r="AF7" s="431">
        <f>AE7*(1+'Driver PIB'!AF$2)</f>
        <v>0.47707170034342217</v>
      </c>
      <c r="AG7" s="431">
        <f>AF7*(1+'Driver PIB'!AG$2)</f>
        <v>0.48589895803759903</v>
      </c>
      <c r="AH7" s="431">
        <f>AG7*(1+'Driver PIB'!AH$2)</f>
        <v>0.49464084268124481</v>
      </c>
      <c r="AI7" s="431">
        <f>AH7*(1+'Driver PIB'!AI$2)</f>
        <v>0.50370423513684082</v>
      </c>
      <c r="AJ7" s="431">
        <f>AI7*(1+'Driver PIB'!AJ$2)</f>
        <v>0.51283572827418744</v>
      </c>
      <c r="AK7" s="499"/>
    </row>
    <row r="8" spans="1:37" ht="14.25" customHeight="1">
      <c r="A8" s="619" t="s">
        <v>19</v>
      </c>
      <c r="B8" s="426"/>
      <c r="C8" s="430" t="s">
        <v>417</v>
      </c>
      <c r="D8" s="431">
        <f>'Copia de Demandas de energía '!D8*1000*($E$110)</f>
        <v>0.66585640816406999</v>
      </c>
      <c r="E8" s="431">
        <f>'Copia de Demandas de energía '!E8*1000*($E$110)</f>
        <v>0.92659609384781993</v>
      </c>
      <c r="F8" s="431">
        <f>'Copia de Demandas de energía '!F8*1000*($E$110)</f>
        <v>0.81172486629373997</v>
      </c>
      <c r="G8" s="431">
        <f>'Copia de Demandas de energía '!G8*1000*($E$110)</f>
        <v>1.12630898796705</v>
      </c>
      <c r="H8" s="529">
        <f>G8*(1+'Driver PIB'!H$2)</f>
        <v>1.1605770956976513</v>
      </c>
      <c r="I8" s="529">
        <f>H8*(1+'Driver PIB'!I$2)</f>
        <v>1.1906084872311711</v>
      </c>
      <c r="J8" s="529">
        <f>I8*(1+'Driver PIB'!J$2)</f>
        <v>1.2247473690023307</v>
      </c>
      <c r="K8" s="529">
        <f>J8*(1+'Driver PIB'!K$2)</f>
        <v>1.2612890774438361</v>
      </c>
      <c r="L8" s="431">
        <f>K8*(1+'Driver PIB'!L$2)</f>
        <v>1.2999684883286744</v>
      </c>
      <c r="M8" s="431">
        <f>L8*(1+'Driver PIB'!M$2)</f>
        <v>1.3345056358746752</v>
      </c>
      <c r="N8" s="431">
        <f>M8*(1+'Driver PIB'!N$2)</f>
        <v>1.3726189013027497</v>
      </c>
      <c r="O8" s="431">
        <f>N8*(1+'Driver PIB'!O$2)</f>
        <v>1.4028929128809386</v>
      </c>
      <c r="P8" s="431">
        <f>O8*(1+'Driver PIB'!P$2)</f>
        <v>1.4364432202395687</v>
      </c>
      <c r="Q8" s="431">
        <f>P8*(1+'Driver PIB'!Q$2)</f>
        <v>1.4820832201478633</v>
      </c>
      <c r="R8" s="431">
        <f>Q8*(1+'Driver PIB'!R$2)</f>
        <v>1.5187816161938335</v>
      </c>
      <c r="S8" s="431">
        <f>R8*(1+'Driver PIB'!S$2)</f>
        <v>1.5628361604837531</v>
      </c>
      <c r="T8" s="431">
        <f>S8*(1+'Driver PIB'!T$2)</f>
        <v>1.5999642089237265</v>
      </c>
      <c r="U8" s="431">
        <f>T8*(1+'Driver PIB'!U$2)</f>
        <v>1.6379368815921405</v>
      </c>
      <c r="V8" s="431">
        <f>U8*(1+'Driver PIB'!V$2)</f>
        <v>1.6799101901839548</v>
      </c>
      <c r="W8" s="431">
        <f>V8*(1+'Driver PIB'!W$2)</f>
        <v>1.7181742310279147</v>
      </c>
      <c r="X8" s="431">
        <f>W8*(1+'Driver PIB'!X$2)</f>
        <v>1.7585717885986691</v>
      </c>
      <c r="Y8" s="431">
        <f>X8*(1+'Driver PIB'!Y$2)</f>
        <v>1.8030546040589908</v>
      </c>
      <c r="Z8" s="431">
        <f>Y8*(1+'Driver PIB'!Z$2)</f>
        <v>1.8441588763181276</v>
      </c>
      <c r="AA8" s="431">
        <f>Z8*(1+'Driver PIB'!AA$2)</f>
        <v>1.8864027244351442</v>
      </c>
      <c r="AB8" s="431">
        <f>AA8*(1+'Driver PIB'!AB$2)</f>
        <v>1.9285839195010102</v>
      </c>
      <c r="AC8" s="431">
        <f>AB8*(1+'Driver PIB'!AC$2)</f>
        <v>1.9624702438968704</v>
      </c>
      <c r="AD8" s="431">
        <f>AC8*(1+'Driver PIB'!AD$2)</f>
        <v>2.0056314057438391</v>
      </c>
      <c r="AE8" s="431">
        <f>AD8*(1+'Driver PIB'!AE$2)</f>
        <v>2.0430682168344396</v>
      </c>
      <c r="AF8" s="431">
        <f>AE8*(1+'Driver PIB'!AF$2)</f>
        <v>2.0899274098504339</v>
      </c>
      <c r="AG8" s="431">
        <f>AF8*(1+'Driver PIB'!AG$2)</f>
        <v>2.1285973368144382</v>
      </c>
      <c r="AH8" s="431">
        <f>AG8*(1+'Driver PIB'!AH$2)</f>
        <v>2.1668932665821319</v>
      </c>
      <c r="AI8" s="431">
        <f>AH8*(1+'Driver PIB'!AI$2)</f>
        <v>2.2065976387038617</v>
      </c>
      <c r="AJ8" s="431">
        <f>AI8*(1+'Driver PIB'!AJ$2)</f>
        <v>2.2466003422531693</v>
      </c>
      <c r="AK8" s="499"/>
    </row>
    <row r="9" spans="1:37" ht="14.25" customHeight="1">
      <c r="A9" s="619">
        <v>1</v>
      </c>
      <c r="B9" s="426"/>
      <c r="C9" s="432" t="s">
        <v>419</v>
      </c>
      <c r="D9" s="431">
        <f>'Copia de Demandas de energía '!D9*1000*($E$110)</f>
        <v>37.916716605347496</v>
      </c>
      <c r="E9" s="431">
        <f>'Copia de Demandas de energía '!E9*1000*($E$110)</f>
        <v>35.371445443652199</v>
      </c>
      <c r="F9" s="431">
        <f>'Copia de Demandas de energía '!F9*1000*($E$110)</f>
        <v>27.236610140916</v>
      </c>
      <c r="G9" s="431">
        <f>'Copia de Demandas de energía '!G9*1000*($E$110)</f>
        <v>22.024953281190701</v>
      </c>
      <c r="H9" s="529">
        <f>G9*(1+'Driver PIB'!H$2)</f>
        <v>22.695065550438951</v>
      </c>
      <c r="I9" s="529">
        <f>H9*(1+'Driver PIB'!I$2)</f>
        <v>23.282328905842689</v>
      </c>
      <c r="J9" s="529">
        <f>I9*(1+'Driver PIB'!J$2)</f>
        <v>23.94991416363154</v>
      </c>
      <c r="K9" s="529">
        <f>J9*(1+'Driver PIB'!K$2)</f>
        <v>24.664486656470949</v>
      </c>
      <c r="L9" s="431">
        <f>K9*(1+'Driver PIB'!L$2)</f>
        <v>25.420861884569071</v>
      </c>
      <c r="M9" s="431">
        <f>L9*(1+'Driver PIB'!M$2)</f>
        <v>26.096235222874093</v>
      </c>
      <c r="N9" s="431">
        <f>M9*(1+'Driver PIB'!N$2)</f>
        <v>26.84153948610485</v>
      </c>
      <c r="O9" s="431">
        <f>N9*(1+'Driver PIB'!O$2)</f>
        <v>27.433547272393906</v>
      </c>
      <c r="P9" s="431">
        <f>O9*(1+'Driver PIB'!P$2)</f>
        <v>28.089622967463324</v>
      </c>
      <c r="Q9" s="431">
        <f>P9*(1+'Driver PIB'!Q$2)</f>
        <v>28.982112396627983</v>
      </c>
      <c r="R9" s="431">
        <f>Q9*(1+'Driver PIB'!R$2)</f>
        <v>29.699748912932488</v>
      </c>
      <c r="S9" s="431">
        <f>R9*(1+'Driver PIB'!S$2)</f>
        <v>30.56123478419503</v>
      </c>
      <c r="T9" s="431">
        <f>S9*(1+'Driver PIB'!T$2)</f>
        <v>31.28727314582455</v>
      </c>
      <c r="U9" s="431">
        <f>T9*(1+'Driver PIB'!U$2)</f>
        <v>32.029828120009157</v>
      </c>
      <c r="V9" s="431">
        <f>U9*(1+'Driver PIB'!V$2)</f>
        <v>32.850615462264443</v>
      </c>
      <c r="W9" s="431">
        <f>V9*(1+'Driver PIB'!W$2)</f>
        <v>33.598868136212246</v>
      </c>
      <c r="X9" s="431">
        <f>W9*(1+'Driver PIB'!X$2)</f>
        <v>34.388841693802384</v>
      </c>
      <c r="Y9" s="431">
        <f>X9*(1+'Driver PIB'!Y$2)</f>
        <v>35.25870240058569</v>
      </c>
      <c r="Z9" s="431">
        <f>Y9*(1+'Driver PIB'!Z$2)</f>
        <v>36.062495751998881</v>
      </c>
      <c r="AA9" s="431">
        <f>Z9*(1+'Driver PIB'!AA$2)</f>
        <v>36.888573490110858</v>
      </c>
      <c r="AB9" s="431">
        <f>AA9*(1+'Driver PIB'!AB$2)</f>
        <v>37.71342604886329</v>
      </c>
      <c r="AC9" s="431">
        <f>AB9*(1+'Driver PIB'!AC$2)</f>
        <v>38.376072551433801</v>
      </c>
      <c r="AD9" s="431">
        <f>AC9*(1+'Driver PIB'!AD$2)</f>
        <v>39.220088344078093</v>
      </c>
      <c r="AE9" s="431">
        <f>AD9*(1+'Driver PIB'!AE$2)</f>
        <v>39.952164554137916</v>
      </c>
      <c r="AF9" s="431">
        <f>AE9*(1+'Driver PIB'!AF$2)</f>
        <v>40.868495283980018</v>
      </c>
      <c r="AG9" s="431">
        <f>AF9*(1+'Driver PIB'!AG$2)</f>
        <v>41.624685054166029</v>
      </c>
      <c r="AH9" s="431">
        <f>AG9*(1+'Driver PIB'!AH$2)</f>
        <v>42.37356131548011</v>
      </c>
      <c r="AI9" s="431">
        <f>AH9*(1+'Driver PIB'!AI$2)</f>
        <v>43.14997964329487</v>
      </c>
      <c r="AJ9" s="431">
        <f>AI9*(1+'Driver PIB'!AJ$2)</f>
        <v>43.932231837148969</v>
      </c>
      <c r="AK9" s="499"/>
    </row>
    <row r="10" spans="1:37" ht="14.25" customHeight="1">
      <c r="A10" s="619">
        <v>1</v>
      </c>
      <c r="B10" s="426"/>
      <c r="C10" s="432" t="s">
        <v>421</v>
      </c>
      <c r="D10" s="431">
        <f>'Copia de Demandas de energía '!D10*1000*($E$110)</f>
        <v>5.1670492331413191</v>
      </c>
      <c r="E10" s="431">
        <f>'Copia de Demandas de energía '!E10*1000*($E$110)</f>
        <v>5.65623878148208</v>
      </c>
      <c r="F10" s="431">
        <f>'Copia de Demandas de energía '!F10*1000*($E$110)</f>
        <v>5.2540174459354407</v>
      </c>
      <c r="G10" s="431">
        <f>'Copia de Demandas de energía '!G10*1000*($E$110)</f>
        <v>5.8690687000849504</v>
      </c>
      <c r="H10" s="529">
        <f>G10*(1+'Driver PIB'!H$2)</f>
        <v>6.0476359322046447</v>
      </c>
      <c r="I10" s="529">
        <f>H10*(1+'Driver PIB'!I$2)</f>
        <v>6.2041261155845309</v>
      </c>
      <c r="J10" s="529">
        <f>I10*(1+'Driver PIB'!J$2)</f>
        <v>6.3820199658508443</v>
      </c>
      <c r="K10" s="529">
        <f>J10*(1+'Driver PIB'!K$2)</f>
        <v>6.5724346740285471</v>
      </c>
      <c r="L10" s="431">
        <f>K10*(1+'Driver PIB'!L$2)</f>
        <v>6.7739887077681509</v>
      </c>
      <c r="M10" s="431">
        <f>L10*(1+'Driver PIB'!M$2)</f>
        <v>6.9539578759253873</v>
      </c>
      <c r="N10" s="431">
        <f>M10*(1+'Driver PIB'!N$2)</f>
        <v>7.1525617897463132</v>
      </c>
      <c r="O10" s="431">
        <f>N10*(1+'Driver PIB'!O$2)</f>
        <v>7.3103162387277294</v>
      </c>
      <c r="P10" s="431">
        <f>O10*(1+'Driver PIB'!P$2)</f>
        <v>7.4851430943245933</v>
      </c>
      <c r="Q10" s="431">
        <f>P10*(1+'Driver PIB'!Q$2)</f>
        <v>7.7229679699097007</v>
      </c>
      <c r="R10" s="431">
        <f>Q10*(1+'Driver PIB'!R$2)</f>
        <v>7.914199159465853</v>
      </c>
      <c r="S10" s="431">
        <f>R10*(1+'Driver PIB'!S$2)</f>
        <v>8.1437624052099569</v>
      </c>
      <c r="T10" s="431">
        <f>S10*(1+'Driver PIB'!T$2)</f>
        <v>8.3372324647782481</v>
      </c>
      <c r="U10" s="431">
        <f>T10*(1+'Driver PIB'!U$2)</f>
        <v>8.535103765635947</v>
      </c>
      <c r="V10" s="431">
        <f>U10*(1+'Driver PIB'!V$2)</f>
        <v>8.7538219276386027</v>
      </c>
      <c r="W10" s="431">
        <f>V10*(1+'Driver PIB'!W$2)</f>
        <v>8.9532115150922245</v>
      </c>
      <c r="X10" s="431">
        <f>W10*(1+'Driver PIB'!X$2)</f>
        <v>9.16371861681246</v>
      </c>
      <c r="Y10" s="431">
        <f>X10*(1+'Driver PIB'!Y$2)</f>
        <v>9.3955135351687957</v>
      </c>
      <c r="Z10" s="431">
        <f>Y10*(1+'Driver PIB'!Z$2)</f>
        <v>9.6097032471689694</v>
      </c>
      <c r="AA10" s="431">
        <f>Z10*(1+'Driver PIB'!AA$2)</f>
        <v>9.8298311600272648</v>
      </c>
      <c r="AB10" s="431">
        <f>AA10*(1+'Driver PIB'!AB$2)</f>
        <v>10.049632594924891</v>
      </c>
      <c r="AC10" s="431">
        <f>AB10*(1+'Driver PIB'!AC$2)</f>
        <v>10.226210397284119</v>
      </c>
      <c r="AD10" s="431">
        <f>AC10*(1+'Driver PIB'!AD$2)</f>
        <v>10.451118328199748</v>
      </c>
      <c r="AE10" s="431">
        <f>AD10*(1+'Driver PIB'!AE$2)</f>
        <v>10.64619731500551</v>
      </c>
      <c r="AF10" s="431">
        <f>AE10*(1+'Driver PIB'!AF$2)</f>
        <v>10.890375267929256</v>
      </c>
      <c r="AG10" s="431">
        <f>AF10*(1+'Driver PIB'!AG$2)</f>
        <v>11.091879882030451</v>
      </c>
      <c r="AH10" s="431">
        <f>AG10*(1+'Driver PIB'!AH$2)</f>
        <v>11.291435639057578</v>
      </c>
      <c r="AI10" s="431">
        <f>AH10*(1+'Driver PIB'!AI$2)</f>
        <v>11.498330629833402</v>
      </c>
      <c r="AJ10" s="431">
        <f>AI10*(1+'Driver PIB'!AJ$2)</f>
        <v>11.706780191923629</v>
      </c>
      <c r="AK10" s="499"/>
    </row>
    <row r="11" spans="1:37" ht="14.25" customHeight="1">
      <c r="A11" s="619">
        <v>1</v>
      </c>
      <c r="B11" s="426"/>
      <c r="C11" s="430" t="s">
        <v>422</v>
      </c>
      <c r="D11" s="431"/>
      <c r="E11" s="431"/>
      <c r="F11" s="431"/>
      <c r="G11" s="431"/>
      <c r="H11" s="529">
        <f>G11*(1+'Driver PIB'!H$2)</f>
        <v>0</v>
      </c>
      <c r="I11" s="529">
        <f>H11*(1+'Driver PIB'!I$2)</f>
        <v>0</v>
      </c>
      <c r="J11" s="529">
        <f>I11*(1+'Driver PIB'!J$2)</f>
        <v>0</v>
      </c>
      <c r="K11" s="529">
        <f>J11*(1+'Driver PIB'!K$2)</f>
        <v>0</v>
      </c>
      <c r="L11" s="431">
        <f>K11*(1+'Driver PIB'!L$2)</f>
        <v>0</v>
      </c>
      <c r="M11" s="431">
        <f>L11*(1+'Driver PIB'!M$2)</f>
        <v>0</v>
      </c>
      <c r="N11" s="431">
        <f>M11*(1+'Driver PIB'!N$2)</f>
        <v>0</v>
      </c>
      <c r="O11" s="431">
        <f>N11*(1+'Driver PIB'!O$2)</f>
        <v>0</v>
      </c>
      <c r="P11" s="431">
        <f>O11*(1+'Driver PIB'!P$2)</f>
        <v>0</v>
      </c>
      <c r="Q11" s="431">
        <f>P11*(1+'Driver PIB'!Q$2)</f>
        <v>0</v>
      </c>
      <c r="R11" s="431">
        <f>Q11*(1+'Driver PIB'!R$2)</f>
        <v>0</v>
      </c>
      <c r="S11" s="431">
        <f>R11*(1+'Driver PIB'!S$2)</f>
        <v>0</v>
      </c>
      <c r="T11" s="431">
        <f>S11*(1+'Driver PIB'!T$2)</f>
        <v>0</v>
      </c>
      <c r="U11" s="431">
        <f>T11*(1+'Driver PIB'!U$2)</f>
        <v>0</v>
      </c>
      <c r="V11" s="431">
        <f>U11*(1+'Driver PIB'!V$2)</f>
        <v>0</v>
      </c>
      <c r="W11" s="431">
        <f>V11*(1+'Driver PIB'!W$2)</f>
        <v>0</v>
      </c>
      <c r="X11" s="431">
        <f>W11*(1+'Driver PIB'!X$2)</f>
        <v>0</v>
      </c>
      <c r="Y11" s="431">
        <f>X11*(1+'Driver PIB'!Y$2)</f>
        <v>0</v>
      </c>
      <c r="Z11" s="431">
        <f>Y11*(1+'Driver PIB'!Z$2)</f>
        <v>0</v>
      </c>
      <c r="AA11" s="431">
        <f>Z11*(1+'Driver PIB'!AA$2)</f>
        <v>0</v>
      </c>
      <c r="AB11" s="431">
        <f>AA11*(1+'Driver PIB'!AB$2)</f>
        <v>0</v>
      </c>
      <c r="AC11" s="431">
        <f>AB11*(1+'Driver PIB'!AC$2)</f>
        <v>0</v>
      </c>
      <c r="AD11" s="431">
        <f>AC11*(1+'Driver PIB'!AD$2)</f>
        <v>0</v>
      </c>
      <c r="AE11" s="431">
        <f>AD11*(1+'Driver PIB'!AE$2)</f>
        <v>0</v>
      </c>
      <c r="AF11" s="431">
        <f>AE11*(1+'Driver PIB'!AF$2)</f>
        <v>0</v>
      </c>
      <c r="AG11" s="431">
        <f>AF11*(1+'Driver PIB'!AG$2)</f>
        <v>0</v>
      </c>
      <c r="AH11" s="431">
        <f>AG11*(1+'Driver PIB'!AH$2)</f>
        <v>0</v>
      </c>
      <c r="AI11" s="431">
        <f>AH11*(1+'Driver PIB'!AI$2)</f>
        <v>0</v>
      </c>
      <c r="AJ11" s="431">
        <f>AI11*(1+'Driver PIB'!AJ$2)</f>
        <v>0</v>
      </c>
      <c r="AK11" s="499"/>
    </row>
    <row r="12" spans="1:37" ht="14.25" customHeight="1">
      <c r="A12" s="619">
        <v>1</v>
      </c>
      <c r="B12" s="426"/>
      <c r="C12" s="432" t="s">
        <v>359</v>
      </c>
      <c r="D12" s="431">
        <f>'Copia de Demandas de energía '!D12*1000*($E$110)</f>
        <v>67.400250903</v>
      </c>
      <c r="E12" s="431">
        <f>'Copia de Demandas de energía '!E12*1000*($E$110)</f>
        <v>68.489353190000003</v>
      </c>
      <c r="F12" s="431">
        <f>'Copia de Demandas de energía '!F12*1000*($E$110)</f>
        <v>53.449159258999998</v>
      </c>
      <c r="G12" s="431">
        <f>'Copia de Demandas de energía '!G12*1000*($E$110)</f>
        <v>69.595462857999991</v>
      </c>
      <c r="H12" s="529">
        <f>G12*(1+'Driver PIB'!H$2)</f>
        <v>71.712914502493803</v>
      </c>
      <c r="I12" s="529">
        <f>H12*(1+'Driver PIB'!I$2)</f>
        <v>73.568576329198748</v>
      </c>
      <c r="J12" s="529">
        <f>I12*(1+'Driver PIB'!J$2)</f>
        <v>75.678043006373045</v>
      </c>
      <c r="K12" s="529">
        <f>J12*(1+'Driver PIB'!K$2)</f>
        <v>77.935982115248422</v>
      </c>
      <c r="L12" s="431">
        <f>K12*(1+'Driver PIB'!L$2)</f>
        <v>80.32601143434664</v>
      </c>
      <c r="M12" s="431">
        <f>L12*(1+'Driver PIB'!M$2)</f>
        <v>82.460087247412318</v>
      </c>
      <c r="N12" s="431">
        <f>M12*(1+'Driver PIB'!N$2)</f>
        <v>84.815134021285928</v>
      </c>
      <c r="O12" s="431">
        <f>N12*(1+'Driver PIB'!O$2)</f>
        <v>86.68578751944851</v>
      </c>
      <c r="P12" s="431">
        <f>O12*(1+'Driver PIB'!P$2)</f>
        <v>88.758885749683287</v>
      </c>
      <c r="Q12" s="431">
        <f>P12*(1+'Driver PIB'!Q$2)</f>
        <v>91.579014996978046</v>
      </c>
      <c r="R12" s="431">
        <f>Q12*(1+'Driver PIB'!R$2)</f>
        <v>93.846635948467963</v>
      </c>
      <c r="S12" s="431">
        <f>R12*(1+'Driver PIB'!S$2)</f>
        <v>96.568798724056961</v>
      </c>
      <c r="T12" s="431">
        <f>S12*(1+'Driver PIB'!T$2)</f>
        <v>98.862968213779425</v>
      </c>
      <c r="U12" s="431">
        <f>T12*(1+'Driver PIB'!U$2)</f>
        <v>101.20932765736659</v>
      </c>
      <c r="V12" s="431">
        <f>U12*(1+'Driver PIB'!V$2)</f>
        <v>103.8028893445565</v>
      </c>
      <c r="W12" s="431">
        <f>V12*(1+'Driver PIB'!W$2)</f>
        <v>106.16725264255294</v>
      </c>
      <c r="X12" s="431">
        <f>W12*(1+'Driver PIB'!X$2)</f>
        <v>108.66344751226094</v>
      </c>
      <c r="Y12" s="431">
        <f>X12*(1+'Driver PIB'!Y$2)</f>
        <v>111.41207347925771</v>
      </c>
      <c r="Z12" s="431">
        <f>Y12*(1+'Driver PIB'!Z$2)</f>
        <v>113.95193677066169</v>
      </c>
      <c r="AA12" s="431">
        <f>Z12*(1+'Driver PIB'!AA$2)</f>
        <v>116.56221529459799</v>
      </c>
      <c r="AB12" s="431">
        <f>AA12*(1+'Driver PIB'!AB$2)</f>
        <v>119.16862244030604</v>
      </c>
      <c r="AC12" s="431">
        <f>AB12*(1+'Driver PIB'!AC$2)</f>
        <v>121.2624834110357</v>
      </c>
      <c r="AD12" s="431">
        <f>AC12*(1+'Driver PIB'!AD$2)</f>
        <v>123.92944342673322</v>
      </c>
      <c r="AE12" s="431">
        <f>AD12*(1+'Driver PIB'!AE$2)</f>
        <v>126.24269158830614</v>
      </c>
      <c r="AF12" s="431">
        <f>AE12*(1+'Driver PIB'!AF$2)</f>
        <v>129.13815567670591</v>
      </c>
      <c r="AG12" s="431">
        <f>AF12*(1+'Driver PIB'!AG$2)</f>
        <v>131.52759897734273</v>
      </c>
      <c r="AH12" s="431">
        <f>AG12*(1+'Driver PIB'!AH$2)</f>
        <v>133.89393271545021</v>
      </c>
      <c r="AI12" s="431">
        <f>AH12*(1+'Driver PIB'!AI$2)</f>
        <v>136.34729514513802</v>
      </c>
      <c r="AJ12" s="431">
        <f>AI12*(1+'Driver PIB'!AJ$2)</f>
        <v>138.81909169371252</v>
      </c>
      <c r="AK12" s="499"/>
    </row>
    <row r="13" spans="1:37" ht="14.25" customHeight="1">
      <c r="A13" s="619" t="s">
        <v>19</v>
      </c>
      <c r="B13" s="426"/>
      <c r="C13" s="430" t="s">
        <v>360</v>
      </c>
      <c r="D13" s="431">
        <f>'Copia de Demandas de energía '!D13*1000*($E$110)</f>
        <v>63.717837964999994</v>
      </c>
      <c r="E13" s="431">
        <f>'Copia de Demandas de energía '!E13*1000*($E$110)</f>
        <v>64.747099466999998</v>
      </c>
      <c r="F13" s="431">
        <f>'Copia de Demandas de energía '!F13*1000*($E$110)</f>
        <v>50.896162399999994</v>
      </c>
      <c r="G13" s="431">
        <f>'Copia de Demandas de energía '!G13*1000*($E$110)</f>
        <v>66.271464726999994</v>
      </c>
      <c r="H13" s="529">
        <f>G13*(1+'Driver PIB'!H$2)</f>
        <v>68.287783265688603</v>
      </c>
      <c r="I13" s="529">
        <f>H13*(1+'Driver PIB'!I$2)</f>
        <v>70.054815515256877</v>
      </c>
      <c r="J13" s="529">
        <f>I13*(1+'Driver PIB'!J$2)</f>
        <v>72.063530462298402</v>
      </c>
      <c r="K13" s="529">
        <f>J13*(1+'Driver PIB'!K$2)</f>
        <v>74.213626544206249</v>
      </c>
      <c r="L13" s="431">
        <f>K13*(1+'Driver PIB'!L$2)</f>
        <v>76.489503982370394</v>
      </c>
      <c r="M13" s="431">
        <f>L13*(1+'Driver PIB'!M$2)</f>
        <v>78.52165269095633</v>
      </c>
      <c r="N13" s="431">
        <f>M13*(1+'Driver PIB'!N$2)</f>
        <v>80.764218409983798</v>
      </c>
      <c r="O13" s="431">
        <f>N13*(1+'Driver PIB'!O$2)</f>
        <v>82.54552630318463</v>
      </c>
      <c r="P13" s="431">
        <f>O13*(1+'Driver PIB'!P$2)</f>
        <v>84.519609822406707</v>
      </c>
      <c r="Q13" s="431">
        <f>P13*(1+'Driver PIB'!Q$2)</f>
        <v>87.205044881858896</v>
      </c>
      <c r="R13" s="431">
        <f>Q13*(1+'Driver PIB'!R$2)</f>
        <v>89.364360385047561</v>
      </c>
      <c r="S13" s="431">
        <f>R13*(1+'Driver PIB'!S$2)</f>
        <v>91.956508018747243</v>
      </c>
      <c r="T13" s="431">
        <f>S13*(1+'Driver PIB'!T$2)</f>
        <v>94.141104056654413</v>
      </c>
      <c r="U13" s="431">
        <f>T13*(1+'Driver PIB'!U$2)</f>
        <v>96.37539736712236</v>
      </c>
      <c r="V13" s="431">
        <f>U13*(1+'Driver PIB'!V$2)</f>
        <v>98.845086119973985</v>
      </c>
      <c r="W13" s="431">
        <f>V13*(1+'Driver PIB'!W$2)</f>
        <v>101.09652339002545</v>
      </c>
      <c r="X13" s="431">
        <f>W13*(1+'Driver PIB'!X$2)</f>
        <v>103.47349573083885</v>
      </c>
      <c r="Y13" s="431">
        <f>X13*(1+'Driver PIB'!Y$2)</f>
        <v>106.09084262874232</v>
      </c>
      <c r="Z13" s="431">
        <f>Y13*(1+'Driver PIB'!Z$2)</f>
        <v>108.50939771287354</v>
      </c>
      <c r="AA13" s="431">
        <f>Z13*(1+'Driver PIB'!AA$2)</f>
        <v>110.99500487780678</v>
      </c>
      <c r="AB13" s="431">
        <f>AA13*(1+'Driver PIB'!AB$2)</f>
        <v>113.4769255681458</v>
      </c>
      <c r="AC13" s="431">
        <f>AB13*(1+'Driver PIB'!AC$2)</f>
        <v>115.47078016392715</v>
      </c>
      <c r="AD13" s="431">
        <f>AC13*(1+'Driver PIB'!AD$2)</f>
        <v>118.01036161579906</v>
      </c>
      <c r="AE13" s="431">
        <f>AD13*(1+'Driver PIB'!AE$2)</f>
        <v>120.21312509561483</v>
      </c>
      <c r="AF13" s="431">
        <f>AE13*(1+'Driver PIB'!AF$2)</f>
        <v>122.97029687553673</v>
      </c>
      <c r="AG13" s="431">
        <f>AF13*(1+'Driver PIB'!AG$2)</f>
        <v>125.24561628448176</v>
      </c>
      <c r="AH13" s="431">
        <f>AG13*(1+'Driver PIB'!AH$2)</f>
        <v>127.4989298830603</v>
      </c>
      <c r="AI13" s="431">
        <f>AH13*(1+'Driver PIB'!AI$2)</f>
        <v>129.8351155343195</v>
      </c>
      <c r="AJ13" s="431">
        <f>AI13*(1+'Driver PIB'!AJ$2)</f>
        <v>132.18885485947359</v>
      </c>
      <c r="AK13" s="499"/>
    </row>
    <row r="14" spans="1:37" ht="14.25" customHeight="1">
      <c r="A14" s="619">
        <v>1</v>
      </c>
      <c r="B14" s="426"/>
      <c r="C14" s="531" t="s">
        <v>362</v>
      </c>
      <c r="D14" s="431">
        <f>'Copia de Demandas de energía '!D14*1000*($E$110)</f>
        <v>3.3384858999999996E-2</v>
      </c>
      <c r="E14" s="431">
        <f>'Copia de Demandas de energía '!E14*1000*($E$110)</f>
        <v>3.7794179999999997E-3</v>
      </c>
      <c r="F14" s="431">
        <f>'Copia de Demandas de energía '!F14*1000*($E$110)</f>
        <v>1.0708351E-2</v>
      </c>
      <c r="G14" s="431">
        <f>'Copia de Demandas de energía '!G14*1000*($E$110)</f>
        <v>2.1416701999999999E-2</v>
      </c>
      <c r="H14" s="529">
        <f>G14*(1+'Driver PIB'!H$2)</f>
        <v>2.2068308139355119E-2</v>
      </c>
      <c r="I14" s="529">
        <f>H14*(1+'Driver PIB'!I$2)</f>
        <v>2.2639353358731042E-2</v>
      </c>
      <c r="J14" s="529">
        <f>I14*(1+'Driver PIB'!J$2)</f>
        <v>2.3288502273742229E-2</v>
      </c>
      <c r="K14" s="529">
        <f>J14*(1+'Driver PIB'!K$2)</f>
        <v>2.3983340802621572E-2</v>
      </c>
      <c r="L14" s="431">
        <f>K14*(1+'Driver PIB'!L$2)</f>
        <v>2.4718827623117737E-2</v>
      </c>
      <c r="M14" s="431">
        <f>L14*(1+'Driver PIB'!M$2)</f>
        <v>2.5375549539416932E-2</v>
      </c>
      <c r="N14" s="431">
        <f>M14*(1+'Driver PIB'!N$2)</f>
        <v>2.6100271135924207E-2</v>
      </c>
      <c r="O14" s="431">
        <f>N14*(1+'Driver PIB'!O$2)</f>
        <v>2.6675929761791083E-2</v>
      </c>
      <c r="P14" s="431">
        <f>O14*(1+'Driver PIB'!P$2)</f>
        <v>2.7313886967482146E-2</v>
      </c>
      <c r="Q14" s="431">
        <f>P14*(1+'Driver PIB'!Q$2)</f>
        <v>2.8181728996409087E-2</v>
      </c>
      <c r="R14" s="431">
        <f>Q14*(1+'Driver PIB'!R$2)</f>
        <v>2.8879546931266511E-2</v>
      </c>
      <c r="S14" s="431">
        <f>R14*(1+'Driver PIB'!S$2)</f>
        <v>2.971724161086416E-2</v>
      </c>
      <c r="T14" s="431">
        <f>S14*(1+'Driver PIB'!T$2)</f>
        <v>3.0423229361806033E-2</v>
      </c>
      <c r="U14" s="431">
        <f>T14*(1+'Driver PIB'!U$2)</f>
        <v>3.1145277594903108E-2</v>
      </c>
      <c r="V14" s="431">
        <f>U14*(1+'Driver PIB'!V$2)</f>
        <v>3.1943397694865615E-2</v>
      </c>
      <c r="W14" s="431">
        <f>V14*(1+'Driver PIB'!W$2)</f>
        <v>3.2670986277417963E-2</v>
      </c>
      <c r="X14" s="431">
        <f>W14*(1+'Driver PIB'!X$2)</f>
        <v>3.3439143560422796E-2</v>
      </c>
      <c r="Y14" s="431">
        <f>X14*(1+'Driver PIB'!Y$2)</f>
        <v>3.4284981792215875E-2</v>
      </c>
      <c r="Z14" s="431">
        <f>Y14*(1+'Driver PIB'!Z$2)</f>
        <v>3.50665772152354E-2</v>
      </c>
      <c r="AA14" s="431">
        <f>Z14*(1+'Driver PIB'!AA$2)</f>
        <v>3.586984160903945E-2</v>
      </c>
      <c r="AB14" s="431">
        <f>AA14*(1+'Driver PIB'!AB$2)</f>
        <v>3.6671914658602957E-2</v>
      </c>
      <c r="AC14" s="431">
        <f>AB14*(1+'Driver PIB'!AC$2)</f>
        <v>3.7316261209340687E-2</v>
      </c>
      <c r="AD14" s="431">
        <f>AC14*(1+'Driver PIB'!AD$2)</f>
        <v>3.8136968272079089E-2</v>
      </c>
      <c r="AE14" s="431">
        <f>AD14*(1+'Driver PIB'!AE$2)</f>
        <v>3.8848827127440665E-2</v>
      </c>
      <c r="AF14" s="431">
        <f>AE14*(1+'Driver PIB'!AF$2)</f>
        <v>3.9739852044675353E-2</v>
      </c>
      <c r="AG14" s="431">
        <f>AF14*(1+'Driver PIB'!AG$2)</f>
        <v>4.0475158528950755E-2</v>
      </c>
      <c r="AH14" s="431">
        <f>AG14*(1+'Driver PIB'!AH$2)</f>
        <v>4.12033534775927E-2</v>
      </c>
      <c r="AI14" s="431">
        <f>AH14*(1+'Driver PIB'!AI$2)</f>
        <v>4.1958329878307589E-2</v>
      </c>
      <c r="AJ14" s="431">
        <f>AI14*(1+'Driver PIB'!AJ$2)</f>
        <v>4.2718979034323132E-2</v>
      </c>
      <c r="AK14" s="499"/>
    </row>
    <row r="15" spans="1:37" ht="14.25" customHeight="1">
      <c r="A15" s="619">
        <v>1</v>
      </c>
      <c r="B15" s="426"/>
      <c r="C15" s="531" t="s">
        <v>363</v>
      </c>
      <c r="D15" s="431">
        <f>'Copia de Demandas de energía '!D15*1000*($E$110)</f>
        <v>0.20597828100000001</v>
      </c>
      <c r="E15" s="431">
        <f>'Copia de Demandas de energía '!E15*1000*($E$110)</f>
        <v>0.21920624399999999</v>
      </c>
      <c r="F15" s="431">
        <f>'Copia de Demandas de energía '!F15*1000*($E$110)</f>
        <v>0.18267186999999999</v>
      </c>
      <c r="G15" s="431">
        <f>'Copia de Demandas de energía '!G15*1000*($E$110)</f>
        <v>0.21416701999999999</v>
      </c>
      <c r="H15" s="529">
        <f>G15*(1+'Driver PIB'!H$2)</f>
        <v>0.22068308139355119</v>
      </c>
      <c r="I15" s="529">
        <f>H15*(1+'Driver PIB'!I$2)</f>
        <v>0.2263935335873104</v>
      </c>
      <c r="J15" s="529">
        <f>I15*(1+'Driver PIB'!J$2)</f>
        <v>0.23288502273742226</v>
      </c>
      <c r="K15" s="529">
        <f>J15*(1+'Driver PIB'!K$2)</f>
        <v>0.23983340802621567</v>
      </c>
      <c r="L15" s="431">
        <f>K15*(1+'Driver PIB'!L$2)</f>
        <v>0.24718827623117731</v>
      </c>
      <c r="M15" s="431">
        <f>L15*(1+'Driver PIB'!M$2)</f>
        <v>0.25375549539416925</v>
      </c>
      <c r="N15" s="431">
        <f>M15*(1+'Driver PIB'!N$2)</f>
        <v>0.26100271135924202</v>
      </c>
      <c r="O15" s="431">
        <f>N15*(1+'Driver PIB'!O$2)</f>
        <v>0.26675929761791078</v>
      </c>
      <c r="P15" s="431">
        <f>O15*(1+'Driver PIB'!P$2)</f>
        <v>0.27313886967482137</v>
      </c>
      <c r="Q15" s="431">
        <f>P15*(1+'Driver PIB'!Q$2)</f>
        <v>0.28181728996409078</v>
      </c>
      <c r="R15" s="431">
        <f>Q15*(1+'Driver PIB'!R$2)</f>
        <v>0.28879546931266503</v>
      </c>
      <c r="S15" s="431">
        <f>R15*(1+'Driver PIB'!S$2)</f>
        <v>0.29717241610864154</v>
      </c>
      <c r="T15" s="431">
        <f>S15*(1+'Driver PIB'!T$2)</f>
        <v>0.30423229361806026</v>
      </c>
      <c r="U15" s="431">
        <f>T15*(1+'Driver PIB'!U$2)</f>
        <v>0.31145277594903104</v>
      </c>
      <c r="V15" s="431">
        <f>U15*(1+'Driver PIB'!V$2)</f>
        <v>0.31943397694865611</v>
      </c>
      <c r="W15" s="431">
        <f>V15*(1+'Driver PIB'!W$2)</f>
        <v>0.32670986277417957</v>
      </c>
      <c r="X15" s="431">
        <f>W15*(1+'Driver PIB'!X$2)</f>
        <v>0.3343914356042279</v>
      </c>
      <c r="Y15" s="431">
        <f>X15*(1+'Driver PIB'!Y$2)</f>
        <v>0.34284981792215868</v>
      </c>
      <c r="Z15" s="431">
        <f>Y15*(1+'Driver PIB'!Z$2)</f>
        <v>0.35066577215235395</v>
      </c>
      <c r="AA15" s="431">
        <f>Z15*(1+'Driver PIB'!AA$2)</f>
        <v>0.35869841609039443</v>
      </c>
      <c r="AB15" s="431">
        <f>AA15*(1+'Driver PIB'!AB$2)</f>
        <v>0.3667191465860295</v>
      </c>
      <c r="AC15" s="431">
        <f>AB15*(1+'Driver PIB'!AC$2)</f>
        <v>0.37316261209340679</v>
      </c>
      <c r="AD15" s="431">
        <f>AC15*(1+'Driver PIB'!AD$2)</f>
        <v>0.38136968272079086</v>
      </c>
      <c r="AE15" s="431">
        <f>AD15*(1+'Driver PIB'!AE$2)</f>
        <v>0.38848827127440666</v>
      </c>
      <c r="AF15" s="431">
        <f>AE15*(1+'Driver PIB'!AF$2)</f>
        <v>0.39739852044675356</v>
      </c>
      <c r="AG15" s="431">
        <f>AF15*(1+'Driver PIB'!AG$2)</f>
        <v>0.40475158528950761</v>
      </c>
      <c r="AH15" s="431">
        <f>AG15*(1+'Driver PIB'!AH$2)</f>
        <v>0.41203353477592702</v>
      </c>
      <c r="AI15" s="431">
        <f>AH15*(1+'Driver PIB'!AI$2)</f>
        <v>0.41958329878307593</v>
      </c>
      <c r="AJ15" s="431">
        <f>AI15*(1+'Driver PIB'!AJ$2)</f>
        <v>0.4271897903432314</v>
      </c>
      <c r="AK15" s="499"/>
    </row>
    <row r="16" spans="1:37" ht="14.25" customHeight="1">
      <c r="A16" s="3"/>
      <c r="B16" s="532"/>
      <c r="C16" s="429" t="s">
        <v>13</v>
      </c>
      <c r="D16" s="431">
        <f t="shared" ref="D16:AJ16" si="0">SUM(D6:D15)</f>
        <v>175.21461023468612</v>
      </c>
      <c r="E16" s="431">
        <f t="shared" si="0"/>
        <v>175.54719911317159</v>
      </c>
      <c r="F16" s="431">
        <f t="shared" si="0"/>
        <v>137.87858783654428</v>
      </c>
      <c r="G16" s="431">
        <f t="shared" si="0"/>
        <v>165.37994696871618</v>
      </c>
      <c r="H16" s="530">
        <f t="shared" si="0"/>
        <v>170.41165487458514</v>
      </c>
      <c r="I16" s="530">
        <f t="shared" si="0"/>
        <v>174.82127070138839</v>
      </c>
      <c r="J16" s="530">
        <f t="shared" si="0"/>
        <v>179.83400390089548</v>
      </c>
      <c r="K16" s="530">
        <f t="shared" si="0"/>
        <v>185.1995526701638</v>
      </c>
      <c r="L16" s="533">
        <f t="shared" si="0"/>
        <v>190.87898787778096</v>
      </c>
      <c r="M16" s="533">
        <f t="shared" si="0"/>
        <v>195.95019985480499</v>
      </c>
      <c r="N16" s="533">
        <f t="shared" si="0"/>
        <v>201.54650591525524</v>
      </c>
      <c r="O16" s="533">
        <f t="shared" si="0"/>
        <v>205.9917465044901</v>
      </c>
      <c r="P16" s="533">
        <f t="shared" si="0"/>
        <v>210.91805723363495</v>
      </c>
      <c r="Q16" s="533">
        <f t="shared" si="0"/>
        <v>217.61954043684526</v>
      </c>
      <c r="R16" s="533">
        <f t="shared" si="0"/>
        <v>223.00809620329991</v>
      </c>
      <c r="S16" s="533">
        <f t="shared" si="0"/>
        <v>229.47678132988165</v>
      </c>
      <c r="T16" s="533">
        <f t="shared" si="0"/>
        <v>234.92842448256366</v>
      </c>
      <c r="U16" s="533">
        <f t="shared" si="0"/>
        <v>240.50408680902501</v>
      </c>
      <c r="V16" s="533">
        <f t="shared" si="0"/>
        <v>246.66717670991011</v>
      </c>
      <c r="W16" s="533">
        <f t="shared" si="0"/>
        <v>252.28562165990991</v>
      </c>
      <c r="X16" s="533">
        <f t="shared" si="0"/>
        <v>258.21733844464046</v>
      </c>
      <c r="Y16" s="533">
        <f t="shared" si="0"/>
        <v>264.74890814748511</v>
      </c>
      <c r="Z16" s="533">
        <f t="shared" si="0"/>
        <v>270.78439435866551</v>
      </c>
      <c r="AA16" s="533">
        <f t="shared" si="0"/>
        <v>276.98720853841985</v>
      </c>
      <c r="AB16" s="533">
        <f t="shared" si="0"/>
        <v>283.18082314826262</v>
      </c>
      <c r="AC16" s="533">
        <f t="shared" si="0"/>
        <v>288.15647245180526</v>
      </c>
      <c r="AD16" s="533">
        <f t="shared" si="0"/>
        <v>294.4939790628851</v>
      </c>
      <c r="AE16" s="533">
        <f t="shared" si="0"/>
        <v>299.99095893163008</v>
      </c>
      <c r="AF16" s="533">
        <f t="shared" si="0"/>
        <v>306.8714605868372</v>
      </c>
      <c r="AG16" s="533">
        <f t="shared" si="0"/>
        <v>312.54950323669146</v>
      </c>
      <c r="AH16" s="533">
        <f t="shared" si="0"/>
        <v>318.17263055056509</v>
      </c>
      <c r="AI16" s="533">
        <f t="shared" si="0"/>
        <v>324.00256445508785</v>
      </c>
      <c r="AJ16" s="533">
        <f t="shared" si="0"/>
        <v>329.87630342216357</v>
      </c>
      <c r="AK16" s="534"/>
    </row>
    <row r="17" spans="1:37" ht="14.25" customHeight="1">
      <c r="A17" s="619"/>
      <c r="B17" s="426"/>
      <c r="C17" s="434"/>
      <c r="D17" s="425"/>
      <c r="E17" s="425"/>
      <c r="F17" s="425"/>
      <c r="G17" s="425"/>
      <c r="H17" s="425"/>
      <c r="I17" s="425"/>
      <c r="J17" s="425"/>
      <c r="K17" s="439"/>
      <c r="L17" s="425"/>
      <c r="M17" s="425"/>
      <c r="N17" s="425"/>
      <c r="O17" s="425"/>
      <c r="P17" s="439"/>
      <c r="Q17" s="425"/>
      <c r="R17" s="425"/>
      <c r="S17" s="425"/>
      <c r="T17" s="425"/>
      <c r="U17" s="439"/>
      <c r="V17" s="425"/>
      <c r="W17" s="425"/>
      <c r="X17" s="425"/>
      <c r="Y17" s="425"/>
      <c r="Z17" s="439"/>
      <c r="AA17" s="425"/>
      <c r="AB17" s="425"/>
      <c r="AC17" s="425"/>
      <c r="AD17" s="425"/>
      <c r="AE17" s="439"/>
      <c r="AF17" s="425"/>
      <c r="AG17" s="425"/>
      <c r="AH17" s="425"/>
      <c r="AI17" s="425"/>
      <c r="AJ17" s="439"/>
      <c r="AK17" s="499"/>
    </row>
    <row r="18" spans="1:37" ht="14.25" customHeight="1">
      <c r="A18" s="619"/>
      <c r="B18" s="426"/>
      <c r="C18" s="429" t="s">
        <v>425</v>
      </c>
      <c r="D18" s="428"/>
      <c r="E18" s="428"/>
      <c r="F18" s="428"/>
      <c r="G18" s="428"/>
      <c r="H18" s="428"/>
      <c r="I18" s="428"/>
      <c r="J18" s="428"/>
      <c r="K18" s="438"/>
      <c r="L18" s="428"/>
      <c r="M18" s="428"/>
      <c r="N18" s="428"/>
      <c r="O18" s="428"/>
      <c r="P18" s="438"/>
      <c r="Q18" s="428"/>
      <c r="R18" s="428"/>
      <c r="S18" s="428"/>
      <c r="T18" s="428"/>
      <c r="U18" s="438"/>
      <c r="V18" s="428"/>
      <c r="W18" s="428"/>
      <c r="X18" s="428"/>
      <c r="Y18" s="428"/>
      <c r="Z18" s="438"/>
      <c r="AA18" s="428"/>
      <c r="AB18" s="428"/>
      <c r="AC18" s="428"/>
      <c r="AD18" s="428"/>
      <c r="AE18" s="438"/>
      <c r="AF18" s="428"/>
      <c r="AG18" s="428"/>
      <c r="AH18" s="428"/>
      <c r="AI18" s="428"/>
      <c r="AJ18" s="438"/>
      <c r="AK18" s="499"/>
    </row>
    <row r="19" spans="1:37" ht="14.25" customHeight="1">
      <c r="A19" s="619"/>
      <c r="B19" s="426"/>
      <c r="C19" s="430" t="s">
        <v>413</v>
      </c>
      <c r="D19" s="431"/>
      <c r="E19" s="431"/>
      <c r="F19" s="431"/>
      <c r="G19" s="431"/>
      <c r="H19" s="431">
        <f>G19*(1+'Driver PIB'!H$2)</f>
        <v>0</v>
      </c>
      <c r="I19" s="431">
        <f>H19*(1+'Driver PIB'!I$2)</f>
        <v>0</v>
      </c>
      <c r="J19" s="431">
        <f>I19*(1+'Driver PIB'!J$2)</f>
        <v>0</v>
      </c>
      <c r="K19" s="431">
        <f>J19*(1+'Driver PIB'!K$2)</f>
        <v>0</v>
      </c>
      <c r="L19" s="431">
        <f>K19*(1+'Driver PIB'!L$2)</f>
        <v>0</v>
      </c>
      <c r="M19" s="431">
        <f>L19*(1+'Driver PIB'!M$2)</f>
        <v>0</v>
      </c>
      <c r="N19" s="431">
        <f>M19*(1+'Driver PIB'!N$2)</f>
        <v>0</v>
      </c>
      <c r="O19" s="431">
        <f>N19*(1+'Driver PIB'!O$2)</f>
        <v>0</v>
      </c>
      <c r="P19" s="431">
        <f>O19*(1+'Driver PIB'!P$2)</f>
        <v>0</v>
      </c>
      <c r="Q19" s="431">
        <f>P19*(1+'Driver PIB'!Q$2)</f>
        <v>0</v>
      </c>
      <c r="R19" s="431">
        <f>Q19*(1+'Driver PIB'!R$2)</f>
        <v>0</v>
      </c>
      <c r="S19" s="431">
        <f>R19*(1+'Driver PIB'!S$2)</f>
        <v>0</v>
      </c>
      <c r="T19" s="431">
        <f>S19*(1+'Driver PIB'!T$2)</f>
        <v>0</v>
      </c>
      <c r="U19" s="431">
        <f>T19*(1+'Driver PIB'!U$2)</f>
        <v>0</v>
      </c>
      <c r="V19" s="431">
        <f>U19*(1+'Driver PIB'!V$2)</f>
        <v>0</v>
      </c>
      <c r="W19" s="431">
        <f>V19*(1+'Driver PIB'!W$2)</f>
        <v>0</v>
      </c>
      <c r="X19" s="431">
        <f>W19*(1+'Driver PIB'!X$2)</f>
        <v>0</v>
      </c>
      <c r="Y19" s="431">
        <f>X19*(1+'Driver PIB'!Y$2)</f>
        <v>0</v>
      </c>
      <c r="Z19" s="431">
        <f>Y19*(1+'Driver PIB'!Z$2)</f>
        <v>0</v>
      </c>
      <c r="AA19" s="431">
        <f>Z19*(1+'Driver PIB'!AA$2)</f>
        <v>0</v>
      </c>
      <c r="AB19" s="431">
        <f>AA19*(1+'Driver PIB'!AB$2)</f>
        <v>0</v>
      </c>
      <c r="AC19" s="431">
        <f>AB19*(1+'Driver PIB'!AC$2)</f>
        <v>0</v>
      </c>
      <c r="AD19" s="431">
        <f>AC19*(1+'Driver PIB'!AD$2)</f>
        <v>0</v>
      </c>
      <c r="AE19" s="431">
        <f>AD19*(1+'Driver PIB'!AE$2)</f>
        <v>0</v>
      </c>
      <c r="AF19" s="431">
        <f>AE19*(1+'Driver PIB'!AF$2)</f>
        <v>0</v>
      </c>
      <c r="AG19" s="431">
        <f>AF19*(1+'Driver PIB'!AG$2)</f>
        <v>0</v>
      </c>
      <c r="AH19" s="431">
        <f>AG19*(1+'Driver PIB'!AH$2)</f>
        <v>0</v>
      </c>
      <c r="AI19" s="431">
        <f>AH19*(1+'Driver PIB'!AI$2)</f>
        <v>0</v>
      </c>
      <c r="AJ19" s="431">
        <f>AI19*(1+'Driver PIB'!AJ$2)</f>
        <v>0</v>
      </c>
      <c r="AK19" s="499"/>
    </row>
    <row r="20" spans="1:37" ht="14.25" customHeight="1">
      <c r="A20" s="619"/>
      <c r="B20" s="426"/>
      <c r="C20" s="432" t="s">
        <v>415</v>
      </c>
      <c r="D20" s="431">
        <f>'Copia de Demandas de energía '!D20*1000*($E$110)</f>
        <v>6.2234007592952993</v>
      </c>
      <c r="E20" s="431">
        <f>'Copia de Demandas de energía '!E20*1000*($E$110)</f>
        <v>5.1136779865843902</v>
      </c>
      <c r="F20" s="431">
        <f>'Copia de Demandas de energía '!F20*1000*($E$110)</f>
        <v>4.9900274292765392</v>
      </c>
      <c r="G20" s="431">
        <f>'Copia de Demandas de energía '!G20*1000*($E$110)</f>
        <v>4.7622676883463306</v>
      </c>
      <c r="H20" s="431">
        <f>G20*(1+'Driver PIB'!H$2)</f>
        <v>4.9071603456275019</v>
      </c>
      <c r="I20" s="431">
        <f>H20*(1+'Driver PIB'!I$2)</f>
        <v>5.0341392892957941</v>
      </c>
      <c r="J20" s="431">
        <f>I20*(1+'Driver PIB'!J$2)</f>
        <v>5.1784855524544664</v>
      </c>
      <c r="K20" s="431">
        <f>J20*(1+'Driver PIB'!K$2)</f>
        <v>5.3329914644618421</v>
      </c>
      <c r="L20" s="431">
        <f>K20*(1+'Driver PIB'!L$2)</f>
        <v>5.4965360251721451</v>
      </c>
      <c r="M20" s="431">
        <f>L20*(1+'Driver PIB'!M$2)</f>
        <v>5.6425662385178104</v>
      </c>
      <c r="N20" s="431">
        <f>M20*(1+'Driver PIB'!N$2)</f>
        <v>5.803717018973801</v>
      </c>
      <c r="O20" s="431">
        <f>N20*(1+'Driver PIB'!O$2)</f>
        <v>5.931721810443733</v>
      </c>
      <c r="P20" s="431">
        <f>O20*(1+'Driver PIB'!P$2)</f>
        <v>6.0735794590775072</v>
      </c>
      <c r="Q20" s="431">
        <f>P20*(1+'Driver PIB'!Q$2)</f>
        <v>6.2665548318939051</v>
      </c>
      <c r="R20" s="431">
        <f>Q20*(1+'Driver PIB'!R$2)</f>
        <v>6.4217232515469442</v>
      </c>
      <c r="S20" s="431">
        <f>R20*(1+'Driver PIB'!S$2)</f>
        <v>6.6079949896206918</v>
      </c>
      <c r="T20" s="431">
        <f>S20*(1+'Driver PIB'!T$2)</f>
        <v>6.7649800685875086</v>
      </c>
      <c r="U20" s="431">
        <f>T20*(1+'Driver PIB'!U$2)</f>
        <v>6.9255363937353192</v>
      </c>
      <c r="V20" s="431">
        <f>U20*(1+'Driver PIB'!V$2)</f>
        <v>7.1030082362006617</v>
      </c>
      <c r="W20" s="431">
        <f>V20*(1+'Driver PIB'!W$2)</f>
        <v>7.2647965263444361</v>
      </c>
      <c r="X20" s="431">
        <f>W20*(1+'Driver PIB'!X$2)</f>
        <v>7.4356057671146454</v>
      </c>
      <c r="Y20" s="431">
        <f>X20*(1+'Driver PIB'!Y$2)</f>
        <v>7.6236883244026989</v>
      </c>
      <c r="Z20" s="431">
        <f>Y20*(1+'Driver PIB'!Z$2)</f>
        <v>7.7974857012539651</v>
      </c>
      <c r="AA20" s="431">
        <f>Z20*(1+'Driver PIB'!AA$2)</f>
        <v>7.9761014408674749</v>
      </c>
      <c r="AB20" s="431">
        <f>AA20*(1+'Driver PIB'!AB$2)</f>
        <v>8.154452270403679</v>
      </c>
      <c r="AC20" s="431">
        <f>AB20*(1+'Driver PIB'!AC$2)</f>
        <v>8.2977306686685335</v>
      </c>
      <c r="AD20" s="431">
        <f>AC20*(1+'Driver PIB'!AD$2)</f>
        <v>8.4802250007312718</v>
      </c>
      <c r="AE20" s="431">
        <f>AD20*(1+'Driver PIB'!AE$2)</f>
        <v>8.6385155921375336</v>
      </c>
      <c r="AF20" s="431">
        <f>AE20*(1+'Driver PIB'!AF$2)</f>
        <v>8.8366459659391694</v>
      </c>
      <c r="AG20" s="431">
        <f>AF20*(1+'Driver PIB'!AG$2)</f>
        <v>9.0001504266678243</v>
      </c>
      <c r="AH20" s="431">
        <f>AG20*(1+'Driver PIB'!AH$2)</f>
        <v>9.1620735497861521</v>
      </c>
      <c r="AI20" s="431">
        <f>AH20*(1+'Driver PIB'!AI$2)</f>
        <v>9.3299518589015591</v>
      </c>
      <c r="AJ20" s="431">
        <f>AI20*(1+'Driver PIB'!AJ$2)</f>
        <v>9.4990915750847851</v>
      </c>
      <c r="AK20" s="499"/>
    </row>
    <row r="21" spans="1:37" ht="14.25" customHeight="1">
      <c r="A21" s="619">
        <v>2</v>
      </c>
      <c r="B21" s="426"/>
      <c r="C21" s="430" t="s">
        <v>417</v>
      </c>
      <c r="D21" s="431">
        <f>'Copia de Demandas de energía '!D21*1000*($E$110)</f>
        <v>27.754763309491995</v>
      </c>
      <c r="E21" s="431">
        <f>'Copia de Demandas de energía '!E21*1000*($E$110)</f>
        <v>23.891869304125997</v>
      </c>
      <c r="F21" s="431">
        <f>'Copia de Demandas de energía '!F21*1000*($E$110)</f>
        <v>23.314155342433498</v>
      </c>
      <c r="G21" s="431">
        <f>'Copia de Demandas de energía '!G21*1000*($E$110)</f>
        <v>22.250027764528998</v>
      </c>
      <c r="H21" s="431">
        <f>G21*(1+'Driver PIB'!H$2)</f>
        <v>22.926987956261083</v>
      </c>
      <c r="I21" s="431">
        <f>H21*(1+'Driver PIB'!I$2)</f>
        <v>23.520252595509266</v>
      </c>
      <c r="J21" s="431">
        <f>I21*(1+'Driver PIB'!J$2)</f>
        <v>24.194659952081384</v>
      </c>
      <c r="K21" s="431">
        <f>J21*(1+'Driver PIB'!K$2)</f>
        <v>24.916534709428703</v>
      </c>
      <c r="L21" s="431">
        <f>K21*(1+'Driver PIB'!L$2)</f>
        <v>25.68063938700627</v>
      </c>
      <c r="M21" s="431">
        <f>L21*(1+'Driver PIB'!M$2)</f>
        <v>26.362914411014717</v>
      </c>
      <c r="N21" s="431">
        <f>M21*(1+'Driver PIB'!N$2)</f>
        <v>27.115834988788116</v>
      </c>
      <c r="O21" s="431">
        <f>N21*(1+'Driver PIB'!O$2)</f>
        <v>27.713892542580879</v>
      </c>
      <c r="P21" s="431">
        <f>O21*(1+'Driver PIB'!P$2)</f>
        <v>28.376672719435721</v>
      </c>
      <c r="Q21" s="431">
        <f>P21*(1+'Driver PIB'!Q$2)</f>
        <v>29.278282558282505</v>
      </c>
      <c r="R21" s="431">
        <f>Q21*(1+'Driver PIB'!R$2)</f>
        <v>30.003252650557403</v>
      </c>
      <c r="S21" s="431">
        <f>R21*(1+'Driver PIB'!S$2)</f>
        <v>30.873542104052433</v>
      </c>
      <c r="T21" s="431">
        <f>S21*(1+'Driver PIB'!T$2)</f>
        <v>31.606999900676492</v>
      </c>
      <c r="U21" s="431">
        <f>T21*(1+'Driver PIB'!U$2)</f>
        <v>32.357143094233514</v>
      </c>
      <c r="V21" s="431">
        <f>U21*(1+'Driver PIB'!V$2)</f>
        <v>33.18631811770792</v>
      </c>
      <c r="W21" s="431">
        <f>V21*(1+'Driver PIB'!W$2)</f>
        <v>33.942217236206375</v>
      </c>
      <c r="X21" s="431">
        <f>W21*(1+'Driver PIB'!X$2)</f>
        <v>34.740263586871507</v>
      </c>
      <c r="Y21" s="431">
        <f>X21*(1+'Driver PIB'!Y$2)</f>
        <v>35.61901345889644</v>
      </c>
      <c r="Z21" s="431">
        <f>Y21*(1+'Driver PIB'!Z$2)</f>
        <v>36.431020828789954</v>
      </c>
      <c r="AA21" s="431">
        <f>Z21*(1+'Driver PIB'!AA$2)</f>
        <v>37.265540311033192</v>
      </c>
      <c r="AB21" s="431">
        <f>AA21*(1+'Driver PIB'!AB$2)</f>
        <v>38.098822093726369</v>
      </c>
      <c r="AC21" s="431">
        <f>AB21*(1+'Driver PIB'!AC$2)</f>
        <v>38.768240225607407</v>
      </c>
      <c r="AD21" s="431">
        <f>AC21*(1+'Driver PIB'!AD$2)</f>
        <v>39.620881072572288</v>
      </c>
      <c r="AE21" s="431">
        <f>AD21*(1+'Driver PIB'!AE$2)</f>
        <v>40.360438418807064</v>
      </c>
      <c r="AF21" s="431">
        <f>AE21*(1+'Driver PIB'!AF$2)</f>
        <v>41.286133194191201</v>
      </c>
      <c r="AG21" s="431">
        <f>AF21*(1+'Driver PIB'!AG$2)</f>
        <v>42.050050518649748</v>
      </c>
      <c r="AH21" s="431">
        <f>AG21*(1+'Driver PIB'!AH$2)</f>
        <v>42.806579596995846</v>
      </c>
      <c r="AI21" s="431">
        <f>AH21*(1+'Driver PIB'!AI$2)</f>
        <v>43.590932196078121</v>
      </c>
      <c r="AJ21" s="431">
        <f>AI21*(1+'Driver PIB'!AJ$2)</f>
        <v>44.381178277870333</v>
      </c>
      <c r="AK21" s="499"/>
    </row>
    <row r="22" spans="1:37" ht="14.25" customHeight="1">
      <c r="A22" s="619">
        <v>2</v>
      </c>
      <c r="B22" s="426"/>
      <c r="C22" s="430" t="s">
        <v>419</v>
      </c>
      <c r="D22" s="431">
        <f>'Copia de Demandas de energía '!D22*1000*($E$110)</f>
        <v>2.7650976459832797</v>
      </c>
      <c r="E22" s="431">
        <f>'Copia de Demandas de energía '!E22*1000*($E$110)</f>
        <v>3.1615982402780998</v>
      </c>
      <c r="F22" s="431">
        <f>'Copia de Demandas de energía '!F22*1000*($E$110)</f>
        <v>0.73102634261788002</v>
      </c>
      <c r="G22" s="431">
        <f>'Copia de Demandas de energía '!G22*1000*($E$110)</f>
        <v>3.4236403448997992</v>
      </c>
      <c r="H22" s="431">
        <f>G22*(1+'Driver PIB'!H$2)</f>
        <v>3.5278050789321722</v>
      </c>
      <c r="I22" s="431">
        <f>H22*(1+'Driver PIB'!I$2)</f>
        <v>3.6190914708247037</v>
      </c>
      <c r="J22" s="431">
        <f>I22*(1+'Driver PIB'!J$2)</f>
        <v>3.7228633968327434</v>
      </c>
      <c r="K22" s="431">
        <f>J22*(1+'Driver PIB'!K$2)</f>
        <v>3.8339391927541762</v>
      </c>
      <c r="L22" s="431">
        <f>K22*(1+'Driver PIB'!L$2)</f>
        <v>3.9515129607317458</v>
      </c>
      <c r="M22" s="431">
        <f>L22*(1+'Driver PIB'!M$2)</f>
        <v>4.0564954948316192</v>
      </c>
      <c r="N22" s="431">
        <f>M22*(1+'Driver PIB'!N$2)</f>
        <v>4.1723483510100587</v>
      </c>
      <c r="O22" s="431">
        <f>N22*(1+'Driver PIB'!O$2)</f>
        <v>4.2643722348184721</v>
      </c>
      <c r="P22" s="431">
        <f>O22*(1+'Driver PIB'!P$2)</f>
        <v>4.3663550717521629</v>
      </c>
      <c r="Q22" s="431">
        <f>P22*(1+'Driver PIB'!Q$2)</f>
        <v>4.5050869354739422</v>
      </c>
      <c r="R22" s="431">
        <f>Q22*(1+'Driver PIB'!R$2)</f>
        <v>4.6166390145556111</v>
      </c>
      <c r="S22" s="431">
        <f>R22*(1+'Driver PIB'!S$2)</f>
        <v>4.7505515703626822</v>
      </c>
      <c r="T22" s="431">
        <f>S22*(1+'Driver PIB'!T$2)</f>
        <v>4.8634096634121944</v>
      </c>
      <c r="U22" s="431">
        <f>T22*(1+'Driver PIB'!U$2)</f>
        <v>4.9788351599146328</v>
      </c>
      <c r="V22" s="431">
        <f>U22*(1+'Driver PIB'!V$2)</f>
        <v>5.1064213855765992</v>
      </c>
      <c r="W22" s="431">
        <f>V22*(1+'Driver PIB'!W$2)</f>
        <v>5.2227325536413494</v>
      </c>
      <c r="X22" s="431">
        <f>W22*(1+'Driver PIB'!X$2)</f>
        <v>5.3455289704437101</v>
      </c>
      <c r="Y22" s="431">
        <f>X22*(1+'Driver PIB'!Y$2)</f>
        <v>5.4807433417145761</v>
      </c>
      <c r="Z22" s="431">
        <f>Y22*(1+'Driver PIB'!Z$2)</f>
        <v>5.6056879584739017</v>
      </c>
      <c r="AA22" s="431">
        <f>Z22*(1+'Driver PIB'!AA$2)</f>
        <v>5.7340965428698105</v>
      </c>
      <c r="AB22" s="431">
        <f>AA22*(1+'Driver PIB'!AB$2)</f>
        <v>5.862314680846537</v>
      </c>
      <c r="AC22" s="431">
        <f>AB22*(1+'Driver PIB'!AC$2)</f>
        <v>5.9653189084443579</v>
      </c>
      <c r="AD22" s="431">
        <f>AC22*(1+'Driver PIB'!AD$2)</f>
        <v>6.0965158505008619</v>
      </c>
      <c r="AE22" s="431">
        <f>AD22*(1+'Driver PIB'!AE$2)</f>
        <v>6.2103124890818204</v>
      </c>
      <c r="AF22" s="431">
        <f>AE22*(1+'Driver PIB'!AF$2)</f>
        <v>6.3527503329177053</v>
      </c>
      <c r="AG22" s="431">
        <f>AF22*(1+'Driver PIB'!AG$2)</f>
        <v>6.4702952726302581</v>
      </c>
      <c r="AH22" s="431">
        <f>AG22*(1+'Driver PIB'!AH$2)</f>
        <v>6.5867033734257401</v>
      </c>
      <c r="AI22" s="431">
        <f>AH22*(1+'Driver PIB'!AI$2)</f>
        <v>6.7073927150869697</v>
      </c>
      <c r="AJ22" s="431">
        <f>AI22*(1+'Driver PIB'!AJ$2)</f>
        <v>6.8289888945009993</v>
      </c>
      <c r="AK22" s="499"/>
    </row>
    <row r="23" spans="1:37" ht="14.25" customHeight="1">
      <c r="A23" s="619">
        <v>2</v>
      </c>
      <c r="B23" s="426"/>
      <c r="C23" s="430" t="s">
        <v>421</v>
      </c>
      <c r="D23" s="431"/>
      <c r="E23" s="431"/>
      <c r="F23" s="431"/>
      <c r="G23" s="431"/>
      <c r="H23" s="431"/>
      <c r="I23" s="431"/>
      <c r="J23" s="431"/>
      <c r="K23" s="431"/>
      <c r="L23" s="431"/>
      <c r="M23" s="431"/>
      <c r="N23" s="431"/>
      <c r="O23" s="431"/>
      <c r="P23" s="431"/>
      <c r="Q23" s="431"/>
      <c r="R23" s="431"/>
      <c r="S23" s="431"/>
      <c r="T23" s="431"/>
      <c r="U23" s="431"/>
      <c r="V23" s="431"/>
      <c r="W23" s="431"/>
      <c r="X23" s="431"/>
      <c r="Y23" s="431"/>
      <c r="Z23" s="431"/>
      <c r="AA23" s="431"/>
      <c r="AB23" s="431"/>
      <c r="AC23" s="431"/>
      <c r="AD23" s="431"/>
      <c r="AE23" s="431"/>
      <c r="AF23" s="431"/>
      <c r="AG23" s="431"/>
      <c r="AH23" s="431"/>
      <c r="AI23" s="431"/>
      <c r="AJ23" s="431"/>
      <c r="AK23" s="499"/>
    </row>
    <row r="24" spans="1:37" ht="14.25" customHeight="1">
      <c r="A24" s="619"/>
      <c r="B24" s="426"/>
      <c r="C24" s="430" t="s">
        <v>422</v>
      </c>
      <c r="D24" s="431"/>
      <c r="E24" s="431"/>
      <c r="F24" s="431"/>
      <c r="G24" s="431"/>
      <c r="H24" s="431">
        <f>G24*(1+'Driver PIB'!H$2)</f>
        <v>0</v>
      </c>
      <c r="I24" s="431">
        <f>H24*(1+'Driver PIB'!I$2)</f>
        <v>0</v>
      </c>
      <c r="J24" s="431">
        <f>I24*(1+'Driver PIB'!J$2)</f>
        <v>0</v>
      </c>
      <c r="K24" s="431">
        <f>J24*(1+'Driver PIB'!K$2)</f>
        <v>0</v>
      </c>
      <c r="L24" s="431">
        <f>K24*(1+'Driver PIB'!L$2)</f>
        <v>0</v>
      </c>
      <c r="M24" s="431">
        <f>L24*(1+'Driver PIB'!M$2)</f>
        <v>0</v>
      </c>
      <c r="N24" s="431">
        <f>M24*(1+'Driver PIB'!N$2)</f>
        <v>0</v>
      </c>
      <c r="O24" s="431">
        <f>N24*(1+'Driver PIB'!O$2)</f>
        <v>0</v>
      </c>
      <c r="P24" s="431">
        <f>O24*(1+'Driver PIB'!P$2)</f>
        <v>0</v>
      </c>
      <c r="Q24" s="431">
        <f>P24*(1+'Driver PIB'!Q$2)</f>
        <v>0</v>
      </c>
      <c r="R24" s="431">
        <f>Q24*(1+'Driver PIB'!R$2)</f>
        <v>0</v>
      </c>
      <c r="S24" s="431">
        <f>R24*(1+'Driver PIB'!S$2)</f>
        <v>0</v>
      </c>
      <c r="T24" s="431">
        <f>S24*(1+'Driver PIB'!T$2)</f>
        <v>0</v>
      </c>
      <c r="U24" s="431">
        <f>T24*(1+'Driver PIB'!U$2)</f>
        <v>0</v>
      </c>
      <c r="V24" s="431">
        <f>U24*(1+'Driver PIB'!V$2)</f>
        <v>0</v>
      </c>
      <c r="W24" s="431">
        <f>V24*(1+'Driver PIB'!W$2)</f>
        <v>0</v>
      </c>
      <c r="X24" s="431">
        <f>W24*(1+'Driver PIB'!X$2)</f>
        <v>0</v>
      </c>
      <c r="Y24" s="431">
        <f>X24*(1+'Driver PIB'!Y$2)</f>
        <v>0</v>
      </c>
      <c r="Z24" s="431">
        <f>Y24*(1+'Driver PIB'!Z$2)</f>
        <v>0</v>
      </c>
      <c r="AA24" s="431">
        <f>Z24*(1+'Driver PIB'!AA$2)</f>
        <v>0</v>
      </c>
      <c r="AB24" s="431">
        <f>AA24*(1+'Driver PIB'!AB$2)</f>
        <v>0</v>
      </c>
      <c r="AC24" s="431">
        <f>AB24*(1+'Driver PIB'!AC$2)</f>
        <v>0</v>
      </c>
      <c r="AD24" s="431">
        <f>AC24*(1+'Driver PIB'!AD$2)</f>
        <v>0</v>
      </c>
      <c r="AE24" s="431">
        <f>AD24*(1+'Driver PIB'!AE$2)</f>
        <v>0</v>
      </c>
      <c r="AF24" s="431">
        <f>AE24*(1+'Driver PIB'!AF$2)</f>
        <v>0</v>
      </c>
      <c r="AG24" s="431">
        <f>AF24*(1+'Driver PIB'!AG$2)</f>
        <v>0</v>
      </c>
      <c r="AH24" s="431">
        <f>AG24*(1+'Driver PIB'!AH$2)</f>
        <v>0</v>
      </c>
      <c r="AI24" s="431">
        <f>AH24*(1+'Driver PIB'!AI$2)</f>
        <v>0</v>
      </c>
      <c r="AJ24" s="431">
        <f>AI24*(1+'Driver PIB'!AJ$2)</f>
        <v>0</v>
      </c>
      <c r="AK24" s="499"/>
    </row>
    <row r="25" spans="1:37" ht="14.25" customHeight="1">
      <c r="A25" s="619">
        <v>2</v>
      </c>
      <c r="B25" s="426"/>
      <c r="C25" s="430" t="s">
        <v>359</v>
      </c>
      <c r="D25" s="431">
        <f>'Copia de Demandas de energía '!D25*1000*($E$110)</f>
        <v>129.93324132499998</v>
      </c>
      <c r="E25" s="431">
        <f>'Copia de Demandas de energía '!E25*1000*($E$110)</f>
        <v>132.03207812099998</v>
      </c>
      <c r="F25" s="431">
        <f>'Copia de Demandas de energía '!F25*1000*($E$110)</f>
        <v>112.008091654</v>
      </c>
      <c r="G25" s="431">
        <f>'Copia de Demandas de energía '!G25*1000*($E$110)</f>
        <v>126.68294184499999</v>
      </c>
      <c r="H25" s="431">
        <f>G25*(1+'Driver PIB'!H$2)</f>
        <v>130.53728798371779</v>
      </c>
      <c r="I25" s="431">
        <f>H25*(1+'Driver PIB'!I$2)</f>
        <v>133.91510443356452</v>
      </c>
      <c r="J25" s="431">
        <f>I25*(1+'Driver PIB'!J$2)</f>
        <v>137.75491572893142</v>
      </c>
      <c r="K25" s="431">
        <f>J25*(1+'Driver PIB'!K$2)</f>
        <v>141.86498780938933</v>
      </c>
      <c r="L25" s="431">
        <f>K25*(1+'Driver PIB'!L$2)</f>
        <v>146.21550051245069</v>
      </c>
      <c r="M25" s="431">
        <f>L25*(1+'Driver PIB'!M$2)</f>
        <v>150.10010722411283</v>
      </c>
      <c r="N25" s="431">
        <f>M25*(1+'Driver PIB'!N$2)</f>
        <v>154.38694204415873</v>
      </c>
      <c r="O25" s="431">
        <f>N25*(1+'Driver PIB'!O$2)</f>
        <v>157.79204747184158</v>
      </c>
      <c r="P25" s="431">
        <f>O25*(1+'Driver PIB'!P$2)</f>
        <v>161.56565816074036</v>
      </c>
      <c r="Q25" s="431">
        <f>P25*(1+'Driver PIB'!Q$2)</f>
        <v>166.69907138567098</v>
      </c>
      <c r="R25" s="431">
        <f>Q25*(1+'Driver PIB'!R$2)</f>
        <v>170.82676709063716</v>
      </c>
      <c r="S25" s="431">
        <f>R25*(1+'Driver PIB'!S$2)</f>
        <v>175.78185431085132</v>
      </c>
      <c r="T25" s="431">
        <f>S25*(1+'Driver PIB'!T$2)</f>
        <v>179.95787567940059</v>
      </c>
      <c r="U25" s="431">
        <f>T25*(1+'Driver PIB'!U$2)</f>
        <v>184.2288971617335</v>
      </c>
      <c r="V25" s="431">
        <f>U25*(1+'Driver PIB'!V$2)</f>
        <v>188.94989492361466</v>
      </c>
      <c r="W25" s="431">
        <f>V25*(1+'Driver PIB'!W$2)</f>
        <v>193.25368838773278</v>
      </c>
      <c r="X25" s="431">
        <f>W25*(1+'Driver PIB'!X$2)</f>
        <v>197.79745168101269</v>
      </c>
      <c r="Y25" s="431">
        <f>X25*(1+'Driver PIB'!Y$2)</f>
        <v>202.80070921004403</v>
      </c>
      <c r="Z25" s="431">
        <f>Y25*(1+'Driver PIB'!Z$2)</f>
        <v>207.42396107770793</v>
      </c>
      <c r="AA25" s="431">
        <f>Z25*(1+'Driver PIB'!AA$2)</f>
        <v>212.17538809417562</v>
      </c>
      <c r="AB25" s="431">
        <f>AA25*(1+'Driver PIB'!AB$2)</f>
        <v>216.91976813426282</v>
      </c>
      <c r="AC25" s="431">
        <f>AB25*(1+'Driver PIB'!AC$2)</f>
        <v>220.73117273872219</v>
      </c>
      <c r="AD25" s="431">
        <f>AC25*(1+'Driver PIB'!AD$2)</f>
        <v>225.58577570703497</v>
      </c>
      <c r="AE25" s="431">
        <f>AD25*(1+'Driver PIB'!AE$2)</f>
        <v>229.79652552162449</v>
      </c>
      <c r="AF25" s="431">
        <f>AE25*(1+'Driver PIB'!AF$2)</f>
        <v>235.06706894014374</v>
      </c>
      <c r="AG25" s="431">
        <f>AF25*(1+'Driver PIB'!AG$2)</f>
        <v>239.41651492793926</v>
      </c>
      <c r="AH25" s="431">
        <f>AG25*(1+'Driver PIB'!AH$2)</f>
        <v>243.72389513664879</v>
      </c>
      <c r="AI25" s="431">
        <f>AH25*(1+'Driver PIB'!AI$2)</f>
        <v>248.18969157281865</v>
      </c>
      <c r="AJ25" s="431">
        <f>AI25*(1+'Driver PIB'!AJ$2)</f>
        <v>252.6890431908206</v>
      </c>
      <c r="AK25" s="499"/>
    </row>
    <row r="26" spans="1:37" ht="14.25" customHeight="1">
      <c r="A26" s="619">
        <v>2</v>
      </c>
      <c r="B26" s="426"/>
      <c r="C26" s="430" t="s">
        <v>360</v>
      </c>
      <c r="D26" s="431">
        <f>'Copia de Demandas de energía '!D26*1000*($E$110)</f>
        <v>9.3231943029999993</v>
      </c>
      <c r="E26" s="431">
        <f>'Copia de Demandas de energía '!E26*1000*($E$110)</f>
        <v>9.4737411199999997</v>
      </c>
      <c r="F26" s="431">
        <f>'Copia de Demandas de energía '!F26*1000*($E$110)</f>
        <v>8.0369323769999994</v>
      </c>
      <c r="G26" s="431">
        <f>'Copia de Demandas de energía '!G26*1000*($E$110)</f>
        <v>9.0901301930000002</v>
      </c>
      <c r="H26" s="431">
        <f>G26*(1+'Driver PIB'!H$2)</f>
        <v>9.3666986693833447</v>
      </c>
      <c r="I26" s="431">
        <f>H26*(1+'Driver PIB'!I$2)</f>
        <v>9.6090737741131669</v>
      </c>
      <c r="J26" s="431">
        <f>I26*(1+'Driver PIB'!J$2)</f>
        <v>9.8845993033051212</v>
      </c>
      <c r="K26" s="431">
        <f>J26*(1+'Driver PIB'!K$2)</f>
        <v>10.179517385959761</v>
      </c>
      <c r="L26" s="431">
        <f>K26*(1+'Driver PIB'!L$2)</f>
        <v>10.491688277329766</v>
      </c>
      <c r="M26" s="431">
        <f>L26*(1+'Driver PIB'!M$2)</f>
        <v>10.770428100097815</v>
      </c>
      <c r="N26" s="431">
        <f>M26*(1+'Driver PIB'!N$2)</f>
        <v>11.078029787133007</v>
      </c>
      <c r="O26" s="431">
        <f>N26*(1+'Driver PIB'!O$2)</f>
        <v>11.322363011541386</v>
      </c>
      <c r="P26" s="431">
        <f>O26*(1+'Driver PIB'!P$2)</f>
        <v>11.593138318462788</v>
      </c>
      <c r="Q26" s="431">
        <f>P26*(1+'Driver PIB'!Q$2)</f>
        <v>11.961486210211161</v>
      </c>
      <c r="R26" s="431">
        <f>Q26*(1+'Driver PIB'!R$2)</f>
        <v>12.257668875444322</v>
      </c>
      <c r="S26" s="431">
        <f>R26*(1+'Driver PIB'!S$2)</f>
        <v>12.613220990775901</v>
      </c>
      <c r="T26" s="431">
        <f>S26*(1+'Driver PIB'!T$2)</f>
        <v>12.912871262359495</v>
      </c>
      <c r="U26" s="431">
        <f>T26*(1+'Driver PIB'!U$2)</f>
        <v>13.219338263883728</v>
      </c>
      <c r="V26" s="431">
        <f>U26*(1+'Driver PIB'!V$2)</f>
        <v>13.558093298076637</v>
      </c>
      <c r="W26" s="431">
        <f>V26*(1+'Driver PIB'!W$2)</f>
        <v>13.866911852041722</v>
      </c>
      <c r="X26" s="431">
        <f>W26*(1+'Driver PIB'!X$2)</f>
        <v>14.192949432954745</v>
      </c>
      <c r="Y26" s="431">
        <f>X26*(1+'Driver PIB'!Y$2)</f>
        <v>14.551958007160801</v>
      </c>
      <c r="Z26" s="431">
        <f>Y26*(1+'Driver PIB'!Z$2)</f>
        <v>14.883699288031236</v>
      </c>
      <c r="AA26" s="431">
        <f>Z26*(1+'Driver PIB'!AA$2)</f>
        <v>15.224637772354361</v>
      </c>
      <c r="AB26" s="431">
        <f>AA26*(1+'Driver PIB'!AB$2)</f>
        <v>15.565070601126449</v>
      </c>
      <c r="AC26" s="431">
        <f>AB26*(1+'Driver PIB'!AC$2)</f>
        <v>15.838557809176335</v>
      </c>
      <c r="AD26" s="431">
        <f>AC26*(1+'Driver PIB'!AD$2)</f>
        <v>16.186899680422744</v>
      </c>
      <c r="AE26" s="431">
        <f>AD26*(1+'Driver PIB'!AE$2)</f>
        <v>16.48904189047342</v>
      </c>
      <c r="AF26" s="431">
        <f>AE26*(1+'Driver PIB'!AF$2)</f>
        <v>16.867229554609121</v>
      </c>
      <c r="AG26" s="431">
        <f>AF26*(1+'Driver PIB'!AG$2)</f>
        <v>17.179323903861427</v>
      </c>
      <c r="AH26" s="431">
        <f>AG26*(1+'Driver PIB'!AH$2)</f>
        <v>17.488399824562954</v>
      </c>
      <c r="AI26" s="431">
        <f>AH26*(1+'Driver PIB'!AI$2)</f>
        <v>17.808842896289914</v>
      </c>
      <c r="AJ26" s="431">
        <f>AI26*(1+'Driver PIB'!AJ$2)</f>
        <v>18.131693718950512</v>
      </c>
      <c r="AK26" s="499"/>
    </row>
    <row r="27" spans="1:37" ht="14.25" customHeight="1">
      <c r="A27" s="619"/>
      <c r="B27" s="426"/>
      <c r="C27" s="432" t="s">
        <v>362</v>
      </c>
      <c r="D27" s="431">
        <f>'Copia de Demandas de energía '!D27*1000*($E$110)</f>
        <v>12.453182309999999</v>
      </c>
      <c r="E27" s="431">
        <f>'Copia de Demandas de energía '!E27*1000*($E$110)</f>
        <v>12.525621155</v>
      </c>
      <c r="F27" s="431">
        <f>'Copia de Demandas de energía '!F27*1000*($E$110)</f>
        <v>10.691973522</v>
      </c>
      <c r="G27" s="431">
        <f>'Copia de Demandas de energía '!G27*1000*($E$110)</f>
        <v>12.93820762</v>
      </c>
      <c r="H27" s="431">
        <f>G27*(1+'Driver PIB'!H$2)</f>
        <v>13.3318543877163</v>
      </c>
      <c r="I27" s="431">
        <f>H27*(1+'Driver PIB'!I$2)</f>
        <v>13.676832882009872</v>
      </c>
      <c r="J27" s="431">
        <f>I27*(1+'Driver PIB'!J$2)</f>
        <v>14.06899519713722</v>
      </c>
      <c r="K27" s="431">
        <f>J27*(1+'Driver PIB'!K$2)</f>
        <v>14.488759414289621</v>
      </c>
      <c r="L27" s="431">
        <f>K27*(1+'Driver PIB'!L$2)</f>
        <v>14.93307998173054</v>
      </c>
      <c r="M27" s="431">
        <f>L27*(1+'Driver PIB'!M$2)</f>
        <v>15.329817280577171</v>
      </c>
      <c r="N27" s="431">
        <f>M27*(1+'Driver PIB'!N$2)</f>
        <v>15.76763438623186</v>
      </c>
      <c r="O27" s="431">
        <f>N27*(1+'Driver PIB'!O$2)</f>
        <v>16.115399920799671</v>
      </c>
      <c r="P27" s="431">
        <f>O27*(1+'Driver PIB'!P$2)</f>
        <v>16.500801126825976</v>
      </c>
      <c r="Q27" s="431">
        <f>P27*(1+'Driver PIB'!Q$2)</f>
        <v>17.025079811360076</v>
      </c>
      <c r="R27" s="431">
        <f>Q27*(1+'Driver PIB'!R$2)</f>
        <v>17.446643940241589</v>
      </c>
      <c r="S27" s="431">
        <f>R27*(1+'Driver PIB'!S$2)</f>
        <v>17.952710079033814</v>
      </c>
      <c r="T27" s="431">
        <f>S27*(1+'Driver PIB'!T$2)</f>
        <v>18.379209737985171</v>
      </c>
      <c r="U27" s="431">
        <f>T27*(1+'Driver PIB'!U$2)</f>
        <v>18.815411817626757</v>
      </c>
      <c r="V27" s="431">
        <f>U27*(1+'Driver PIB'!V$2)</f>
        <v>19.297570254486459</v>
      </c>
      <c r="W27" s="431">
        <f>V27*(1+'Driver PIB'!W$2)</f>
        <v>19.737119357004847</v>
      </c>
      <c r="X27" s="431">
        <f>W27*(1+'Driver PIB'!X$2)</f>
        <v>20.201176727384826</v>
      </c>
      <c r="Y27" s="431">
        <f>X27*(1+'Driver PIB'!Y$2)</f>
        <v>20.712162529768058</v>
      </c>
      <c r="Z27" s="431">
        <f>Y27*(1+'Driver PIB'!Z$2)</f>
        <v>21.18433811767456</v>
      </c>
      <c r="AA27" s="431">
        <f>Z27*(1+'Driver PIB'!AA$2)</f>
        <v>21.669604313225594</v>
      </c>
      <c r="AB27" s="431">
        <f>AA27*(1+'Driver PIB'!AB$2)</f>
        <v>22.154150796697195</v>
      </c>
      <c r="AC27" s="431">
        <f>AB27*(1+'Driver PIB'!AC$2)</f>
        <v>22.543411918819341</v>
      </c>
      <c r="AD27" s="431">
        <f>AC27*(1+'Driver PIB'!AD$2)</f>
        <v>23.039215538485426</v>
      </c>
      <c r="AE27" s="431">
        <f>AD27*(1+'Driver PIB'!AE$2)</f>
        <v>23.46926203522445</v>
      </c>
      <c r="AF27" s="431">
        <f>AE27*(1+'Driver PIB'!AF$2)</f>
        <v>24.007545911695054</v>
      </c>
      <c r="AG27" s="431">
        <f>AF27*(1+'Driver PIB'!AG$2)</f>
        <v>24.451757534842606</v>
      </c>
      <c r="AH27" s="431">
        <f>AG27*(1+'Driver PIB'!AH$2)</f>
        <v>24.891672953816297</v>
      </c>
      <c r="AI27" s="431">
        <f>AH27*(1+'Driver PIB'!AI$2)</f>
        <v>25.347767520601117</v>
      </c>
      <c r="AJ27" s="431">
        <f>AI27*(1+'Driver PIB'!AJ$2)</f>
        <v>25.807289098970507</v>
      </c>
      <c r="AK27" s="499"/>
    </row>
    <row r="28" spans="1:37" ht="13.5" customHeight="1">
      <c r="A28" s="619"/>
      <c r="B28" s="426"/>
      <c r="C28" s="430" t="s">
        <v>363</v>
      </c>
      <c r="D28" s="431"/>
      <c r="E28" s="431"/>
      <c r="F28" s="431"/>
      <c r="G28" s="431"/>
      <c r="H28" s="428"/>
      <c r="I28" s="428"/>
      <c r="J28" s="428"/>
      <c r="K28" s="438">
        <v>0</v>
      </c>
      <c r="L28" s="428" t="str">
        <f>IFERROR(_xlfn.FORECAST.LINEAR(L$1,Demanda_energia!$I28:$J28,Demanda_energia!$I$1:$J$1),"")</f>
        <v/>
      </c>
      <c r="M28" s="428" t="str">
        <f>IFERROR(_xlfn.FORECAST.LINEAR(M$1,Demanda_energia!$I28:$J28,Demanda_energia!$I$1:$J$1),"")</f>
        <v/>
      </c>
      <c r="N28" s="428" t="str">
        <f>IFERROR(_xlfn.FORECAST.LINEAR(N$1,Demanda_energia!$I28:$J28,Demanda_energia!$I$1:$J$1),"")</f>
        <v/>
      </c>
      <c r="O28" s="428" t="str">
        <f>IFERROR(_xlfn.FORECAST.LINEAR(O$1,Demanda_energia!$I28:$J28,Demanda_energia!$I$1:$J$1),"")</f>
        <v/>
      </c>
      <c r="P28" s="438">
        <v>0</v>
      </c>
      <c r="Q28" s="428" t="str">
        <f>IFERROR(_xlfn.FORECAST.LINEAR(Q$1,Demanda_energia!$J28:$K28,Demanda_energia!$J$1:$K$1),"")</f>
        <v/>
      </c>
      <c r="R28" s="428" t="str">
        <f>IFERROR(_xlfn.FORECAST.LINEAR(R$1,Demanda_energia!$J28:$K28,Demanda_energia!$J$1:$K$1),"")</f>
        <v/>
      </c>
      <c r="S28" s="428" t="str">
        <f>IFERROR(_xlfn.FORECAST.LINEAR(S$1,Demanda_energia!$J28:$K28,Demanda_energia!$J$1:$K$1),"")</f>
        <v/>
      </c>
      <c r="T28" s="428" t="str">
        <f>IFERROR(_xlfn.FORECAST.LINEAR(T$1,Demanda_energia!$J28:$K28,Demanda_energia!$J$1:$K$1),"")</f>
        <v/>
      </c>
      <c r="U28" s="438">
        <v>0</v>
      </c>
      <c r="V28" s="428" t="str">
        <f>IFERROR(_xlfn.FORECAST.LINEAR(V$1,Demanda_energia!$K28:$L28,Demanda_energia!$K$1:$L$1),"")</f>
        <v/>
      </c>
      <c r="W28" s="428" t="str">
        <f>IFERROR(_xlfn.FORECAST.LINEAR(W$1,Demanda_energia!$K28:$L28,Demanda_energia!$K$1:$L$1),"")</f>
        <v/>
      </c>
      <c r="X28" s="428" t="str">
        <f>IFERROR(_xlfn.FORECAST.LINEAR(X$1,Demanda_energia!$K28:$L28,Demanda_energia!$K$1:$L$1),"")</f>
        <v/>
      </c>
      <c r="Y28" s="428" t="str">
        <f>IFERROR(_xlfn.FORECAST.LINEAR(Y$1,Demanda_energia!$K28:$L28,Demanda_energia!$K$1:$L$1),"")</f>
        <v/>
      </c>
      <c r="Z28" s="438">
        <v>0</v>
      </c>
      <c r="AA28" s="428" t="str">
        <f>IFERROR(_xlfn.FORECAST.LINEAR(AA$1,Demanda_energia!$L28:$M28,Demanda_energia!$L$1:$M$1),"")</f>
        <v/>
      </c>
      <c r="AB28" s="428" t="str">
        <f>IFERROR(_xlfn.FORECAST.LINEAR(AB$1,Demanda_energia!$L28:$M28,Demanda_energia!$L$1:$M$1),"")</f>
        <v/>
      </c>
      <c r="AC28" s="428" t="str">
        <f>IFERROR(_xlfn.FORECAST.LINEAR(AC$1,Demanda_energia!$L28:$M28,Demanda_energia!$L$1:$M$1),"")</f>
        <v/>
      </c>
      <c r="AD28" s="428" t="str">
        <f>IFERROR(_xlfn.FORECAST.LINEAR(AD$1,Demanda_energia!$L28:$M28,Demanda_energia!$L$1:$M$1),"")</f>
        <v/>
      </c>
      <c r="AE28" s="438">
        <v>0</v>
      </c>
      <c r="AF28" s="428" t="str">
        <f>IFERROR(_xlfn.FORECAST.LINEAR(AF$1,Demanda_energia!$M28:$N28,Demanda_energia!$M$1:$N$1),"")</f>
        <v/>
      </c>
      <c r="AG28" s="428" t="str">
        <f>IFERROR(_xlfn.FORECAST.LINEAR(AG$1,Demanda_energia!$M28:$N28,Demanda_energia!$M$1:$N$1),"")</f>
        <v/>
      </c>
      <c r="AH28" s="428" t="str">
        <f>IFERROR(_xlfn.FORECAST.LINEAR(AH$1,Demanda_energia!$M28:$N28,Demanda_energia!$M$1:$N$1),"")</f>
        <v/>
      </c>
      <c r="AI28" s="428" t="str">
        <f>IFERROR(_xlfn.FORECAST.LINEAR(AI$1,Demanda_energia!$M28:$N28,Demanda_energia!$M$1:$N$1),"")</f>
        <v/>
      </c>
      <c r="AJ28" s="438">
        <v>0</v>
      </c>
      <c r="AK28" s="499"/>
    </row>
    <row r="29" spans="1:37" ht="13.5" customHeight="1">
      <c r="A29" s="3"/>
      <c r="B29" s="532"/>
      <c r="C29" s="429" t="s">
        <v>13</v>
      </c>
      <c r="D29" s="431">
        <f t="shared" ref="D29:AJ29" si="1">SUM(D19:D28)</f>
        <v>188.45287965277055</v>
      </c>
      <c r="E29" s="431">
        <f t="shared" si="1"/>
        <v>186.19858592698847</v>
      </c>
      <c r="F29" s="431">
        <f t="shared" si="1"/>
        <v>159.77220666732794</v>
      </c>
      <c r="G29" s="431">
        <f t="shared" si="1"/>
        <v>179.1472154557751</v>
      </c>
      <c r="H29" s="533">
        <f t="shared" si="1"/>
        <v>184.59779442163818</v>
      </c>
      <c r="I29" s="533">
        <f t="shared" si="1"/>
        <v>189.37449444531734</v>
      </c>
      <c r="J29" s="533">
        <f t="shared" si="1"/>
        <v>194.80451913074236</v>
      </c>
      <c r="K29" s="533">
        <f t="shared" si="1"/>
        <v>200.61672997628344</v>
      </c>
      <c r="L29" s="533">
        <f t="shared" si="1"/>
        <v>206.76895714442114</v>
      </c>
      <c r="M29" s="533">
        <f t="shared" si="1"/>
        <v>212.26232874915198</v>
      </c>
      <c r="N29" s="533">
        <f t="shared" si="1"/>
        <v>218.32450657629556</v>
      </c>
      <c r="O29" s="533">
        <f t="shared" si="1"/>
        <v>223.13979699202574</v>
      </c>
      <c r="P29" s="533">
        <f t="shared" si="1"/>
        <v>228.47620485629449</v>
      </c>
      <c r="Q29" s="533">
        <f t="shared" si="1"/>
        <v>235.73556173289256</v>
      </c>
      <c r="R29" s="533">
        <f t="shared" si="1"/>
        <v>241.57269482298304</v>
      </c>
      <c r="S29" s="533">
        <f t="shared" si="1"/>
        <v>248.57987404469685</v>
      </c>
      <c r="T29" s="533">
        <f t="shared" si="1"/>
        <v>254.48534631242146</v>
      </c>
      <c r="U29" s="533">
        <f t="shared" si="1"/>
        <v>260.52516189112742</v>
      </c>
      <c r="V29" s="533">
        <f t="shared" si="1"/>
        <v>267.20130621566295</v>
      </c>
      <c r="W29" s="533">
        <f t="shared" si="1"/>
        <v>273.28746591297153</v>
      </c>
      <c r="X29" s="533">
        <f t="shared" si="1"/>
        <v>279.71297616578215</v>
      </c>
      <c r="Y29" s="533">
        <f t="shared" si="1"/>
        <v>286.78827487198663</v>
      </c>
      <c r="Z29" s="533">
        <f t="shared" si="1"/>
        <v>293.3261929719315</v>
      </c>
      <c r="AA29" s="533">
        <f t="shared" si="1"/>
        <v>300.04536847452601</v>
      </c>
      <c r="AB29" s="533">
        <f t="shared" si="1"/>
        <v>306.75457857706306</v>
      </c>
      <c r="AC29" s="533">
        <f t="shared" si="1"/>
        <v>312.1444322694382</v>
      </c>
      <c r="AD29" s="533">
        <f t="shared" si="1"/>
        <v>319.00951284974758</v>
      </c>
      <c r="AE29" s="533">
        <f t="shared" si="1"/>
        <v>324.96409594734877</v>
      </c>
      <c r="AF29" s="533">
        <f t="shared" si="1"/>
        <v>332.417373899496</v>
      </c>
      <c r="AG29" s="533">
        <f t="shared" si="1"/>
        <v>338.56809258459111</v>
      </c>
      <c r="AH29" s="533">
        <f t="shared" si="1"/>
        <v>344.65932443523582</v>
      </c>
      <c r="AI29" s="533">
        <f t="shared" si="1"/>
        <v>350.97457875977631</v>
      </c>
      <c r="AJ29" s="533">
        <f t="shared" si="1"/>
        <v>357.33728475619773</v>
      </c>
      <c r="AK29" s="534"/>
    </row>
    <row r="30" spans="1:37" ht="14.25" customHeight="1">
      <c r="A30" s="619"/>
      <c r="B30" s="426"/>
      <c r="C30" s="434"/>
      <c r="D30" s="425"/>
      <c r="E30" s="425"/>
      <c r="F30" s="425"/>
      <c r="G30" s="425"/>
      <c r="H30" s="425"/>
      <c r="I30" s="425"/>
      <c r="J30" s="425"/>
      <c r="K30" s="439"/>
      <c r="L30" s="425"/>
      <c r="M30" s="425"/>
      <c r="N30" s="425"/>
      <c r="O30" s="425"/>
      <c r="P30" s="439"/>
      <c r="Q30" s="425"/>
      <c r="R30" s="425"/>
      <c r="S30" s="425"/>
      <c r="T30" s="425"/>
      <c r="U30" s="439"/>
      <c r="V30" s="425"/>
      <c r="W30" s="425"/>
      <c r="X30" s="425"/>
      <c r="Y30" s="425"/>
      <c r="Z30" s="439"/>
      <c r="AA30" s="425"/>
      <c r="AB30" s="425"/>
      <c r="AC30" s="425"/>
      <c r="AD30" s="425"/>
      <c r="AE30" s="439"/>
      <c r="AF30" s="425"/>
      <c r="AG30" s="425"/>
      <c r="AH30" s="425"/>
      <c r="AI30" s="425"/>
      <c r="AJ30" s="439"/>
      <c r="AK30" s="499"/>
    </row>
    <row r="31" spans="1:37" ht="14.25" customHeight="1">
      <c r="A31" s="619"/>
      <c r="B31" s="426"/>
      <c r="C31" s="429" t="s">
        <v>430</v>
      </c>
      <c r="D31" s="428"/>
      <c r="E31" s="428"/>
      <c r="F31" s="428"/>
      <c r="G31" s="428"/>
      <c r="H31" s="428"/>
      <c r="I31" s="428"/>
      <c r="J31" s="428"/>
      <c r="K31" s="438"/>
      <c r="L31" s="428"/>
      <c r="M31" s="428"/>
      <c r="N31" s="428"/>
      <c r="O31" s="428"/>
      <c r="P31" s="438"/>
      <c r="Q31" s="428"/>
      <c r="R31" s="428"/>
      <c r="S31" s="428"/>
      <c r="T31" s="428"/>
      <c r="U31" s="438"/>
      <c r="V31" s="428"/>
      <c r="W31" s="428"/>
      <c r="X31" s="428"/>
      <c r="Y31" s="428"/>
      <c r="Z31" s="438"/>
      <c r="AA31" s="428"/>
      <c r="AB31" s="428"/>
      <c r="AC31" s="428"/>
      <c r="AD31" s="428"/>
      <c r="AE31" s="438"/>
      <c r="AF31" s="428"/>
      <c r="AG31" s="428"/>
      <c r="AH31" s="428"/>
      <c r="AI31" s="428"/>
      <c r="AJ31" s="438"/>
      <c r="AK31" s="499"/>
    </row>
    <row r="32" spans="1:37" ht="14.25" customHeight="1">
      <c r="A32" s="619">
        <v>2</v>
      </c>
      <c r="B32" s="426"/>
      <c r="C32" s="430" t="s">
        <v>413</v>
      </c>
      <c r="D32" s="431">
        <f>'Copia de Demandas de energía '!D32*1000*($E$110)</f>
        <v>40.342239112373292</v>
      </c>
      <c r="E32" s="431">
        <f>'Copia de Demandas de energía '!E32*1000*($E$110)</f>
        <v>41.621697456070294</v>
      </c>
      <c r="F32" s="431">
        <f>'Copia de Demandas de energía '!F32*1000*($E$110)</f>
        <v>42.455496088781395</v>
      </c>
      <c r="G32" s="431">
        <f>'Copia de Demandas de energía '!G32*1000*($E$110)</f>
        <v>43.303214821908895</v>
      </c>
      <c r="H32" s="431">
        <f>G32*(1+'Driver PIB'!H$2)</f>
        <v>44.620721160268999</v>
      </c>
      <c r="I32" s="431">
        <f>H32*(1+'Driver PIB'!I$2)</f>
        <v>45.775338421491554</v>
      </c>
      <c r="J32" s="431">
        <f>I32*(1+'Driver PIB'!J$2)</f>
        <v>47.08787640787893</v>
      </c>
      <c r="K32" s="431">
        <f>J32*(1+'Driver PIB'!K$2)</f>
        <v>48.492795899339441</v>
      </c>
      <c r="L32" s="431">
        <f>K32*(1+'Driver PIB'!L$2)</f>
        <v>49.979903661619005</v>
      </c>
      <c r="M32" s="431">
        <f>L32*(1+'Driver PIB'!M$2)</f>
        <v>51.307753776905649</v>
      </c>
      <c r="N32" s="431">
        <f>M32*(1+'Driver PIB'!N$2)</f>
        <v>52.773094938193289</v>
      </c>
      <c r="O32" s="431">
        <f>N32*(1+'Driver PIB'!O$2)</f>
        <v>53.937040215108389</v>
      </c>
      <c r="P32" s="431">
        <f>O32*(1+'Driver PIB'!P$2)</f>
        <v>55.226949274179425</v>
      </c>
      <c r="Q32" s="431">
        <f>P32*(1+'Driver PIB'!Q$2)</f>
        <v>56.981670883982119</v>
      </c>
      <c r="R32" s="431">
        <f>Q32*(1+'Driver PIB'!R$2)</f>
        <v>58.39261454560247</v>
      </c>
      <c r="S32" s="431">
        <f>R32*(1+'Driver PIB'!S$2)</f>
        <v>60.08638012471858</v>
      </c>
      <c r="T32" s="431">
        <f>S32*(1+'Driver PIB'!T$2)</f>
        <v>61.5138426369519</v>
      </c>
      <c r="U32" s="431">
        <f>T32*(1+'Driver PIB'!U$2)</f>
        <v>62.973778426765968</v>
      </c>
      <c r="V32" s="431">
        <f>U32*(1+'Driver PIB'!V$2)</f>
        <v>64.587526712676649</v>
      </c>
      <c r="W32" s="431">
        <f>V32*(1+'Driver PIB'!W$2)</f>
        <v>66.05866473814072</v>
      </c>
      <c r="X32" s="431">
        <f>W32*(1+'Driver PIB'!X$2)</f>
        <v>67.611830106131194</v>
      </c>
      <c r="Y32" s="431">
        <f>X32*(1+'Driver PIB'!Y$2)</f>
        <v>69.322061431940341</v>
      </c>
      <c r="Z32" s="431">
        <f>Y32*(1+'Driver PIB'!Z$2)</f>
        <v>70.902397867813391</v>
      </c>
      <c r="AA32" s="431">
        <f>Z32*(1+'Driver PIB'!AA$2)</f>
        <v>72.526547590010921</v>
      </c>
      <c r="AB32" s="431">
        <f>AA32*(1+'Driver PIB'!AB$2)</f>
        <v>74.148288489618722</v>
      </c>
      <c r="AC32" s="431">
        <f>AB32*(1+'Driver PIB'!AC$2)</f>
        <v>75.451116399646693</v>
      </c>
      <c r="AD32" s="431">
        <f>AC32*(1+'Driver PIB'!AD$2)</f>
        <v>77.110534093539016</v>
      </c>
      <c r="AE32" s="431">
        <f>AD32*(1+'Driver PIB'!AE$2)</f>
        <v>78.549867607009048</v>
      </c>
      <c r="AF32" s="431">
        <f>AE32*(1+'Driver PIB'!AF$2)</f>
        <v>80.351463548470406</v>
      </c>
      <c r="AG32" s="431">
        <f>AF32*(1+'Driver PIB'!AG$2)</f>
        <v>81.838206682334828</v>
      </c>
      <c r="AH32" s="431">
        <f>AG32*(1+'Driver PIB'!AH$2)</f>
        <v>83.310570741622342</v>
      </c>
      <c r="AI32" s="431">
        <f>AH32*(1+'Driver PIB'!AI$2)</f>
        <v>84.837085200553901</v>
      </c>
      <c r="AJ32" s="431">
        <f>AI32*(1+'Driver PIB'!AJ$2)</f>
        <v>86.375069611367707</v>
      </c>
      <c r="AK32" s="499"/>
    </row>
    <row r="33" spans="1:37" ht="14.25" customHeight="1">
      <c r="A33" s="619"/>
      <c r="B33" s="426"/>
      <c r="C33" s="432" t="s">
        <v>415</v>
      </c>
      <c r="D33" s="431">
        <f>'Copia de Demandas de energía '!D33*1000*($E$110)</f>
        <v>2.5939170019268301</v>
      </c>
      <c r="E33" s="431">
        <f>'Copia de Demandas de energía '!E33*1000*($E$110)</f>
        <v>2.6011194640055497</v>
      </c>
      <c r="F33" s="431">
        <f>'Copia de Demandas de energía '!F33*1000*($E$110)</f>
        <v>2.4307309544667497</v>
      </c>
      <c r="G33" s="431">
        <f>'Copia de Demandas de energía '!G33*1000*($E$110)</f>
        <v>2.5830460414673797</v>
      </c>
      <c r="H33" s="431">
        <f>G33*(1+'Driver PIB'!H$2)</f>
        <v>2.6616355768149362</v>
      </c>
      <c r="I33" s="431">
        <f>H33*(1+'Driver PIB'!I$2)</f>
        <v>2.7305087438136573</v>
      </c>
      <c r="J33" s="431">
        <f>I33*(1+'Driver PIB'!J$2)</f>
        <v>2.808801915901614</v>
      </c>
      <c r="K33" s="431">
        <f>J33*(1+'Driver PIB'!K$2)</f>
        <v>2.8926056645591243</v>
      </c>
      <c r="L33" s="431">
        <f>K33*(1+'Driver PIB'!L$2)</f>
        <v>2.9813119611791197</v>
      </c>
      <c r="M33" s="431">
        <f>L33*(1+'Driver PIB'!M$2)</f>
        <v>3.0605185050364097</v>
      </c>
      <c r="N33" s="431">
        <f>M33*(1+'Driver PIB'!N$2)</f>
        <v>3.1479264192439302</v>
      </c>
      <c r="O33" s="431">
        <f>N33*(1+'Driver PIB'!O$2)</f>
        <v>3.2173560043771587</v>
      </c>
      <c r="P33" s="431">
        <f>O33*(1+'Driver PIB'!P$2)</f>
        <v>3.294299356102643</v>
      </c>
      <c r="Q33" s="431">
        <f>P33*(1+'Driver PIB'!Q$2)</f>
        <v>3.3989688760613532</v>
      </c>
      <c r="R33" s="431">
        <f>Q33*(1+'Driver PIB'!R$2)</f>
        <v>3.4831319677595247</v>
      </c>
      <c r="S33" s="431">
        <f>R33*(1+'Driver PIB'!S$2)</f>
        <v>3.5841654474284761</v>
      </c>
      <c r="T33" s="431">
        <f>S33*(1+'Driver PIB'!T$2)</f>
        <v>3.6693138921047321</v>
      </c>
      <c r="U33" s="431">
        <f>T33*(1+'Driver PIB'!U$2)</f>
        <v>3.7563993747457998</v>
      </c>
      <c r="V33" s="431">
        <f>U33*(1+'Driver PIB'!V$2)</f>
        <v>3.8526598057320318</v>
      </c>
      <c r="W33" s="431">
        <f>V33*(1+'Driver PIB'!W$2)</f>
        <v>3.9404135041296051</v>
      </c>
      <c r="X33" s="431">
        <f>W33*(1+'Driver PIB'!X$2)</f>
        <v>4.0330601510825286</v>
      </c>
      <c r="Y33" s="431">
        <f>X33*(1+'Driver PIB'!Y$2)</f>
        <v>4.1350758160693637</v>
      </c>
      <c r="Z33" s="431">
        <f>Y33*(1+'Driver PIB'!Z$2)</f>
        <v>4.2293432230426502</v>
      </c>
      <c r="AA33" s="431">
        <f>Z33*(1+'Driver PIB'!AA$2)</f>
        <v>4.3262241019318113</v>
      </c>
      <c r="AB33" s="431">
        <f>AA33*(1+'Driver PIB'!AB$2)</f>
        <v>4.4229612940374254</v>
      </c>
      <c r="AC33" s="431">
        <f>AB33*(1+'Driver PIB'!AC$2)</f>
        <v>4.5006752579902436</v>
      </c>
      <c r="AD33" s="431">
        <f>AC33*(1+'Driver PIB'!AD$2)</f>
        <v>4.5996598789468575</v>
      </c>
      <c r="AE33" s="431">
        <f>AD33*(1+'Driver PIB'!AE$2)</f>
        <v>4.685516431390143</v>
      </c>
      <c r="AF33" s="431">
        <f>AE33*(1+'Driver PIB'!AF$2)</f>
        <v>4.7929820152747142</v>
      </c>
      <c r="AG33" s="431">
        <f>AF33*(1+'Driver PIB'!AG$2)</f>
        <v>4.8816665617316284</v>
      </c>
      <c r="AH33" s="431">
        <f>AG33*(1+'Driver PIB'!AH$2)</f>
        <v>4.9694933933094365</v>
      </c>
      <c r="AI33" s="431">
        <f>AH33*(1+'Driver PIB'!AI$2)</f>
        <v>5.0605503078272687</v>
      </c>
      <c r="AJ33" s="431">
        <f>AI33*(1+'Driver PIB'!AJ$2)</f>
        <v>5.152291407432215</v>
      </c>
      <c r="AK33" s="499"/>
    </row>
    <row r="34" spans="1:37" ht="14.25" customHeight="1">
      <c r="A34" s="619">
        <v>2</v>
      </c>
      <c r="B34" s="426"/>
      <c r="C34" s="430" t="s">
        <v>417</v>
      </c>
      <c r="D34" s="431">
        <f>'Copia de Demandas de energía '!D34*1000*($E$110)</f>
        <v>4.3045884832659302</v>
      </c>
      <c r="E34" s="431">
        <f>'Copia de Demandas de energía '!E34*1000*($E$110)</f>
        <v>4.496919254372779</v>
      </c>
      <c r="F34" s="431">
        <f>'Copia de Demandas de energía '!F34*1000*($E$110)</f>
        <v>4.0032447651768708</v>
      </c>
      <c r="G34" s="431">
        <f>'Copia de Demandas de energía '!G34*1000*($E$110)</f>
        <v>4.4759187922751797</v>
      </c>
      <c r="H34" s="431">
        <f>G34*(1+'Driver PIB'!H$2)</f>
        <v>4.6120992445362914</v>
      </c>
      <c r="I34" s="431">
        <f>H34*(1+'Driver PIB'!I$2)</f>
        <v>4.7314431112363833</v>
      </c>
      <c r="J34" s="431">
        <f>I34*(1+'Driver PIB'!J$2)</f>
        <v>4.8671100233353428</v>
      </c>
      <c r="K34" s="431">
        <f>J34*(1+'Driver PIB'!K$2)</f>
        <v>5.0123256979526527</v>
      </c>
      <c r="L34" s="431">
        <f>K34*(1+'Driver PIB'!L$2)</f>
        <v>5.1660365392077399</v>
      </c>
      <c r="M34" s="431">
        <f>L34*(1+'Driver PIB'!M$2)</f>
        <v>5.3032861477825115</v>
      </c>
      <c r="N34" s="431">
        <f>M34*(1+'Driver PIB'!N$2)</f>
        <v>5.4547471436433392</v>
      </c>
      <c r="O34" s="431">
        <f>N34*(1+'Driver PIB'!O$2)</f>
        <v>5.5750551752652413</v>
      </c>
      <c r="P34" s="431">
        <f>O34*(1+'Driver PIB'!P$2)</f>
        <v>5.7083831099593869</v>
      </c>
      <c r="Q34" s="431">
        <f>P34*(1+'Driver PIB'!Q$2)</f>
        <v>5.8897551272756061</v>
      </c>
      <c r="R34" s="431">
        <f>Q34*(1+'Driver PIB'!R$2)</f>
        <v>6.035593473824715</v>
      </c>
      <c r="S34" s="431">
        <f>R34*(1+'Driver PIB'!S$2)</f>
        <v>6.2106649371433926</v>
      </c>
      <c r="T34" s="431">
        <f>S34*(1+'Driver PIB'!T$2)</f>
        <v>6.358210709669752</v>
      </c>
      <c r="U34" s="431">
        <f>T34*(1+'Driver PIB'!U$2)</f>
        <v>6.5091129940386665</v>
      </c>
      <c r="V34" s="431">
        <f>U34*(1+'Driver PIB'!V$2)</f>
        <v>6.675913687904357</v>
      </c>
      <c r="W34" s="431">
        <f>V34*(1+'Driver PIB'!W$2)</f>
        <v>6.8279738608334526</v>
      </c>
      <c r="X34" s="431">
        <f>W34*(1+'Driver PIB'!X$2)</f>
        <v>6.9885125664859089</v>
      </c>
      <c r="Y34" s="431">
        <f>X34*(1+'Driver PIB'!Y$2)</f>
        <v>7.1652859668398685</v>
      </c>
      <c r="Z34" s="431">
        <f>Y34*(1+'Driver PIB'!Z$2)</f>
        <v>7.3286331358787509</v>
      </c>
      <c r="AA34" s="431">
        <f>Z34*(1+'Driver PIB'!AA$2)</f>
        <v>7.4965089458607492</v>
      </c>
      <c r="AB34" s="431">
        <f>AA34*(1+'Driver PIB'!AB$2)</f>
        <v>7.6641357744601653</v>
      </c>
      <c r="AC34" s="431">
        <f>AB34*(1+'Driver PIB'!AC$2)</f>
        <v>7.7987990309776576</v>
      </c>
      <c r="AD34" s="431">
        <f>AC34*(1+'Driver PIB'!AD$2)</f>
        <v>7.9703202187433462</v>
      </c>
      <c r="AE34" s="431">
        <f>AD34*(1+'Driver PIB'!AE$2)</f>
        <v>8.11909300496227</v>
      </c>
      <c r="AF34" s="431">
        <f>AE34*(1+'Driver PIB'!AF$2)</f>
        <v>8.3053100598307648</v>
      </c>
      <c r="AG34" s="431">
        <f>AF34*(1+'Driver PIB'!AG$2)</f>
        <v>8.458983212263389</v>
      </c>
      <c r="AH34" s="431">
        <f>AG34*(1+'Driver PIB'!AH$2)</f>
        <v>8.6111701108375183</v>
      </c>
      <c r="AI34" s="431">
        <f>AH34*(1+'Driver PIB'!AI$2)</f>
        <v>8.7689541179028474</v>
      </c>
      <c r="AJ34" s="431">
        <f>AI34*(1+'Driver PIB'!AJ$2)</f>
        <v>8.9279236852871371</v>
      </c>
      <c r="AK34" s="499"/>
    </row>
    <row r="35" spans="1:37" ht="14.25" customHeight="1">
      <c r="A35" s="619"/>
      <c r="B35" s="426"/>
      <c r="C35" s="430" t="s">
        <v>419</v>
      </c>
      <c r="D35" s="431">
        <f>'Copia de Demandas de energía '!D35*1000*($E$110)</f>
        <v>6.2606434025275295</v>
      </c>
      <c r="E35" s="431">
        <f>'Copia de Demandas de energía '!E35*1000*($E$110)</f>
        <v>8.5612004549291001</v>
      </c>
      <c r="F35" s="431">
        <f>'Copia de Demandas de energía '!F35*1000*($E$110)</f>
        <v>9.1857181622208994</v>
      </c>
      <c r="G35" s="431">
        <f>'Copia de Demandas de energía '!G35*1000*($E$110)</f>
        <v>9.354399193697601</v>
      </c>
      <c r="H35" s="431">
        <f>G35*(1+'Driver PIB'!H$2)</f>
        <v>9.6390080912109504</v>
      </c>
      <c r="I35" s="431">
        <f>H35*(1+'Driver PIB'!I$2)</f>
        <v>9.8884295446025607</v>
      </c>
      <c r="J35" s="431">
        <f>I35*(1+'Driver PIB'!J$2)</f>
        <v>10.171965174279357</v>
      </c>
      <c r="K35" s="431">
        <f>J35*(1+'Driver PIB'!K$2)</f>
        <v>10.47545713930268</v>
      </c>
      <c r="L35" s="431">
        <f>K35*(1+'Driver PIB'!L$2)</f>
        <v>10.79670348809273</v>
      </c>
      <c r="M35" s="431">
        <f>L35*(1+'Driver PIB'!M$2)</f>
        <v>11.083546857548621</v>
      </c>
      <c r="N35" s="431">
        <f>M35*(1+'Driver PIB'!N$2)</f>
        <v>11.400091165725618</v>
      </c>
      <c r="O35" s="431">
        <f>N35*(1+'Driver PIB'!O$2)</f>
        <v>11.651527665409564</v>
      </c>
      <c r="P35" s="431">
        <f>O35*(1+'Driver PIB'!P$2)</f>
        <v>11.930174973969493</v>
      </c>
      <c r="Q35" s="431">
        <f>P35*(1+'Driver PIB'!Q$2)</f>
        <v>12.309231505439699</v>
      </c>
      <c r="R35" s="431">
        <f>Q35*(1+'Driver PIB'!R$2)</f>
        <v>12.614024817088618</v>
      </c>
      <c r="S35" s="431">
        <f>R35*(1+'Driver PIB'!S$2)</f>
        <v>12.979913572294391</v>
      </c>
      <c r="T35" s="431">
        <f>S35*(1+'Driver PIB'!T$2)</f>
        <v>13.28827530082622</v>
      </c>
      <c r="U35" s="431">
        <f>T35*(1+'Driver PIB'!U$2)</f>
        <v>13.603651935823246</v>
      </c>
      <c r="V35" s="431">
        <f>U35*(1+'Driver PIB'!V$2)</f>
        <v>13.952255283787984</v>
      </c>
      <c r="W35" s="431">
        <f>V35*(1+'Driver PIB'!W$2)</f>
        <v>14.270051835748751</v>
      </c>
      <c r="X35" s="431">
        <f>W35*(1+'Driver PIB'!X$2)</f>
        <v>14.605568007602539</v>
      </c>
      <c r="Y35" s="431">
        <f>X35*(1+'Driver PIB'!Y$2)</f>
        <v>14.975013708134945</v>
      </c>
      <c r="Z35" s="431">
        <f>Y35*(1+'Driver PIB'!Z$2)</f>
        <v>15.316399398372946</v>
      </c>
      <c r="AA35" s="431">
        <f>Z35*(1+'Driver PIB'!AA$2)</f>
        <v>15.667249673906808</v>
      </c>
      <c r="AB35" s="431">
        <f>AA35*(1+'Driver PIB'!AB$2)</f>
        <v>16.017579593430526</v>
      </c>
      <c r="AC35" s="431">
        <f>AB35*(1+'Driver PIB'!AC$2)</f>
        <v>16.299017643728039</v>
      </c>
      <c r="AD35" s="431">
        <f>AC35*(1+'Driver PIB'!AD$2)</f>
        <v>16.657486538049024</v>
      </c>
      <c r="AE35" s="431">
        <f>AD35*(1+'Driver PIB'!AE$2)</f>
        <v>16.968412650884737</v>
      </c>
      <c r="AF35" s="431">
        <f>AE35*(1+'Driver PIB'!AF$2)</f>
        <v>17.357595017401518</v>
      </c>
      <c r="AG35" s="431">
        <f>AF35*(1+'Driver PIB'!AG$2)</f>
        <v>17.678762598835227</v>
      </c>
      <c r="AH35" s="431">
        <f>AG35*(1+'Driver PIB'!AH$2)</f>
        <v>17.996823999719027</v>
      </c>
      <c r="AI35" s="431">
        <f>AH35*(1+'Driver PIB'!AI$2)</f>
        <v>18.326583018362893</v>
      </c>
      <c r="AJ35" s="431">
        <f>AI35*(1+'Driver PIB'!AJ$2)</f>
        <v>18.658819786270417</v>
      </c>
      <c r="AK35" s="499"/>
    </row>
    <row r="36" spans="1:37" ht="14.25" customHeight="1">
      <c r="A36" s="619">
        <v>2</v>
      </c>
      <c r="B36" s="426"/>
      <c r="C36" s="430" t="s">
        <v>421</v>
      </c>
      <c r="D36" s="431">
        <f>'Copia de Demandas de energía '!D36*1000*($E$110)</f>
        <v>1.1418125259467899</v>
      </c>
      <c r="E36" s="431">
        <f>'Copia de Demandas de energía '!E36*1000*($E$110)</f>
        <v>1.2350278143414701</v>
      </c>
      <c r="F36" s="431">
        <f>'Copia de Demandas de energía '!F36*1000*($E$110)</f>
        <v>1.0122789076830498</v>
      </c>
      <c r="G36" s="431">
        <f>'Copia de Demandas de energía '!G36*1000*($E$110)</f>
        <v>1.1896261383347198</v>
      </c>
      <c r="H36" s="431">
        <f>G36*(1+'Driver PIB'!H$2)</f>
        <v>1.2258206791784139</v>
      </c>
      <c r="I36" s="431">
        <f>H36*(1+'Driver PIB'!I$2)</f>
        <v>1.257540330464624</v>
      </c>
      <c r="J36" s="431">
        <f>I36*(1+'Driver PIB'!J$2)</f>
        <v>1.2935983807175961</v>
      </c>
      <c r="K36" s="431">
        <f>J36*(1+'Driver PIB'!K$2)</f>
        <v>1.3321943361488715</v>
      </c>
      <c r="L36" s="431">
        <f>K36*(1+'Driver PIB'!L$2)</f>
        <v>1.3730481681750599</v>
      </c>
      <c r="M36" s="431">
        <f>L36*(1+'Driver PIB'!M$2)</f>
        <v>1.4095268733112096</v>
      </c>
      <c r="N36" s="431">
        <f>M36*(1+'Driver PIB'!N$2)</f>
        <v>1.4497827331639883</v>
      </c>
      <c r="O36" s="431">
        <f>N36*(1+'Driver PIB'!O$2)</f>
        <v>1.4817586437448556</v>
      </c>
      <c r="P36" s="431">
        <f>O36*(1+'Driver PIB'!P$2)</f>
        <v>1.5171950319912375</v>
      </c>
      <c r="Q36" s="431">
        <f>P36*(1+'Driver PIB'!Q$2)</f>
        <v>1.5654007530007992</v>
      </c>
      <c r="R36" s="431">
        <f>Q36*(1+'Driver PIB'!R$2)</f>
        <v>1.6041622044654151</v>
      </c>
      <c r="S36" s="431">
        <f>R36*(1+'Driver PIB'!S$2)</f>
        <v>1.6506933410892188</v>
      </c>
      <c r="T36" s="431">
        <f>S36*(1+'Driver PIB'!T$2)</f>
        <v>1.6899085985020827</v>
      </c>
      <c r="U36" s="431">
        <f>T36*(1+'Driver PIB'!U$2)</f>
        <v>1.7300159619621842</v>
      </c>
      <c r="V36" s="431">
        <f>U36*(1+'Driver PIB'!V$2)</f>
        <v>1.7743488630991433</v>
      </c>
      <c r="W36" s="431">
        <f>V36*(1+'Driver PIB'!W$2)</f>
        <v>1.8147639744341277</v>
      </c>
      <c r="X36" s="431">
        <f>W36*(1+'Driver PIB'!X$2)</f>
        <v>1.8574325413411488</v>
      </c>
      <c r="Y36" s="431">
        <f>X36*(1+'Driver PIB'!Y$2)</f>
        <v>1.9044160250420412</v>
      </c>
      <c r="Z36" s="431">
        <f>Y36*(1+'Driver PIB'!Z$2)</f>
        <v>1.9478310356644428</v>
      </c>
      <c r="AA36" s="431">
        <f>Z36*(1+'Driver PIB'!AA$2)</f>
        <v>1.9924496851120979</v>
      </c>
      <c r="AB36" s="431">
        <f>AA36*(1+'Driver PIB'!AB$2)</f>
        <v>2.0370021593732885</v>
      </c>
      <c r="AC36" s="431">
        <f>AB36*(1+'Driver PIB'!AC$2)</f>
        <v>2.0727934543590161</v>
      </c>
      <c r="AD36" s="431">
        <f>AC36*(1+'Driver PIB'!AD$2)</f>
        <v>2.1183809857048561</v>
      </c>
      <c r="AE36" s="431">
        <f>AD36*(1+'Driver PIB'!AE$2)</f>
        <v>2.1579223633242099</v>
      </c>
      <c r="AF36" s="431">
        <f>AE36*(1+'Driver PIB'!AF$2)</f>
        <v>2.2074158162120505</v>
      </c>
      <c r="AG36" s="431">
        <f>AF36*(1+'Driver PIB'!AG$2)</f>
        <v>2.2482596311645593</v>
      </c>
      <c r="AH36" s="431">
        <f>AG36*(1+'Driver PIB'!AH$2)</f>
        <v>2.288708424106991</v>
      </c>
      <c r="AI36" s="431">
        <f>AH36*(1+'Driver PIB'!AI$2)</f>
        <v>2.330644837104487</v>
      </c>
      <c r="AJ36" s="431">
        <f>AI36*(1+'Driver PIB'!AJ$2)</f>
        <v>2.3728963526785627</v>
      </c>
      <c r="AK36" s="499"/>
    </row>
    <row r="37" spans="1:37" ht="14.25" customHeight="1">
      <c r="A37" s="619"/>
      <c r="B37" s="426"/>
      <c r="C37" s="430" t="s">
        <v>436</v>
      </c>
      <c r="D37" s="431"/>
      <c r="E37" s="431"/>
      <c r="F37" s="431"/>
      <c r="G37" s="431"/>
      <c r="H37" s="431">
        <f>G37*(1+'Driver PIB'!H$2)</f>
        <v>0</v>
      </c>
      <c r="I37" s="431">
        <f>H37*(1+'Driver PIB'!I$2)</f>
        <v>0</v>
      </c>
      <c r="J37" s="431">
        <f>I37*(1+'Driver PIB'!J$2)</f>
        <v>0</v>
      </c>
      <c r="K37" s="431">
        <f>J37*(1+'Driver PIB'!K$2)</f>
        <v>0</v>
      </c>
      <c r="L37" s="431">
        <f>K37*(1+'Driver PIB'!L$2)</f>
        <v>0</v>
      </c>
      <c r="M37" s="431">
        <f>L37*(1+'Driver PIB'!M$2)</f>
        <v>0</v>
      </c>
      <c r="N37" s="431">
        <f>M37*(1+'Driver PIB'!N$2)</f>
        <v>0</v>
      </c>
      <c r="O37" s="431">
        <f>N37*(1+'Driver PIB'!O$2)</f>
        <v>0</v>
      </c>
      <c r="P37" s="431">
        <f>O37*(1+'Driver PIB'!P$2)</f>
        <v>0</v>
      </c>
      <c r="Q37" s="431">
        <f>P37*(1+'Driver PIB'!Q$2)</f>
        <v>0</v>
      </c>
      <c r="R37" s="431">
        <f>Q37*(1+'Driver PIB'!R$2)</f>
        <v>0</v>
      </c>
      <c r="S37" s="431">
        <f>R37*(1+'Driver PIB'!S$2)</f>
        <v>0</v>
      </c>
      <c r="T37" s="431">
        <f>S37*(1+'Driver PIB'!T$2)</f>
        <v>0</v>
      </c>
      <c r="U37" s="431">
        <f>T37*(1+'Driver PIB'!U$2)</f>
        <v>0</v>
      </c>
      <c r="V37" s="431">
        <f>U37*(1+'Driver PIB'!V$2)</f>
        <v>0</v>
      </c>
      <c r="W37" s="431">
        <f>V37*(1+'Driver PIB'!W$2)</f>
        <v>0</v>
      </c>
      <c r="X37" s="431">
        <f>W37*(1+'Driver PIB'!X$2)</f>
        <v>0</v>
      </c>
      <c r="Y37" s="431">
        <f>X37*(1+'Driver PIB'!Y$2)</f>
        <v>0</v>
      </c>
      <c r="Z37" s="431">
        <f>Y37*(1+'Driver PIB'!Z$2)</f>
        <v>0</v>
      </c>
      <c r="AA37" s="431">
        <f>Z37*(1+'Driver PIB'!AA$2)</f>
        <v>0</v>
      </c>
      <c r="AB37" s="431">
        <f>AA37*(1+'Driver PIB'!AB$2)</f>
        <v>0</v>
      </c>
      <c r="AC37" s="431">
        <f>AB37*(1+'Driver PIB'!AC$2)</f>
        <v>0</v>
      </c>
      <c r="AD37" s="431">
        <f>AC37*(1+'Driver PIB'!AD$2)</f>
        <v>0</v>
      </c>
      <c r="AE37" s="431">
        <f>AD37*(1+'Driver PIB'!AE$2)</f>
        <v>0</v>
      </c>
      <c r="AF37" s="431">
        <f>AE37*(1+'Driver PIB'!AF$2)</f>
        <v>0</v>
      </c>
      <c r="AG37" s="431">
        <f>AF37*(1+'Driver PIB'!AG$2)</f>
        <v>0</v>
      </c>
      <c r="AH37" s="431">
        <f>AG37*(1+'Driver PIB'!AH$2)</f>
        <v>0</v>
      </c>
      <c r="AI37" s="431">
        <f>AH37*(1+'Driver PIB'!AI$2)</f>
        <v>0</v>
      </c>
      <c r="AJ37" s="431">
        <f>AI37*(1+'Driver PIB'!AJ$2)</f>
        <v>0</v>
      </c>
      <c r="AK37" s="499"/>
    </row>
    <row r="38" spans="1:37" ht="14.25" customHeight="1">
      <c r="A38" s="619"/>
      <c r="B38" s="426"/>
      <c r="C38" s="430" t="s">
        <v>359</v>
      </c>
      <c r="D38" s="431"/>
      <c r="E38" s="431"/>
      <c r="F38" s="431"/>
      <c r="G38" s="431"/>
      <c r="H38" s="431">
        <f>G38*(1+'Driver PIB'!H$2)</f>
        <v>0</v>
      </c>
      <c r="I38" s="431">
        <f>H38*(1+'Driver PIB'!I$2)</f>
        <v>0</v>
      </c>
      <c r="J38" s="431">
        <f>I38*(1+'Driver PIB'!J$2)</f>
        <v>0</v>
      </c>
      <c r="K38" s="431">
        <f>J38*(1+'Driver PIB'!K$2)</f>
        <v>0</v>
      </c>
      <c r="L38" s="431">
        <f>K38*(1+'Driver PIB'!L$2)</f>
        <v>0</v>
      </c>
      <c r="M38" s="431">
        <f>L38*(1+'Driver PIB'!M$2)</f>
        <v>0</v>
      </c>
      <c r="N38" s="431">
        <f>M38*(1+'Driver PIB'!N$2)</f>
        <v>0</v>
      </c>
      <c r="O38" s="431">
        <f>N38*(1+'Driver PIB'!O$2)</f>
        <v>0</v>
      </c>
      <c r="P38" s="431">
        <f>O38*(1+'Driver PIB'!P$2)</f>
        <v>0</v>
      </c>
      <c r="Q38" s="431">
        <f>P38*(1+'Driver PIB'!Q$2)</f>
        <v>0</v>
      </c>
      <c r="R38" s="431">
        <f>Q38*(1+'Driver PIB'!R$2)</f>
        <v>0</v>
      </c>
      <c r="S38" s="431">
        <f>R38*(1+'Driver PIB'!S$2)</f>
        <v>0</v>
      </c>
      <c r="T38" s="431">
        <f>S38*(1+'Driver PIB'!T$2)</f>
        <v>0</v>
      </c>
      <c r="U38" s="431">
        <f>T38*(1+'Driver PIB'!U$2)</f>
        <v>0</v>
      </c>
      <c r="V38" s="431">
        <f>U38*(1+'Driver PIB'!V$2)</f>
        <v>0</v>
      </c>
      <c r="W38" s="431">
        <f>V38*(1+'Driver PIB'!W$2)</f>
        <v>0</v>
      </c>
      <c r="X38" s="431">
        <f>W38*(1+'Driver PIB'!X$2)</f>
        <v>0</v>
      </c>
      <c r="Y38" s="431">
        <f>X38*(1+'Driver PIB'!Y$2)</f>
        <v>0</v>
      </c>
      <c r="Z38" s="431">
        <f>Y38*(1+'Driver PIB'!Z$2)</f>
        <v>0</v>
      </c>
      <c r="AA38" s="431">
        <f>Z38*(1+'Driver PIB'!AA$2)</f>
        <v>0</v>
      </c>
      <c r="AB38" s="431">
        <f>AA38*(1+'Driver PIB'!AB$2)</f>
        <v>0</v>
      </c>
      <c r="AC38" s="431">
        <f>AB38*(1+'Driver PIB'!AC$2)</f>
        <v>0</v>
      </c>
      <c r="AD38" s="431">
        <f>AC38*(1+'Driver PIB'!AD$2)</f>
        <v>0</v>
      </c>
      <c r="AE38" s="431">
        <f>AD38*(1+'Driver PIB'!AE$2)</f>
        <v>0</v>
      </c>
      <c r="AF38" s="431">
        <f>AE38*(1+'Driver PIB'!AF$2)</f>
        <v>0</v>
      </c>
      <c r="AG38" s="431">
        <f>AF38*(1+'Driver PIB'!AG$2)</f>
        <v>0</v>
      </c>
      <c r="AH38" s="431">
        <f>AG38*(1+'Driver PIB'!AH$2)</f>
        <v>0</v>
      </c>
      <c r="AI38" s="431">
        <f>AH38*(1+'Driver PIB'!AI$2)</f>
        <v>0</v>
      </c>
      <c r="AJ38" s="431">
        <f>AI38*(1+'Driver PIB'!AJ$2)</f>
        <v>0</v>
      </c>
      <c r="AK38" s="499"/>
    </row>
    <row r="39" spans="1:37" ht="14.25" customHeight="1">
      <c r="A39" s="619">
        <v>2</v>
      </c>
      <c r="B39" s="426"/>
      <c r="C39" s="430" t="s">
        <v>360</v>
      </c>
      <c r="D39" s="431">
        <f>'Copia de Demandas de energía '!D39*1000*($E$110)</f>
        <v>0.2754565819</v>
      </c>
      <c r="E39" s="431">
        <f>'Copia de Demandas de energía '!E39*1000*($E$110)</f>
        <v>0.3124948783</v>
      </c>
      <c r="F39" s="431">
        <f>'Copia de Demandas de energía '!F39*1000*($E$110)</f>
        <v>0.34140742599999996</v>
      </c>
      <c r="G39" s="431">
        <f>'Copia de Demandas de energía '!G39*1000*($E$110)</f>
        <v>0.59884878209999992</v>
      </c>
      <c r="H39" s="431">
        <f>G39*(1+'Driver PIB'!H$2)</f>
        <v>0.61706883964955617</v>
      </c>
      <c r="I39" s="431">
        <f>H39*(1+'Driver PIB'!I$2)</f>
        <v>0.63303627171016463</v>
      </c>
      <c r="J39" s="431">
        <f>I39*(1+'Driver PIB'!J$2)</f>
        <v>0.6511876209307863</v>
      </c>
      <c r="K39" s="431">
        <f>J39*(1+'Driver PIB'!K$2)</f>
        <v>0.67061653238389185</v>
      </c>
      <c r="L39" s="431">
        <f>K39*(1+'Driver PIB'!L$2)</f>
        <v>0.69118204180288312</v>
      </c>
      <c r="M39" s="431">
        <f>L39*(1+'Driver PIB'!M$2)</f>
        <v>0.70954514550363734</v>
      </c>
      <c r="N39" s="431">
        <f>M39*(1+'Driver PIB'!N$2)</f>
        <v>0.72980964026244521</v>
      </c>
      <c r="O39" s="431">
        <f>N39*(1+'Driver PIB'!O$2)</f>
        <v>0.74590607130984632</v>
      </c>
      <c r="P39" s="431">
        <f>O39*(1+'Driver PIB'!P$2)</f>
        <v>0.76374448058780198</v>
      </c>
      <c r="Q39" s="431">
        <f>P39*(1+'Driver PIB'!Q$2)</f>
        <v>0.78801087520253266</v>
      </c>
      <c r="R39" s="431">
        <f>Q39*(1+'Driver PIB'!R$2)</f>
        <v>0.80752309610456063</v>
      </c>
      <c r="S39" s="431">
        <f>R39*(1+'Driver PIB'!S$2)</f>
        <v>0.8309465176308396</v>
      </c>
      <c r="T39" s="431">
        <f>S39*(1+'Driver PIB'!T$2)</f>
        <v>0.8506871810079113</v>
      </c>
      <c r="U39" s="431">
        <f>T39*(1+'Driver PIB'!U$2)</f>
        <v>0.8708769238080698</v>
      </c>
      <c r="V39" s="431">
        <f>U39*(1+'Driver PIB'!V$2)</f>
        <v>0.8931937702502567</v>
      </c>
      <c r="W39" s="431">
        <f>V39*(1+'Driver PIB'!W$2)</f>
        <v>0.91353843099827192</v>
      </c>
      <c r="X39" s="431">
        <f>W39*(1+'Driver PIB'!X$2)</f>
        <v>0.93501746420276299</v>
      </c>
      <c r="Y39" s="431">
        <f>X39*(1+'Driver PIB'!Y$2)</f>
        <v>0.95866859381940062</v>
      </c>
      <c r="Z39" s="431">
        <f>Y39*(1+'Driver PIB'!Z$2)</f>
        <v>0.98052338113306714</v>
      </c>
      <c r="AA39" s="431">
        <f>Z39*(1+'Driver PIB'!AA$2)</f>
        <v>1.0029840711092293</v>
      </c>
      <c r="AB39" s="431">
        <f>AA39*(1+'Driver PIB'!AB$2)</f>
        <v>1.0254114489980535</v>
      </c>
      <c r="AC39" s="431">
        <f>AB39*(1+'Driver PIB'!AC$2)</f>
        <v>1.0434285156388288</v>
      </c>
      <c r="AD39" s="431">
        <f>AC39*(1+'Driver PIB'!AD$2)</f>
        <v>1.0663769334195758</v>
      </c>
      <c r="AE39" s="431">
        <f>AD39*(1+'Driver PIB'!AE$2)</f>
        <v>1.086281763236995</v>
      </c>
      <c r="AF39" s="431">
        <f>AE39*(1+'Driver PIB'!AF$2)</f>
        <v>1.1111963923197896</v>
      </c>
      <c r="AG39" s="431">
        <f>AF39*(1+'Driver PIB'!AG$2)</f>
        <v>1.131756859219808</v>
      </c>
      <c r="AH39" s="431">
        <f>AG39*(1+'Driver PIB'!AH$2)</f>
        <v>1.1521184750337461</v>
      </c>
      <c r="AI39" s="431">
        <f>AH39*(1+'Driver PIB'!AI$2)</f>
        <v>1.1732289475090298</v>
      </c>
      <c r="AJ39" s="431">
        <f>AI39*(1+'Driver PIB'!AJ$2)</f>
        <v>1.1944980402332646</v>
      </c>
      <c r="AK39" s="499"/>
    </row>
    <row r="40" spans="1:37" ht="14.25" customHeight="1">
      <c r="A40" s="619"/>
      <c r="B40" s="426"/>
      <c r="C40" s="430" t="s">
        <v>362</v>
      </c>
      <c r="D40" s="431"/>
      <c r="E40" s="431"/>
      <c r="F40" s="431"/>
      <c r="G40" s="431"/>
      <c r="H40" s="431">
        <f>G40*(1+'Driver PIB'!H$2)</f>
        <v>0</v>
      </c>
      <c r="I40" s="431">
        <f>H40*(1+'Driver PIB'!I$2)</f>
        <v>0</v>
      </c>
      <c r="J40" s="431">
        <f>I40*(1+'Driver PIB'!J$2)</f>
        <v>0</v>
      </c>
      <c r="K40" s="431">
        <f>J40*(1+'Driver PIB'!K$2)</f>
        <v>0</v>
      </c>
      <c r="L40" s="431">
        <f>K40*(1+'Driver PIB'!L$2)</f>
        <v>0</v>
      </c>
      <c r="M40" s="431">
        <f>L40*(1+'Driver PIB'!M$2)</f>
        <v>0</v>
      </c>
      <c r="N40" s="431">
        <f>M40*(1+'Driver PIB'!N$2)</f>
        <v>0</v>
      </c>
      <c r="O40" s="431">
        <f>N40*(1+'Driver PIB'!O$2)</f>
        <v>0</v>
      </c>
      <c r="P40" s="431">
        <f>O40*(1+'Driver PIB'!P$2)</f>
        <v>0</v>
      </c>
      <c r="Q40" s="431">
        <f>P40*(1+'Driver PIB'!Q$2)</f>
        <v>0</v>
      </c>
      <c r="R40" s="431">
        <f>Q40*(1+'Driver PIB'!R$2)</f>
        <v>0</v>
      </c>
      <c r="S40" s="431">
        <f>R40*(1+'Driver PIB'!S$2)</f>
        <v>0</v>
      </c>
      <c r="T40" s="431">
        <f>S40*(1+'Driver PIB'!T$2)</f>
        <v>0</v>
      </c>
      <c r="U40" s="431">
        <f>T40*(1+'Driver PIB'!U$2)</f>
        <v>0</v>
      </c>
      <c r="V40" s="431">
        <f>U40*(1+'Driver PIB'!V$2)</f>
        <v>0</v>
      </c>
      <c r="W40" s="431">
        <f>V40*(1+'Driver PIB'!W$2)</f>
        <v>0</v>
      </c>
      <c r="X40" s="431">
        <f>W40*(1+'Driver PIB'!X$2)</f>
        <v>0</v>
      </c>
      <c r="Y40" s="431">
        <f>X40*(1+'Driver PIB'!Y$2)</f>
        <v>0</v>
      </c>
      <c r="Z40" s="431">
        <f>Y40*(1+'Driver PIB'!Z$2)</f>
        <v>0</v>
      </c>
      <c r="AA40" s="431">
        <f>Z40*(1+'Driver PIB'!AA$2)</f>
        <v>0</v>
      </c>
      <c r="AB40" s="431">
        <f>AA40*(1+'Driver PIB'!AB$2)</f>
        <v>0</v>
      </c>
      <c r="AC40" s="431">
        <f>AB40*(1+'Driver PIB'!AC$2)</f>
        <v>0</v>
      </c>
      <c r="AD40" s="431">
        <f>AC40*(1+'Driver PIB'!AD$2)</f>
        <v>0</v>
      </c>
      <c r="AE40" s="431">
        <f>AD40*(1+'Driver PIB'!AE$2)</f>
        <v>0</v>
      </c>
      <c r="AF40" s="431">
        <f>AE40*(1+'Driver PIB'!AF$2)</f>
        <v>0</v>
      </c>
      <c r="AG40" s="431">
        <f>AF40*(1+'Driver PIB'!AG$2)</f>
        <v>0</v>
      </c>
      <c r="AH40" s="431">
        <f>AG40*(1+'Driver PIB'!AH$2)</f>
        <v>0</v>
      </c>
      <c r="AI40" s="431">
        <f>AH40*(1+'Driver PIB'!AI$2)</f>
        <v>0</v>
      </c>
      <c r="AJ40" s="431">
        <f>AI40*(1+'Driver PIB'!AJ$2)</f>
        <v>0</v>
      </c>
      <c r="AK40" s="499"/>
    </row>
    <row r="41" spans="1:37" ht="14.25" customHeight="1">
      <c r="A41" s="619"/>
      <c r="B41" s="426"/>
      <c r="C41" s="430" t="s">
        <v>363</v>
      </c>
      <c r="D41" s="431"/>
      <c r="E41" s="431"/>
      <c r="F41" s="431"/>
      <c r="G41" s="431"/>
      <c r="H41" s="431">
        <f>G41*(1+'Driver PIB'!H$2)</f>
        <v>0</v>
      </c>
      <c r="I41" s="431">
        <f>H41*(1+'Driver PIB'!I$2)</f>
        <v>0</v>
      </c>
      <c r="J41" s="431">
        <f>I41*(1+'Driver PIB'!J$2)</f>
        <v>0</v>
      </c>
      <c r="K41" s="431">
        <f>J41*(1+'Driver PIB'!K$2)</f>
        <v>0</v>
      </c>
      <c r="L41" s="431">
        <f>K41*(1+'Driver PIB'!L$2)</f>
        <v>0</v>
      </c>
      <c r="M41" s="431">
        <f>L41*(1+'Driver PIB'!M$2)</f>
        <v>0</v>
      </c>
      <c r="N41" s="431">
        <f>M41*(1+'Driver PIB'!N$2)</f>
        <v>0</v>
      </c>
      <c r="O41" s="431">
        <f>N41*(1+'Driver PIB'!O$2)</f>
        <v>0</v>
      </c>
      <c r="P41" s="431">
        <f>O41*(1+'Driver PIB'!P$2)</f>
        <v>0</v>
      </c>
      <c r="Q41" s="431">
        <f>P41*(1+'Driver PIB'!Q$2)</f>
        <v>0</v>
      </c>
      <c r="R41" s="431">
        <f>Q41*(1+'Driver PIB'!R$2)</f>
        <v>0</v>
      </c>
      <c r="S41" s="431">
        <f>R41*(1+'Driver PIB'!S$2)</f>
        <v>0</v>
      </c>
      <c r="T41" s="431">
        <f>S41*(1+'Driver PIB'!T$2)</f>
        <v>0</v>
      </c>
      <c r="U41" s="431">
        <f>T41*(1+'Driver PIB'!U$2)</f>
        <v>0</v>
      </c>
      <c r="V41" s="431">
        <f>U41*(1+'Driver PIB'!V$2)</f>
        <v>0</v>
      </c>
      <c r="W41" s="431">
        <f>V41*(1+'Driver PIB'!W$2)</f>
        <v>0</v>
      </c>
      <c r="X41" s="431">
        <f>W41*(1+'Driver PIB'!X$2)</f>
        <v>0</v>
      </c>
      <c r="Y41" s="431">
        <f>X41*(1+'Driver PIB'!Y$2)</f>
        <v>0</v>
      </c>
      <c r="Z41" s="431">
        <f>Y41*(1+'Driver PIB'!Z$2)</f>
        <v>0</v>
      </c>
      <c r="AA41" s="431">
        <f>Z41*(1+'Driver PIB'!AA$2)</f>
        <v>0</v>
      </c>
      <c r="AB41" s="431">
        <f>AA41*(1+'Driver PIB'!AB$2)</f>
        <v>0</v>
      </c>
      <c r="AC41" s="431">
        <f>AB41*(1+'Driver PIB'!AC$2)</f>
        <v>0</v>
      </c>
      <c r="AD41" s="431">
        <f>AC41*(1+'Driver PIB'!AD$2)</f>
        <v>0</v>
      </c>
      <c r="AE41" s="431">
        <f>AD41*(1+'Driver PIB'!AE$2)</f>
        <v>0</v>
      </c>
      <c r="AF41" s="431">
        <f>AE41*(1+'Driver PIB'!AF$2)</f>
        <v>0</v>
      </c>
      <c r="AG41" s="431">
        <f>AF41*(1+'Driver PIB'!AG$2)</f>
        <v>0</v>
      </c>
      <c r="AH41" s="431">
        <f>AG41*(1+'Driver PIB'!AH$2)</f>
        <v>0</v>
      </c>
      <c r="AI41" s="431">
        <f>AH41*(1+'Driver PIB'!AI$2)</f>
        <v>0</v>
      </c>
      <c r="AJ41" s="431">
        <f>AI41*(1+'Driver PIB'!AJ$2)</f>
        <v>0</v>
      </c>
      <c r="AK41" s="499"/>
    </row>
    <row r="42" spans="1:37" ht="14.25" customHeight="1">
      <c r="A42" s="3"/>
      <c r="B42" s="532"/>
      <c r="C42" s="429" t="s">
        <v>13</v>
      </c>
      <c r="D42" s="431">
        <f t="shared" ref="D42:AJ42" si="2">SUM(D32:D41)</f>
        <v>54.918657107940376</v>
      </c>
      <c r="E42" s="431">
        <f t="shared" si="2"/>
        <v>58.828459322019192</v>
      </c>
      <c r="F42" s="431">
        <f t="shared" si="2"/>
        <v>59.428876304328966</v>
      </c>
      <c r="G42" s="431">
        <f t="shared" si="2"/>
        <v>61.505053769783771</v>
      </c>
      <c r="H42" s="533">
        <f t="shared" si="2"/>
        <v>63.376353591659147</v>
      </c>
      <c r="I42" s="533">
        <f t="shared" si="2"/>
        <v>65.016296423318948</v>
      </c>
      <c r="J42" s="533">
        <f t="shared" si="2"/>
        <v>66.880539523043623</v>
      </c>
      <c r="K42" s="533">
        <f t="shared" si="2"/>
        <v>68.875995269686669</v>
      </c>
      <c r="L42" s="533">
        <f t="shared" si="2"/>
        <v>70.988185860076541</v>
      </c>
      <c r="M42" s="533">
        <f t="shared" si="2"/>
        <v>72.874177306088043</v>
      </c>
      <c r="N42" s="533">
        <f t="shared" si="2"/>
        <v>74.955452040232601</v>
      </c>
      <c r="O42" s="533">
        <f t="shared" si="2"/>
        <v>76.608643775215057</v>
      </c>
      <c r="P42" s="533">
        <f t="shared" si="2"/>
        <v>78.440746226789997</v>
      </c>
      <c r="Q42" s="533">
        <f t="shared" si="2"/>
        <v>80.933038020962101</v>
      </c>
      <c r="R42" s="533">
        <f t="shared" si="2"/>
        <v>82.937050104845298</v>
      </c>
      <c r="S42" s="533">
        <f t="shared" si="2"/>
        <v>85.342763940304906</v>
      </c>
      <c r="T42" s="533">
        <f t="shared" si="2"/>
        <v>87.370238319062594</v>
      </c>
      <c r="U42" s="533">
        <f t="shared" si="2"/>
        <v>89.443835617143932</v>
      </c>
      <c r="V42" s="533">
        <f t="shared" si="2"/>
        <v>91.73589812345044</v>
      </c>
      <c r="W42" s="533">
        <f t="shared" si="2"/>
        <v>93.825406344284929</v>
      </c>
      <c r="X42" s="533">
        <f t="shared" si="2"/>
        <v>96.031420836846081</v>
      </c>
      <c r="Y42" s="533">
        <f t="shared" si="2"/>
        <v>98.460521541845949</v>
      </c>
      <c r="Z42" s="533">
        <f t="shared" si="2"/>
        <v>100.70512804190524</v>
      </c>
      <c r="AA42" s="533">
        <f t="shared" si="2"/>
        <v>103.01196406793161</v>
      </c>
      <c r="AB42" s="533">
        <f t="shared" si="2"/>
        <v>105.31537875991818</v>
      </c>
      <c r="AC42" s="533">
        <f t="shared" si="2"/>
        <v>107.16583030234047</v>
      </c>
      <c r="AD42" s="533">
        <f t="shared" si="2"/>
        <v>109.52275864840267</v>
      </c>
      <c r="AE42" s="533">
        <f t="shared" si="2"/>
        <v>111.56709382080739</v>
      </c>
      <c r="AF42" s="533">
        <f t="shared" si="2"/>
        <v>114.12596284950924</v>
      </c>
      <c r="AG42" s="533">
        <f t="shared" si="2"/>
        <v>116.23763554554945</v>
      </c>
      <c r="AH42" s="533">
        <f t="shared" si="2"/>
        <v>118.32888514462906</v>
      </c>
      <c r="AI42" s="533">
        <f t="shared" si="2"/>
        <v>120.49704642926044</v>
      </c>
      <c r="AJ42" s="533">
        <f t="shared" si="2"/>
        <v>122.68149888326931</v>
      </c>
      <c r="AK42" s="534"/>
    </row>
    <row r="43" spans="1:37" ht="14.25" customHeight="1">
      <c r="A43" s="619"/>
      <c r="B43" s="426"/>
      <c r="C43" s="434"/>
      <c r="D43" s="425"/>
      <c r="E43" s="425"/>
      <c r="F43" s="425"/>
      <c r="G43" s="425"/>
      <c r="H43" s="425"/>
      <c r="I43" s="425"/>
      <c r="J43" s="425"/>
      <c r="K43" s="439"/>
      <c r="L43" s="425"/>
      <c r="M43" s="425"/>
      <c r="N43" s="425"/>
      <c r="O43" s="425"/>
      <c r="P43" s="439"/>
      <c r="Q43" s="425"/>
      <c r="R43" s="425"/>
      <c r="S43" s="425"/>
      <c r="T43" s="425"/>
      <c r="U43" s="439"/>
      <c r="V43" s="425"/>
      <c r="W43" s="425"/>
      <c r="X43" s="425"/>
      <c r="Y43" s="425"/>
      <c r="Z43" s="439"/>
      <c r="AA43" s="425"/>
      <c r="AB43" s="425"/>
      <c r="AC43" s="425"/>
      <c r="AD43" s="425"/>
      <c r="AE43" s="439"/>
      <c r="AF43" s="425"/>
      <c r="AG43" s="425"/>
      <c r="AH43" s="425"/>
      <c r="AI43" s="425"/>
      <c r="AJ43" s="439"/>
      <c r="AK43" s="499"/>
    </row>
    <row r="44" spans="1:37" ht="14.25" customHeight="1">
      <c r="A44" s="619"/>
      <c r="B44" s="426"/>
      <c r="C44" s="429" t="s">
        <v>437</v>
      </c>
      <c r="D44" s="428"/>
      <c r="E44" s="428"/>
      <c r="F44" s="428"/>
      <c r="G44" s="428"/>
      <c r="H44" s="428"/>
      <c r="I44" s="428"/>
      <c r="J44" s="428"/>
      <c r="K44" s="438"/>
      <c r="L44" s="428"/>
      <c r="M44" s="428"/>
      <c r="N44" s="428"/>
      <c r="O44" s="428"/>
      <c r="P44" s="438"/>
      <c r="Q44" s="428"/>
      <c r="R44" s="428"/>
      <c r="S44" s="428"/>
      <c r="T44" s="428"/>
      <c r="U44" s="438"/>
      <c r="V44" s="428"/>
      <c r="W44" s="428"/>
      <c r="X44" s="428"/>
      <c r="Y44" s="428"/>
      <c r="Z44" s="438"/>
      <c r="AA44" s="428"/>
      <c r="AB44" s="428"/>
      <c r="AC44" s="428"/>
      <c r="AD44" s="428"/>
      <c r="AE44" s="438"/>
      <c r="AF44" s="428"/>
      <c r="AG44" s="428"/>
      <c r="AH44" s="428"/>
      <c r="AI44" s="428"/>
      <c r="AJ44" s="438"/>
      <c r="AK44" s="499"/>
    </row>
    <row r="45" spans="1:37" ht="14.25" customHeight="1">
      <c r="A45" s="619"/>
      <c r="B45" s="426"/>
      <c r="C45" s="430" t="s">
        <v>413</v>
      </c>
      <c r="D45" s="436"/>
      <c r="E45" s="436"/>
      <c r="F45" s="436"/>
      <c r="G45" s="436"/>
      <c r="H45" s="431">
        <f>G45*(1+'Driver PIB'!H$2)</f>
        <v>0</v>
      </c>
      <c r="I45" s="431">
        <f>H45*(1+'Driver PIB'!I$2)</f>
        <v>0</v>
      </c>
      <c r="J45" s="431">
        <f>I45*(1+'Driver PIB'!J$2)</f>
        <v>0</v>
      </c>
      <c r="K45" s="431">
        <f>J45*(1+'Driver PIB'!K$2)</f>
        <v>0</v>
      </c>
      <c r="L45" s="431">
        <f>K45*(1+'Driver PIB'!L$2)</f>
        <v>0</v>
      </c>
      <c r="M45" s="431">
        <f>L45*(1+'Driver PIB'!M$2)</f>
        <v>0</v>
      </c>
      <c r="N45" s="431">
        <f>M45*(1+'Driver PIB'!N$2)</f>
        <v>0</v>
      </c>
      <c r="O45" s="431">
        <f>N45*(1+'Driver PIB'!O$2)</f>
        <v>0</v>
      </c>
      <c r="P45" s="431">
        <f>O45*(1+'Driver PIB'!P$2)</f>
        <v>0</v>
      </c>
      <c r="Q45" s="431">
        <f>P45*(1+'Driver PIB'!Q$2)</f>
        <v>0</v>
      </c>
      <c r="R45" s="431">
        <f>Q45*(1+'Driver PIB'!R$2)</f>
        <v>0</v>
      </c>
      <c r="S45" s="431">
        <f>R45*(1+'Driver PIB'!S$2)</f>
        <v>0</v>
      </c>
      <c r="T45" s="431">
        <f>S45*(1+'Driver PIB'!T$2)</f>
        <v>0</v>
      </c>
      <c r="U45" s="431">
        <f>T45*(1+'Driver PIB'!U$2)</f>
        <v>0</v>
      </c>
      <c r="V45" s="431">
        <f>U45*(1+'Driver PIB'!V$2)</f>
        <v>0</v>
      </c>
      <c r="W45" s="431">
        <f>V45*(1+'Driver PIB'!W$2)</f>
        <v>0</v>
      </c>
      <c r="X45" s="431">
        <f>W45*(1+'Driver PIB'!X$2)</f>
        <v>0</v>
      </c>
      <c r="Y45" s="431">
        <f>X45*(1+'Driver PIB'!Y$2)</f>
        <v>0</v>
      </c>
      <c r="Z45" s="431">
        <f>Y45*(1+'Driver PIB'!Z$2)</f>
        <v>0</v>
      </c>
      <c r="AA45" s="431">
        <f>Z45*(1+'Driver PIB'!AA$2)</f>
        <v>0</v>
      </c>
      <c r="AB45" s="431">
        <f>AA45*(1+'Driver PIB'!AB$2)</f>
        <v>0</v>
      </c>
      <c r="AC45" s="431">
        <f>AB45*(1+'Driver PIB'!AC$2)</f>
        <v>0</v>
      </c>
      <c r="AD45" s="431">
        <f>AC45*(1+'Driver PIB'!AD$2)</f>
        <v>0</v>
      </c>
      <c r="AE45" s="431">
        <f>AD45*(1+'Driver PIB'!AE$2)</f>
        <v>0</v>
      </c>
      <c r="AF45" s="431">
        <f>AE45*(1+'Driver PIB'!AF$2)</f>
        <v>0</v>
      </c>
      <c r="AG45" s="431">
        <f>AF45*(1+'Driver PIB'!AG$2)</f>
        <v>0</v>
      </c>
      <c r="AH45" s="431">
        <f>AG45*(1+'Driver PIB'!AH$2)</f>
        <v>0</v>
      </c>
      <c r="AI45" s="431">
        <f>AH45*(1+'Driver PIB'!AI$2)</f>
        <v>0</v>
      </c>
      <c r="AJ45" s="431">
        <f>AI45*(1+'Driver PIB'!AJ$2)</f>
        <v>0</v>
      </c>
      <c r="AK45" s="499"/>
    </row>
    <row r="46" spans="1:37" ht="14.25" customHeight="1">
      <c r="A46" s="619"/>
      <c r="B46" s="426"/>
      <c r="C46" s="430" t="s">
        <v>415</v>
      </c>
      <c r="D46" s="436"/>
      <c r="E46" s="436"/>
      <c r="F46" s="436"/>
      <c r="G46" s="436"/>
      <c r="H46" s="431">
        <f>G46*(1+'Driver PIB'!H$2)</f>
        <v>0</v>
      </c>
      <c r="I46" s="431">
        <f>H46*(1+'Driver PIB'!I$2)</f>
        <v>0</v>
      </c>
      <c r="J46" s="431">
        <f>I46*(1+'Driver PIB'!J$2)</f>
        <v>0</v>
      </c>
      <c r="K46" s="431">
        <f>J46*(1+'Driver PIB'!K$2)</f>
        <v>0</v>
      </c>
      <c r="L46" s="431">
        <f>K46*(1+'Driver PIB'!L$2)</f>
        <v>0</v>
      </c>
      <c r="M46" s="431">
        <f>L46*(1+'Driver PIB'!M$2)</f>
        <v>0</v>
      </c>
      <c r="N46" s="431">
        <f>M46*(1+'Driver PIB'!N$2)</f>
        <v>0</v>
      </c>
      <c r="O46" s="431">
        <f>N46*(1+'Driver PIB'!O$2)</f>
        <v>0</v>
      </c>
      <c r="P46" s="431">
        <f>O46*(1+'Driver PIB'!P$2)</f>
        <v>0</v>
      </c>
      <c r="Q46" s="431">
        <f>P46*(1+'Driver PIB'!Q$2)</f>
        <v>0</v>
      </c>
      <c r="R46" s="431">
        <f>Q46*(1+'Driver PIB'!R$2)</f>
        <v>0</v>
      </c>
      <c r="S46" s="431">
        <f>R46*(1+'Driver PIB'!S$2)</f>
        <v>0</v>
      </c>
      <c r="T46" s="431">
        <f>S46*(1+'Driver PIB'!T$2)</f>
        <v>0</v>
      </c>
      <c r="U46" s="431">
        <f>T46*(1+'Driver PIB'!U$2)</f>
        <v>0</v>
      </c>
      <c r="V46" s="431">
        <f>U46*(1+'Driver PIB'!V$2)</f>
        <v>0</v>
      </c>
      <c r="W46" s="431">
        <f>V46*(1+'Driver PIB'!W$2)</f>
        <v>0</v>
      </c>
      <c r="X46" s="431">
        <f>W46*(1+'Driver PIB'!X$2)</f>
        <v>0</v>
      </c>
      <c r="Y46" s="431">
        <f>X46*(1+'Driver PIB'!Y$2)</f>
        <v>0</v>
      </c>
      <c r="Z46" s="431">
        <f>Y46*(1+'Driver PIB'!Z$2)</f>
        <v>0</v>
      </c>
      <c r="AA46" s="431">
        <f>Z46*(1+'Driver PIB'!AA$2)</f>
        <v>0</v>
      </c>
      <c r="AB46" s="431">
        <f>AA46*(1+'Driver PIB'!AB$2)</f>
        <v>0</v>
      </c>
      <c r="AC46" s="431">
        <f>AB46*(1+'Driver PIB'!AC$2)</f>
        <v>0</v>
      </c>
      <c r="AD46" s="431">
        <f>AC46*(1+'Driver PIB'!AD$2)</f>
        <v>0</v>
      </c>
      <c r="AE46" s="431">
        <f>AD46*(1+'Driver PIB'!AE$2)</f>
        <v>0</v>
      </c>
      <c r="AF46" s="431">
        <f>AE46*(1+'Driver PIB'!AF$2)</f>
        <v>0</v>
      </c>
      <c r="AG46" s="431">
        <f>AF46*(1+'Driver PIB'!AG$2)</f>
        <v>0</v>
      </c>
      <c r="AH46" s="431">
        <f>AG46*(1+'Driver PIB'!AH$2)</f>
        <v>0</v>
      </c>
      <c r="AI46" s="431">
        <f>AH46*(1+'Driver PIB'!AI$2)</f>
        <v>0</v>
      </c>
      <c r="AJ46" s="431">
        <f>AI46*(1+'Driver PIB'!AJ$2)</f>
        <v>0</v>
      </c>
      <c r="AK46" s="499"/>
    </row>
    <row r="47" spans="1:37" ht="14.25" customHeight="1">
      <c r="A47" s="619">
        <v>2</v>
      </c>
      <c r="B47" s="426"/>
      <c r="C47" s="432" t="s">
        <v>417</v>
      </c>
      <c r="D47" s="436"/>
      <c r="E47" s="436"/>
      <c r="F47" s="436"/>
      <c r="G47" s="436"/>
      <c r="H47" s="431">
        <f>G47*(1+'Driver PIB'!H$2)</f>
        <v>0</v>
      </c>
      <c r="I47" s="431">
        <f>H47*(1+'Driver PIB'!I$2)</f>
        <v>0</v>
      </c>
      <c r="J47" s="431">
        <f>I47*(1+'Driver PIB'!J$2)</f>
        <v>0</v>
      </c>
      <c r="K47" s="431">
        <f>J47*(1+'Driver PIB'!K$2)</f>
        <v>0</v>
      </c>
      <c r="L47" s="431">
        <f>K47*(1+'Driver PIB'!L$2)</f>
        <v>0</v>
      </c>
      <c r="M47" s="431">
        <f>L47*(1+'Driver PIB'!M$2)</f>
        <v>0</v>
      </c>
      <c r="N47" s="431">
        <f>M47*(1+'Driver PIB'!N$2)</f>
        <v>0</v>
      </c>
      <c r="O47" s="431">
        <f>N47*(1+'Driver PIB'!O$2)</f>
        <v>0</v>
      </c>
      <c r="P47" s="431">
        <f>O47*(1+'Driver PIB'!P$2)</f>
        <v>0</v>
      </c>
      <c r="Q47" s="431">
        <f>P47*(1+'Driver PIB'!Q$2)</f>
        <v>0</v>
      </c>
      <c r="R47" s="431">
        <f>Q47*(1+'Driver PIB'!R$2)</f>
        <v>0</v>
      </c>
      <c r="S47" s="431">
        <f>R47*(1+'Driver PIB'!S$2)</f>
        <v>0</v>
      </c>
      <c r="T47" s="431">
        <f>S47*(1+'Driver PIB'!T$2)</f>
        <v>0</v>
      </c>
      <c r="U47" s="431">
        <f>T47*(1+'Driver PIB'!U$2)</f>
        <v>0</v>
      </c>
      <c r="V47" s="431">
        <f>U47*(1+'Driver PIB'!V$2)</f>
        <v>0</v>
      </c>
      <c r="W47" s="431">
        <f>V47*(1+'Driver PIB'!W$2)</f>
        <v>0</v>
      </c>
      <c r="X47" s="431">
        <f>W47*(1+'Driver PIB'!X$2)</f>
        <v>0</v>
      </c>
      <c r="Y47" s="431">
        <f>X47*(1+'Driver PIB'!Y$2)</f>
        <v>0</v>
      </c>
      <c r="Z47" s="431">
        <f>Y47*(1+'Driver PIB'!Z$2)</f>
        <v>0</v>
      </c>
      <c r="AA47" s="431">
        <f>Z47*(1+'Driver PIB'!AA$2)</f>
        <v>0</v>
      </c>
      <c r="AB47" s="431">
        <f>AA47*(1+'Driver PIB'!AB$2)</f>
        <v>0</v>
      </c>
      <c r="AC47" s="431">
        <f>AB47*(1+'Driver PIB'!AC$2)</f>
        <v>0</v>
      </c>
      <c r="AD47" s="431">
        <f>AC47*(1+'Driver PIB'!AD$2)</f>
        <v>0</v>
      </c>
      <c r="AE47" s="431">
        <f>AD47*(1+'Driver PIB'!AE$2)</f>
        <v>0</v>
      </c>
      <c r="AF47" s="431">
        <f>AE47*(1+'Driver PIB'!AF$2)</f>
        <v>0</v>
      </c>
      <c r="AG47" s="431">
        <f>AF47*(1+'Driver PIB'!AG$2)</f>
        <v>0</v>
      </c>
      <c r="AH47" s="431">
        <f>AG47*(1+'Driver PIB'!AH$2)</f>
        <v>0</v>
      </c>
      <c r="AI47" s="431">
        <f>AH47*(1+'Driver PIB'!AI$2)</f>
        <v>0</v>
      </c>
      <c r="AJ47" s="431">
        <f>AI47*(1+'Driver PIB'!AJ$2)</f>
        <v>0</v>
      </c>
      <c r="AK47" s="499"/>
    </row>
    <row r="48" spans="1:37" ht="14.25" customHeight="1">
      <c r="A48" s="619"/>
      <c r="B48" s="426"/>
      <c r="C48" s="430" t="s">
        <v>419</v>
      </c>
      <c r="D48" s="431">
        <f>'Copia de Demandas de energía '!D48*1000*($E$110)</f>
        <v>1.4845132120951199</v>
      </c>
      <c r="E48" s="431">
        <f>'Copia de Demandas de energía '!E48*1000*($E$110)</f>
        <v>1.13953077161862</v>
      </c>
      <c r="F48" s="431">
        <f>'Copia de Demandas de energía '!F48*1000*($E$110)</f>
        <v>1.7355139926919898</v>
      </c>
      <c r="G48" s="431">
        <f>'Copia de Demandas de energía '!G48*1000*($E$110)</f>
        <v>1.9880149502736599</v>
      </c>
      <c r="H48" s="431">
        <f>G48*(1+'Driver PIB'!H$2)</f>
        <v>2.0485005818488706</v>
      </c>
      <c r="I48" s="431">
        <f>H48*(1+'Driver PIB'!I$2)</f>
        <v>2.1015081099641533</v>
      </c>
      <c r="J48" s="431">
        <f>I48*(1+'Driver PIB'!J$2)</f>
        <v>2.161765648589669</v>
      </c>
      <c r="K48" s="431">
        <f>J48*(1+'Driver PIB'!K$2)</f>
        <v>2.2262643460753178</v>
      </c>
      <c r="L48" s="431">
        <f>K48*(1+'Driver PIB'!L$2)</f>
        <v>2.2945362394263862</v>
      </c>
      <c r="M48" s="431">
        <f>L48*(1+'Driver PIB'!M$2)</f>
        <v>2.3554967452864934</v>
      </c>
      <c r="N48" s="431">
        <f>M48*(1+'Driver PIB'!N$2)</f>
        <v>2.4227693519017723</v>
      </c>
      <c r="O48" s="431">
        <f>N48*(1+'Driver PIB'!O$2)</f>
        <v>2.4762051215397558</v>
      </c>
      <c r="P48" s="431">
        <f>O48*(1+'Driver PIB'!P$2)</f>
        <v>2.5354237847376955</v>
      </c>
      <c r="Q48" s="431">
        <f>P48*(1+'Driver PIB'!Q$2)</f>
        <v>2.6159816095597703</v>
      </c>
      <c r="R48" s="431">
        <f>Q48*(1+'Driver PIB'!R$2)</f>
        <v>2.6807568717390566</v>
      </c>
      <c r="S48" s="431">
        <f>R48*(1+'Driver PIB'!S$2)</f>
        <v>2.7585162553642677</v>
      </c>
      <c r="T48" s="431">
        <f>S48*(1+'Driver PIB'!T$2)</f>
        <v>2.8240498843787876</v>
      </c>
      <c r="U48" s="431">
        <f>T48*(1+'Driver PIB'!U$2)</f>
        <v>2.8910743348387915</v>
      </c>
      <c r="V48" s="431">
        <f>U48*(1+'Driver PIB'!V$2)</f>
        <v>2.9651601903939264</v>
      </c>
      <c r="W48" s="431">
        <f>V48*(1+'Driver PIB'!W$2)</f>
        <v>3.032698926272237</v>
      </c>
      <c r="X48" s="431">
        <f>W48*(1+'Driver PIB'!X$2)</f>
        <v>3.1040034699305092</v>
      </c>
      <c r="Y48" s="431">
        <f>X48*(1+'Driver PIB'!Y$2)</f>
        <v>3.1825187824336987</v>
      </c>
      <c r="Z48" s="431">
        <f>Y48*(1+'Driver PIB'!Z$2)</f>
        <v>3.2550707274543784</v>
      </c>
      <c r="AA48" s="431">
        <f>Z48*(1+'Driver PIB'!AA$2)</f>
        <v>3.329634104388183</v>
      </c>
      <c r="AB48" s="431">
        <f>AA48*(1+'Driver PIB'!AB$2)</f>
        <v>3.404086894259557</v>
      </c>
      <c r="AC48" s="431">
        <f>AB48*(1+'Driver PIB'!AC$2)</f>
        <v>3.463898651271625</v>
      </c>
      <c r="AD48" s="431">
        <f>AC48*(1+'Driver PIB'!AD$2)</f>
        <v>3.5400811517574202</v>
      </c>
      <c r="AE48" s="431">
        <f>AD48*(1+'Driver PIB'!AE$2)</f>
        <v>3.6061597686678817</v>
      </c>
      <c r="AF48" s="431">
        <f>AE48*(1+'Driver PIB'!AF$2)</f>
        <v>3.6888695554748754</v>
      </c>
      <c r="AG48" s="431">
        <f>AF48*(1+'Driver PIB'!AG$2)</f>
        <v>3.7571247090355246</v>
      </c>
      <c r="AH48" s="431">
        <f>AG48*(1+'Driver PIB'!AH$2)</f>
        <v>3.8247197311175403</v>
      </c>
      <c r="AI48" s="431">
        <f>AH48*(1+'Driver PIB'!AI$2)</f>
        <v>3.8948007534768654</v>
      </c>
      <c r="AJ48" s="431">
        <f>AI48*(1+'Driver PIB'!AJ$2)</f>
        <v>3.9654083518863659</v>
      </c>
      <c r="AK48" s="499"/>
    </row>
    <row r="49" spans="1:37" ht="14.25" customHeight="1">
      <c r="A49" s="619"/>
      <c r="B49" s="426"/>
      <c r="C49" s="430" t="s">
        <v>421</v>
      </c>
      <c r="D49" s="431"/>
      <c r="E49" s="431"/>
      <c r="F49" s="431"/>
      <c r="G49" s="431"/>
      <c r="H49" s="431">
        <f>G49*(1+'Driver PIB'!H$2)</f>
        <v>0</v>
      </c>
      <c r="I49" s="431">
        <f>H49*(1+'Driver PIB'!I$2)</f>
        <v>0</v>
      </c>
      <c r="J49" s="431">
        <f>I49*(1+'Driver PIB'!J$2)</f>
        <v>0</v>
      </c>
      <c r="K49" s="431">
        <f>J49*(1+'Driver PIB'!K$2)</f>
        <v>0</v>
      </c>
      <c r="L49" s="431">
        <f>K49*(1+'Driver PIB'!L$2)</f>
        <v>0</v>
      </c>
      <c r="M49" s="431">
        <f>L49*(1+'Driver PIB'!M$2)</f>
        <v>0</v>
      </c>
      <c r="N49" s="431">
        <f>M49*(1+'Driver PIB'!N$2)</f>
        <v>0</v>
      </c>
      <c r="O49" s="431">
        <f>N49*(1+'Driver PIB'!O$2)</f>
        <v>0</v>
      </c>
      <c r="P49" s="431">
        <f>O49*(1+'Driver PIB'!P$2)</f>
        <v>0</v>
      </c>
      <c r="Q49" s="431">
        <f>P49*(1+'Driver PIB'!Q$2)</f>
        <v>0</v>
      </c>
      <c r="R49" s="431">
        <f>Q49*(1+'Driver PIB'!R$2)</f>
        <v>0</v>
      </c>
      <c r="S49" s="431">
        <f>R49*(1+'Driver PIB'!S$2)</f>
        <v>0</v>
      </c>
      <c r="T49" s="431">
        <f>S49*(1+'Driver PIB'!T$2)</f>
        <v>0</v>
      </c>
      <c r="U49" s="431">
        <f>T49*(1+'Driver PIB'!U$2)</f>
        <v>0</v>
      </c>
      <c r="V49" s="431">
        <f>U49*(1+'Driver PIB'!V$2)</f>
        <v>0</v>
      </c>
      <c r="W49" s="431">
        <f>V49*(1+'Driver PIB'!W$2)</f>
        <v>0</v>
      </c>
      <c r="X49" s="431">
        <f>W49*(1+'Driver PIB'!X$2)</f>
        <v>0</v>
      </c>
      <c r="Y49" s="431">
        <f>X49*(1+'Driver PIB'!Y$2)</f>
        <v>0</v>
      </c>
      <c r="Z49" s="431">
        <f>Y49*(1+'Driver PIB'!Z$2)</f>
        <v>0</v>
      </c>
      <c r="AA49" s="431">
        <f>Z49*(1+'Driver PIB'!AA$2)</f>
        <v>0</v>
      </c>
      <c r="AB49" s="431">
        <f>AA49*(1+'Driver PIB'!AB$2)</f>
        <v>0</v>
      </c>
      <c r="AC49" s="431">
        <f>AB49*(1+'Driver PIB'!AC$2)</f>
        <v>0</v>
      </c>
      <c r="AD49" s="431">
        <f>AC49*(1+'Driver PIB'!AD$2)</f>
        <v>0</v>
      </c>
      <c r="AE49" s="431">
        <f>AD49*(1+'Driver PIB'!AE$2)</f>
        <v>0</v>
      </c>
      <c r="AF49" s="431">
        <f>AE49*(1+'Driver PIB'!AF$2)</f>
        <v>0</v>
      </c>
      <c r="AG49" s="431">
        <f>AF49*(1+'Driver PIB'!AG$2)</f>
        <v>0</v>
      </c>
      <c r="AH49" s="431">
        <f>AG49*(1+'Driver PIB'!AH$2)</f>
        <v>0</v>
      </c>
      <c r="AI49" s="431">
        <f>AH49*(1+'Driver PIB'!AI$2)</f>
        <v>0</v>
      </c>
      <c r="AJ49" s="431">
        <f>AI49*(1+'Driver PIB'!AJ$2)</f>
        <v>0</v>
      </c>
      <c r="AK49" s="499"/>
    </row>
    <row r="50" spans="1:37" ht="14.25" customHeight="1">
      <c r="A50" s="619">
        <v>2</v>
      </c>
      <c r="B50" s="426"/>
      <c r="C50" s="432" t="s">
        <v>422</v>
      </c>
      <c r="D50" s="431"/>
      <c r="E50" s="431"/>
      <c r="F50" s="431"/>
      <c r="G50" s="431"/>
      <c r="H50" s="431">
        <f>G50*(1+'Driver PIB'!H$2)</f>
        <v>0</v>
      </c>
      <c r="I50" s="431">
        <f>H50*(1+'Driver PIB'!I$2)</f>
        <v>0</v>
      </c>
      <c r="J50" s="431">
        <f>I50*(1+'Driver PIB'!J$2)</f>
        <v>0</v>
      </c>
      <c r="K50" s="431">
        <f>J50*(1+'Driver PIB'!K$2)</f>
        <v>0</v>
      </c>
      <c r="L50" s="431">
        <f>K50*(1+'Driver PIB'!L$2)</f>
        <v>0</v>
      </c>
      <c r="M50" s="431">
        <f>L50*(1+'Driver PIB'!M$2)</f>
        <v>0</v>
      </c>
      <c r="N50" s="431">
        <f>M50*(1+'Driver PIB'!N$2)</f>
        <v>0</v>
      </c>
      <c r="O50" s="431">
        <f>N50*(1+'Driver PIB'!O$2)</f>
        <v>0</v>
      </c>
      <c r="P50" s="431">
        <f>O50*(1+'Driver PIB'!P$2)</f>
        <v>0</v>
      </c>
      <c r="Q50" s="431">
        <f>P50*(1+'Driver PIB'!Q$2)</f>
        <v>0</v>
      </c>
      <c r="R50" s="431">
        <f>Q50*(1+'Driver PIB'!R$2)</f>
        <v>0</v>
      </c>
      <c r="S50" s="431">
        <f>R50*(1+'Driver PIB'!S$2)</f>
        <v>0</v>
      </c>
      <c r="T50" s="431">
        <f>S50*(1+'Driver PIB'!T$2)</f>
        <v>0</v>
      </c>
      <c r="U50" s="431">
        <f>T50*(1+'Driver PIB'!U$2)</f>
        <v>0</v>
      </c>
      <c r="V50" s="431">
        <f>U50*(1+'Driver PIB'!V$2)</f>
        <v>0</v>
      </c>
      <c r="W50" s="431">
        <f>V50*(1+'Driver PIB'!W$2)</f>
        <v>0</v>
      </c>
      <c r="X50" s="431">
        <f>W50*(1+'Driver PIB'!X$2)</f>
        <v>0</v>
      </c>
      <c r="Y50" s="431">
        <f>X50*(1+'Driver PIB'!Y$2)</f>
        <v>0</v>
      </c>
      <c r="Z50" s="431">
        <f>Y50*(1+'Driver PIB'!Z$2)</f>
        <v>0</v>
      </c>
      <c r="AA50" s="431">
        <f>Z50*(1+'Driver PIB'!AA$2)</f>
        <v>0</v>
      </c>
      <c r="AB50" s="431">
        <f>AA50*(1+'Driver PIB'!AB$2)</f>
        <v>0</v>
      </c>
      <c r="AC50" s="431">
        <f>AB50*(1+'Driver PIB'!AC$2)</f>
        <v>0</v>
      </c>
      <c r="AD50" s="431">
        <f>AC50*(1+'Driver PIB'!AD$2)</f>
        <v>0</v>
      </c>
      <c r="AE50" s="431">
        <f>AD50*(1+'Driver PIB'!AE$2)</f>
        <v>0</v>
      </c>
      <c r="AF50" s="431">
        <f>AE50*(1+'Driver PIB'!AF$2)</f>
        <v>0</v>
      </c>
      <c r="AG50" s="431">
        <f>AF50*(1+'Driver PIB'!AG$2)</f>
        <v>0</v>
      </c>
      <c r="AH50" s="431">
        <f>AG50*(1+'Driver PIB'!AH$2)</f>
        <v>0</v>
      </c>
      <c r="AI50" s="431">
        <f>AH50*(1+'Driver PIB'!AI$2)</f>
        <v>0</v>
      </c>
      <c r="AJ50" s="431">
        <f>AI50*(1+'Driver PIB'!AJ$2)</f>
        <v>0</v>
      </c>
      <c r="AK50" s="499"/>
    </row>
    <row r="51" spans="1:37" ht="14.25" customHeight="1">
      <c r="A51" s="619"/>
      <c r="B51" s="426"/>
      <c r="C51" s="430" t="s">
        <v>359</v>
      </c>
      <c r="D51" s="431"/>
      <c r="E51" s="431"/>
      <c r="F51" s="431"/>
      <c r="G51" s="431"/>
      <c r="H51" s="431">
        <f>G51*(1+'Driver PIB'!H$2)</f>
        <v>0</v>
      </c>
      <c r="I51" s="431">
        <f>H51*(1+'Driver PIB'!I$2)</f>
        <v>0</v>
      </c>
      <c r="J51" s="431">
        <f>I51*(1+'Driver PIB'!J$2)</f>
        <v>0</v>
      </c>
      <c r="K51" s="431">
        <f>J51*(1+'Driver PIB'!K$2)</f>
        <v>0</v>
      </c>
      <c r="L51" s="431">
        <f>K51*(1+'Driver PIB'!L$2)</f>
        <v>0</v>
      </c>
      <c r="M51" s="431">
        <f>L51*(1+'Driver PIB'!M$2)</f>
        <v>0</v>
      </c>
      <c r="N51" s="431">
        <f>M51*(1+'Driver PIB'!N$2)</f>
        <v>0</v>
      </c>
      <c r="O51" s="431">
        <f>N51*(1+'Driver PIB'!O$2)</f>
        <v>0</v>
      </c>
      <c r="P51" s="431">
        <f>O51*(1+'Driver PIB'!P$2)</f>
        <v>0</v>
      </c>
      <c r="Q51" s="431">
        <f>P51*(1+'Driver PIB'!Q$2)</f>
        <v>0</v>
      </c>
      <c r="R51" s="431">
        <f>Q51*(1+'Driver PIB'!R$2)</f>
        <v>0</v>
      </c>
      <c r="S51" s="431">
        <f>R51*(1+'Driver PIB'!S$2)</f>
        <v>0</v>
      </c>
      <c r="T51" s="431">
        <f>S51*(1+'Driver PIB'!T$2)</f>
        <v>0</v>
      </c>
      <c r="U51" s="431">
        <f>T51*(1+'Driver PIB'!U$2)</f>
        <v>0</v>
      </c>
      <c r="V51" s="431">
        <f>U51*(1+'Driver PIB'!V$2)</f>
        <v>0</v>
      </c>
      <c r="W51" s="431">
        <f>V51*(1+'Driver PIB'!W$2)</f>
        <v>0</v>
      </c>
      <c r="X51" s="431">
        <f>W51*(1+'Driver PIB'!X$2)</f>
        <v>0</v>
      </c>
      <c r="Y51" s="431">
        <f>X51*(1+'Driver PIB'!Y$2)</f>
        <v>0</v>
      </c>
      <c r="Z51" s="431">
        <f>Y51*(1+'Driver PIB'!Z$2)</f>
        <v>0</v>
      </c>
      <c r="AA51" s="431">
        <f>Z51*(1+'Driver PIB'!AA$2)</f>
        <v>0</v>
      </c>
      <c r="AB51" s="431">
        <f>AA51*(1+'Driver PIB'!AB$2)</f>
        <v>0</v>
      </c>
      <c r="AC51" s="431">
        <f>AB51*(1+'Driver PIB'!AC$2)</f>
        <v>0</v>
      </c>
      <c r="AD51" s="431">
        <f>AC51*(1+'Driver PIB'!AD$2)</f>
        <v>0</v>
      </c>
      <c r="AE51" s="431">
        <f>AD51*(1+'Driver PIB'!AE$2)</f>
        <v>0</v>
      </c>
      <c r="AF51" s="431">
        <f>AE51*(1+'Driver PIB'!AF$2)</f>
        <v>0</v>
      </c>
      <c r="AG51" s="431">
        <f>AF51*(1+'Driver PIB'!AG$2)</f>
        <v>0</v>
      </c>
      <c r="AH51" s="431">
        <f>AG51*(1+'Driver PIB'!AH$2)</f>
        <v>0</v>
      </c>
      <c r="AI51" s="431">
        <f>AH51*(1+'Driver PIB'!AI$2)</f>
        <v>0</v>
      </c>
      <c r="AJ51" s="431">
        <f>AI51*(1+'Driver PIB'!AJ$2)</f>
        <v>0</v>
      </c>
      <c r="AK51" s="499"/>
    </row>
    <row r="52" spans="1:37" ht="14.25" customHeight="1">
      <c r="A52" s="619"/>
      <c r="B52" s="426"/>
      <c r="C52" s="430" t="s">
        <v>360</v>
      </c>
      <c r="D52" s="431"/>
      <c r="E52" s="431"/>
      <c r="F52" s="431"/>
      <c r="G52" s="431"/>
      <c r="H52" s="431">
        <f>G52*(1+'Driver PIB'!H$2)</f>
        <v>0</v>
      </c>
      <c r="I52" s="431">
        <f>H52*(1+'Driver PIB'!I$2)</f>
        <v>0</v>
      </c>
      <c r="J52" s="431">
        <f>I52*(1+'Driver PIB'!J$2)</f>
        <v>0</v>
      </c>
      <c r="K52" s="431">
        <f>J52*(1+'Driver PIB'!K$2)</f>
        <v>0</v>
      </c>
      <c r="L52" s="431">
        <f>K52*(1+'Driver PIB'!L$2)</f>
        <v>0</v>
      </c>
      <c r="M52" s="431">
        <f>L52*(1+'Driver PIB'!M$2)</f>
        <v>0</v>
      </c>
      <c r="N52" s="431">
        <f>M52*(1+'Driver PIB'!N$2)</f>
        <v>0</v>
      </c>
      <c r="O52" s="431">
        <f>N52*(1+'Driver PIB'!O$2)</f>
        <v>0</v>
      </c>
      <c r="P52" s="431">
        <f>O52*(1+'Driver PIB'!P$2)</f>
        <v>0</v>
      </c>
      <c r="Q52" s="431">
        <f>P52*(1+'Driver PIB'!Q$2)</f>
        <v>0</v>
      </c>
      <c r="R52" s="431">
        <f>Q52*(1+'Driver PIB'!R$2)</f>
        <v>0</v>
      </c>
      <c r="S52" s="431">
        <f>R52*(1+'Driver PIB'!S$2)</f>
        <v>0</v>
      </c>
      <c r="T52" s="431">
        <f>S52*(1+'Driver PIB'!T$2)</f>
        <v>0</v>
      </c>
      <c r="U52" s="431">
        <f>T52*(1+'Driver PIB'!U$2)</f>
        <v>0</v>
      </c>
      <c r="V52" s="431">
        <f>U52*(1+'Driver PIB'!V$2)</f>
        <v>0</v>
      </c>
      <c r="W52" s="431">
        <f>V52*(1+'Driver PIB'!W$2)</f>
        <v>0</v>
      </c>
      <c r="X52" s="431">
        <f>W52*(1+'Driver PIB'!X$2)</f>
        <v>0</v>
      </c>
      <c r="Y52" s="431">
        <f>X52*(1+'Driver PIB'!Y$2)</f>
        <v>0</v>
      </c>
      <c r="Z52" s="431">
        <f>Y52*(1+'Driver PIB'!Z$2)</f>
        <v>0</v>
      </c>
      <c r="AA52" s="431">
        <f>Z52*(1+'Driver PIB'!AA$2)</f>
        <v>0</v>
      </c>
      <c r="AB52" s="431">
        <f>AA52*(1+'Driver PIB'!AB$2)</f>
        <v>0</v>
      </c>
      <c r="AC52" s="431">
        <f>AB52*(1+'Driver PIB'!AC$2)</f>
        <v>0</v>
      </c>
      <c r="AD52" s="431">
        <f>AC52*(1+'Driver PIB'!AD$2)</f>
        <v>0</v>
      </c>
      <c r="AE52" s="431">
        <f>AD52*(1+'Driver PIB'!AE$2)</f>
        <v>0</v>
      </c>
      <c r="AF52" s="431">
        <f>AE52*(1+'Driver PIB'!AF$2)</f>
        <v>0</v>
      </c>
      <c r="AG52" s="431">
        <f>AF52*(1+'Driver PIB'!AG$2)</f>
        <v>0</v>
      </c>
      <c r="AH52" s="431">
        <f>AG52*(1+'Driver PIB'!AH$2)</f>
        <v>0</v>
      </c>
      <c r="AI52" s="431">
        <f>AH52*(1+'Driver PIB'!AI$2)</f>
        <v>0</v>
      </c>
      <c r="AJ52" s="431">
        <f>AI52*(1+'Driver PIB'!AJ$2)</f>
        <v>0</v>
      </c>
      <c r="AK52" s="499"/>
    </row>
    <row r="53" spans="1:37" ht="14.25" customHeight="1">
      <c r="A53" s="619"/>
      <c r="B53" s="426"/>
      <c r="C53" s="430" t="s">
        <v>362</v>
      </c>
      <c r="D53" s="431"/>
      <c r="E53" s="431"/>
      <c r="F53" s="431"/>
      <c r="G53" s="431"/>
      <c r="H53" s="431">
        <f>G53*(1+'Driver PIB'!H$2)</f>
        <v>0</v>
      </c>
      <c r="I53" s="431">
        <f>H53*(1+'Driver PIB'!I$2)</f>
        <v>0</v>
      </c>
      <c r="J53" s="431">
        <f>I53*(1+'Driver PIB'!J$2)</f>
        <v>0</v>
      </c>
      <c r="K53" s="431">
        <f>J53*(1+'Driver PIB'!K$2)</f>
        <v>0</v>
      </c>
      <c r="L53" s="431">
        <f>K53*(1+'Driver PIB'!L$2)</f>
        <v>0</v>
      </c>
      <c r="M53" s="431">
        <f>L53*(1+'Driver PIB'!M$2)</f>
        <v>0</v>
      </c>
      <c r="N53" s="431">
        <f>M53*(1+'Driver PIB'!N$2)</f>
        <v>0</v>
      </c>
      <c r="O53" s="431">
        <f>N53*(1+'Driver PIB'!O$2)</f>
        <v>0</v>
      </c>
      <c r="P53" s="431">
        <f>O53*(1+'Driver PIB'!P$2)</f>
        <v>0</v>
      </c>
      <c r="Q53" s="431">
        <f>P53*(1+'Driver PIB'!Q$2)</f>
        <v>0</v>
      </c>
      <c r="R53" s="431">
        <f>Q53*(1+'Driver PIB'!R$2)</f>
        <v>0</v>
      </c>
      <c r="S53" s="431">
        <f>R53*(1+'Driver PIB'!S$2)</f>
        <v>0</v>
      </c>
      <c r="T53" s="431">
        <f>S53*(1+'Driver PIB'!T$2)</f>
        <v>0</v>
      </c>
      <c r="U53" s="431">
        <f>T53*(1+'Driver PIB'!U$2)</f>
        <v>0</v>
      </c>
      <c r="V53" s="431">
        <f>U53*(1+'Driver PIB'!V$2)</f>
        <v>0</v>
      </c>
      <c r="W53" s="431">
        <f>V53*(1+'Driver PIB'!W$2)</f>
        <v>0</v>
      </c>
      <c r="X53" s="431">
        <f>W53*(1+'Driver PIB'!X$2)</f>
        <v>0</v>
      </c>
      <c r="Y53" s="431">
        <f>X53*(1+'Driver PIB'!Y$2)</f>
        <v>0</v>
      </c>
      <c r="Z53" s="431">
        <f>Y53*(1+'Driver PIB'!Z$2)</f>
        <v>0</v>
      </c>
      <c r="AA53" s="431">
        <f>Z53*(1+'Driver PIB'!AA$2)</f>
        <v>0</v>
      </c>
      <c r="AB53" s="431">
        <f>AA53*(1+'Driver PIB'!AB$2)</f>
        <v>0</v>
      </c>
      <c r="AC53" s="431">
        <f>AB53*(1+'Driver PIB'!AC$2)</f>
        <v>0</v>
      </c>
      <c r="AD53" s="431">
        <f>AC53*(1+'Driver PIB'!AD$2)</f>
        <v>0</v>
      </c>
      <c r="AE53" s="431">
        <f>AD53*(1+'Driver PIB'!AE$2)</f>
        <v>0</v>
      </c>
      <c r="AF53" s="431">
        <f>AE53*(1+'Driver PIB'!AF$2)</f>
        <v>0</v>
      </c>
      <c r="AG53" s="431">
        <f>AF53*(1+'Driver PIB'!AG$2)</f>
        <v>0</v>
      </c>
      <c r="AH53" s="431">
        <f>AG53*(1+'Driver PIB'!AH$2)</f>
        <v>0</v>
      </c>
      <c r="AI53" s="431">
        <f>AH53*(1+'Driver PIB'!AI$2)</f>
        <v>0</v>
      </c>
      <c r="AJ53" s="431">
        <f>AI53*(1+'Driver PIB'!AJ$2)</f>
        <v>0</v>
      </c>
      <c r="AK53" s="499"/>
    </row>
    <row r="54" spans="1:37" ht="14.25" customHeight="1">
      <c r="A54" s="619">
        <v>2</v>
      </c>
      <c r="B54" s="426"/>
      <c r="C54" s="430" t="s">
        <v>363</v>
      </c>
      <c r="D54" s="431">
        <f>'Copia de Demandas de energía '!D54*1000*($E$110)</f>
        <v>4.1532654304999994</v>
      </c>
      <c r="E54" s="431">
        <f>'Copia de Demandas de energía '!E54*1000*($E$110)</f>
        <v>4.1757529676000003</v>
      </c>
      <c r="F54" s="431">
        <f>'Copia de Demandas de energía '!F54*1000*($E$110)</f>
        <v>1.8891420873</v>
      </c>
      <c r="G54" s="431">
        <f>'Copia de Demandas de energía '!G54*1000*($E$110)</f>
        <v>2.5656579093</v>
      </c>
      <c r="H54" s="431">
        <f>G54*(1+'Driver PIB'!H$2)</f>
        <v>2.6437184083060981</v>
      </c>
      <c r="I54" s="431">
        <f>H54*(1+'Driver PIB'!I$2)</f>
        <v>2.7121279460425707</v>
      </c>
      <c r="J54" s="431">
        <f>I54*(1+'Driver PIB'!J$2)</f>
        <v>2.789894076799396</v>
      </c>
      <c r="K54" s="431">
        <f>J54*(1+'Driver PIB'!K$2)</f>
        <v>2.873133688916409</v>
      </c>
      <c r="L54" s="431">
        <f>K54*(1+'Driver PIB'!L$2)</f>
        <v>2.9612428468153187</v>
      </c>
      <c r="M54" s="431">
        <f>L54*(1+'Driver PIB'!M$2)</f>
        <v>3.0399162008529141</v>
      </c>
      <c r="N54" s="431">
        <f>M54*(1+'Driver PIB'!N$2)</f>
        <v>3.1267357165803786</v>
      </c>
      <c r="O54" s="431">
        <f>N54*(1+'Driver PIB'!O$2)</f>
        <v>3.1956979268456247</v>
      </c>
      <c r="P54" s="431">
        <f>O54*(1+'Driver PIB'!P$2)</f>
        <v>3.272123323742691</v>
      </c>
      <c r="Q54" s="431">
        <f>P54*(1+'Driver PIB'!Q$2)</f>
        <v>3.3760882463315829</v>
      </c>
      <c r="R54" s="431">
        <f>Q54*(1+'Driver PIB'!R$2)</f>
        <v>3.4596847825218116</v>
      </c>
      <c r="S54" s="431">
        <f>R54*(1+'Driver PIB'!S$2)</f>
        <v>3.5600381413297284</v>
      </c>
      <c r="T54" s="431">
        <f>S54*(1+'Driver PIB'!T$2)</f>
        <v>3.6446133974580035</v>
      </c>
      <c r="U54" s="431">
        <f>T54*(1+'Driver PIB'!U$2)</f>
        <v>3.7311126521117597</v>
      </c>
      <c r="V54" s="431">
        <f>U54*(1+'Driver PIB'!V$2)</f>
        <v>3.826725092675209</v>
      </c>
      <c r="W54" s="431">
        <f>V54*(1+'Driver PIB'!W$2)</f>
        <v>3.9138880648985612</v>
      </c>
      <c r="X54" s="431">
        <f>W54*(1+'Driver PIB'!X$2)</f>
        <v>4.0059110481164142</v>
      </c>
      <c r="Y54" s="431">
        <f>X54*(1+'Driver PIB'!Y$2)</f>
        <v>4.10723998052572</v>
      </c>
      <c r="Z54" s="431">
        <f>Y54*(1+'Driver PIB'!Z$2)</f>
        <v>4.2008728133933912</v>
      </c>
      <c r="AA54" s="431">
        <f>Z54*(1+'Driver PIB'!AA$2)</f>
        <v>4.2971015252287819</v>
      </c>
      <c r="AB54" s="431">
        <f>AA54*(1+'Driver PIB'!AB$2)</f>
        <v>4.3931875175281085</v>
      </c>
      <c r="AC54" s="431">
        <f>AB54*(1+'Driver PIB'!AC$2)</f>
        <v>4.4703783391695744</v>
      </c>
      <c r="AD54" s="431">
        <f>AC54*(1+'Driver PIB'!AD$2)</f>
        <v>4.5686966314413331</v>
      </c>
      <c r="AE54" s="431">
        <f>AD54*(1+'Driver PIB'!AE$2)</f>
        <v>4.6539752286111344</v>
      </c>
      <c r="AF54" s="431">
        <f>AE54*(1+'Driver PIB'!AF$2)</f>
        <v>4.7607173930343292</v>
      </c>
      <c r="AG54" s="431">
        <f>AF54*(1+'Driver PIB'!AG$2)</f>
        <v>4.8488049471843926</v>
      </c>
      <c r="AH54" s="431">
        <f>AG54*(1+'Driver PIB'!AH$2)</f>
        <v>4.9360405602818487</v>
      </c>
      <c r="AI54" s="431">
        <f>AH54*(1+'Driver PIB'!AI$2)</f>
        <v>5.0264845125686675</v>
      </c>
      <c r="AJ54" s="431">
        <f>AI54*(1+'Driver PIB'!AJ$2)</f>
        <v>5.1176080442559293</v>
      </c>
      <c r="AK54" s="499"/>
    </row>
    <row r="55" spans="1:37" ht="14.25" customHeight="1">
      <c r="A55" s="3"/>
      <c r="B55" s="532"/>
      <c r="C55" s="429" t="s">
        <v>13</v>
      </c>
      <c r="D55" s="431">
        <f t="shared" ref="D55:AJ55" si="3">SUM(D45:D54)</f>
        <v>5.6377786425951193</v>
      </c>
      <c r="E55" s="431">
        <f t="shared" si="3"/>
        <v>5.3152837392186205</v>
      </c>
      <c r="F55" s="431">
        <f t="shared" si="3"/>
        <v>3.6246560799919898</v>
      </c>
      <c r="G55" s="431">
        <f t="shared" si="3"/>
        <v>4.55367285957366</v>
      </c>
      <c r="H55" s="533">
        <f t="shared" si="3"/>
        <v>4.6922189901549682</v>
      </c>
      <c r="I55" s="533">
        <f t="shared" si="3"/>
        <v>4.8136360560067235</v>
      </c>
      <c r="J55" s="533">
        <f t="shared" si="3"/>
        <v>4.9516597253890655</v>
      </c>
      <c r="K55" s="533">
        <f t="shared" si="3"/>
        <v>5.0993980349917267</v>
      </c>
      <c r="L55" s="533">
        <f t="shared" si="3"/>
        <v>5.2557790862417049</v>
      </c>
      <c r="M55" s="533">
        <f t="shared" si="3"/>
        <v>5.3954129461394071</v>
      </c>
      <c r="N55" s="533">
        <f t="shared" si="3"/>
        <v>5.5495050684821514</v>
      </c>
      <c r="O55" s="533">
        <f t="shared" si="3"/>
        <v>5.6719030483853805</v>
      </c>
      <c r="P55" s="533">
        <f t="shared" si="3"/>
        <v>5.8075471084803869</v>
      </c>
      <c r="Q55" s="533">
        <f t="shared" si="3"/>
        <v>5.9920698558913532</v>
      </c>
      <c r="R55" s="533">
        <f t="shared" si="3"/>
        <v>6.1404416542608686</v>
      </c>
      <c r="S55" s="533">
        <f t="shared" si="3"/>
        <v>6.3185543966939957</v>
      </c>
      <c r="T55" s="533">
        <f t="shared" si="3"/>
        <v>6.4686632818367915</v>
      </c>
      <c r="U55" s="533">
        <f t="shared" si="3"/>
        <v>6.6221869869505507</v>
      </c>
      <c r="V55" s="533">
        <f t="shared" si="3"/>
        <v>6.791885283069135</v>
      </c>
      <c r="W55" s="533">
        <f t="shared" si="3"/>
        <v>6.9465869911707987</v>
      </c>
      <c r="X55" s="533">
        <f t="shared" si="3"/>
        <v>7.1099145180469234</v>
      </c>
      <c r="Y55" s="533">
        <f t="shared" si="3"/>
        <v>7.2897587629594192</v>
      </c>
      <c r="Z55" s="533">
        <f t="shared" si="3"/>
        <v>7.4559435408477697</v>
      </c>
      <c r="AA55" s="533">
        <f t="shared" si="3"/>
        <v>7.6267356296169648</v>
      </c>
      <c r="AB55" s="533">
        <f t="shared" si="3"/>
        <v>7.7972744117876651</v>
      </c>
      <c r="AC55" s="533">
        <f t="shared" si="3"/>
        <v>7.9342769904411998</v>
      </c>
      <c r="AD55" s="533">
        <f t="shared" si="3"/>
        <v>8.1087777831987538</v>
      </c>
      <c r="AE55" s="533">
        <f t="shared" si="3"/>
        <v>8.2601349972790157</v>
      </c>
      <c r="AF55" s="533">
        <f t="shared" si="3"/>
        <v>8.4495869485092037</v>
      </c>
      <c r="AG55" s="533">
        <f t="shared" si="3"/>
        <v>8.6059296562199172</v>
      </c>
      <c r="AH55" s="533">
        <f t="shared" si="3"/>
        <v>8.7607602913993894</v>
      </c>
      <c r="AI55" s="533">
        <f t="shared" si="3"/>
        <v>8.9212852660455333</v>
      </c>
      <c r="AJ55" s="533">
        <f t="shared" si="3"/>
        <v>9.0830163961422947</v>
      </c>
      <c r="AK55" s="534"/>
    </row>
    <row r="56" spans="1:37" ht="14.25" customHeight="1">
      <c r="A56" s="619"/>
      <c r="B56" s="426"/>
      <c r="C56" s="434"/>
      <c r="D56" s="425"/>
      <c r="E56" s="425"/>
      <c r="F56" s="425"/>
      <c r="G56" s="425"/>
      <c r="H56" s="425"/>
      <c r="I56" s="425"/>
      <c r="J56" s="425"/>
      <c r="K56" s="439"/>
      <c r="L56" s="425"/>
      <c r="M56" s="425"/>
      <c r="N56" s="425"/>
      <c r="O56" s="425"/>
      <c r="P56" s="439"/>
      <c r="Q56" s="425"/>
      <c r="R56" s="425"/>
      <c r="S56" s="425"/>
      <c r="T56" s="425"/>
      <c r="U56" s="439"/>
      <c r="V56" s="425"/>
      <c r="W56" s="425"/>
      <c r="X56" s="425"/>
      <c r="Y56" s="425"/>
      <c r="Z56" s="439"/>
      <c r="AA56" s="425"/>
      <c r="AB56" s="425"/>
      <c r="AC56" s="425"/>
      <c r="AD56" s="425"/>
      <c r="AE56" s="439"/>
      <c r="AF56" s="425"/>
      <c r="AG56" s="425"/>
      <c r="AH56" s="425"/>
      <c r="AI56" s="425"/>
      <c r="AJ56" s="439"/>
      <c r="AK56" s="499"/>
    </row>
    <row r="57" spans="1:37" ht="14.25" customHeight="1">
      <c r="A57" s="619"/>
      <c r="B57" s="426"/>
      <c r="C57" s="429" t="s">
        <v>440</v>
      </c>
      <c r="D57" s="428"/>
      <c r="E57" s="428"/>
      <c r="F57" s="428"/>
      <c r="G57" s="428"/>
      <c r="H57" s="428"/>
      <c r="I57" s="428"/>
      <c r="J57" s="428"/>
      <c r="K57" s="438"/>
      <c r="L57" s="428"/>
      <c r="M57" s="428"/>
      <c r="N57" s="428"/>
      <c r="O57" s="428"/>
      <c r="P57" s="438"/>
      <c r="Q57" s="428"/>
      <c r="R57" s="428"/>
      <c r="S57" s="428"/>
      <c r="T57" s="428"/>
      <c r="U57" s="438"/>
      <c r="V57" s="428"/>
      <c r="W57" s="428"/>
      <c r="X57" s="428"/>
      <c r="Y57" s="428"/>
      <c r="Z57" s="438"/>
      <c r="AA57" s="428"/>
      <c r="AB57" s="428"/>
      <c r="AC57" s="428"/>
      <c r="AD57" s="428"/>
      <c r="AE57" s="438"/>
      <c r="AF57" s="428"/>
      <c r="AG57" s="428"/>
      <c r="AH57" s="428"/>
      <c r="AI57" s="428"/>
      <c r="AJ57" s="438"/>
      <c r="AK57" s="499"/>
    </row>
    <row r="58" spans="1:37" ht="14.25" customHeight="1">
      <c r="A58" s="619"/>
      <c r="B58" s="426"/>
      <c r="C58" s="430" t="s">
        <v>413</v>
      </c>
      <c r="D58" s="431"/>
      <c r="E58" s="431"/>
      <c r="F58" s="431"/>
      <c r="G58" s="431"/>
      <c r="H58" s="431">
        <f>G58*(1+'Driver PIB'!H$2)</f>
        <v>0</v>
      </c>
      <c r="I58" s="431">
        <f>H58*(1+'Driver PIB'!I$2)</f>
        <v>0</v>
      </c>
      <c r="J58" s="431">
        <f>I58*(1+'Driver PIB'!J$2)</f>
        <v>0</v>
      </c>
      <c r="K58" s="431">
        <f>J58*(1+'Driver PIB'!K$2)</f>
        <v>0</v>
      </c>
      <c r="L58" s="431">
        <f>K58*(1+'Driver PIB'!L$2)</f>
        <v>0</v>
      </c>
      <c r="M58" s="431">
        <f>L58*(1+'Driver PIB'!M$2)</f>
        <v>0</v>
      </c>
      <c r="N58" s="431">
        <f>M58*(1+'Driver PIB'!N$2)</f>
        <v>0</v>
      </c>
      <c r="O58" s="431">
        <f>N58*(1+'Driver PIB'!O$2)</f>
        <v>0</v>
      </c>
      <c r="P58" s="431">
        <f>O58*(1+'Driver PIB'!P$2)</f>
        <v>0</v>
      </c>
      <c r="Q58" s="431">
        <f>P58*(1+'Driver PIB'!Q$2)</f>
        <v>0</v>
      </c>
      <c r="R58" s="431">
        <f>Q58*(1+'Driver PIB'!R$2)</f>
        <v>0</v>
      </c>
      <c r="S58" s="431">
        <f>R58*(1+'Driver PIB'!S$2)</f>
        <v>0</v>
      </c>
      <c r="T58" s="431">
        <f>S58*(1+'Driver PIB'!T$2)</f>
        <v>0</v>
      </c>
      <c r="U58" s="431">
        <f>T58*(1+'Driver PIB'!U$2)</f>
        <v>0</v>
      </c>
      <c r="V58" s="431">
        <f>U58*(1+'Driver PIB'!V$2)</f>
        <v>0</v>
      </c>
      <c r="W58" s="431">
        <f>V58*(1+'Driver PIB'!W$2)</f>
        <v>0</v>
      </c>
      <c r="X58" s="431">
        <f>W58*(1+'Driver PIB'!X$2)</f>
        <v>0</v>
      </c>
      <c r="Y58" s="431">
        <f>X58*(1+'Driver PIB'!Y$2)</f>
        <v>0</v>
      </c>
      <c r="Z58" s="431">
        <f>Y58*(1+'Driver PIB'!Z$2)</f>
        <v>0</v>
      </c>
      <c r="AA58" s="431">
        <f>Z58*(1+'Driver PIB'!AA$2)</f>
        <v>0</v>
      </c>
      <c r="AB58" s="431">
        <f>AA58*(1+'Driver PIB'!AB$2)</f>
        <v>0</v>
      </c>
      <c r="AC58" s="431">
        <f>AB58*(1+'Driver PIB'!AC$2)</f>
        <v>0</v>
      </c>
      <c r="AD58" s="431">
        <f>AC58*(1+'Driver PIB'!AD$2)</f>
        <v>0</v>
      </c>
      <c r="AE58" s="431">
        <f>AD58*(1+'Driver PIB'!AE$2)</f>
        <v>0</v>
      </c>
      <c r="AF58" s="431">
        <f>AE58*(1+'Driver PIB'!AF$2)</f>
        <v>0</v>
      </c>
      <c r="AG58" s="431">
        <f>AF58*(1+'Driver PIB'!AG$2)</f>
        <v>0</v>
      </c>
      <c r="AH58" s="431">
        <f>AG58*(1+'Driver PIB'!AH$2)</f>
        <v>0</v>
      </c>
      <c r="AI58" s="431">
        <f>AH58*(1+'Driver PIB'!AI$2)</f>
        <v>0</v>
      </c>
      <c r="AJ58" s="431">
        <f>AI58*(1+'Driver PIB'!AJ$2)</f>
        <v>0</v>
      </c>
      <c r="AK58" s="499"/>
    </row>
    <row r="59" spans="1:37" ht="14.25" customHeight="1">
      <c r="A59" s="619"/>
      <c r="B59" s="426"/>
      <c r="C59" s="430" t="s">
        <v>415</v>
      </c>
      <c r="D59" s="431">
        <f>'Copia de Demandas de energía '!D59*1000*($E$110)</f>
        <v>0.29781895160477301</v>
      </c>
      <c r="E59" s="431">
        <f>'Copia de Demandas de energía '!E59*1000*($E$110)</f>
        <v>0.30651962348122402</v>
      </c>
      <c r="F59" s="431">
        <f>'Copia de Demandas de energía '!F59*1000*($E$110)</f>
        <v>0.29268793499009799</v>
      </c>
      <c r="G59" s="431">
        <f>'Copia de Demandas de energía '!G59*1000*($E$110)</f>
        <v>0.34162132972054593</v>
      </c>
      <c r="H59" s="431">
        <f>G59*(1+'Driver PIB'!H$2)</f>
        <v>0.35201520622779564</v>
      </c>
      <c r="I59" s="431">
        <f>H59*(1+'Driver PIB'!I$2)</f>
        <v>0.36112404227424966</v>
      </c>
      <c r="J59" s="431">
        <f>I59*(1+'Driver PIB'!J$2)</f>
        <v>0.37147872319257086</v>
      </c>
      <c r="K59" s="431">
        <f>J59*(1+'Driver PIB'!K$2)</f>
        <v>0.38256220664286256</v>
      </c>
      <c r="L59" s="431">
        <f>K59*(1+'Driver PIB'!L$2)</f>
        <v>0.39429407766622726</v>
      </c>
      <c r="M59" s="431">
        <f>L59*(1+'Driver PIB'!M$2)</f>
        <v>0.40476955677140208</v>
      </c>
      <c r="N59" s="431">
        <f>M59*(1+'Driver PIB'!N$2)</f>
        <v>0.41632970993952351</v>
      </c>
      <c r="O59" s="431">
        <f>N59*(1+'Driver PIB'!O$2)</f>
        <v>0.42551213519032749</v>
      </c>
      <c r="P59" s="431">
        <f>O59*(1+'Driver PIB'!P$2)</f>
        <v>0.435688295315868</v>
      </c>
      <c r="Q59" s="431">
        <f>P59*(1+'Driver PIB'!Q$2)</f>
        <v>0.44953138599852294</v>
      </c>
      <c r="R59" s="431">
        <f>Q59*(1+'Driver PIB'!R$2)</f>
        <v>0.46066239444271934</v>
      </c>
      <c r="S59" s="431">
        <f>R59*(1+'Driver PIB'!S$2)</f>
        <v>0.47402459980673733</v>
      </c>
      <c r="T59" s="431">
        <f>S59*(1+'Driver PIB'!T$2)</f>
        <v>0.48528592632858841</v>
      </c>
      <c r="U59" s="431">
        <f>T59*(1+'Driver PIB'!U$2)</f>
        <v>0.4968034362380504</v>
      </c>
      <c r="V59" s="431">
        <f>U59*(1+'Driver PIB'!V$2)</f>
        <v>0.5095343809850934</v>
      </c>
      <c r="W59" s="431">
        <f>V59*(1+'Driver PIB'!W$2)</f>
        <v>0.52114026591831142</v>
      </c>
      <c r="X59" s="431">
        <f>W59*(1+'Driver PIB'!X$2)</f>
        <v>0.53339326885287308</v>
      </c>
      <c r="Y59" s="431">
        <f>X59*(1+'Driver PIB'!Y$2)</f>
        <v>0.54688537335494003</v>
      </c>
      <c r="Z59" s="431">
        <f>Y59*(1+'Driver PIB'!Z$2)</f>
        <v>0.55935273026710242</v>
      </c>
      <c r="AA59" s="431">
        <f>Z59*(1+'Driver PIB'!AA$2)</f>
        <v>0.57216573248978397</v>
      </c>
      <c r="AB59" s="431">
        <f>AA59*(1+'Driver PIB'!AB$2)</f>
        <v>0.58495973138489388</v>
      </c>
      <c r="AC59" s="431">
        <f>AB59*(1+'Driver PIB'!AC$2)</f>
        <v>0.59523780900225387</v>
      </c>
      <c r="AD59" s="431">
        <f>AC59*(1+'Driver PIB'!AD$2)</f>
        <v>0.60832904210078309</v>
      </c>
      <c r="AE59" s="431">
        <f>AD59*(1+'Driver PIB'!AE$2)</f>
        <v>0.61968401957313002</v>
      </c>
      <c r="AF59" s="431">
        <f>AE59*(1+'Driver PIB'!AF$2)</f>
        <v>0.63389690431326673</v>
      </c>
      <c r="AG59" s="431">
        <f>AF59*(1+'Driver PIB'!AG$2)</f>
        <v>0.64562589876396703</v>
      </c>
      <c r="AH59" s="431">
        <f>AG59*(1+'Driver PIB'!AH$2)</f>
        <v>0.65724145594223127</v>
      </c>
      <c r="AI59" s="431">
        <f>AH59*(1+'Driver PIB'!AI$2)</f>
        <v>0.66928420845939529</v>
      </c>
      <c r="AJ59" s="431">
        <f>AI59*(1+'Driver PIB'!AJ$2)</f>
        <v>0.681417448027693</v>
      </c>
      <c r="AK59" s="499"/>
    </row>
    <row r="60" spans="1:37" ht="14.25" customHeight="1">
      <c r="A60" s="619"/>
      <c r="B60" s="426"/>
      <c r="C60" s="430" t="s">
        <v>417</v>
      </c>
      <c r="D60" s="431">
        <f>'Copia de Demandas de energía '!D60*1000*($E$110)</f>
        <v>10.263136756415699</v>
      </c>
      <c r="E60" s="431">
        <f>'Copia de Demandas de energía '!E60*1000*($E$110)</f>
        <v>10.5629705844157</v>
      </c>
      <c r="F60" s="431">
        <f>'Copia de Demandas de energía '!F60*1000*($E$110)</f>
        <v>10.0863168742566</v>
      </c>
      <c r="G60" s="431">
        <f>'Copia de Demandas de energía '!G60*1000*($E$110)</f>
        <v>11.7726102276315</v>
      </c>
      <c r="H60" s="431">
        <f>G60*(1+'Driver PIB'!H$2)</f>
        <v>12.130793532444704</v>
      </c>
      <c r="I60" s="431">
        <f>H60*(1+'Driver PIB'!I$2)</f>
        <v>12.444693067025941</v>
      </c>
      <c r="J60" s="431">
        <f>I60*(1+'Driver PIB'!J$2)</f>
        <v>12.801525652926262</v>
      </c>
      <c r="K60" s="431">
        <f>J60*(1+'Driver PIB'!K$2)</f>
        <v>13.183473497726894</v>
      </c>
      <c r="L60" s="431">
        <f>K60*(1+'Driver PIB'!L$2)</f>
        <v>13.587765422097945</v>
      </c>
      <c r="M60" s="431">
        <f>L60*(1+'Driver PIB'!M$2)</f>
        <v>13.948760833461172</v>
      </c>
      <c r="N60" s="431">
        <f>M60*(1+'Driver PIB'!N$2)</f>
        <v>14.347135190037035</v>
      </c>
      <c r="O60" s="431">
        <f>N60*(1+'Driver PIB'!O$2)</f>
        <v>14.663570681668972</v>
      </c>
      <c r="P60" s="431">
        <f>O60*(1+'Driver PIB'!P$2)</f>
        <v>15.014251263791738</v>
      </c>
      <c r="Q60" s="431">
        <f>P60*(1+'Driver PIB'!Q$2)</f>
        <v>15.491297913911527</v>
      </c>
      <c r="R60" s="431">
        <f>Q60*(1+'Driver PIB'!R$2)</f>
        <v>15.874883517191023</v>
      </c>
      <c r="S60" s="431">
        <f>R60*(1+'Driver PIB'!S$2)</f>
        <v>16.335358381745976</v>
      </c>
      <c r="T60" s="431">
        <f>S60*(1+'Driver PIB'!T$2)</f>
        <v>16.723434875377951</v>
      </c>
      <c r="U60" s="431">
        <f>T60*(1+'Driver PIB'!U$2)</f>
        <v>17.120339702918713</v>
      </c>
      <c r="V60" s="431">
        <f>U60*(1+'Driver PIB'!V$2)</f>
        <v>17.559060699816222</v>
      </c>
      <c r="W60" s="431">
        <f>V60*(1+'Driver PIB'!W$2)</f>
        <v>17.959011018425674</v>
      </c>
      <c r="X60" s="431">
        <f>W60*(1+'Driver PIB'!X$2)</f>
        <v>18.381261665903157</v>
      </c>
      <c r="Y60" s="431">
        <f>X60*(1+'Driver PIB'!Y$2)</f>
        <v>18.846212983735796</v>
      </c>
      <c r="Z60" s="431">
        <f>Y60*(1+'Driver PIB'!Z$2)</f>
        <v>19.275850482119516</v>
      </c>
      <c r="AA60" s="431">
        <f>Z60*(1+'Driver PIB'!AA$2)</f>
        <v>19.71739926110471</v>
      </c>
      <c r="AB60" s="431">
        <f>AA60*(1+'Driver PIB'!AB$2)</f>
        <v>20.158293166552848</v>
      </c>
      <c r="AC60" s="431">
        <f>AB60*(1+'Driver PIB'!AC$2)</f>
        <v>20.512485926640469</v>
      </c>
      <c r="AD60" s="431">
        <f>AC60*(1+'Driver PIB'!AD$2)</f>
        <v>20.963622817870668</v>
      </c>
      <c r="AE60" s="431">
        <f>AD60*(1+'Driver PIB'!AE$2)</f>
        <v>21.354926616245404</v>
      </c>
      <c r="AF60" s="431">
        <f>AE60*(1+'Driver PIB'!AF$2)</f>
        <v>21.844716736764969</v>
      </c>
      <c r="AG60" s="431">
        <f>AF60*(1+'Driver PIB'!AG$2)</f>
        <v>22.248909531585777</v>
      </c>
      <c r="AH60" s="431">
        <f>AG60*(1+'Driver PIB'!AH$2)</f>
        <v>22.649193165363364</v>
      </c>
      <c r="AI60" s="431">
        <f>AH60*(1+'Driver PIB'!AI$2)</f>
        <v>23.064198374693753</v>
      </c>
      <c r="AJ60" s="431">
        <f>AI60*(1+'Driver PIB'!AJ$2)</f>
        <v>23.482321857653353</v>
      </c>
      <c r="AK60" s="499"/>
    </row>
    <row r="61" spans="1:37" ht="14.25" customHeight="1">
      <c r="A61" s="619"/>
      <c r="B61" s="426"/>
      <c r="C61" s="430" t="s">
        <v>419</v>
      </c>
      <c r="D61" s="431"/>
      <c r="E61" s="431"/>
      <c r="F61" s="431"/>
      <c r="G61" s="431"/>
      <c r="H61" s="431">
        <f>G61*(1+'Driver PIB'!H$2)</f>
        <v>0</v>
      </c>
      <c r="I61" s="431">
        <f>H61*(1+'Driver PIB'!I$2)</f>
        <v>0</v>
      </c>
      <c r="J61" s="431">
        <f>I61*(1+'Driver PIB'!J$2)</f>
        <v>0</v>
      </c>
      <c r="K61" s="431">
        <f>J61*(1+'Driver PIB'!K$2)</f>
        <v>0</v>
      </c>
      <c r="L61" s="431">
        <f>K61*(1+'Driver PIB'!L$2)</f>
        <v>0</v>
      </c>
      <c r="M61" s="431">
        <f>L61*(1+'Driver PIB'!M$2)</f>
        <v>0</v>
      </c>
      <c r="N61" s="431">
        <f>M61*(1+'Driver PIB'!N$2)</f>
        <v>0</v>
      </c>
      <c r="O61" s="431">
        <f>N61*(1+'Driver PIB'!O$2)</f>
        <v>0</v>
      </c>
      <c r="P61" s="431">
        <f>O61*(1+'Driver PIB'!P$2)</f>
        <v>0</v>
      </c>
      <c r="Q61" s="431">
        <f>P61*(1+'Driver PIB'!Q$2)</f>
        <v>0</v>
      </c>
      <c r="R61" s="431">
        <f>Q61*(1+'Driver PIB'!R$2)</f>
        <v>0</v>
      </c>
      <c r="S61" s="431">
        <f>R61*(1+'Driver PIB'!S$2)</f>
        <v>0</v>
      </c>
      <c r="T61" s="431">
        <f>S61*(1+'Driver PIB'!T$2)</f>
        <v>0</v>
      </c>
      <c r="U61" s="431">
        <f>T61*(1+'Driver PIB'!U$2)</f>
        <v>0</v>
      </c>
      <c r="V61" s="431">
        <f>U61*(1+'Driver PIB'!V$2)</f>
        <v>0</v>
      </c>
      <c r="W61" s="431">
        <f>V61*(1+'Driver PIB'!W$2)</f>
        <v>0</v>
      </c>
      <c r="X61" s="431">
        <f>W61*(1+'Driver PIB'!X$2)</f>
        <v>0</v>
      </c>
      <c r="Y61" s="431">
        <f>X61*(1+'Driver PIB'!Y$2)</f>
        <v>0</v>
      </c>
      <c r="Z61" s="431">
        <f>Y61*(1+'Driver PIB'!Z$2)</f>
        <v>0</v>
      </c>
      <c r="AA61" s="431">
        <f>Z61*(1+'Driver PIB'!AA$2)</f>
        <v>0</v>
      </c>
      <c r="AB61" s="431">
        <f>AA61*(1+'Driver PIB'!AB$2)</f>
        <v>0</v>
      </c>
      <c r="AC61" s="431">
        <f>AB61*(1+'Driver PIB'!AC$2)</f>
        <v>0</v>
      </c>
      <c r="AD61" s="431">
        <f>AC61*(1+'Driver PIB'!AD$2)</f>
        <v>0</v>
      </c>
      <c r="AE61" s="431">
        <f>AD61*(1+'Driver PIB'!AE$2)</f>
        <v>0</v>
      </c>
      <c r="AF61" s="431">
        <f>AE61*(1+'Driver PIB'!AF$2)</f>
        <v>0</v>
      </c>
      <c r="AG61" s="431">
        <f>AF61*(1+'Driver PIB'!AG$2)</f>
        <v>0</v>
      </c>
      <c r="AH61" s="431">
        <f>AG61*(1+'Driver PIB'!AH$2)</f>
        <v>0</v>
      </c>
      <c r="AI61" s="431">
        <f>AH61*(1+'Driver PIB'!AI$2)</f>
        <v>0</v>
      </c>
      <c r="AJ61" s="431">
        <f>AI61*(1+'Driver PIB'!AJ$2)</f>
        <v>0</v>
      </c>
      <c r="AK61" s="499"/>
    </row>
    <row r="62" spans="1:37" ht="14.25" customHeight="1">
      <c r="A62" s="619"/>
      <c r="B62" s="426"/>
      <c r="C62" s="430" t="s">
        <v>421</v>
      </c>
      <c r="D62" s="431"/>
      <c r="E62" s="431"/>
      <c r="F62" s="431"/>
      <c r="G62" s="431"/>
      <c r="H62" s="431">
        <f>G62*(1+'Driver PIB'!H$2)</f>
        <v>0</v>
      </c>
      <c r="I62" s="431">
        <f>H62*(1+'Driver PIB'!I$2)</f>
        <v>0</v>
      </c>
      <c r="J62" s="431">
        <f>I62*(1+'Driver PIB'!J$2)</f>
        <v>0</v>
      </c>
      <c r="K62" s="431">
        <f>J62*(1+'Driver PIB'!K$2)</f>
        <v>0</v>
      </c>
      <c r="L62" s="431">
        <f>K62*(1+'Driver PIB'!L$2)</f>
        <v>0</v>
      </c>
      <c r="M62" s="431">
        <f>L62*(1+'Driver PIB'!M$2)</f>
        <v>0</v>
      </c>
      <c r="N62" s="431">
        <f>M62*(1+'Driver PIB'!N$2)</f>
        <v>0</v>
      </c>
      <c r="O62" s="431">
        <f>N62*(1+'Driver PIB'!O$2)</f>
        <v>0</v>
      </c>
      <c r="P62" s="431">
        <f>O62*(1+'Driver PIB'!P$2)</f>
        <v>0</v>
      </c>
      <c r="Q62" s="431">
        <f>P62*(1+'Driver PIB'!Q$2)</f>
        <v>0</v>
      </c>
      <c r="R62" s="431">
        <f>Q62*(1+'Driver PIB'!R$2)</f>
        <v>0</v>
      </c>
      <c r="S62" s="431">
        <f>R62*(1+'Driver PIB'!S$2)</f>
        <v>0</v>
      </c>
      <c r="T62" s="431">
        <f>S62*(1+'Driver PIB'!T$2)</f>
        <v>0</v>
      </c>
      <c r="U62" s="431">
        <f>T62*(1+'Driver PIB'!U$2)</f>
        <v>0</v>
      </c>
      <c r="V62" s="431">
        <f>U62*(1+'Driver PIB'!V$2)</f>
        <v>0</v>
      </c>
      <c r="W62" s="431">
        <f>V62*(1+'Driver PIB'!W$2)</f>
        <v>0</v>
      </c>
      <c r="X62" s="431">
        <f>W62*(1+'Driver PIB'!X$2)</f>
        <v>0</v>
      </c>
      <c r="Y62" s="431">
        <f>X62*(1+'Driver PIB'!Y$2)</f>
        <v>0</v>
      </c>
      <c r="Z62" s="431">
        <f>Y62*(1+'Driver PIB'!Z$2)</f>
        <v>0</v>
      </c>
      <c r="AA62" s="431">
        <f>Z62*(1+'Driver PIB'!AA$2)</f>
        <v>0</v>
      </c>
      <c r="AB62" s="431">
        <f>AA62*(1+'Driver PIB'!AB$2)</f>
        <v>0</v>
      </c>
      <c r="AC62" s="431">
        <f>AB62*(1+'Driver PIB'!AC$2)</f>
        <v>0</v>
      </c>
      <c r="AD62" s="431">
        <f>AC62*(1+'Driver PIB'!AD$2)</f>
        <v>0</v>
      </c>
      <c r="AE62" s="431">
        <f>AD62*(1+'Driver PIB'!AE$2)</f>
        <v>0</v>
      </c>
      <c r="AF62" s="431">
        <f>AE62*(1+'Driver PIB'!AF$2)</f>
        <v>0</v>
      </c>
      <c r="AG62" s="431">
        <f>AF62*(1+'Driver PIB'!AG$2)</f>
        <v>0</v>
      </c>
      <c r="AH62" s="431">
        <f>AG62*(1+'Driver PIB'!AH$2)</f>
        <v>0</v>
      </c>
      <c r="AI62" s="431">
        <f>AH62*(1+'Driver PIB'!AI$2)</f>
        <v>0</v>
      </c>
      <c r="AJ62" s="431">
        <f>AI62*(1+'Driver PIB'!AJ$2)</f>
        <v>0</v>
      </c>
      <c r="AK62" s="499"/>
    </row>
    <row r="63" spans="1:37" ht="14.25" customHeight="1">
      <c r="A63" s="619"/>
      <c r="B63" s="426"/>
      <c r="C63" s="430" t="s">
        <v>422</v>
      </c>
      <c r="D63" s="431"/>
      <c r="E63" s="431"/>
      <c r="F63" s="431"/>
      <c r="G63" s="431"/>
      <c r="H63" s="431">
        <f>G63*(1+'Driver PIB'!H$2)</f>
        <v>0</v>
      </c>
      <c r="I63" s="431">
        <f>H63*(1+'Driver PIB'!I$2)</f>
        <v>0</v>
      </c>
      <c r="J63" s="431">
        <f>I63*(1+'Driver PIB'!J$2)</f>
        <v>0</v>
      </c>
      <c r="K63" s="431">
        <f>J63*(1+'Driver PIB'!K$2)</f>
        <v>0</v>
      </c>
      <c r="L63" s="431">
        <f>K63*(1+'Driver PIB'!L$2)</f>
        <v>0</v>
      </c>
      <c r="M63" s="431">
        <f>L63*(1+'Driver PIB'!M$2)</f>
        <v>0</v>
      </c>
      <c r="N63" s="431">
        <f>M63*(1+'Driver PIB'!N$2)</f>
        <v>0</v>
      </c>
      <c r="O63" s="431">
        <f>N63*(1+'Driver PIB'!O$2)</f>
        <v>0</v>
      </c>
      <c r="P63" s="431">
        <f>O63*(1+'Driver PIB'!P$2)</f>
        <v>0</v>
      </c>
      <c r="Q63" s="431">
        <f>P63*(1+'Driver PIB'!Q$2)</f>
        <v>0</v>
      </c>
      <c r="R63" s="431">
        <f>Q63*(1+'Driver PIB'!R$2)</f>
        <v>0</v>
      </c>
      <c r="S63" s="431">
        <f>R63*(1+'Driver PIB'!S$2)</f>
        <v>0</v>
      </c>
      <c r="T63" s="431">
        <f>S63*(1+'Driver PIB'!T$2)</f>
        <v>0</v>
      </c>
      <c r="U63" s="431">
        <f>T63*(1+'Driver PIB'!U$2)</f>
        <v>0</v>
      </c>
      <c r="V63" s="431">
        <f>U63*(1+'Driver PIB'!V$2)</f>
        <v>0</v>
      </c>
      <c r="W63" s="431">
        <f>V63*(1+'Driver PIB'!W$2)</f>
        <v>0</v>
      </c>
      <c r="X63" s="431">
        <f>W63*(1+'Driver PIB'!X$2)</f>
        <v>0</v>
      </c>
      <c r="Y63" s="431">
        <f>X63*(1+'Driver PIB'!Y$2)</f>
        <v>0</v>
      </c>
      <c r="Z63" s="431">
        <f>Y63*(1+'Driver PIB'!Z$2)</f>
        <v>0</v>
      </c>
      <c r="AA63" s="431">
        <f>Z63*(1+'Driver PIB'!AA$2)</f>
        <v>0</v>
      </c>
      <c r="AB63" s="431">
        <f>AA63*(1+'Driver PIB'!AB$2)</f>
        <v>0</v>
      </c>
      <c r="AC63" s="431">
        <f>AB63*(1+'Driver PIB'!AC$2)</f>
        <v>0</v>
      </c>
      <c r="AD63" s="431">
        <f>AC63*(1+'Driver PIB'!AD$2)</f>
        <v>0</v>
      </c>
      <c r="AE63" s="431">
        <f>AD63*(1+'Driver PIB'!AE$2)</f>
        <v>0</v>
      </c>
      <c r="AF63" s="431">
        <f>AE63*(1+'Driver PIB'!AF$2)</f>
        <v>0</v>
      </c>
      <c r="AG63" s="431">
        <f>AF63*(1+'Driver PIB'!AG$2)</f>
        <v>0</v>
      </c>
      <c r="AH63" s="431">
        <f>AG63*(1+'Driver PIB'!AH$2)</f>
        <v>0</v>
      </c>
      <c r="AI63" s="431">
        <f>AH63*(1+'Driver PIB'!AI$2)</f>
        <v>0</v>
      </c>
      <c r="AJ63" s="431">
        <f>AI63*(1+'Driver PIB'!AJ$2)</f>
        <v>0</v>
      </c>
      <c r="AK63" s="499"/>
    </row>
    <row r="64" spans="1:37" ht="14.25" customHeight="1">
      <c r="A64" s="619"/>
      <c r="B64" s="426"/>
      <c r="C64" s="430" t="s">
        <v>359</v>
      </c>
      <c r="D64" s="431"/>
      <c r="E64" s="431"/>
      <c r="F64" s="431"/>
      <c r="G64" s="431"/>
      <c r="H64" s="431">
        <f>G64*(1+'Driver PIB'!H$2)</f>
        <v>0</v>
      </c>
      <c r="I64" s="431">
        <f>H64*(1+'Driver PIB'!I$2)</f>
        <v>0</v>
      </c>
      <c r="J64" s="431">
        <f>I64*(1+'Driver PIB'!J$2)</f>
        <v>0</v>
      </c>
      <c r="K64" s="431">
        <f>J64*(1+'Driver PIB'!K$2)</f>
        <v>0</v>
      </c>
      <c r="L64" s="431">
        <f>K64*(1+'Driver PIB'!L$2)</f>
        <v>0</v>
      </c>
      <c r="M64" s="431">
        <f>L64*(1+'Driver PIB'!M$2)</f>
        <v>0</v>
      </c>
      <c r="N64" s="431">
        <f>M64*(1+'Driver PIB'!N$2)</f>
        <v>0</v>
      </c>
      <c r="O64" s="431">
        <f>N64*(1+'Driver PIB'!O$2)</f>
        <v>0</v>
      </c>
      <c r="P64" s="431">
        <f>O64*(1+'Driver PIB'!P$2)</f>
        <v>0</v>
      </c>
      <c r="Q64" s="431">
        <f>P64*(1+'Driver PIB'!Q$2)</f>
        <v>0</v>
      </c>
      <c r="R64" s="431">
        <f>Q64*(1+'Driver PIB'!R$2)</f>
        <v>0</v>
      </c>
      <c r="S64" s="431">
        <f>R64*(1+'Driver PIB'!S$2)</f>
        <v>0</v>
      </c>
      <c r="T64" s="431">
        <f>S64*(1+'Driver PIB'!T$2)</f>
        <v>0</v>
      </c>
      <c r="U64" s="431">
        <f>T64*(1+'Driver PIB'!U$2)</f>
        <v>0</v>
      </c>
      <c r="V64" s="431">
        <f>U64*(1+'Driver PIB'!V$2)</f>
        <v>0</v>
      </c>
      <c r="W64" s="431">
        <f>V64*(1+'Driver PIB'!W$2)</f>
        <v>0</v>
      </c>
      <c r="X64" s="431">
        <f>W64*(1+'Driver PIB'!X$2)</f>
        <v>0</v>
      </c>
      <c r="Y64" s="431">
        <f>X64*(1+'Driver PIB'!Y$2)</f>
        <v>0</v>
      </c>
      <c r="Z64" s="431">
        <f>Y64*(1+'Driver PIB'!Z$2)</f>
        <v>0</v>
      </c>
      <c r="AA64" s="431">
        <f>Z64*(1+'Driver PIB'!AA$2)</f>
        <v>0</v>
      </c>
      <c r="AB64" s="431">
        <f>AA64*(1+'Driver PIB'!AB$2)</f>
        <v>0</v>
      </c>
      <c r="AC64" s="431">
        <f>AB64*(1+'Driver PIB'!AC$2)</f>
        <v>0</v>
      </c>
      <c r="AD64" s="431">
        <f>AC64*(1+'Driver PIB'!AD$2)</f>
        <v>0</v>
      </c>
      <c r="AE64" s="431">
        <f>AD64*(1+'Driver PIB'!AE$2)</f>
        <v>0</v>
      </c>
      <c r="AF64" s="431">
        <f>AE64*(1+'Driver PIB'!AF$2)</f>
        <v>0</v>
      </c>
      <c r="AG64" s="431">
        <f>AF64*(1+'Driver PIB'!AG$2)</f>
        <v>0</v>
      </c>
      <c r="AH64" s="431">
        <f>AG64*(1+'Driver PIB'!AH$2)</f>
        <v>0</v>
      </c>
      <c r="AI64" s="431">
        <f>AH64*(1+'Driver PIB'!AI$2)</f>
        <v>0</v>
      </c>
      <c r="AJ64" s="431">
        <f>AI64*(1+'Driver PIB'!AJ$2)</f>
        <v>0</v>
      </c>
      <c r="AK64" s="499"/>
    </row>
    <row r="65" spans="1:37" ht="14.25" customHeight="1">
      <c r="A65" s="619"/>
      <c r="B65" s="426"/>
      <c r="C65" s="430" t="s">
        <v>360</v>
      </c>
      <c r="D65" s="431"/>
      <c r="E65" s="431"/>
      <c r="F65" s="431"/>
      <c r="G65" s="431"/>
      <c r="H65" s="431">
        <f>G65*(1+'Driver PIB'!H$2)</f>
        <v>0</v>
      </c>
      <c r="I65" s="431">
        <f>H65*(1+'Driver PIB'!I$2)</f>
        <v>0</v>
      </c>
      <c r="J65" s="431">
        <f>I65*(1+'Driver PIB'!J$2)</f>
        <v>0</v>
      </c>
      <c r="K65" s="431">
        <f>J65*(1+'Driver PIB'!K$2)</f>
        <v>0</v>
      </c>
      <c r="L65" s="431">
        <f>K65*(1+'Driver PIB'!L$2)</f>
        <v>0</v>
      </c>
      <c r="M65" s="431">
        <f>L65*(1+'Driver PIB'!M$2)</f>
        <v>0</v>
      </c>
      <c r="N65" s="431">
        <f>M65*(1+'Driver PIB'!N$2)</f>
        <v>0</v>
      </c>
      <c r="O65" s="431">
        <f>N65*(1+'Driver PIB'!O$2)</f>
        <v>0</v>
      </c>
      <c r="P65" s="431">
        <f>O65*(1+'Driver PIB'!P$2)</f>
        <v>0</v>
      </c>
      <c r="Q65" s="431">
        <f>P65*(1+'Driver PIB'!Q$2)</f>
        <v>0</v>
      </c>
      <c r="R65" s="431">
        <f>Q65*(1+'Driver PIB'!R$2)</f>
        <v>0</v>
      </c>
      <c r="S65" s="431">
        <f>R65*(1+'Driver PIB'!S$2)</f>
        <v>0</v>
      </c>
      <c r="T65" s="431">
        <f>S65*(1+'Driver PIB'!T$2)</f>
        <v>0</v>
      </c>
      <c r="U65" s="431">
        <f>T65*(1+'Driver PIB'!U$2)</f>
        <v>0</v>
      </c>
      <c r="V65" s="431">
        <f>U65*(1+'Driver PIB'!V$2)</f>
        <v>0</v>
      </c>
      <c r="W65" s="431">
        <f>V65*(1+'Driver PIB'!W$2)</f>
        <v>0</v>
      </c>
      <c r="X65" s="431">
        <f>W65*(1+'Driver PIB'!X$2)</f>
        <v>0</v>
      </c>
      <c r="Y65" s="431">
        <f>X65*(1+'Driver PIB'!Y$2)</f>
        <v>0</v>
      </c>
      <c r="Z65" s="431">
        <f>Y65*(1+'Driver PIB'!Z$2)</f>
        <v>0</v>
      </c>
      <c r="AA65" s="431">
        <f>Z65*(1+'Driver PIB'!AA$2)</f>
        <v>0</v>
      </c>
      <c r="AB65" s="431">
        <f>AA65*(1+'Driver PIB'!AB$2)</f>
        <v>0</v>
      </c>
      <c r="AC65" s="431">
        <f>AB65*(1+'Driver PIB'!AC$2)</f>
        <v>0</v>
      </c>
      <c r="AD65" s="431">
        <f>AC65*(1+'Driver PIB'!AD$2)</f>
        <v>0</v>
      </c>
      <c r="AE65" s="431">
        <f>AD65*(1+'Driver PIB'!AE$2)</f>
        <v>0</v>
      </c>
      <c r="AF65" s="431">
        <f>AE65*(1+'Driver PIB'!AF$2)</f>
        <v>0</v>
      </c>
      <c r="AG65" s="431">
        <f>AF65*(1+'Driver PIB'!AG$2)</f>
        <v>0</v>
      </c>
      <c r="AH65" s="431">
        <f>AG65*(1+'Driver PIB'!AH$2)</f>
        <v>0</v>
      </c>
      <c r="AI65" s="431">
        <f>AH65*(1+'Driver PIB'!AI$2)</f>
        <v>0</v>
      </c>
      <c r="AJ65" s="431">
        <f>AI65*(1+'Driver PIB'!AJ$2)</f>
        <v>0</v>
      </c>
      <c r="AK65" s="499"/>
    </row>
    <row r="66" spans="1:37" ht="14.25" customHeight="1">
      <c r="A66" s="619"/>
      <c r="B66" s="426"/>
      <c r="C66" s="430" t="s">
        <v>362</v>
      </c>
      <c r="D66" s="431">
        <f>'Copia de Demandas de energía '!D66*1000*($E$110)</f>
        <v>0.40162615279999997</v>
      </c>
      <c r="E66" s="431">
        <f>'Copia de Demandas de energía '!E66*1000*($E$110)</f>
        <v>0.40036634679999999</v>
      </c>
      <c r="F66" s="431">
        <f>'Copia de Demandas de energía '!F66*1000*($E$110)</f>
        <v>0.20308072720000001</v>
      </c>
      <c r="G66" s="431">
        <f>F66*(1+'Driver PIB'!B$2)</f>
        <v>0.20308072720000001</v>
      </c>
      <c r="H66" s="431">
        <f>G66*(1+'Driver PIB'!H$2)</f>
        <v>0.20925948659200266</v>
      </c>
      <c r="I66" s="431">
        <f>H66*(1+'Driver PIB'!I$2)</f>
        <v>0.21467433890749671</v>
      </c>
      <c r="J66" s="431">
        <f>I66*(1+'Driver PIB'!J$2)</f>
        <v>0.22082979803101455</v>
      </c>
      <c r="K66" s="431">
        <f>J66*(1+'Driver PIB'!K$2)</f>
        <v>0.2274185021989763</v>
      </c>
      <c r="L66" s="431">
        <f>K66*(1+'Driver PIB'!L$2)</f>
        <v>0.23439264781450464</v>
      </c>
      <c r="M66" s="431">
        <f>L66*(1+'Driver PIB'!M$2)</f>
        <v>0.24061991680905936</v>
      </c>
      <c r="N66" s="431">
        <f>M66*(1+'Driver PIB'!N$2)</f>
        <v>0.24749198277123424</v>
      </c>
      <c r="O66" s="431">
        <f>N66*(1+'Driver PIB'!O$2)</f>
        <v>0.25295058103533663</v>
      </c>
      <c r="P66" s="431">
        <f>O66*(1+'Driver PIB'!P$2)</f>
        <v>0.25899991642106601</v>
      </c>
      <c r="Q66" s="431">
        <f>P66*(1+'Driver PIB'!Q$2)</f>
        <v>0.26722910083653795</v>
      </c>
      <c r="R66" s="431">
        <f>Q66*(1+'Driver PIB'!R$2)</f>
        <v>0.2738460567835389</v>
      </c>
      <c r="S66" s="431">
        <f>R66*(1+'Driver PIB'!S$2)</f>
        <v>0.28178937339242954</v>
      </c>
      <c r="T66" s="431">
        <f>S66*(1+'Driver PIB'!T$2)</f>
        <v>0.28848379841900779</v>
      </c>
      <c r="U66" s="431">
        <f>T66*(1+'Driver PIB'!U$2)</f>
        <v>0.29533051460578713</v>
      </c>
      <c r="V66" s="431">
        <f>U66*(1+'Driver PIB'!V$2)</f>
        <v>0.30289857108307866</v>
      </c>
      <c r="W66" s="431">
        <f>V66*(1+'Driver PIB'!W$2)</f>
        <v>0.30979782281881035</v>
      </c>
      <c r="X66" s="431">
        <f>W66*(1+'Driver PIB'!X$2)</f>
        <v>0.31708176129059734</v>
      </c>
      <c r="Y66" s="431">
        <f>X66*(1+'Driver PIB'!Y$2)</f>
        <v>0.32510229793559997</v>
      </c>
      <c r="Z66" s="431">
        <f>Y66*(1+'Driver PIB'!Z$2)</f>
        <v>0.33251366159387924</v>
      </c>
      <c r="AA66" s="431">
        <f>Z66*(1+'Driver PIB'!AA$2)</f>
        <v>0.34013049808100942</v>
      </c>
      <c r="AB66" s="431">
        <f>AA66*(1+'Driver PIB'!AB$2)</f>
        <v>0.3477360378215763</v>
      </c>
      <c r="AC66" s="431">
        <f>AB66*(1+'Driver PIB'!AC$2)</f>
        <v>0.3538459592321011</v>
      </c>
      <c r="AD66" s="431">
        <f>AC66*(1+'Driver PIB'!AD$2)</f>
        <v>0.36162819326230294</v>
      </c>
      <c r="AE66" s="431">
        <f>AD66*(1+'Driver PIB'!AE$2)</f>
        <v>0.36837829017314333</v>
      </c>
      <c r="AF66" s="431">
        <f>AE66*(1+'Driver PIB'!AF$2)</f>
        <v>0.37682730291774524</v>
      </c>
      <c r="AG66" s="431">
        <f>AF66*(1+'Driver PIB'!AG$2)</f>
        <v>0.38379973852158028</v>
      </c>
      <c r="AH66" s="431">
        <f>AG66*(1+'Driver PIB'!AH$2)</f>
        <v>0.39070474003458505</v>
      </c>
      <c r="AI66" s="431">
        <f>AH66*(1+'Driver PIB'!AI$2)</f>
        <v>0.39786369272842276</v>
      </c>
      <c r="AJ66" s="431">
        <f>AI66*(1+'Driver PIB'!AJ$2)</f>
        <v>0.40507643649017017</v>
      </c>
      <c r="AK66" s="499"/>
    </row>
    <row r="67" spans="1:37" ht="14.25" customHeight="1">
      <c r="A67" s="619"/>
      <c r="B67" s="426"/>
      <c r="C67" s="430" t="s">
        <v>363</v>
      </c>
      <c r="D67" s="431"/>
      <c r="E67" s="431"/>
      <c r="F67" s="431"/>
      <c r="G67" s="431"/>
      <c r="H67" s="431">
        <f>G67*(1+'Driver PIB'!H$2)</f>
        <v>0</v>
      </c>
      <c r="I67" s="431">
        <f>H67*(1+'Driver PIB'!I$2)</f>
        <v>0</v>
      </c>
      <c r="J67" s="431">
        <f>I67*(1+'Driver PIB'!J$2)</f>
        <v>0</v>
      </c>
      <c r="K67" s="431">
        <f>J67*(1+'Driver PIB'!K$2)</f>
        <v>0</v>
      </c>
      <c r="L67" s="431">
        <f>K67*(1+'Driver PIB'!L$2)</f>
        <v>0</v>
      </c>
      <c r="M67" s="431">
        <f>L67*(1+'Driver PIB'!M$2)</f>
        <v>0</v>
      </c>
      <c r="N67" s="431">
        <f>M67*(1+'Driver PIB'!N$2)</f>
        <v>0</v>
      </c>
      <c r="O67" s="431">
        <f>N67*(1+'Driver PIB'!O$2)</f>
        <v>0</v>
      </c>
      <c r="P67" s="431">
        <f>O67*(1+'Driver PIB'!P$2)</f>
        <v>0</v>
      </c>
      <c r="Q67" s="431">
        <f>P67*(1+'Driver PIB'!Q$2)</f>
        <v>0</v>
      </c>
      <c r="R67" s="431">
        <f>Q67*(1+'Driver PIB'!R$2)</f>
        <v>0</v>
      </c>
      <c r="S67" s="431">
        <f>R67*(1+'Driver PIB'!S$2)</f>
        <v>0</v>
      </c>
      <c r="T67" s="431">
        <f>S67*(1+'Driver PIB'!T$2)</f>
        <v>0</v>
      </c>
      <c r="U67" s="431">
        <f>T67*(1+'Driver PIB'!U$2)</f>
        <v>0</v>
      </c>
      <c r="V67" s="431">
        <f>U67*(1+'Driver PIB'!V$2)</f>
        <v>0</v>
      </c>
      <c r="W67" s="431">
        <f>V67*(1+'Driver PIB'!W$2)</f>
        <v>0</v>
      </c>
      <c r="X67" s="431">
        <f>W67*(1+'Driver PIB'!X$2)</f>
        <v>0</v>
      </c>
      <c r="Y67" s="431">
        <f>X67*(1+'Driver PIB'!Y$2)</f>
        <v>0</v>
      </c>
      <c r="Z67" s="431">
        <f>Y67*(1+'Driver PIB'!Z$2)</f>
        <v>0</v>
      </c>
      <c r="AA67" s="431">
        <f>Z67*(1+'Driver PIB'!AA$2)</f>
        <v>0</v>
      </c>
      <c r="AB67" s="431">
        <f>AA67*(1+'Driver PIB'!AB$2)</f>
        <v>0</v>
      </c>
      <c r="AC67" s="431">
        <f>AB67*(1+'Driver PIB'!AC$2)</f>
        <v>0</v>
      </c>
      <c r="AD67" s="431">
        <f>AC67*(1+'Driver PIB'!AD$2)</f>
        <v>0</v>
      </c>
      <c r="AE67" s="431">
        <f>AD67*(1+'Driver PIB'!AE$2)</f>
        <v>0</v>
      </c>
      <c r="AF67" s="431">
        <f>AE67*(1+'Driver PIB'!AF$2)</f>
        <v>0</v>
      </c>
      <c r="AG67" s="431">
        <f>AF67*(1+'Driver PIB'!AG$2)</f>
        <v>0</v>
      </c>
      <c r="AH67" s="431">
        <f>AG67*(1+'Driver PIB'!AH$2)</f>
        <v>0</v>
      </c>
      <c r="AI67" s="431">
        <f>AH67*(1+'Driver PIB'!AI$2)</f>
        <v>0</v>
      </c>
      <c r="AJ67" s="431">
        <f>AI67*(1+'Driver PIB'!AJ$2)</f>
        <v>0</v>
      </c>
      <c r="AK67" s="499"/>
    </row>
    <row r="68" spans="1:37" ht="14.25" customHeight="1">
      <c r="A68" s="3"/>
      <c r="B68" s="532"/>
      <c r="C68" s="429" t="s">
        <v>13</v>
      </c>
      <c r="D68" s="431">
        <f t="shared" ref="D68:AJ68" si="4">SUM(D58:D67)</f>
        <v>10.962581860820473</v>
      </c>
      <c r="E68" s="431">
        <f t="shared" si="4"/>
        <v>11.269856554696924</v>
      </c>
      <c r="F68" s="431">
        <f t="shared" si="4"/>
        <v>10.582085536446698</v>
      </c>
      <c r="G68" s="431">
        <f t="shared" si="4"/>
        <v>12.317312284552045</v>
      </c>
      <c r="H68" s="533">
        <f t="shared" si="4"/>
        <v>12.692068225264503</v>
      </c>
      <c r="I68" s="533">
        <f t="shared" si="4"/>
        <v>13.020491448207688</v>
      </c>
      <c r="J68" s="533">
        <f t="shared" si="4"/>
        <v>13.393834174149847</v>
      </c>
      <c r="K68" s="533">
        <f t="shared" si="4"/>
        <v>13.793454206568732</v>
      </c>
      <c r="L68" s="533">
        <f t="shared" si="4"/>
        <v>14.216452147578677</v>
      </c>
      <c r="M68" s="533">
        <f t="shared" si="4"/>
        <v>14.594150307041634</v>
      </c>
      <c r="N68" s="533">
        <f t="shared" si="4"/>
        <v>15.010956882747791</v>
      </c>
      <c r="O68" s="533">
        <f t="shared" si="4"/>
        <v>15.342033397894637</v>
      </c>
      <c r="P68" s="533">
        <f t="shared" si="4"/>
        <v>15.708939475528673</v>
      </c>
      <c r="Q68" s="533">
        <f t="shared" si="4"/>
        <v>16.208058400746587</v>
      </c>
      <c r="R68" s="533">
        <f t="shared" si="4"/>
        <v>16.609391968417281</v>
      </c>
      <c r="S68" s="533">
        <f t="shared" si="4"/>
        <v>17.09117235494514</v>
      </c>
      <c r="T68" s="533">
        <f t="shared" si="4"/>
        <v>17.497204600125549</v>
      </c>
      <c r="U68" s="533">
        <f t="shared" si="4"/>
        <v>17.91247365376255</v>
      </c>
      <c r="V68" s="533">
        <f t="shared" si="4"/>
        <v>18.371493651884396</v>
      </c>
      <c r="W68" s="533">
        <f t="shared" si="4"/>
        <v>18.789949107162798</v>
      </c>
      <c r="X68" s="533">
        <f t="shared" si="4"/>
        <v>19.231736696046628</v>
      </c>
      <c r="Y68" s="533">
        <f t="shared" si="4"/>
        <v>19.718200655026337</v>
      </c>
      <c r="Z68" s="533">
        <f t="shared" si="4"/>
        <v>20.167716873980496</v>
      </c>
      <c r="AA68" s="533">
        <f t="shared" si="4"/>
        <v>20.629695491675502</v>
      </c>
      <c r="AB68" s="533">
        <f t="shared" si="4"/>
        <v>21.09098893575932</v>
      </c>
      <c r="AC68" s="533">
        <f t="shared" si="4"/>
        <v>21.461569694874822</v>
      </c>
      <c r="AD68" s="533">
        <f t="shared" si="4"/>
        <v>21.933580053233754</v>
      </c>
      <c r="AE68" s="533">
        <f t="shared" si="4"/>
        <v>22.342988925991676</v>
      </c>
      <c r="AF68" s="533">
        <f t="shared" si="4"/>
        <v>22.855440943995983</v>
      </c>
      <c r="AG68" s="533">
        <f t="shared" si="4"/>
        <v>23.278335168871326</v>
      </c>
      <c r="AH68" s="533">
        <f t="shared" si="4"/>
        <v>23.697139361340181</v>
      </c>
      <c r="AI68" s="533">
        <f t="shared" si="4"/>
        <v>24.131346275881569</v>
      </c>
      <c r="AJ68" s="533">
        <f t="shared" si="4"/>
        <v>24.568815742171218</v>
      </c>
      <c r="AK68" s="534"/>
    </row>
    <row r="69" spans="1:37" ht="14.25" customHeight="1">
      <c r="A69" s="619"/>
      <c r="B69" s="426"/>
      <c r="C69" s="434"/>
      <c r="D69" s="425"/>
      <c r="E69" s="425"/>
      <c r="F69" s="425"/>
      <c r="G69" s="425"/>
      <c r="H69" s="425"/>
      <c r="I69" s="425"/>
      <c r="J69" s="425"/>
      <c r="K69" s="439"/>
      <c r="L69" s="425"/>
      <c r="M69" s="425"/>
      <c r="N69" s="425"/>
      <c r="O69" s="425"/>
      <c r="P69" s="439"/>
      <c r="Q69" s="425"/>
      <c r="R69" s="425"/>
      <c r="S69" s="425"/>
      <c r="T69" s="425"/>
      <c r="U69" s="439"/>
      <c r="V69" s="425"/>
      <c r="W69" s="425"/>
      <c r="X69" s="425"/>
      <c r="Y69" s="425"/>
      <c r="Z69" s="439"/>
      <c r="AA69" s="425"/>
      <c r="AB69" s="425"/>
      <c r="AC69" s="425"/>
      <c r="AD69" s="425"/>
      <c r="AE69" s="439"/>
      <c r="AF69" s="425"/>
      <c r="AG69" s="425"/>
      <c r="AH69" s="425"/>
      <c r="AI69" s="425"/>
      <c r="AJ69" s="439"/>
      <c r="AK69" s="499"/>
    </row>
    <row r="70" spans="1:37" ht="14.25" customHeight="1">
      <c r="A70" s="619"/>
      <c r="B70" s="426"/>
      <c r="C70" s="429" t="s">
        <v>444</v>
      </c>
      <c r="D70" s="428"/>
      <c r="E70" s="437"/>
      <c r="F70" s="438"/>
      <c r="G70" s="438"/>
      <c r="H70" s="438"/>
      <c r="I70" s="438"/>
      <c r="J70" s="428"/>
      <c r="K70" s="438"/>
      <c r="L70" s="428"/>
      <c r="M70" s="428"/>
      <c r="N70" s="428"/>
      <c r="O70" s="428"/>
      <c r="P70" s="438"/>
      <c r="Q70" s="428"/>
      <c r="R70" s="428"/>
      <c r="S70" s="428"/>
      <c r="T70" s="428"/>
      <c r="U70" s="438"/>
      <c r="V70" s="428"/>
      <c r="W70" s="428"/>
      <c r="X70" s="428"/>
      <c r="Y70" s="428"/>
      <c r="Z70" s="438"/>
      <c r="AA70" s="428"/>
      <c r="AB70" s="428"/>
      <c r="AC70" s="428"/>
      <c r="AD70" s="428"/>
      <c r="AE70" s="438"/>
      <c r="AF70" s="428"/>
      <c r="AG70" s="428"/>
      <c r="AH70" s="428"/>
      <c r="AI70" s="428"/>
      <c r="AJ70" s="438"/>
      <c r="AK70" s="499"/>
    </row>
    <row r="71" spans="1:37" ht="14.25" customHeight="1">
      <c r="A71" s="619"/>
      <c r="B71" s="426"/>
      <c r="C71" s="430" t="s">
        <v>417</v>
      </c>
      <c r="D71" s="431">
        <f>'Copia de Demandas de energía '!D71*1000*($E$110)</f>
        <v>2.1298993790118397</v>
      </c>
      <c r="E71" s="431">
        <f>'Copia de Demandas de energía '!E71*1000*($E$110)</f>
        <v>1.71331447873874</v>
      </c>
      <c r="F71" s="431">
        <f>'Copia de Demandas de energía '!F71*1000*($E$110)</f>
        <v>1.0244284893451099</v>
      </c>
      <c r="G71" s="431">
        <f>'Copia de Demandas de energía '!G71*1000*($E$110)</f>
        <v>1.79521406366082</v>
      </c>
      <c r="H71" s="431">
        <f>G71*(1+'Driver PIB'!H$2)</f>
        <v>1.8498337014247503</v>
      </c>
      <c r="I71" s="431">
        <f>H71*(1+'Driver PIB'!I$2)</f>
        <v>1.8977004742271142</v>
      </c>
      <c r="J71" s="431">
        <f>I71*(1+'Driver PIB'!J$2)</f>
        <v>1.9521141398623854</v>
      </c>
      <c r="K71" s="431">
        <f>J71*(1+'Driver PIB'!K$2)</f>
        <v>2.0103576499517346</v>
      </c>
      <c r="L71" s="431">
        <f>K71*(1+'Driver PIB'!L$2)</f>
        <v>2.0720084253041628</v>
      </c>
      <c r="M71" s="431">
        <f>L71*(1+'Driver PIB'!M$2)</f>
        <v>2.1270568832812407</v>
      </c>
      <c r="N71" s="431">
        <f>M71*(1+'Driver PIB'!N$2)</f>
        <v>2.1878052843323728</v>
      </c>
      <c r="O71" s="431">
        <f>N71*(1+'Driver PIB'!O$2)</f>
        <v>2.236058767105952</v>
      </c>
      <c r="P71" s="431">
        <f>O71*(1+'Driver PIB'!P$2)</f>
        <v>2.2895343091231286</v>
      </c>
      <c r="Q71" s="431">
        <f>P71*(1+'Driver PIB'!Q$2)</f>
        <v>2.3622795065566824</v>
      </c>
      <c r="R71" s="431">
        <f>Q71*(1+'Driver PIB'!R$2)</f>
        <v>2.4207727596509634</v>
      </c>
      <c r="S71" s="431">
        <f>R71*(1+'Driver PIB'!S$2)</f>
        <v>2.4909909132148287</v>
      </c>
      <c r="T71" s="431">
        <f>S71*(1+'Driver PIB'!T$2)</f>
        <v>2.5501689855092056</v>
      </c>
      <c r="U71" s="431">
        <f>T71*(1+'Driver PIB'!U$2)</f>
        <v>2.6106932969880372</v>
      </c>
      <c r="V71" s="431">
        <f>U71*(1+'Driver PIB'!V$2)</f>
        <v>2.6775941871411089</v>
      </c>
      <c r="W71" s="431">
        <f>V71*(1+'Driver PIB'!W$2)</f>
        <v>2.738582907811407</v>
      </c>
      <c r="X71" s="431">
        <f>W71*(1+'Driver PIB'!X$2)</f>
        <v>2.8029722221677331</v>
      </c>
      <c r="Y71" s="431">
        <f>X71*(1+'Driver PIB'!Y$2)</f>
        <v>2.873872993411454</v>
      </c>
      <c r="Z71" s="431">
        <f>Y71*(1+'Driver PIB'!Z$2)</f>
        <v>2.9393887341402358</v>
      </c>
      <c r="AA71" s="431">
        <f>Z71*(1+'Driver PIB'!AA$2)</f>
        <v>3.0067208348808174</v>
      </c>
      <c r="AB71" s="431">
        <f>AA71*(1+'Driver PIB'!AB$2)</f>
        <v>3.0739530734701077</v>
      </c>
      <c r="AC71" s="431">
        <f>AB71*(1+'Driver PIB'!AC$2)</f>
        <v>3.1279641901096213</v>
      </c>
      <c r="AD71" s="431">
        <f>AC71*(1+'Driver PIB'!AD$2)</f>
        <v>3.1967583891965652</v>
      </c>
      <c r="AE71" s="431">
        <f>AD71*(1+'Driver PIB'!AE$2)</f>
        <v>3.2564285955843926</v>
      </c>
      <c r="AF71" s="431">
        <f>AE71*(1+'Driver PIB'!AF$2)</f>
        <v>3.3311170542692046</v>
      </c>
      <c r="AG71" s="431">
        <f>AF71*(1+'Driver PIB'!AG$2)</f>
        <v>3.3927527132830062</v>
      </c>
      <c r="AH71" s="431">
        <f>AG71*(1+'Driver PIB'!AH$2)</f>
        <v>3.4537922614304652</v>
      </c>
      <c r="AI71" s="431">
        <f>AH71*(1+'Driver PIB'!AI$2)</f>
        <v>3.5170767135508432</v>
      </c>
      <c r="AJ71" s="431">
        <f>AI71*(1+'Driver PIB'!AJ$2)</f>
        <v>3.5808366735293142</v>
      </c>
      <c r="AK71" s="499"/>
    </row>
    <row r="72" spans="1:37" ht="14.25" customHeight="1">
      <c r="A72" s="619"/>
      <c r="B72" s="426"/>
      <c r="C72" s="430" t="s">
        <v>413</v>
      </c>
      <c r="D72" s="431">
        <f>'Copia de Demandas de energía '!D72*1000*($E$110)</f>
        <v>2.3828000541402199E-2</v>
      </c>
      <c r="E72" s="431">
        <f>'Copia de Demandas de energía '!E72*1000*($E$110)</f>
        <v>2.2311391529002397E-2</v>
      </c>
      <c r="F72" s="431">
        <f>'Copia de Demandas de energía '!F72*1000*($E$110)</f>
        <v>2.0620421019871899E-2</v>
      </c>
      <c r="G72" s="431">
        <f>'Copia de Demandas de energía '!G72*1000*($E$110)</f>
        <v>2.5484834843234296E-2</v>
      </c>
      <c r="H72" s="431">
        <f>G72*(1+'Driver PIB'!H$2)</f>
        <v>2.6260214490590961E-2</v>
      </c>
      <c r="I72" s="431">
        <f>H72*(1+'Driver PIB'!I$2)</f>
        <v>2.6939730557248371E-2</v>
      </c>
      <c r="J72" s="431">
        <f>I72*(1+'Driver PIB'!J$2)</f>
        <v>2.7712186227020721E-2</v>
      </c>
      <c r="K72" s="431">
        <f>J72*(1+'Driver PIB'!K$2)</f>
        <v>2.8539010317452849E-2</v>
      </c>
      <c r="L72" s="431">
        <f>K72*(1+'Driver PIB'!L$2)</f>
        <v>2.9414203899999793E-2</v>
      </c>
      <c r="M72" s="431">
        <f>L72*(1+'Driver PIB'!M$2)</f>
        <v>3.0195671073368378E-2</v>
      </c>
      <c r="N72" s="431">
        <f>M72*(1+'Driver PIB'!N$2)</f>
        <v>3.1058054562400118E-2</v>
      </c>
      <c r="O72" s="431">
        <f>N72*(1+'Driver PIB'!O$2)</f>
        <v>3.1743060358638053E-2</v>
      </c>
      <c r="P72" s="431">
        <f>O72*(1+'Driver PIB'!P$2)</f>
        <v>3.2502198438071943E-2</v>
      </c>
      <c r="Q72" s="431">
        <f>P72*(1+'Driver PIB'!Q$2)</f>
        <v>3.3534888288134779E-2</v>
      </c>
      <c r="R72" s="431">
        <f>Q72*(1+'Driver PIB'!R$2)</f>
        <v>3.4365257726925509E-2</v>
      </c>
      <c r="S72" s="431">
        <f>R72*(1+'Driver PIB'!S$2)</f>
        <v>3.5362073696004324E-2</v>
      </c>
      <c r="T72" s="431">
        <f>S72*(1+'Driver PIB'!T$2)</f>
        <v>3.6202164819002632E-2</v>
      </c>
      <c r="U72" s="431">
        <f>T72*(1+'Driver PIB'!U$2)</f>
        <v>3.7061367135462382E-2</v>
      </c>
      <c r="V72" s="431">
        <f>U72*(1+'Driver PIB'!V$2)</f>
        <v>3.8011091277517964E-2</v>
      </c>
      <c r="W72" s="431">
        <f>V72*(1+'Driver PIB'!W$2)</f>
        <v>3.887688634064998E-2</v>
      </c>
      <c r="X72" s="431">
        <f>W72*(1+'Driver PIB'!X$2)</f>
        <v>3.979095618627821E-2</v>
      </c>
      <c r="Y72" s="431">
        <f>X72*(1+'Driver PIB'!Y$2)</f>
        <v>4.0797462586812709E-2</v>
      </c>
      <c r="Z72" s="431">
        <f>Y72*(1+'Driver PIB'!Z$2)</f>
        <v>4.172752316616244E-2</v>
      </c>
      <c r="AA72" s="431">
        <f>Z72*(1+'Driver PIB'!AA$2)</f>
        <v>4.2683368767952437E-2</v>
      </c>
      <c r="AB72" s="431">
        <f>AA72*(1+'Driver PIB'!AB$2)</f>
        <v>4.3637796727977997E-2</v>
      </c>
      <c r="AC72" s="431">
        <f>AB72*(1+'Driver PIB'!AC$2)</f>
        <v>4.4404537817589212E-2</v>
      </c>
      <c r="AD72" s="431">
        <f>AC72*(1+'Driver PIB'!AD$2)</f>
        <v>4.5381139347953889E-2</v>
      </c>
      <c r="AE72" s="431">
        <f>AD72*(1+'Driver PIB'!AE$2)</f>
        <v>4.6228216799962307E-2</v>
      </c>
      <c r="AF72" s="431">
        <f>AE72*(1+'Driver PIB'!AF$2)</f>
        <v>4.7288493160763917E-2</v>
      </c>
      <c r="AG72" s="431">
        <f>AF72*(1+'Driver PIB'!AG$2)</f>
        <v>4.8163472151969845E-2</v>
      </c>
      <c r="AH72" s="431">
        <f>AG72*(1+'Driver PIB'!AH$2)</f>
        <v>4.9029988761288001E-2</v>
      </c>
      <c r="AI72" s="431">
        <f>AH72*(1+'Driver PIB'!AI$2)</f>
        <v>4.992837399738824E-2</v>
      </c>
      <c r="AJ72" s="431">
        <f>AI72*(1+'Driver PIB'!AJ$2)</f>
        <v>5.0833509536683773E-2</v>
      </c>
      <c r="AK72" s="499"/>
    </row>
    <row r="73" spans="1:37" ht="14.25" customHeight="1">
      <c r="A73" s="3"/>
      <c r="B73" s="532"/>
      <c r="C73" s="429" t="s">
        <v>13</v>
      </c>
      <c r="D73" s="431">
        <f t="shared" ref="D73:AJ73" si="5">SUM(D71:D72)</f>
        <v>2.1537273795532417</v>
      </c>
      <c r="E73" s="431">
        <f t="shared" si="5"/>
        <v>1.7356258702677423</v>
      </c>
      <c r="F73" s="431">
        <f t="shared" si="5"/>
        <v>1.0450489103649818</v>
      </c>
      <c r="G73" s="431">
        <f t="shared" si="5"/>
        <v>1.8206988985040544</v>
      </c>
      <c r="H73" s="533">
        <f t="shared" si="5"/>
        <v>1.8760939159153414</v>
      </c>
      <c r="I73" s="533">
        <f t="shared" si="5"/>
        <v>1.9246402047843625</v>
      </c>
      <c r="J73" s="533">
        <f t="shared" si="5"/>
        <v>1.979826326089406</v>
      </c>
      <c r="K73" s="533">
        <f t="shared" si="5"/>
        <v>2.0388966602691876</v>
      </c>
      <c r="L73" s="533">
        <f t="shared" si="5"/>
        <v>2.1014226292041625</v>
      </c>
      <c r="M73" s="533">
        <f t="shared" si="5"/>
        <v>2.1572525543546091</v>
      </c>
      <c r="N73" s="533">
        <f t="shared" si="5"/>
        <v>2.2188633388947729</v>
      </c>
      <c r="O73" s="533">
        <f t="shared" si="5"/>
        <v>2.2678018274645901</v>
      </c>
      <c r="P73" s="533">
        <f t="shared" si="5"/>
        <v>2.3220365075612004</v>
      </c>
      <c r="Q73" s="533">
        <f t="shared" si="5"/>
        <v>2.395814394844817</v>
      </c>
      <c r="R73" s="533">
        <f t="shared" si="5"/>
        <v>2.4551380173778887</v>
      </c>
      <c r="S73" s="533">
        <f t="shared" si="5"/>
        <v>2.5263529869108332</v>
      </c>
      <c r="T73" s="533">
        <f t="shared" si="5"/>
        <v>2.5863711503282083</v>
      </c>
      <c r="U73" s="533">
        <f t="shared" si="5"/>
        <v>2.6477546641234997</v>
      </c>
      <c r="V73" s="533">
        <f t="shared" si="5"/>
        <v>2.7156052784186269</v>
      </c>
      <c r="W73" s="533">
        <f t="shared" si="5"/>
        <v>2.7774597941520569</v>
      </c>
      <c r="X73" s="533">
        <f t="shared" si="5"/>
        <v>2.8427631783540113</v>
      </c>
      <c r="Y73" s="533">
        <f t="shared" si="5"/>
        <v>2.9146704559982668</v>
      </c>
      <c r="Z73" s="533">
        <f t="shared" si="5"/>
        <v>2.9811162573063981</v>
      </c>
      <c r="AA73" s="533">
        <f t="shared" si="5"/>
        <v>3.0494042036487699</v>
      </c>
      <c r="AB73" s="533">
        <f t="shared" si="5"/>
        <v>3.1175908701980859</v>
      </c>
      <c r="AC73" s="533">
        <f t="shared" si="5"/>
        <v>3.1723687279272106</v>
      </c>
      <c r="AD73" s="533">
        <f t="shared" si="5"/>
        <v>3.2421395285445191</v>
      </c>
      <c r="AE73" s="533">
        <f t="shared" si="5"/>
        <v>3.3026568123843547</v>
      </c>
      <c r="AF73" s="533">
        <f t="shared" si="5"/>
        <v>3.3784055474299683</v>
      </c>
      <c r="AG73" s="533">
        <f t="shared" si="5"/>
        <v>3.4409161854349759</v>
      </c>
      <c r="AH73" s="533">
        <f t="shared" si="5"/>
        <v>3.5028222501917532</v>
      </c>
      <c r="AI73" s="533">
        <f t="shared" si="5"/>
        <v>3.5670050875482313</v>
      </c>
      <c r="AJ73" s="533">
        <f t="shared" si="5"/>
        <v>3.6316701830659981</v>
      </c>
      <c r="AK73" s="534"/>
    </row>
    <row r="74" spans="1:37" ht="14.25" customHeight="1">
      <c r="A74" s="619"/>
      <c r="B74" s="426"/>
      <c r="C74" s="434"/>
      <c r="D74" s="425"/>
      <c r="E74" s="439"/>
      <c r="F74" s="439"/>
      <c r="G74" s="439"/>
      <c r="H74" s="439"/>
      <c r="I74" s="439"/>
      <c r="J74" s="425"/>
      <c r="K74" s="439"/>
      <c r="L74" s="425"/>
      <c r="M74" s="425"/>
      <c r="N74" s="425"/>
      <c r="O74" s="425"/>
      <c r="P74" s="439"/>
      <c r="Q74" s="425"/>
      <c r="R74" s="425"/>
      <c r="S74" s="425"/>
      <c r="T74" s="425"/>
      <c r="U74" s="439"/>
      <c r="V74" s="425"/>
      <c r="W74" s="425"/>
      <c r="X74" s="425"/>
      <c r="Y74" s="425"/>
      <c r="Z74" s="439"/>
      <c r="AA74" s="425"/>
      <c r="AB74" s="425"/>
      <c r="AC74" s="425"/>
      <c r="AD74" s="425"/>
      <c r="AE74" s="439"/>
      <c r="AF74" s="425"/>
      <c r="AG74" s="425"/>
      <c r="AH74" s="425"/>
      <c r="AI74" s="425"/>
      <c r="AJ74" s="439"/>
      <c r="AK74" s="499"/>
    </row>
    <row r="75" spans="1:37" ht="14.25" customHeight="1">
      <c r="A75" s="619"/>
      <c r="B75" s="426"/>
      <c r="C75" s="429" t="s">
        <v>447</v>
      </c>
      <c r="D75" s="428"/>
      <c r="E75" s="428"/>
      <c r="F75" s="428"/>
      <c r="G75" s="428"/>
      <c r="H75" s="428"/>
      <c r="I75" s="428"/>
      <c r="J75" s="428"/>
      <c r="K75" s="438"/>
      <c r="L75" s="428"/>
      <c r="M75" s="428"/>
      <c r="N75" s="428"/>
      <c r="O75" s="428"/>
      <c r="P75" s="438"/>
      <c r="Q75" s="428"/>
      <c r="R75" s="428"/>
      <c r="S75" s="428"/>
      <c r="T75" s="428"/>
      <c r="U75" s="438"/>
      <c r="V75" s="428"/>
      <c r="W75" s="428"/>
      <c r="X75" s="428"/>
      <c r="Y75" s="428"/>
      <c r="Z75" s="438"/>
      <c r="AA75" s="428"/>
      <c r="AB75" s="428"/>
      <c r="AC75" s="428"/>
      <c r="AD75" s="428"/>
      <c r="AE75" s="438"/>
      <c r="AF75" s="428"/>
      <c r="AG75" s="428"/>
      <c r="AH75" s="428"/>
      <c r="AI75" s="428"/>
      <c r="AJ75" s="438"/>
      <c r="AK75" s="499"/>
    </row>
    <row r="76" spans="1:37" ht="14.25" customHeight="1">
      <c r="A76" s="619"/>
      <c r="B76" s="426"/>
      <c r="C76" s="430" t="s">
        <v>449</v>
      </c>
      <c r="D76" s="431">
        <f>'Copia de Demandas de energía '!D76*1000*($E$110)</f>
        <v>2.2108249071308399</v>
      </c>
      <c r="E76" s="431">
        <f>'Copia de Demandas de energía '!E76*1000*($E$110)</f>
        <v>2.2550414017459999</v>
      </c>
      <c r="F76" s="431">
        <f>'Copia de Demandas de energía '!F76*1000*($E$110)</f>
        <v>2.3001422297809198</v>
      </c>
      <c r="G76" s="431">
        <f>'Copia de Demandas de energía '!G76*1000*($E$110)</f>
        <v>2.3461450789118397</v>
      </c>
      <c r="H76" s="431">
        <f>G76*(1+'Driver PIB'!H$2)</f>
        <v>2.4175268694992398</v>
      </c>
      <c r="I76" s="431">
        <f>H76*(1+'Driver PIB'!I$2)</f>
        <v>2.4800834167806536</v>
      </c>
      <c r="J76" s="431">
        <f>I76*(1+'Driver PIB'!J$2)</f>
        <v>2.5511960247085437</v>
      </c>
      <c r="K76" s="431">
        <f>J76*(1+'Driver PIB'!K$2)</f>
        <v>2.6273138133002982</v>
      </c>
      <c r="L76" s="431">
        <f>K76*(1+'Driver PIB'!L$2)</f>
        <v>2.7078845185616216</v>
      </c>
      <c r="M76" s="431">
        <f>L76*(1+'Driver PIB'!M$2)</f>
        <v>2.7798267294650048</v>
      </c>
      <c r="N76" s="431">
        <f>M76*(1+'Driver PIB'!N$2)</f>
        <v>2.8592181318959988</v>
      </c>
      <c r="O76" s="431">
        <f>N76*(1+'Driver PIB'!O$2)</f>
        <v>2.9222800660915964</v>
      </c>
      <c r="P76" s="431">
        <f>O76*(1+'Driver PIB'!P$2)</f>
        <v>2.9921666508089086</v>
      </c>
      <c r="Q76" s="431">
        <f>P76*(1+'Driver PIB'!Q$2)</f>
        <v>3.087236531570186</v>
      </c>
      <c r="R76" s="431">
        <f>Q76*(1+'Driver PIB'!R$2)</f>
        <v>3.1636807064876016</v>
      </c>
      <c r="S76" s="431">
        <f>R76*(1+'Driver PIB'!S$2)</f>
        <v>3.2554480220233293</v>
      </c>
      <c r="T76" s="431">
        <f>S76*(1+'Driver PIB'!T$2)</f>
        <v>3.3327871794549599</v>
      </c>
      <c r="U76" s="431">
        <f>T76*(1+'Driver PIB'!U$2)</f>
        <v>3.4118857217430159</v>
      </c>
      <c r="V76" s="431">
        <f>U76*(1+'Driver PIB'!V$2)</f>
        <v>3.499317743018171</v>
      </c>
      <c r="W76" s="431">
        <f>V76*(1+'Driver PIB'!W$2)</f>
        <v>3.5790232164579021</v>
      </c>
      <c r="X76" s="431">
        <f>W76*(1+'Driver PIB'!X$2)</f>
        <v>3.6631728875581526</v>
      </c>
      <c r="Y76" s="431">
        <f>X76*(1+'Driver PIB'!Y$2)</f>
        <v>3.7558323084660414</v>
      </c>
      <c r="Z76" s="431">
        <f>Y76*(1+'Driver PIB'!Z$2)</f>
        <v>3.8414540935297397</v>
      </c>
      <c r="AA76" s="431">
        <f>Z76*(1+'Driver PIB'!AA$2)</f>
        <v>3.9294496590742609</v>
      </c>
      <c r="AB76" s="431">
        <f>AA76*(1+'Driver PIB'!AB$2)</f>
        <v>4.0173147158958589</v>
      </c>
      <c r="AC76" s="431">
        <f>AB76*(1+'Driver PIB'!AC$2)</f>
        <v>4.0879012370664451</v>
      </c>
      <c r="AD76" s="431">
        <f>AC76*(1+'Driver PIB'!AD$2)</f>
        <v>4.1778076025036581</v>
      </c>
      <c r="AE76" s="431">
        <f>AD76*(1+'Driver PIB'!AE$2)</f>
        <v>4.2557899244496973</v>
      </c>
      <c r="AF76" s="431">
        <f>AE76*(1+'Driver PIB'!AF$2)</f>
        <v>4.3533994314950863</v>
      </c>
      <c r="AG76" s="431">
        <f>AF76*(1+'Driver PIB'!AG$2)</f>
        <v>4.4339503813833891</v>
      </c>
      <c r="AH76" s="431">
        <f>AG76*(1+'Driver PIB'!AH$2)</f>
        <v>4.5137222806816455</v>
      </c>
      <c r="AI76" s="431">
        <f>AH76*(1+'Driver PIB'!AI$2)</f>
        <v>4.5964280197460363</v>
      </c>
      <c r="AJ76" s="431">
        <f>AI76*(1+'Driver PIB'!AJ$2)</f>
        <v>4.6797551946847511</v>
      </c>
      <c r="AK76" s="499"/>
    </row>
    <row r="77" spans="1:37" ht="14.25" customHeight="1">
      <c r="A77" s="619"/>
      <c r="B77" s="426"/>
      <c r="C77" s="430" t="s">
        <v>413</v>
      </c>
      <c r="D77" s="431">
        <f>'Copia de Demandas de energía '!D77*1000*($E$110)</f>
        <v>8.7686913220029989</v>
      </c>
      <c r="E77" s="431">
        <f>'Copia de Demandas de energía '!E77*1000*($E$110)</f>
        <v>8.3863427206149996</v>
      </c>
      <c r="F77" s="431">
        <f>'Copia de Demandas de energía '!F77*1000*($E$110)</f>
        <v>7.9631449096769993</v>
      </c>
      <c r="G77" s="431">
        <f>'Copia de Demandas de energía '!G77*1000*($E$110)</f>
        <v>7.5146205888180004</v>
      </c>
      <c r="H77" s="431">
        <f>G77*(1+'Driver PIB'!H$2)</f>
        <v>7.7432539661978694</v>
      </c>
      <c r="I77" s="431">
        <f>H77*(1+'Driver PIB'!I$2)</f>
        <v>7.943620398091463</v>
      </c>
      <c r="J77" s="431">
        <f>I77*(1+'Driver PIB'!J$2)</f>
        <v>8.1713915928324621</v>
      </c>
      <c r="K77" s="431">
        <f>J77*(1+'Driver PIB'!K$2)</f>
        <v>8.4151942060929308</v>
      </c>
      <c r="L77" s="431">
        <f>K77*(1+'Driver PIB'!L$2)</f>
        <v>8.6732593556245803</v>
      </c>
      <c r="M77" s="431">
        <f>L77*(1+'Driver PIB'!M$2)</f>
        <v>8.9036877396656866</v>
      </c>
      <c r="N77" s="431">
        <f>M77*(1+'Driver PIB'!N$2)</f>
        <v>9.1579756234992775</v>
      </c>
      <c r="O77" s="431">
        <f>N77*(1+'Driver PIB'!O$2)</f>
        <v>9.3599607919939363</v>
      </c>
      <c r="P77" s="431">
        <f>O77*(1+'Driver PIB'!P$2)</f>
        <v>9.5838050772938317</v>
      </c>
      <c r="Q77" s="431">
        <f>P77*(1+'Driver PIB'!Q$2)</f>
        <v>9.8883105785804428</v>
      </c>
      <c r="R77" s="431">
        <f>Q77*(1+'Driver PIB'!R$2)</f>
        <v>10.133158595820728</v>
      </c>
      <c r="S77" s="431">
        <f>R77*(1+'Driver PIB'!S$2)</f>
        <v>10.427086096256966</v>
      </c>
      <c r="T77" s="431">
        <f>S77*(1+'Driver PIB'!T$2)</f>
        <v>10.67480071117205</v>
      </c>
      <c r="U77" s="431">
        <f>T77*(1+'Driver PIB'!U$2)</f>
        <v>10.9281505742159</v>
      </c>
      <c r="V77" s="431">
        <f>U77*(1+'Driver PIB'!V$2)</f>
        <v>11.208192278840997</v>
      </c>
      <c r="W77" s="431">
        <f>V77*(1+'Driver PIB'!W$2)</f>
        <v>11.463486121125246</v>
      </c>
      <c r="X77" s="431">
        <f>W77*(1+'Driver PIB'!X$2)</f>
        <v>11.733014572999798</v>
      </c>
      <c r="Y77" s="431">
        <f>X77*(1+'Driver PIB'!Y$2)</f>
        <v>12.029799455725517</v>
      </c>
      <c r="Z77" s="431">
        <f>Y77*(1+'Driver PIB'!Z$2)</f>
        <v>12.30404303711113</v>
      </c>
      <c r="AA77" s="431">
        <f>Z77*(1+'Driver PIB'!AA$2)</f>
        <v>12.585889754310834</v>
      </c>
      <c r="AB77" s="431">
        <f>AA77*(1+'Driver PIB'!AB$2)</f>
        <v>12.867318456637923</v>
      </c>
      <c r="AC77" s="431">
        <f>AB77*(1+'Driver PIB'!AC$2)</f>
        <v>13.093404613904696</v>
      </c>
      <c r="AD77" s="431">
        <f>AC77*(1+'Driver PIB'!AD$2)</f>
        <v>13.381371556295843</v>
      </c>
      <c r="AE77" s="431">
        <f>AD77*(1+'Driver PIB'!AE$2)</f>
        <v>13.631146204644246</v>
      </c>
      <c r="AF77" s="431">
        <f>AE77*(1+'Driver PIB'!AF$2)</f>
        <v>13.943786040049419</v>
      </c>
      <c r="AG77" s="431">
        <f>AF77*(1+'Driver PIB'!AG$2)</f>
        <v>14.201787913812584</v>
      </c>
      <c r="AH77" s="431">
        <f>AG77*(1+'Driver PIB'!AH$2)</f>
        <v>14.457294515797242</v>
      </c>
      <c r="AI77" s="431">
        <f>AH77*(1+'Driver PIB'!AI$2)</f>
        <v>14.722198103888623</v>
      </c>
      <c r="AJ77" s="431">
        <f>AI77*(1+'Driver PIB'!AJ$2)</f>
        <v>14.989092129339481</v>
      </c>
      <c r="AK77" s="499"/>
    </row>
    <row r="78" spans="1:37" ht="14.25" customHeight="1">
      <c r="A78" s="3"/>
      <c r="B78" s="532"/>
      <c r="C78" s="429" t="s">
        <v>13</v>
      </c>
      <c r="D78" s="431">
        <f t="shared" ref="D78:AJ78" si="6">SUM(D76:D77)</f>
        <v>10.979516229133839</v>
      </c>
      <c r="E78" s="431">
        <f t="shared" si="6"/>
        <v>10.641384122361</v>
      </c>
      <c r="F78" s="431">
        <f t="shared" si="6"/>
        <v>10.263287139457919</v>
      </c>
      <c r="G78" s="431">
        <f t="shared" si="6"/>
        <v>9.8607656677298401</v>
      </c>
      <c r="H78" s="533">
        <f t="shared" si="6"/>
        <v>10.160780835697109</v>
      </c>
      <c r="I78" s="533">
        <f t="shared" si="6"/>
        <v>10.423703814872116</v>
      </c>
      <c r="J78" s="533">
        <f t="shared" si="6"/>
        <v>10.722587617541006</v>
      </c>
      <c r="K78" s="533">
        <f t="shared" si="6"/>
        <v>11.042508019393228</v>
      </c>
      <c r="L78" s="533">
        <f t="shared" si="6"/>
        <v>11.381143874186202</v>
      </c>
      <c r="M78" s="533">
        <f t="shared" si="6"/>
        <v>11.683514469130692</v>
      </c>
      <c r="N78" s="533">
        <f t="shared" si="6"/>
        <v>12.017193755395276</v>
      </c>
      <c r="O78" s="533">
        <f t="shared" si="6"/>
        <v>12.282240858085533</v>
      </c>
      <c r="P78" s="533">
        <f t="shared" si="6"/>
        <v>12.57597172810274</v>
      </c>
      <c r="Q78" s="533">
        <f t="shared" si="6"/>
        <v>12.975547110150629</v>
      </c>
      <c r="R78" s="533">
        <f t="shared" si="6"/>
        <v>13.29683930230833</v>
      </c>
      <c r="S78" s="533">
        <f t="shared" si="6"/>
        <v>13.682534118280294</v>
      </c>
      <c r="T78" s="533">
        <f t="shared" si="6"/>
        <v>14.007587890627011</v>
      </c>
      <c r="U78" s="533">
        <f t="shared" si="6"/>
        <v>14.340036295958916</v>
      </c>
      <c r="V78" s="533">
        <f t="shared" si="6"/>
        <v>14.707510021859168</v>
      </c>
      <c r="W78" s="533">
        <f t="shared" si="6"/>
        <v>15.042509337583148</v>
      </c>
      <c r="X78" s="533">
        <f t="shared" si="6"/>
        <v>15.39618746055795</v>
      </c>
      <c r="Y78" s="533">
        <f t="shared" si="6"/>
        <v>15.785631764191558</v>
      </c>
      <c r="Z78" s="533">
        <f t="shared" si="6"/>
        <v>16.145497130640869</v>
      </c>
      <c r="AA78" s="533">
        <f t="shared" si="6"/>
        <v>16.515339413385096</v>
      </c>
      <c r="AB78" s="533">
        <f t="shared" si="6"/>
        <v>16.884633172533782</v>
      </c>
      <c r="AC78" s="533">
        <f t="shared" si="6"/>
        <v>17.181305850971142</v>
      </c>
      <c r="AD78" s="533">
        <f t="shared" si="6"/>
        <v>17.559179158799502</v>
      </c>
      <c r="AE78" s="533">
        <f t="shared" si="6"/>
        <v>17.886936129093943</v>
      </c>
      <c r="AF78" s="533">
        <f t="shared" si="6"/>
        <v>18.297185471544505</v>
      </c>
      <c r="AG78" s="533">
        <f t="shared" si="6"/>
        <v>18.635738295195974</v>
      </c>
      <c r="AH78" s="533">
        <f t="shared" si="6"/>
        <v>18.971016796478889</v>
      </c>
      <c r="AI78" s="533">
        <f t="shared" si="6"/>
        <v>19.318626123634658</v>
      </c>
      <c r="AJ78" s="533">
        <f t="shared" si="6"/>
        <v>19.668847324024231</v>
      </c>
      <c r="AK78" s="534"/>
    </row>
    <row r="79" spans="1:37" ht="14.25" customHeight="1">
      <c r="A79" s="619"/>
      <c r="B79" s="426"/>
      <c r="C79" s="434"/>
      <c r="D79" s="425"/>
      <c r="E79" s="439"/>
      <c r="F79" s="439"/>
      <c r="G79" s="439"/>
      <c r="H79" s="439"/>
      <c r="I79" s="439"/>
      <c r="J79" s="425"/>
      <c r="K79" s="439"/>
      <c r="L79" s="425"/>
      <c r="M79" s="425"/>
      <c r="N79" s="425"/>
      <c r="O79" s="425"/>
      <c r="P79" s="439"/>
      <c r="Q79" s="425"/>
      <c r="R79" s="425"/>
      <c r="S79" s="425"/>
      <c r="T79" s="425"/>
      <c r="U79" s="439"/>
      <c r="V79" s="425"/>
      <c r="W79" s="425"/>
      <c r="X79" s="425"/>
      <c r="Y79" s="425"/>
      <c r="Z79" s="439"/>
      <c r="AA79" s="425"/>
      <c r="AB79" s="425"/>
      <c r="AC79" s="425"/>
      <c r="AD79" s="425"/>
      <c r="AE79" s="439"/>
      <c r="AF79" s="425"/>
      <c r="AG79" s="425"/>
      <c r="AH79" s="425"/>
      <c r="AI79" s="425"/>
      <c r="AJ79" s="439"/>
      <c r="AK79" s="499"/>
    </row>
    <row r="80" spans="1:37" ht="14.25" customHeight="1">
      <c r="A80" s="619"/>
      <c r="B80" s="426"/>
      <c r="C80" s="429" t="s">
        <v>451</v>
      </c>
      <c r="D80" s="428"/>
      <c r="E80" s="428"/>
      <c r="F80" s="428"/>
      <c r="G80" s="428"/>
      <c r="H80" s="428"/>
      <c r="I80" s="428"/>
      <c r="J80" s="428"/>
      <c r="K80" s="438"/>
      <c r="L80" s="428"/>
      <c r="M80" s="428"/>
      <c r="N80" s="428"/>
      <c r="O80" s="428"/>
      <c r="P80" s="438"/>
      <c r="Q80" s="428"/>
      <c r="R80" s="428"/>
      <c r="S80" s="428"/>
      <c r="T80" s="428"/>
      <c r="U80" s="438"/>
      <c r="V80" s="428"/>
      <c r="W80" s="428"/>
      <c r="X80" s="428"/>
      <c r="Y80" s="428"/>
      <c r="Z80" s="438"/>
      <c r="AA80" s="428"/>
      <c r="AB80" s="428"/>
      <c r="AC80" s="428"/>
      <c r="AD80" s="428"/>
      <c r="AE80" s="438"/>
      <c r="AF80" s="428"/>
      <c r="AG80" s="428"/>
      <c r="AH80" s="428"/>
      <c r="AI80" s="428"/>
      <c r="AJ80" s="438"/>
      <c r="AK80" s="499"/>
    </row>
    <row r="81" spans="1:37" ht="14.25" customHeight="1">
      <c r="A81" s="619"/>
      <c r="B81" s="426"/>
      <c r="C81" s="430" t="s">
        <v>449</v>
      </c>
      <c r="D81" s="431">
        <f>'Copia de Demandas de energía '!D81*1000*($E$110)</f>
        <v>8.9113939569439999</v>
      </c>
      <c r="E81" s="431">
        <f>'Copia de Demandas de energía '!E81*1000*($E$110)</f>
        <v>9.717581925475498</v>
      </c>
      <c r="F81" s="431">
        <f>'Copia de Demandas de energía '!F81*1000*($E$110)</f>
        <v>9.8625494396433009</v>
      </c>
      <c r="G81" s="431">
        <f>'Copia de Demandas de energía '!G81*1000*($E$110)</f>
        <v>8.3203983015255982</v>
      </c>
      <c r="H81" s="431">
        <f>G81*(1+'Driver PIB'!H$2)</f>
        <v>8.5735475779713362</v>
      </c>
      <c r="I81" s="431">
        <f>H81*(1+'Driver PIB'!I$2)</f>
        <v>8.7953989009896851</v>
      </c>
      <c r="J81" s="431">
        <f>I81*(1+'Driver PIB'!J$2)</f>
        <v>9.0475935446792821</v>
      </c>
      <c r="K81" s="431">
        <f>J81*(1+'Driver PIB'!K$2)</f>
        <v>9.3175386237826014</v>
      </c>
      <c r="L81" s="431">
        <f>K81*(1+'Driver PIB'!L$2)</f>
        <v>9.6032755823512339</v>
      </c>
      <c r="M81" s="431">
        <f>L81*(1+'Driver PIB'!M$2)</f>
        <v>9.8584123404267991</v>
      </c>
      <c r="N81" s="431">
        <f>M81*(1+'Driver PIB'!N$2)</f>
        <v>10.13996700466306</v>
      </c>
      <c r="O81" s="431">
        <f>N81*(1+'Driver PIB'!O$2)</f>
        <v>10.363610638165609</v>
      </c>
      <c r="P81" s="431">
        <f>O81*(1+'Driver PIB'!P$2)</f>
        <v>10.611457297780984</v>
      </c>
      <c r="Q81" s="431">
        <f>P81*(1+'Driver PIB'!Q$2)</f>
        <v>10.948614313995536</v>
      </c>
      <c r="R81" s="431">
        <f>Q81*(1+'Driver PIB'!R$2)</f>
        <v>11.21971689365331</v>
      </c>
      <c r="S81" s="431">
        <f>R81*(1+'Driver PIB'!S$2)</f>
        <v>11.545161651175794</v>
      </c>
      <c r="T81" s="431">
        <f>S81*(1+'Driver PIB'!T$2)</f>
        <v>11.819438208034766</v>
      </c>
      <c r="U81" s="431">
        <f>T81*(1+'Driver PIB'!U$2)</f>
        <v>12.099954269391015</v>
      </c>
      <c r="V81" s="431">
        <f>U81*(1+'Driver PIB'!V$2)</f>
        <v>12.410024285033082</v>
      </c>
      <c r="W81" s="431">
        <f>V81*(1+'Driver PIB'!W$2)</f>
        <v>12.692692774629565</v>
      </c>
      <c r="X81" s="431">
        <f>W81*(1+'Driver PIB'!X$2)</f>
        <v>12.991122222488434</v>
      </c>
      <c r="Y81" s="431">
        <f>X81*(1+'Driver PIB'!Y$2)</f>
        <v>13.31973075367949</v>
      </c>
      <c r="Z81" s="431">
        <f>Y81*(1+'Driver PIB'!Z$2)</f>
        <v>13.623380924941706</v>
      </c>
      <c r="AA81" s="431">
        <f>Z81*(1+'Driver PIB'!AA$2)</f>
        <v>13.935449501041015</v>
      </c>
      <c r="AB81" s="431">
        <f>AA81*(1+'Driver PIB'!AB$2)</f>
        <v>14.247055239370271</v>
      </c>
      <c r="AC81" s="431">
        <f>AB81*(1+'Driver PIB'!AC$2)</f>
        <v>14.49738416239269</v>
      </c>
      <c r="AD81" s="431">
        <f>AC81*(1+'Driver PIB'!AD$2)</f>
        <v>14.816229223170893</v>
      </c>
      <c r="AE81" s="431">
        <f>AD81*(1+'Driver PIB'!AE$2)</f>
        <v>15.092786706721649</v>
      </c>
      <c r="AF81" s="431">
        <f>AE81*(1+'Driver PIB'!AF$2)</f>
        <v>15.438950285407877</v>
      </c>
      <c r="AG81" s="431">
        <f>AF81*(1+'Driver PIB'!AG$2)</f>
        <v>15.724617183274123</v>
      </c>
      <c r="AH81" s="431">
        <f>AG81*(1+'Driver PIB'!AH$2)</f>
        <v>16.007521246367496</v>
      </c>
      <c r="AI81" s="431">
        <f>AH81*(1+'Driver PIB'!AI$2)</f>
        <v>16.300829915564094</v>
      </c>
      <c r="AJ81" s="431">
        <f>AI81*(1+'Driver PIB'!AJ$2)</f>
        <v>16.596342452731051</v>
      </c>
      <c r="AK81" s="499"/>
    </row>
    <row r="82" spans="1:37" ht="14.25" customHeight="1">
      <c r="A82" s="619"/>
      <c r="B82" s="426"/>
      <c r="C82" s="434"/>
      <c r="D82" s="425"/>
      <c r="E82" s="425"/>
      <c r="F82" s="425"/>
      <c r="G82" s="425"/>
      <c r="H82" s="425"/>
      <c r="I82" s="425"/>
      <c r="J82" s="425"/>
      <c r="K82" s="439"/>
      <c r="L82" s="425"/>
      <c r="M82" s="425"/>
      <c r="N82" s="425"/>
      <c r="O82" s="425"/>
      <c r="P82" s="439"/>
      <c r="Q82" s="425"/>
      <c r="R82" s="425"/>
      <c r="S82" s="425"/>
      <c r="T82" s="425"/>
      <c r="U82" s="439"/>
      <c r="V82" s="425"/>
      <c r="W82" s="425"/>
      <c r="X82" s="425"/>
      <c r="Y82" s="425"/>
      <c r="Z82" s="439"/>
      <c r="AA82" s="425"/>
      <c r="AB82" s="425"/>
      <c r="AC82" s="425"/>
      <c r="AD82" s="425"/>
      <c r="AE82" s="439"/>
      <c r="AF82" s="425"/>
      <c r="AG82" s="425"/>
      <c r="AH82" s="425"/>
      <c r="AI82" s="425"/>
      <c r="AJ82" s="439"/>
      <c r="AK82" s="499"/>
    </row>
    <row r="83" spans="1:37" ht="14.25" customHeight="1">
      <c r="A83" s="619"/>
      <c r="B83" s="426"/>
      <c r="C83" s="429" t="s">
        <v>453</v>
      </c>
      <c r="D83" s="428"/>
      <c r="E83" s="428"/>
      <c r="F83" s="428"/>
      <c r="G83" s="428"/>
      <c r="H83" s="428"/>
      <c r="I83" s="428"/>
      <c r="J83" s="428"/>
      <c r="K83" s="438"/>
      <c r="L83" s="428"/>
      <c r="M83" s="428"/>
      <c r="N83" s="428"/>
      <c r="O83" s="428"/>
      <c r="P83" s="438"/>
      <c r="Q83" s="428" t="str">
        <f>IFERROR(_xlfn.FORECAST.LINEAR(Q$1,Demanda_energia!$J83:$K83,Demanda_energia!$J$1:$K$1),"")</f>
        <v/>
      </c>
      <c r="R83" s="428" t="str">
        <f>IFERROR(_xlfn.FORECAST.LINEAR(R$1,Demanda_energia!$J83:$K83,Demanda_energia!$J$1:$K$1),"")</f>
        <v/>
      </c>
      <c r="S83" s="428" t="str">
        <f>IFERROR(_xlfn.FORECAST.LINEAR(S$1,Demanda_energia!$J83:$K83,Demanda_energia!$J$1:$K$1),"")</f>
        <v/>
      </c>
      <c r="T83" s="428" t="str">
        <f>IFERROR(_xlfn.FORECAST.LINEAR(T$1,Demanda_energia!$J83:$K83,Demanda_energia!$J$1:$K$1),"")</f>
        <v/>
      </c>
      <c r="U83" s="438"/>
      <c r="V83" s="428"/>
      <c r="W83" s="428"/>
      <c r="X83" s="428"/>
      <c r="Y83" s="428"/>
      <c r="Z83" s="438"/>
      <c r="AA83" s="428"/>
      <c r="AB83" s="428"/>
      <c r="AC83" s="428"/>
      <c r="AD83" s="428"/>
      <c r="AE83" s="438"/>
      <c r="AF83" s="428"/>
      <c r="AG83" s="428"/>
      <c r="AH83" s="428"/>
      <c r="AI83" s="428"/>
      <c r="AJ83" s="438"/>
      <c r="AK83" s="499"/>
    </row>
    <row r="84" spans="1:37" ht="14.25" customHeight="1">
      <c r="A84" s="619"/>
      <c r="B84" s="426"/>
      <c r="C84" s="432" t="s">
        <v>449</v>
      </c>
      <c r="D84" s="428"/>
      <c r="E84" s="428"/>
      <c r="F84" s="428"/>
      <c r="G84" s="428"/>
      <c r="H84" s="428"/>
      <c r="I84" s="428"/>
      <c r="J84" s="428"/>
      <c r="K84" s="438">
        <v>16.09</v>
      </c>
      <c r="L84" s="428" t="str">
        <f>IFERROR(_xlfn.FORECAST.LINEAR(L$1,Demanda_energia!$I84:$J84,Demanda_energia!$I$1:$J$1),"")</f>
        <v/>
      </c>
      <c r="M84" s="428" t="str">
        <f>IFERROR(_xlfn.FORECAST.LINEAR(M$1,Demanda_energia!$I84:$J84,Demanda_energia!$I$1:$J$1),"")</f>
        <v/>
      </c>
      <c r="N84" s="428" t="str">
        <f>IFERROR(_xlfn.FORECAST.LINEAR(N$1,Demanda_energia!$I84:$J84,Demanda_energia!$I$1:$J$1),"")</f>
        <v/>
      </c>
      <c r="O84" s="428" t="str">
        <f>IFERROR(_xlfn.FORECAST.LINEAR(O$1,Demanda_energia!$I84:$J84,Demanda_energia!$I$1:$J$1),"")</f>
        <v/>
      </c>
      <c r="P84" s="438">
        <v>17.32</v>
      </c>
      <c r="Q84" s="428" t="str">
        <f>IFERROR(_xlfn.FORECAST.LINEAR(Q$1,Demanda_energia!$J84:$K84,Demanda_energia!$J$1:$K$1),"")</f>
        <v/>
      </c>
      <c r="R84" s="428" t="str">
        <f>IFERROR(_xlfn.FORECAST.LINEAR(R$1,Demanda_energia!$J84:$K84,Demanda_energia!$J$1:$K$1),"")</f>
        <v/>
      </c>
      <c r="S84" s="428" t="str">
        <f>IFERROR(_xlfn.FORECAST.LINEAR(S$1,Demanda_energia!$J84:$K84,Demanda_energia!$J$1:$K$1),"")</f>
        <v/>
      </c>
      <c r="T84" s="428" t="str">
        <f>IFERROR(_xlfn.FORECAST.LINEAR(T$1,Demanda_energia!$J84:$K84,Demanda_energia!$J$1:$K$1),"")</f>
        <v/>
      </c>
      <c r="U84" s="438">
        <v>25.79</v>
      </c>
      <c r="V84" s="428" t="str">
        <f>IFERROR(_xlfn.FORECAST.LINEAR(V$1,Demanda_energia!$K84:$L84,Demanda_energia!$K$1:$L$1),"")</f>
        <v/>
      </c>
      <c r="W84" s="428" t="str">
        <f>IFERROR(_xlfn.FORECAST.LINEAR(W$1,Demanda_energia!$K84:$L84,Demanda_energia!$K$1:$L$1),"")</f>
        <v/>
      </c>
      <c r="X84" s="428" t="str">
        <f>IFERROR(_xlfn.FORECAST.LINEAR(X$1,Demanda_energia!$K84:$L84,Demanda_energia!$K$1:$L$1),"")</f>
        <v/>
      </c>
      <c r="Y84" s="428" t="str">
        <f>IFERROR(_xlfn.FORECAST.LINEAR(Y$1,Demanda_energia!$K84:$L84,Demanda_energia!$K$1:$L$1),"")</f>
        <v/>
      </c>
      <c r="Z84" s="438">
        <v>33.979999999999997</v>
      </c>
      <c r="AA84" s="428" t="str">
        <f>IFERROR(_xlfn.FORECAST.LINEAR(AA$1,Demanda_energia!$L84:$M84,Demanda_energia!$L$1:$M$1),"")</f>
        <v/>
      </c>
      <c r="AB84" s="428" t="str">
        <f>IFERROR(_xlfn.FORECAST.LINEAR(AB$1,Demanda_energia!$L84:$M84,Demanda_energia!$L$1:$M$1),"")</f>
        <v/>
      </c>
      <c r="AC84" s="428" t="str">
        <f>IFERROR(_xlfn.FORECAST.LINEAR(AC$1,Demanda_energia!$L84:$M84,Demanda_energia!$L$1:$M$1),"")</f>
        <v/>
      </c>
      <c r="AD84" s="428" t="str">
        <f>IFERROR(_xlfn.FORECAST.LINEAR(AD$1,Demanda_energia!$L84:$M84,Demanda_energia!$L$1:$M$1),"")</f>
        <v/>
      </c>
      <c r="AE84" s="438">
        <v>37.840000000000003</v>
      </c>
      <c r="AF84" s="428" t="str">
        <f>IFERROR(_xlfn.FORECAST.LINEAR(AF$1,Demanda_energia!$M84:$N84,Demanda_energia!$M$1:$N$1),"")</f>
        <v/>
      </c>
      <c r="AG84" s="428" t="str">
        <f>IFERROR(_xlfn.FORECAST.LINEAR(AG$1,Demanda_energia!$M84:$N84,Demanda_energia!$M$1:$N$1),"")</f>
        <v/>
      </c>
      <c r="AH84" s="428" t="str">
        <f>IFERROR(_xlfn.FORECAST.LINEAR(AH$1,Demanda_energia!$M84:$N84,Demanda_energia!$M$1:$N$1),"")</f>
        <v/>
      </c>
      <c r="AI84" s="428" t="str">
        <f>IFERROR(_xlfn.FORECAST.LINEAR(AI$1,Demanda_energia!$M84:$N84,Demanda_energia!$M$1:$N$1),"")</f>
        <v/>
      </c>
      <c r="AJ84" s="438">
        <v>41.36</v>
      </c>
      <c r="AK84" s="499"/>
    </row>
    <row r="85" spans="1:37" ht="14.25" customHeight="1">
      <c r="A85" s="619"/>
      <c r="B85" s="426"/>
      <c r="C85" s="434"/>
      <c r="D85" s="425"/>
      <c r="E85" s="425"/>
      <c r="F85" s="425"/>
      <c r="G85" s="425"/>
      <c r="H85" s="425"/>
      <c r="I85" s="425"/>
      <c r="J85" s="425"/>
      <c r="K85" s="439"/>
      <c r="L85" s="425"/>
      <c r="M85" s="425"/>
      <c r="N85" s="425"/>
      <c r="O85" s="425"/>
      <c r="P85" s="439"/>
      <c r="Q85" s="425"/>
      <c r="R85" s="425"/>
      <c r="S85" s="425"/>
      <c r="T85" s="425"/>
      <c r="U85" s="439"/>
      <c r="V85" s="425"/>
      <c r="W85" s="425"/>
      <c r="X85" s="425"/>
      <c r="Y85" s="425"/>
      <c r="Z85" s="439"/>
      <c r="AA85" s="425"/>
      <c r="AB85" s="425"/>
      <c r="AC85" s="425"/>
      <c r="AD85" s="425"/>
      <c r="AE85" s="439"/>
      <c r="AF85" s="425"/>
      <c r="AG85" s="425"/>
      <c r="AH85" s="425"/>
      <c r="AI85" s="425"/>
      <c r="AJ85" s="439"/>
      <c r="AK85" s="499"/>
    </row>
    <row r="86" spans="1:37" ht="14.25" customHeight="1">
      <c r="A86" s="619"/>
      <c r="B86" s="426"/>
      <c r="C86" s="429" t="s">
        <v>748</v>
      </c>
      <c r="D86" s="428"/>
      <c r="E86" s="437"/>
      <c r="F86" s="438"/>
      <c r="G86" s="438"/>
      <c r="H86" s="438"/>
      <c r="I86" s="438"/>
      <c r="J86" s="428"/>
      <c r="K86" s="438"/>
      <c r="L86" s="428"/>
      <c r="M86" s="428"/>
      <c r="N86" s="428"/>
      <c r="O86" s="428"/>
      <c r="P86" s="438"/>
      <c r="Q86" s="428"/>
      <c r="R86" s="428"/>
      <c r="S86" s="428"/>
      <c r="T86" s="428"/>
      <c r="U86" s="438"/>
      <c r="V86" s="428"/>
      <c r="W86" s="428"/>
      <c r="X86" s="428"/>
      <c r="Y86" s="428"/>
      <c r="Z86" s="438"/>
      <c r="AA86" s="428"/>
      <c r="AB86" s="428"/>
      <c r="AC86" s="428"/>
      <c r="AD86" s="428"/>
      <c r="AE86" s="438"/>
      <c r="AF86" s="428"/>
      <c r="AG86" s="428"/>
      <c r="AH86" s="428"/>
      <c r="AI86" s="428"/>
      <c r="AJ86" s="438"/>
      <c r="AK86" s="499"/>
    </row>
    <row r="87" spans="1:37" ht="14.25" customHeight="1">
      <c r="A87" s="619"/>
      <c r="B87" s="426"/>
      <c r="C87" s="430" t="s">
        <v>413</v>
      </c>
      <c r="D87" s="428"/>
      <c r="E87" s="428"/>
      <c r="F87" s="428"/>
      <c r="G87" s="428"/>
      <c r="H87" s="428"/>
      <c r="I87" s="428"/>
      <c r="J87" s="428"/>
      <c r="K87" s="438"/>
      <c r="L87" s="428"/>
      <c r="M87" s="428"/>
      <c r="N87" s="428"/>
      <c r="O87" s="428"/>
      <c r="P87" s="438"/>
      <c r="Q87" s="428"/>
      <c r="R87" s="428"/>
      <c r="S87" s="428"/>
      <c r="T87" s="428"/>
      <c r="U87" s="438"/>
      <c r="V87" s="428"/>
      <c r="W87" s="428"/>
      <c r="X87" s="428"/>
      <c r="Y87" s="428"/>
      <c r="Z87" s="438"/>
      <c r="AA87" s="428"/>
      <c r="AB87" s="428"/>
      <c r="AC87" s="428"/>
      <c r="AD87" s="428"/>
      <c r="AE87" s="438"/>
      <c r="AF87" s="428"/>
      <c r="AG87" s="428"/>
      <c r="AH87" s="428"/>
      <c r="AI87" s="428"/>
      <c r="AJ87" s="438"/>
      <c r="AK87" s="499"/>
    </row>
    <row r="88" spans="1:37" ht="14.25" customHeight="1">
      <c r="A88" s="619"/>
      <c r="B88" s="426"/>
      <c r="C88" s="430" t="s">
        <v>749</v>
      </c>
      <c r="D88" s="428"/>
      <c r="E88" s="428"/>
      <c r="F88" s="428"/>
      <c r="G88" s="428"/>
      <c r="H88" s="428"/>
      <c r="I88" s="428"/>
      <c r="J88" s="428"/>
      <c r="K88" s="438"/>
      <c r="L88" s="428"/>
      <c r="M88" s="428"/>
      <c r="N88" s="428"/>
      <c r="O88" s="428"/>
      <c r="P88" s="438"/>
      <c r="Q88" s="428"/>
      <c r="R88" s="428"/>
      <c r="S88" s="428"/>
      <c r="T88" s="428"/>
      <c r="U88" s="438"/>
      <c r="V88" s="428"/>
      <c r="W88" s="428"/>
      <c r="X88" s="428"/>
      <c r="Y88" s="428"/>
      <c r="Z88" s="438"/>
      <c r="AA88" s="428"/>
      <c r="AB88" s="428"/>
      <c r="AC88" s="428"/>
      <c r="AD88" s="428"/>
      <c r="AE88" s="438"/>
      <c r="AF88" s="428"/>
      <c r="AG88" s="428"/>
      <c r="AH88" s="428"/>
      <c r="AI88" s="428"/>
      <c r="AJ88" s="438"/>
      <c r="AK88" s="499"/>
    </row>
    <row r="89" spans="1:37" ht="14.25" customHeight="1">
      <c r="A89" s="619"/>
      <c r="B89" s="426"/>
      <c r="C89" s="430" t="s">
        <v>449</v>
      </c>
      <c r="D89" s="428"/>
      <c r="E89" s="428"/>
      <c r="F89" s="428"/>
      <c r="G89" s="428"/>
      <c r="H89" s="428"/>
      <c r="I89" s="428"/>
      <c r="J89" s="428"/>
      <c r="K89" s="438"/>
      <c r="L89" s="428"/>
      <c r="M89" s="428"/>
      <c r="N89" s="428"/>
      <c r="O89" s="428"/>
      <c r="P89" s="438"/>
      <c r="Q89" s="428"/>
      <c r="R89" s="428"/>
      <c r="S89" s="428"/>
      <c r="T89" s="428"/>
      <c r="U89" s="438"/>
      <c r="V89" s="428"/>
      <c r="W89" s="428"/>
      <c r="X89" s="428"/>
      <c r="Y89" s="428"/>
      <c r="Z89" s="438"/>
      <c r="AA89" s="428"/>
      <c r="AB89" s="428"/>
      <c r="AC89" s="428"/>
      <c r="AD89" s="428"/>
      <c r="AE89" s="438"/>
      <c r="AF89" s="428"/>
      <c r="AG89" s="428"/>
      <c r="AH89" s="428"/>
      <c r="AI89" s="428"/>
      <c r="AJ89" s="438"/>
      <c r="AK89" s="499"/>
    </row>
    <row r="90" spans="1:37" ht="14.25" customHeight="1">
      <c r="A90" s="619"/>
      <c r="B90" s="426"/>
      <c r="C90" s="430" t="s">
        <v>750</v>
      </c>
      <c r="D90" s="428"/>
      <c r="E90" s="428"/>
      <c r="F90" s="428"/>
      <c r="G90" s="428"/>
      <c r="H90" s="428"/>
      <c r="I90" s="428"/>
      <c r="J90" s="428"/>
      <c r="K90" s="438"/>
      <c r="L90" s="428"/>
      <c r="M90" s="428"/>
      <c r="N90" s="428"/>
      <c r="O90" s="428"/>
      <c r="P90" s="438"/>
      <c r="Q90" s="428"/>
      <c r="R90" s="428"/>
      <c r="S90" s="428"/>
      <c r="T90" s="428"/>
      <c r="U90" s="438"/>
      <c r="V90" s="428"/>
      <c r="W90" s="428"/>
      <c r="X90" s="428"/>
      <c r="Y90" s="428"/>
      <c r="Z90" s="438"/>
      <c r="AA90" s="428"/>
      <c r="AB90" s="428"/>
      <c r="AC90" s="428"/>
      <c r="AD90" s="428"/>
      <c r="AE90" s="438"/>
      <c r="AF90" s="428"/>
      <c r="AG90" s="428"/>
      <c r="AH90" s="428"/>
      <c r="AI90" s="428"/>
      <c r="AJ90" s="438"/>
      <c r="AK90" s="499"/>
    </row>
    <row r="91" spans="1:37" ht="14.25" customHeight="1">
      <c r="A91" s="619"/>
      <c r="B91" s="426"/>
      <c r="C91" s="430" t="s">
        <v>751</v>
      </c>
      <c r="D91" s="428"/>
      <c r="E91" s="428"/>
      <c r="F91" s="428"/>
      <c r="G91" s="428"/>
      <c r="H91" s="428"/>
      <c r="I91" s="428"/>
      <c r="J91" s="428"/>
      <c r="K91" s="438"/>
      <c r="L91" s="428"/>
      <c r="M91" s="428"/>
      <c r="N91" s="428"/>
      <c r="O91" s="428"/>
      <c r="P91" s="438"/>
      <c r="Q91" s="428"/>
      <c r="R91" s="428"/>
      <c r="S91" s="428"/>
      <c r="T91" s="428"/>
      <c r="U91" s="438"/>
      <c r="V91" s="428"/>
      <c r="W91" s="428"/>
      <c r="X91" s="428"/>
      <c r="Y91" s="428"/>
      <c r="Z91" s="438"/>
      <c r="AA91" s="428"/>
      <c r="AB91" s="428"/>
      <c r="AC91" s="428"/>
      <c r="AD91" s="428"/>
      <c r="AE91" s="438"/>
      <c r="AF91" s="428"/>
      <c r="AG91" s="428"/>
      <c r="AH91" s="428"/>
      <c r="AI91" s="428"/>
      <c r="AJ91" s="438"/>
      <c r="AK91" s="499"/>
    </row>
    <row r="92" spans="1:37" ht="14.25" customHeight="1">
      <c r="A92" s="619"/>
      <c r="B92" s="426"/>
      <c r="C92" s="430" t="s">
        <v>13</v>
      </c>
      <c r="D92" s="428"/>
      <c r="E92" s="428"/>
      <c r="F92" s="428"/>
      <c r="G92" s="428"/>
      <c r="H92" s="428"/>
      <c r="I92" s="428"/>
      <c r="J92" s="428"/>
      <c r="K92" s="438"/>
      <c r="L92" s="428"/>
      <c r="M92" s="428"/>
      <c r="N92" s="428"/>
      <c r="O92" s="428"/>
      <c r="P92" s="438"/>
      <c r="Q92" s="428"/>
      <c r="R92" s="428"/>
      <c r="S92" s="428"/>
      <c r="T92" s="428"/>
      <c r="U92" s="438"/>
      <c r="V92" s="428"/>
      <c r="W92" s="428"/>
      <c r="X92" s="428"/>
      <c r="Y92" s="428"/>
      <c r="Z92" s="438"/>
      <c r="AA92" s="428"/>
      <c r="AB92" s="428"/>
      <c r="AC92" s="428"/>
      <c r="AD92" s="428"/>
      <c r="AE92" s="438"/>
      <c r="AF92" s="428"/>
      <c r="AG92" s="428"/>
      <c r="AH92" s="428"/>
      <c r="AI92" s="428"/>
      <c r="AJ92" s="438"/>
      <c r="AK92" s="499"/>
    </row>
    <row r="93" spans="1:37" ht="14.25" customHeight="1">
      <c r="A93" s="619"/>
      <c r="B93" s="426"/>
      <c r="C93" s="430"/>
      <c r="D93" s="428"/>
      <c r="E93" s="428"/>
      <c r="F93" s="428"/>
      <c r="G93" s="428"/>
      <c r="H93" s="428"/>
      <c r="I93" s="428"/>
      <c r="J93" s="428"/>
      <c r="K93" s="438"/>
      <c r="L93" s="428"/>
      <c r="M93" s="428"/>
      <c r="N93" s="428"/>
      <c r="O93" s="428"/>
      <c r="P93" s="438"/>
      <c r="Q93" s="428"/>
      <c r="R93" s="428"/>
      <c r="S93" s="428"/>
      <c r="T93" s="428"/>
      <c r="U93" s="438"/>
      <c r="V93" s="428"/>
      <c r="W93" s="428"/>
      <c r="X93" s="428"/>
      <c r="Y93" s="428"/>
      <c r="Z93" s="438"/>
      <c r="AA93" s="428"/>
      <c r="AB93" s="428"/>
      <c r="AC93" s="428"/>
      <c r="AD93" s="428"/>
      <c r="AE93" s="438"/>
      <c r="AF93" s="428"/>
      <c r="AG93" s="428"/>
      <c r="AH93" s="428"/>
      <c r="AI93" s="428"/>
      <c r="AJ93" s="438"/>
      <c r="AK93" s="499"/>
    </row>
    <row r="94" spans="1:37" ht="14.25" customHeight="1">
      <c r="A94" s="619"/>
      <c r="B94" s="500"/>
      <c r="C94" s="501"/>
      <c r="D94" s="535"/>
      <c r="E94" s="535"/>
      <c r="F94" s="535"/>
      <c r="G94" s="535"/>
      <c r="H94" s="502"/>
      <c r="I94" s="502"/>
      <c r="J94" s="502"/>
      <c r="K94" s="535"/>
      <c r="L94" s="502"/>
      <c r="M94" s="502"/>
      <c r="N94" s="502"/>
      <c r="O94" s="502"/>
      <c r="P94" s="535"/>
      <c r="Q94" s="502"/>
      <c r="R94" s="502"/>
      <c r="S94" s="502"/>
      <c r="T94" s="502"/>
      <c r="U94" s="535"/>
      <c r="V94" s="502"/>
      <c r="W94" s="502"/>
      <c r="X94" s="502"/>
      <c r="Y94" s="502"/>
      <c r="Z94" s="535"/>
      <c r="AA94" s="502"/>
      <c r="AB94" s="502"/>
      <c r="AC94" s="502"/>
      <c r="AD94" s="502"/>
      <c r="AE94" s="535"/>
      <c r="AF94" s="502"/>
      <c r="AG94" s="502"/>
      <c r="AH94" s="502"/>
      <c r="AI94" s="502"/>
      <c r="AJ94" s="535"/>
      <c r="AK94" s="503"/>
    </row>
    <row r="95" spans="1:37" ht="14.25" customHeight="1">
      <c r="A95" s="1"/>
      <c r="B95" s="1"/>
      <c r="C95" s="1"/>
      <c r="D95" s="15"/>
      <c r="E95" s="15"/>
      <c r="F95" s="15"/>
      <c r="G95" s="15"/>
      <c r="H95" s="1"/>
      <c r="I95" s="1"/>
      <c r="J95" s="1"/>
      <c r="K95" s="15"/>
      <c r="L95" s="1"/>
      <c r="M95" s="1"/>
      <c r="N95" s="1"/>
      <c r="O95" s="1"/>
      <c r="P95" s="15"/>
      <c r="Q95" s="1"/>
      <c r="R95" s="1"/>
      <c r="S95" s="1"/>
      <c r="T95" s="1"/>
      <c r="U95" s="15"/>
      <c r="V95" s="1"/>
      <c r="W95" s="1"/>
      <c r="X95" s="1"/>
      <c r="Y95" s="1"/>
      <c r="Z95" s="15"/>
      <c r="AA95" s="1"/>
      <c r="AB95" s="1"/>
      <c r="AC95" s="1"/>
      <c r="AD95" s="1"/>
      <c r="AE95" s="15"/>
      <c r="AF95" s="1"/>
      <c r="AG95" s="1"/>
      <c r="AH95" s="1"/>
      <c r="AI95" s="1"/>
      <c r="AJ95" s="15"/>
      <c r="AK95" s="1"/>
    </row>
    <row r="96" spans="1:37" ht="14.25" customHeight="1">
      <c r="A96" s="619"/>
      <c r="B96" s="253"/>
      <c r="C96" s="281" t="s">
        <v>346</v>
      </c>
      <c r="D96" s="256"/>
      <c r="E96" s="256"/>
      <c r="F96" s="256"/>
      <c r="G96" s="376"/>
      <c r="H96" s="376"/>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377"/>
    </row>
    <row r="97" spans="1:37" ht="15" customHeight="1">
      <c r="A97" s="619"/>
      <c r="B97" s="618" t="s">
        <v>319</v>
      </c>
      <c r="C97" s="259" t="s">
        <v>349</v>
      </c>
      <c r="D97" s="256">
        <f>'Copia de Electricidad'!D357*1000*'Demandas Cálculos Driver PIB'!$E$110</f>
        <v>28.882312356</v>
      </c>
      <c r="E97" s="256">
        <f>'Copia de Electricidad'!E357*1000*'Demandas Cálculos Driver PIB'!$E$110</f>
        <v>29.881338513999999</v>
      </c>
      <c r="F97" s="256">
        <f>'Copia de Electricidad'!F357*1000*'Demandas Cálculos Driver PIB'!$E$110</f>
        <v>31.469953879999998</v>
      </c>
      <c r="G97" s="256">
        <f>'Copia de Electricidad'!G357*1000*'Demandas Cálculos Driver PIB'!$E$110</f>
        <v>31.063666444999999</v>
      </c>
      <c r="H97" s="256">
        <f>G97*(1+'Driver PIB'!H$2)</f>
        <v>32.008782820361695</v>
      </c>
      <c r="I97" s="256">
        <f>H97*(1+'Driver PIB'!I$2)</f>
        <v>32.837050320171215</v>
      </c>
      <c r="J97" s="256">
        <f>I97*(1+'Driver PIB'!J$2)</f>
        <v>33.778602636164649</v>
      </c>
      <c r="K97" s="256">
        <f>J97*(1+'Driver PIB'!K$2)</f>
        <v>34.786425049449491</v>
      </c>
      <c r="L97" s="256">
        <f>K97*(1+'Driver PIB'!L$2)</f>
        <v>35.853205418648564</v>
      </c>
      <c r="M97" s="256">
        <f>L97*(1+'Driver PIB'!M$2)</f>
        <v>36.805741927539586</v>
      </c>
      <c r="N97" s="256">
        <f>M97*(1+'Driver PIB'!N$2)</f>
        <v>37.856907972591245</v>
      </c>
      <c r="O97" s="256">
        <f>N97*(1+'Driver PIB'!O$2)</f>
        <v>38.69186694713904</v>
      </c>
      <c r="P97" s="256">
        <f>O97*(1+'Driver PIB'!P$2)</f>
        <v>39.617186347099469</v>
      </c>
      <c r="Q97" s="256">
        <f>P97*(1+'Driver PIB'!Q$2)</f>
        <v>40.875940160526881</v>
      </c>
      <c r="R97" s="256">
        <f>Q97*(1+'Driver PIB'!R$2)</f>
        <v>41.888084026923757</v>
      </c>
      <c r="S97" s="256">
        <f>R97*(1+'Driver PIB'!S$2)</f>
        <v>43.103110883522525</v>
      </c>
      <c r="T97" s="256">
        <f>S97*(1+'Driver PIB'!T$2)</f>
        <v>44.127104587572482</v>
      </c>
      <c r="U97" s="256">
        <f>T97*(1+'Driver PIB'!U$2)</f>
        <v>45.174393076254319</v>
      </c>
      <c r="V97" s="256">
        <f>U97*(1+'Driver PIB'!V$2)</f>
        <v>46.332019333008759</v>
      </c>
      <c r="W97" s="256">
        <f>V97*(1+'Driver PIB'!W$2)</f>
        <v>47.387343772672558</v>
      </c>
      <c r="X97" s="256">
        <f>W97*(1+'Driver PIB'!X$2)</f>
        <v>48.501510725948542</v>
      </c>
      <c r="Y97" s="256">
        <f>X97*(1+'Driver PIB'!Y$2)</f>
        <v>49.7283493259743</v>
      </c>
      <c r="Z97" s="256">
        <f>Y97*(1+'Driver PIB'!Z$2)</f>
        <v>50.862007510862767</v>
      </c>
      <c r="AA97" s="256">
        <f>Z97*(1+'Driver PIB'!AA$2)</f>
        <v>52.027095263228851</v>
      </c>
      <c r="AB97" s="256">
        <f>AA97*(1+'Driver PIB'!AB$2)</f>
        <v>53.190455040853095</v>
      </c>
      <c r="AC97" s="256">
        <f>AB97*(1+'Driver PIB'!AC$2)</f>
        <v>54.125041809959889</v>
      </c>
      <c r="AD97" s="256">
        <f>AC97*(1+'Driver PIB'!AD$2)</f>
        <v>55.315429127575904</v>
      </c>
      <c r="AE97" s="256">
        <f>AD97*(1+'Driver PIB'!AE$2)</f>
        <v>56.347938523227562</v>
      </c>
      <c r="AF97" s="256">
        <f>AE97*(1+'Driver PIB'!AF$2)</f>
        <v>57.640317752446052</v>
      </c>
      <c r="AG97" s="256">
        <f>AF97*(1+'Driver PIB'!AG$2)</f>
        <v>58.706836554564923</v>
      </c>
      <c r="AH97" s="256">
        <f>AG97*(1+'Driver PIB'!AH$2)</f>
        <v>59.763040492573083</v>
      </c>
      <c r="AI97" s="256">
        <f>AH97*(1+'Driver PIB'!AI$2)</f>
        <v>60.85808935143352</v>
      </c>
      <c r="AJ97" s="256">
        <f>AI97*(1+'Driver PIB'!AJ$2)</f>
        <v>61.961366208166069</v>
      </c>
      <c r="AK97" s="377"/>
    </row>
    <row r="98" spans="1:37" ht="14.25" customHeight="1">
      <c r="A98" s="619"/>
      <c r="B98" s="618"/>
      <c r="C98" s="259" t="s">
        <v>351</v>
      </c>
      <c r="D98" s="256">
        <f>'Copia de Electricidad'!D358*1000*'Demandas Cálculos Driver PIB'!$E$110</f>
        <v>27.080159872999999</v>
      </c>
      <c r="E98" s="256">
        <f>'Copia de Electricidad'!E358*1000*'Demandas Cálculos Driver PIB'!$E$110</f>
        <v>28.270676543</v>
      </c>
      <c r="F98" s="256">
        <f>'Copia de Electricidad'!F358*1000*'Demandas Cálculos Driver PIB'!$E$110</f>
        <v>25.946334473</v>
      </c>
      <c r="G98" s="256">
        <f>'Copia de Electricidad'!G358*1000*'Demandas Cálculos Driver PIB'!$E$110</f>
        <v>27.283618541999999</v>
      </c>
      <c r="H98" s="256">
        <f>G98*(1+'Driver PIB'!H$2)</f>
        <v>28.113726433765517</v>
      </c>
      <c r="I98" s="256">
        <f>H98*(1+'Driver PIB'!I$2)</f>
        <v>28.841204452355186</v>
      </c>
      <c r="J98" s="256">
        <f>I98*(1+'Driver PIB'!J$2)</f>
        <v>29.668181984849141</v>
      </c>
      <c r="K98" s="256">
        <f>J98*(1+'Driver PIB'!K$2)</f>
        <v>30.553365397786781</v>
      </c>
      <c r="L98" s="256">
        <f>K98*(1+'Driver PIB'!L$2)</f>
        <v>31.490332343168276</v>
      </c>
      <c r="M98" s="256">
        <f>L98*(1+'Driver PIB'!M$2)</f>
        <v>32.32695743383249</v>
      </c>
      <c r="N98" s="256">
        <f>M98*(1+'Driver PIB'!N$2)</f>
        <v>33.250210117100615</v>
      </c>
      <c r="O98" s="256">
        <f>N98*(1+'Driver PIB'!O$2)</f>
        <v>33.983565344182907</v>
      </c>
      <c r="P98" s="256">
        <f>O98*(1+'Driver PIB'!P$2)</f>
        <v>34.796285297338869</v>
      </c>
      <c r="Q98" s="256">
        <f>P98*(1+'Driver PIB'!Q$2)</f>
        <v>35.901864992660677</v>
      </c>
      <c r="R98" s="256">
        <f>Q98*(1+'Driver PIB'!R$2)</f>
        <v>36.790843993555221</v>
      </c>
      <c r="S98" s="256">
        <f>R98*(1+'Driver PIB'!S$2)</f>
        <v>37.858017739205003</v>
      </c>
      <c r="T98" s="256">
        <f>S98*(1+'Driver PIB'!T$2)</f>
        <v>38.757404605213722</v>
      </c>
      <c r="U98" s="256">
        <f>T98*(1+'Driver PIB'!U$2)</f>
        <v>39.677251580753925</v>
      </c>
      <c r="V98" s="256">
        <f>U98*(1+'Driver PIB'!V$2)</f>
        <v>40.69400963986498</v>
      </c>
      <c r="W98" s="256">
        <f>V98*(1+'Driver PIB'!W$2)</f>
        <v>41.620914694708283</v>
      </c>
      <c r="X98" s="256">
        <f>W98*(1+'Driver PIB'!X$2)</f>
        <v>42.599501887533911</v>
      </c>
      <c r="Y98" s="256">
        <f>X98*(1+'Driver PIB'!Y$2)</f>
        <v>43.677050039648186</v>
      </c>
      <c r="Z98" s="256">
        <f>Y98*(1+'Driver PIB'!Z$2)</f>
        <v>44.672756632373705</v>
      </c>
      <c r="AA98" s="256">
        <f>Z98*(1+'Driver PIB'!AA$2)</f>
        <v>45.696068219233368</v>
      </c>
      <c r="AB98" s="256">
        <f>AA98*(1+'Driver PIB'!AB$2)</f>
        <v>46.717862103609654</v>
      </c>
      <c r="AC98" s="256">
        <f>AB98*(1+'Driver PIB'!AC$2)</f>
        <v>47.53872170651124</v>
      </c>
      <c r="AD98" s="256">
        <f>AC98*(1+'Driver PIB'!AD$2)</f>
        <v>48.58425422755392</v>
      </c>
      <c r="AE98" s="256">
        <f>AD98*(1+'Driver PIB'!AE$2)</f>
        <v>49.491120535234259</v>
      </c>
      <c r="AF98" s="256">
        <f>AE98*(1+'Driver PIB'!AF$2)</f>
        <v>50.626233866560831</v>
      </c>
      <c r="AG98" s="256">
        <f>AF98*(1+'Driver PIB'!AG$2)</f>
        <v>51.562971074205095</v>
      </c>
      <c r="AH98" s="256">
        <f>AG98*(1+'Driver PIB'!AH$2)</f>
        <v>52.490648603777949</v>
      </c>
      <c r="AI98" s="256">
        <f>AH98*(1+'Driver PIB'!AI$2)</f>
        <v>53.452444127912209</v>
      </c>
      <c r="AJ98" s="256">
        <f>AI98*(1+'Driver PIB'!AJ$2)</f>
        <v>54.421466408608012</v>
      </c>
      <c r="AK98" s="377"/>
    </row>
    <row r="99" spans="1:37" ht="14.25" customHeight="1">
      <c r="A99" s="619"/>
      <c r="B99" s="618"/>
      <c r="C99" s="259" t="s">
        <v>353</v>
      </c>
      <c r="D99" s="256">
        <f>'Copia de Electricidad'!D359*1000*'Demandas Cálculos Driver PIB'!$E$110</f>
        <v>39.022490849999997</v>
      </c>
      <c r="E99" s="256">
        <f>'Copia de Electricidad'!E359*1000*'Demandas Cálculos Driver PIB'!$E$110</f>
        <v>40.550635528000001</v>
      </c>
      <c r="F99" s="256">
        <f>'Copia de Electricidad'!F359*1000*'Demandas Cálculos Driver PIB'!$E$110</f>
        <v>39.586254034999996</v>
      </c>
      <c r="G99" s="256">
        <f>'Copia de Electricidad'!G359*1000*'Demandas Cálculos Driver PIB'!$E$110</f>
        <v>44.418239948</v>
      </c>
      <c r="H99" s="256">
        <f>G99*(1+'Driver PIB'!H$2)</f>
        <v>45.769671081022523</v>
      </c>
      <c r="I99" s="256">
        <f>H99*(1+'Driver PIB'!I$2)</f>
        <v>46.954018866008184</v>
      </c>
      <c r="J99" s="256">
        <f>I99*(1+'Driver PIB'!J$2)</f>
        <v>48.300353715741387</v>
      </c>
      <c r="K99" s="256">
        <f>J99*(1+'Driver PIB'!K$2)</f>
        <v>49.741448824637139</v>
      </c>
      <c r="L99" s="256">
        <f>K99*(1+'Driver PIB'!L$2)</f>
        <v>51.266848490346185</v>
      </c>
      <c r="M99" s="256">
        <f>L99*(1+'Driver PIB'!M$2)</f>
        <v>52.628889744750715</v>
      </c>
      <c r="N99" s="256">
        <f>M99*(1+'Driver PIB'!N$2)</f>
        <v>54.131962335906806</v>
      </c>
      <c r="O99" s="256">
        <f>N99*(1+'Driver PIB'!O$2)</f>
        <v>55.325878325954704</v>
      </c>
      <c r="P99" s="256">
        <f>O99*(1+'Driver PIB'!P$2)</f>
        <v>56.649001570557964</v>
      </c>
      <c r="Q99" s="256">
        <f>P99*(1+'Driver PIB'!Q$2)</f>
        <v>58.448905938552436</v>
      </c>
      <c r="R99" s="256">
        <f>Q99*(1+'Driver PIB'!R$2)</f>
        <v>59.896180335446729</v>
      </c>
      <c r="S99" s="256">
        <f>R99*(1+'Driver PIB'!S$2)</f>
        <v>61.633559100932253</v>
      </c>
      <c r="T99" s="256">
        <f>S99*(1+'Driver PIB'!T$2)</f>
        <v>63.097777696385698</v>
      </c>
      <c r="U99" s="256">
        <f>T99*(1+'Driver PIB'!U$2)</f>
        <v>64.595305731829029</v>
      </c>
      <c r="V99" s="256">
        <f>U99*(1+'Driver PIB'!V$2)</f>
        <v>66.250606819151258</v>
      </c>
      <c r="W99" s="256">
        <f>V99*(1+'Driver PIB'!W$2)</f>
        <v>67.759625539364833</v>
      </c>
      <c r="X99" s="256">
        <f>W99*(1+'Driver PIB'!X$2)</f>
        <v>69.352783744316852</v>
      </c>
      <c r="Y99" s="256">
        <f>X99*(1+'Driver PIB'!Y$2)</f>
        <v>71.107052237055697</v>
      </c>
      <c r="Z99" s="256">
        <f>Y99*(1+'Driver PIB'!Z$2)</f>
        <v>72.728081144398189</v>
      </c>
      <c r="AA99" s="256">
        <f>Z99*(1+'Driver PIB'!AA$2)</f>
        <v>74.394051497147785</v>
      </c>
      <c r="AB99" s="256">
        <f>AA99*(1+'Driver PIB'!AB$2)</f>
        <v>76.0575510019425</v>
      </c>
      <c r="AC99" s="256">
        <f>AB99*(1+'Driver PIB'!AC$2)</f>
        <v>77.393925748172549</v>
      </c>
      <c r="AD99" s="256">
        <f>AC99*(1+'Driver PIB'!AD$2)</f>
        <v>79.096072196291999</v>
      </c>
      <c r="AE99" s="256">
        <f>AD99*(1+'Driver PIB'!AE$2)</f>
        <v>80.57246746231192</v>
      </c>
      <c r="AF99" s="256">
        <f>AE99*(1+'Driver PIB'!AF$2)</f>
        <v>82.420453140656662</v>
      </c>
      <c r="AG99" s="256">
        <f>AF99*(1+'Driver PIB'!AG$2)</f>
        <v>83.945478789043847</v>
      </c>
      <c r="AH99" s="256">
        <f>AG99*(1+'Driver PIB'!AH$2)</f>
        <v>85.455755112527243</v>
      </c>
      <c r="AI99" s="256">
        <f>AH99*(1+'Driver PIB'!AI$2)</f>
        <v>87.021576167609922</v>
      </c>
      <c r="AJ99" s="256">
        <f>AI99*(1+'Driver PIB'!AJ$2)</f>
        <v>88.599162517186159</v>
      </c>
      <c r="AK99" s="377"/>
    </row>
    <row r="100" spans="1:37" ht="14.25" customHeight="1">
      <c r="A100" s="619"/>
      <c r="B100" s="618"/>
      <c r="C100" s="259" t="s">
        <v>355</v>
      </c>
      <c r="D100" s="256">
        <f>'Copia de Electricidad'!D360*1000*'Demandas Cálculos Driver PIB'!$E$110</f>
        <v>2.183873701</v>
      </c>
      <c r="E100" s="256">
        <f>'Copia de Electricidad'!E360*1000*'Demandas Cálculos Driver PIB'!$E$110</f>
        <v>2.0093905699999999</v>
      </c>
      <c r="F100" s="256">
        <f>'Copia de Electricidad'!F360*1000*'Demandas Cálculos Driver PIB'!$E$110</f>
        <v>2.1574177749999999</v>
      </c>
      <c r="G100" s="256">
        <f>'Copia de Electricidad'!G360*1000*'Demandas Cálculos Driver PIB'!$E$110</f>
        <v>2.4496927669999997</v>
      </c>
      <c r="H100" s="256">
        <f>G100*(1+'Driver PIB'!H$2)</f>
        <v>2.5242250104103543</v>
      </c>
      <c r="I100" s="256">
        <f>H100*(1+'Driver PIB'!I$2)</f>
        <v>2.5895425062383826</v>
      </c>
      <c r="J100" s="256">
        <f>I100*(1+'Driver PIB'!J$2)</f>
        <v>2.6637936865465739</v>
      </c>
      <c r="K100" s="256">
        <f>J100*(1+'Driver PIB'!K$2)</f>
        <v>2.7432709523939787</v>
      </c>
      <c r="L100" s="256">
        <f>K100*(1+'Driver PIB'!L$2)</f>
        <v>2.827397665479555</v>
      </c>
      <c r="M100" s="256">
        <f>L100*(1+'Driver PIB'!M$2)</f>
        <v>2.9025150634938952</v>
      </c>
      <c r="N100" s="256">
        <f>M100*(1+'Driver PIB'!N$2)</f>
        <v>2.9854104249296833</v>
      </c>
      <c r="O100" s="256">
        <f>N100*(1+'Driver PIB'!O$2)</f>
        <v>3.0512556130472208</v>
      </c>
      <c r="P100" s="256">
        <f>O100*(1+'Driver PIB'!P$2)</f>
        <v>3.1242266593099424</v>
      </c>
      <c r="Q100" s="256">
        <f>P100*(1+'Driver PIB'!Q$2)</f>
        <v>3.2234924725598502</v>
      </c>
      <c r="R100" s="256">
        <f>Q100*(1+'Driver PIB'!R$2)</f>
        <v>3.3033105298733947</v>
      </c>
      <c r="S100" s="256">
        <f>R100*(1+'Driver PIB'!S$2)</f>
        <v>3.3991280183720787</v>
      </c>
      <c r="T100" s="256">
        <f>S100*(1+'Driver PIB'!T$2)</f>
        <v>3.4798805584724595</v>
      </c>
      <c r="U100" s="256">
        <f>T100*(1+'Driver PIB'!U$2)</f>
        <v>3.562470134311122</v>
      </c>
      <c r="V100" s="256">
        <f>U100*(1+'Driver PIB'!V$2)</f>
        <v>3.6537609892744802</v>
      </c>
      <c r="W100" s="256">
        <f>V100*(1+'Driver PIB'!W$2)</f>
        <v>3.7369842833199534</v>
      </c>
      <c r="X100" s="256">
        <f>W100*(1+'Driver PIB'!X$2)</f>
        <v>3.8248479207789474</v>
      </c>
      <c r="Y100" s="256">
        <f>X100*(1+'Driver PIB'!Y$2)</f>
        <v>3.9215968879390442</v>
      </c>
      <c r="Z100" s="256">
        <f>Y100*(1+'Driver PIB'!Z$2)</f>
        <v>4.0109976114720718</v>
      </c>
      <c r="AA100" s="256">
        <f>Z100*(1+'Driver PIB'!AA$2)</f>
        <v>4.1028768828692472</v>
      </c>
      <c r="AB100" s="256">
        <f>AA100*(1+'Driver PIB'!AB$2)</f>
        <v>4.1946198855090264</v>
      </c>
      <c r="AC100" s="256">
        <f>AB100*(1+'Driver PIB'!AC$2)</f>
        <v>4.268321760091939</v>
      </c>
      <c r="AD100" s="256">
        <f>AC100*(1+'Driver PIB'!AD$2)</f>
        <v>4.3621961650033994</v>
      </c>
      <c r="AE100" s="256">
        <f>AD100*(1+'Driver PIB'!AE$2)</f>
        <v>4.4436202558416698</v>
      </c>
      <c r="AF100" s="256">
        <f>AE100*(1+'Driver PIB'!AF$2)</f>
        <v>4.5455377824041907</v>
      </c>
      <c r="AG100" s="256">
        <f>AF100*(1+'Driver PIB'!AG$2)</f>
        <v>4.6296438682085155</v>
      </c>
      <c r="AH100" s="256">
        <f>AG100*(1+'Driver PIB'!AH$2)</f>
        <v>4.7129365198340603</v>
      </c>
      <c r="AI100" s="256">
        <f>AH100*(1+'Driver PIB'!AI$2)</f>
        <v>4.7992924969628898</v>
      </c>
      <c r="AJ100" s="256">
        <f>AI100*(1+'Driver PIB'!AJ$2)</f>
        <v>4.8862973371906682</v>
      </c>
      <c r="AK100" s="377"/>
    </row>
    <row r="101" spans="1:37" ht="14.25" customHeight="1">
      <c r="A101" s="619"/>
      <c r="B101" s="618"/>
      <c r="C101" s="259" t="s">
        <v>357</v>
      </c>
      <c r="D101" s="256">
        <f>'Copia de Electricidad'!D361*1000*'Demandas Cálculos Driver PIB'!$E$110</f>
        <v>0</v>
      </c>
      <c r="E101" s="256">
        <f>'Copia de Electricidad'!E361*1000*'Demandas Cálculos Driver PIB'!$E$110</f>
        <v>0</v>
      </c>
      <c r="F101" s="256">
        <f>'Copia de Electricidad'!F361*1000*'Demandas Cálculos Driver PIB'!$E$110</f>
        <v>0</v>
      </c>
      <c r="G101" s="256">
        <f>'Copia de Electricidad'!G361*1000*'Demandas Cálculos Driver PIB'!$E$110</f>
        <v>0</v>
      </c>
      <c r="H101" s="256">
        <f>G101*(1+'Driver PIB'!H$2)</f>
        <v>0</v>
      </c>
      <c r="I101" s="256">
        <f>H101*(1+'Driver PIB'!I$2)</f>
        <v>0</v>
      </c>
      <c r="J101" s="256">
        <f>I101*(1+'Driver PIB'!J$2)</f>
        <v>0</v>
      </c>
      <c r="K101" s="256">
        <f>J101*(1+'Driver PIB'!K$2)</f>
        <v>0</v>
      </c>
      <c r="L101" s="256">
        <f>K101*(1+'Driver PIB'!L$2)</f>
        <v>0</v>
      </c>
      <c r="M101" s="256">
        <f>L101*(1+'Driver PIB'!M$2)</f>
        <v>0</v>
      </c>
      <c r="N101" s="256">
        <f>M101*(1+'Driver PIB'!N$2)</f>
        <v>0</v>
      </c>
      <c r="O101" s="256">
        <f>N101*(1+'Driver PIB'!O$2)</f>
        <v>0</v>
      </c>
      <c r="P101" s="256">
        <f>O101*(1+'Driver PIB'!P$2)</f>
        <v>0</v>
      </c>
      <c r="Q101" s="256">
        <f>P101*(1+'Driver PIB'!Q$2)</f>
        <v>0</v>
      </c>
      <c r="R101" s="256">
        <f>Q101*(1+'Driver PIB'!R$2)</f>
        <v>0</v>
      </c>
      <c r="S101" s="256">
        <f>R101*(1+'Driver PIB'!S$2)</f>
        <v>0</v>
      </c>
      <c r="T101" s="256">
        <f>S101*(1+'Driver PIB'!T$2)</f>
        <v>0</v>
      </c>
      <c r="U101" s="256">
        <f>T101*(1+'Driver PIB'!U$2)</f>
        <v>0</v>
      </c>
      <c r="V101" s="256">
        <f>U101*(1+'Driver PIB'!V$2)</f>
        <v>0</v>
      </c>
      <c r="W101" s="256">
        <f>V101*(1+'Driver PIB'!W$2)</f>
        <v>0</v>
      </c>
      <c r="X101" s="256">
        <f>W101*(1+'Driver PIB'!X$2)</f>
        <v>0</v>
      </c>
      <c r="Y101" s="256">
        <f>X101*(1+'Driver PIB'!Y$2)</f>
        <v>0</v>
      </c>
      <c r="Z101" s="256">
        <f>Y101*(1+'Driver PIB'!Z$2)</f>
        <v>0</v>
      </c>
      <c r="AA101" s="256">
        <f>Z101*(1+'Driver PIB'!AA$2)</f>
        <v>0</v>
      </c>
      <c r="AB101" s="256">
        <f>AA101*(1+'Driver PIB'!AB$2)</f>
        <v>0</v>
      </c>
      <c r="AC101" s="256">
        <f>AB101*(1+'Driver PIB'!AC$2)</f>
        <v>0</v>
      </c>
      <c r="AD101" s="256">
        <f>AC101*(1+'Driver PIB'!AD$2)</f>
        <v>0</v>
      </c>
      <c r="AE101" s="256">
        <f>AD101*(1+'Driver PIB'!AE$2)</f>
        <v>0</v>
      </c>
      <c r="AF101" s="256">
        <f>AE101*(1+'Driver PIB'!AF$2)</f>
        <v>0</v>
      </c>
      <c r="AG101" s="256">
        <f>AF101*(1+'Driver PIB'!AG$2)</f>
        <v>0</v>
      </c>
      <c r="AH101" s="256">
        <f>AG101*(1+'Driver PIB'!AH$2)</f>
        <v>0</v>
      </c>
      <c r="AI101" s="256">
        <f>AH101*(1+'Driver PIB'!AI$2)</f>
        <v>0</v>
      </c>
      <c r="AJ101" s="256">
        <f>AI101*(1+'Driver PIB'!AJ$2)</f>
        <v>0</v>
      </c>
      <c r="AK101" s="377"/>
    </row>
    <row r="102" spans="1:37" ht="14.25" customHeight="1">
      <c r="A102" s="619"/>
      <c r="B102" s="618"/>
      <c r="C102" s="259" t="s">
        <v>358</v>
      </c>
      <c r="D102" s="256">
        <f>'Copia de Electricidad'!D362*1000*'Demandas Cálculos Driver PIB'!$E$110</f>
        <v>0</v>
      </c>
      <c r="E102" s="256">
        <f>'Copia de Electricidad'!E362*1000*'Demandas Cálculos Driver PIB'!$E$110</f>
        <v>0</v>
      </c>
      <c r="F102" s="256">
        <f>'Copia de Electricidad'!F362*1000*'Demandas Cálculos Driver PIB'!$E$110</f>
        <v>0</v>
      </c>
      <c r="G102" s="256">
        <f>'Copia de Electricidad'!G362*1000*'Demandas Cálculos Driver PIB'!$E$110</f>
        <v>0</v>
      </c>
      <c r="H102" s="256">
        <f>G102*(1+'Driver PIB'!H$2)</f>
        <v>0</v>
      </c>
      <c r="I102" s="256">
        <f>H102*(1+'Driver PIB'!I$2)</f>
        <v>0</v>
      </c>
      <c r="J102" s="256">
        <f>I102*(1+'Driver PIB'!J$2)</f>
        <v>0</v>
      </c>
      <c r="K102" s="256">
        <f>J102*(1+'Driver PIB'!K$2)</f>
        <v>0</v>
      </c>
      <c r="L102" s="256">
        <f>K102*(1+'Driver PIB'!L$2)</f>
        <v>0</v>
      </c>
      <c r="M102" s="256">
        <f>L102*(1+'Driver PIB'!M$2)</f>
        <v>0</v>
      </c>
      <c r="N102" s="256">
        <f>M102*(1+'Driver PIB'!N$2)</f>
        <v>0</v>
      </c>
      <c r="O102" s="256">
        <f>N102*(1+'Driver PIB'!O$2)</f>
        <v>0</v>
      </c>
      <c r="P102" s="256">
        <f>O102*(1+'Driver PIB'!P$2)</f>
        <v>0</v>
      </c>
      <c r="Q102" s="256">
        <f>P102*(1+'Driver PIB'!Q$2)</f>
        <v>0</v>
      </c>
      <c r="R102" s="256">
        <f>Q102*(1+'Driver PIB'!R$2)</f>
        <v>0</v>
      </c>
      <c r="S102" s="256">
        <f>R102*(1+'Driver PIB'!S$2)</f>
        <v>0</v>
      </c>
      <c r="T102" s="256">
        <f>S102*(1+'Driver PIB'!T$2)</f>
        <v>0</v>
      </c>
      <c r="U102" s="256">
        <f>T102*(1+'Driver PIB'!U$2)</f>
        <v>0</v>
      </c>
      <c r="V102" s="256">
        <f>U102*(1+'Driver PIB'!V$2)</f>
        <v>0</v>
      </c>
      <c r="W102" s="256">
        <f>V102*(1+'Driver PIB'!W$2)</f>
        <v>0</v>
      </c>
      <c r="X102" s="256">
        <f>W102*(1+'Driver PIB'!X$2)</f>
        <v>0</v>
      </c>
      <c r="Y102" s="256">
        <f>X102*(1+'Driver PIB'!Y$2)</f>
        <v>0</v>
      </c>
      <c r="Z102" s="256">
        <f>Y102*(1+'Driver PIB'!Z$2)</f>
        <v>0</v>
      </c>
      <c r="AA102" s="256">
        <f>Z102*(1+'Driver PIB'!AA$2)</f>
        <v>0</v>
      </c>
      <c r="AB102" s="256">
        <f>AA102*(1+'Driver PIB'!AB$2)</f>
        <v>0</v>
      </c>
      <c r="AC102" s="256">
        <f>AB102*(1+'Driver PIB'!AC$2)</f>
        <v>0</v>
      </c>
      <c r="AD102" s="256">
        <f>AC102*(1+'Driver PIB'!AD$2)</f>
        <v>0</v>
      </c>
      <c r="AE102" s="256">
        <f>AD102*(1+'Driver PIB'!AE$2)</f>
        <v>0</v>
      </c>
      <c r="AF102" s="256">
        <f>AE102*(1+'Driver PIB'!AF$2)</f>
        <v>0</v>
      </c>
      <c r="AG102" s="256">
        <f>AF102*(1+'Driver PIB'!AG$2)</f>
        <v>0</v>
      </c>
      <c r="AH102" s="256">
        <f>AG102*(1+'Driver PIB'!AH$2)</f>
        <v>0</v>
      </c>
      <c r="AI102" s="256">
        <f>AH102*(1+'Driver PIB'!AI$2)</f>
        <v>0</v>
      </c>
      <c r="AJ102" s="256">
        <f>AI102*(1+'Driver PIB'!AJ$2)</f>
        <v>0</v>
      </c>
      <c r="AK102" s="377"/>
    </row>
    <row r="103" spans="1:37" ht="14.25" customHeight="1">
      <c r="A103" s="619"/>
      <c r="B103" s="618"/>
      <c r="C103" s="259" t="s">
        <v>359</v>
      </c>
      <c r="D103" s="256">
        <f>'Copia de Electricidad'!D363*1000*'Demandas Cálculos Driver PIB'!$E$110</f>
        <v>0</v>
      </c>
      <c r="E103" s="256">
        <f>'Copia de Electricidad'!E363*1000*'Demandas Cálculos Driver PIB'!$E$110</f>
        <v>0</v>
      </c>
      <c r="F103" s="256">
        <f>'Copia de Electricidad'!F363*1000*'Demandas Cálculos Driver PIB'!$E$110</f>
        <v>0</v>
      </c>
      <c r="G103" s="256">
        <f>'Copia de Electricidad'!G363*1000*'Demandas Cálculos Driver PIB'!$E$110</f>
        <v>0</v>
      </c>
      <c r="H103" s="256">
        <f>G103*(1+'Driver PIB'!H$2)</f>
        <v>0</v>
      </c>
      <c r="I103" s="256">
        <f>H103*(1+'Driver PIB'!I$2)</f>
        <v>0</v>
      </c>
      <c r="J103" s="256">
        <f>I103*(1+'Driver PIB'!J$2)</f>
        <v>0</v>
      </c>
      <c r="K103" s="256">
        <f>J103*(1+'Driver PIB'!K$2)</f>
        <v>0</v>
      </c>
      <c r="L103" s="256">
        <f>K103*(1+'Driver PIB'!L$2)</f>
        <v>0</v>
      </c>
      <c r="M103" s="256">
        <f>L103*(1+'Driver PIB'!M$2)</f>
        <v>0</v>
      </c>
      <c r="N103" s="256">
        <f>M103*(1+'Driver PIB'!N$2)</f>
        <v>0</v>
      </c>
      <c r="O103" s="256">
        <f>N103*(1+'Driver PIB'!O$2)</f>
        <v>0</v>
      </c>
      <c r="P103" s="256">
        <f>O103*(1+'Driver PIB'!P$2)</f>
        <v>0</v>
      </c>
      <c r="Q103" s="256">
        <f>P103*(1+'Driver PIB'!Q$2)</f>
        <v>0</v>
      </c>
      <c r="R103" s="256">
        <f>Q103*(1+'Driver PIB'!R$2)</f>
        <v>0</v>
      </c>
      <c r="S103" s="256">
        <f>R103*(1+'Driver PIB'!S$2)</f>
        <v>0</v>
      </c>
      <c r="T103" s="256">
        <f>S103*(1+'Driver PIB'!T$2)</f>
        <v>0</v>
      </c>
      <c r="U103" s="256">
        <f>T103*(1+'Driver PIB'!U$2)</f>
        <v>0</v>
      </c>
      <c r="V103" s="256">
        <f>U103*(1+'Driver PIB'!V$2)</f>
        <v>0</v>
      </c>
      <c r="W103" s="256">
        <f>V103*(1+'Driver PIB'!W$2)</f>
        <v>0</v>
      </c>
      <c r="X103" s="256">
        <f>W103*(1+'Driver PIB'!X$2)</f>
        <v>0</v>
      </c>
      <c r="Y103" s="256">
        <f>X103*(1+'Driver PIB'!Y$2)</f>
        <v>0</v>
      </c>
      <c r="Z103" s="256">
        <f>Y103*(1+'Driver PIB'!Z$2)</f>
        <v>0</v>
      </c>
      <c r="AA103" s="256">
        <f>Z103*(1+'Driver PIB'!AA$2)</f>
        <v>0</v>
      </c>
      <c r="AB103" s="256">
        <f>AA103*(1+'Driver PIB'!AB$2)</f>
        <v>0</v>
      </c>
      <c r="AC103" s="256">
        <f>AB103*(1+'Driver PIB'!AC$2)</f>
        <v>0</v>
      </c>
      <c r="AD103" s="256">
        <f>AC103*(1+'Driver PIB'!AD$2)</f>
        <v>0</v>
      </c>
      <c r="AE103" s="256">
        <f>AD103*(1+'Driver PIB'!AE$2)</f>
        <v>0</v>
      </c>
      <c r="AF103" s="256">
        <f>AE103*(1+'Driver PIB'!AF$2)</f>
        <v>0</v>
      </c>
      <c r="AG103" s="256">
        <f>AF103*(1+'Driver PIB'!AG$2)</f>
        <v>0</v>
      </c>
      <c r="AH103" s="256">
        <f>AG103*(1+'Driver PIB'!AH$2)</f>
        <v>0</v>
      </c>
      <c r="AI103" s="256">
        <f>AH103*(1+'Driver PIB'!AI$2)</f>
        <v>0</v>
      </c>
      <c r="AJ103" s="256">
        <f>AI103*(1+'Driver PIB'!AJ$2)</f>
        <v>0</v>
      </c>
      <c r="AK103" s="377"/>
    </row>
    <row r="104" spans="1:37" ht="14.25" customHeight="1">
      <c r="A104" s="619"/>
      <c r="B104" s="618"/>
      <c r="C104" s="259" t="s">
        <v>360</v>
      </c>
      <c r="D104" s="256">
        <f>'Copia de Electricidad'!D364*1000*'Demandas Cálculos Driver PIB'!$E$110</f>
        <v>4.2203500999999997E-2</v>
      </c>
      <c r="E104" s="256">
        <f>'Copia de Electricidad'!E364*1000*'Demandas Cálculos Driver PIB'!$E$110</f>
        <v>4.2833403999999999E-2</v>
      </c>
      <c r="F104" s="256">
        <f>'Copia de Electricidad'!F364*1000*'Demandas Cálculos Driver PIB'!$E$110</f>
        <v>4.2203500999999997E-2</v>
      </c>
      <c r="G104" s="256">
        <f>'Copia de Electricidad'!G364*1000*'Demandas Cálculos Driver PIB'!$E$110</f>
        <v>4.2833403999999999E-2</v>
      </c>
      <c r="H104" s="256">
        <f>G104*(1+'Driver PIB'!H$2)</f>
        <v>4.4136616278710239E-2</v>
      </c>
      <c r="I104" s="256">
        <f>H104*(1+'Driver PIB'!I$2)</f>
        <v>4.5278706717462085E-2</v>
      </c>
      <c r="J104" s="256">
        <f>I104*(1+'Driver PIB'!J$2)</f>
        <v>4.6577004547484459E-2</v>
      </c>
      <c r="K104" s="256">
        <f>J104*(1+'Driver PIB'!K$2)</f>
        <v>4.7966681605243144E-2</v>
      </c>
      <c r="L104" s="256">
        <f>K104*(1+'Driver PIB'!L$2)</f>
        <v>4.9437655246235473E-2</v>
      </c>
      <c r="M104" s="256">
        <f>L104*(1+'Driver PIB'!M$2)</f>
        <v>5.0751099078833864E-2</v>
      </c>
      <c r="N104" s="256">
        <f>M104*(1+'Driver PIB'!N$2)</f>
        <v>5.2200542271848414E-2</v>
      </c>
      <c r="O104" s="256">
        <f>N104*(1+'Driver PIB'!O$2)</f>
        <v>5.3351859523582165E-2</v>
      </c>
      <c r="P104" s="256">
        <f>O104*(1+'Driver PIB'!P$2)</f>
        <v>5.4627773934964291E-2</v>
      </c>
      <c r="Q104" s="256">
        <f>P104*(1+'Driver PIB'!Q$2)</f>
        <v>5.6363457992818174E-2</v>
      </c>
      <c r="R104" s="256">
        <f>Q104*(1+'Driver PIB'!R$2)</f>
        <v>5.7759093862533022E-2</v>
      </c>
      <c r="S104" s="256">
        <f>R104*(1+'Driver PIB'!S$2)</f>
        <v>5.9434483221728319E-2</v>
      </c>
      <c r="T104" s="256">
        <f>S104*(1+'Driver PIB'!T$2)</f>
        <v>6.0846458723612065E-2</v>
      </c>
      <c r="U104" s="256">
        <f>T104*(1+'Driver PIB'!U$2)</f>
        <v>6.2290555189806217E-2</v>
      </c>
      <c r="V104" s="256">
        <f>U104*(1+'Driver PIB'!V$2)</f>
        <v>6.388679538973123E-2</v>
      </c>
      <c r="W104" s="256">
        <f>V104*(1+'Driver PIB'!W$2)</f>
        <v>6.5341972554835925E-2</v>
      </c>
      <c r="X104" s="256">
        <f>W104*(1+'Driver PIB'!X$2)</f>
        <v>6.6878287120845592E-2</v>
      </c>
      <c r="Y104" s="256">
        <f>X104*(1+'Driver PIB'!Y$2)</f>
        <v>6.8569963584431751E-2</v>
      </c>
      <c r="Z104" s="256">
        <f>Y104*(1+'Driver PIB'!Z$2)</f>
        <v>7.0133154430470801E-2</v>
      </c>
      <c r="AA104" s="256">
        <f>Z104*(1+'Driver PIB'!AA$2)</f>
        <v>7.1739683218078901E-2</v>
      </c>
      <c r="AB104" s="256">
        <f>AA104*(1+'Driver PIB'!AB$2)</f>
        <v>7.3343829317205914E-2</v>
      </c>
      <c r="AC104" s="256">
        <f>AB104*(1+'Driver PIB'!AC$2)</f>
        <v>7.4632522418681374E-2</v>
      </c>
      <c r="AD104" s="256">
        <f>AC104*(1+'Driver PIB'!AD$2)</f>
        <v>7.6273936544158177E-2</v>
      </c>
      <c r="AE104" s="256">
        <f>AD104*(1+'Driver PIB'!AE$2)</f>
        <v>7.7697654254881329E-2</v>
      </c>
      <c r="AF104" s="256">
        <f>AE104*(1+'Driver PIB'!AF$2)</f>
        <v>7.9479704089350706E-2</v>
      </c>
      <c r="AG104" s="256">
        <f>AF104*(1+'Driver PIB'!AG$2)</f>
        <v>8.0950317057901511E-2</v>
      </c>
      <c r="AH104" s="256">
        <f>AG104*(1+'Driver PIB'!AH$2)</f>
        <v>8.2406706955185399E-2</v>
      </c>
      <c r="AI104" s="256">
        <f>AH104*(1+'Driver PIB'!AI$2)</f>
        <v>8.3916659756615178E-2</v>
      </c>
      <c r="AJ104" s="256">
        <f>AI104*(1+'Driver PIB'!AJ$2)</f>
        <v>8.5437958068646264E-2</v>
      </c>
      <c r="AK104" s="377"/>
    </row>
    <row r="105" spans="1:37" ht="14.25" customHeight="1">
      <c r="A105" s="619"/>
      <c r="B105" s="618"/>
      <c r="C105" s="259" t="s">
        <v>362</v>
      </c>
      <c r="D105" s="256">
        <f>'Copia de Electricidad'!D365*1000*'Demandas Cálculos Driver PIB'!$E$110</f>
        <v>0</v>
      </c>
      <c r="E105" s="256">
        <f>'Copia de Electricidad'!E365*1000*'Demandas Cálculos Driver PIB'!$E$110</f>
        <v>0</v>
      </c>
      <c r="F105" s="256">
        <f>'Copia de Electricidad'!F365*1000*'Demandas Cálculos Driver PIB'!$E$110</f>
        <v>0</v>
      </c>
      <c r="G105" s="256">
        <f>'Copia de Electricidad'!G365*1000*'Demandas Cálculos Driver PIB'!$E$110</f>
        <v>0</v>
      </c>
      <c r="H105" s="256">
        <f>G105*(1+'Driver PIB'!H$2)</f>
        <v>0</v>
      </c>
      <c r="I105" s="256">
        <f>H105*(1+'Driver PIB'!I$2)</f>
        <v>0</v>
      </c>
      <c r="J105" s="256">
        <f>I105*(1+'Driver PIB'!J$2)</f>
        <v>0</v>
      </c>
      <c r="K105" s="256">
        <f>J105*(1+'Driver PIB'!K$2)</f>
        <v>0</v>
      </c>
      <c r="L105" s="256">
        <f>K105*(1+'Driver PIB'!L$2)</f>
        <v>0</v>
      </c>
      <c r="M105" s="256">
        <f>L105*(1+'Driver PIB'!M$2)</f>
        <v>0</v>
      </c>
      <c r="N105" s="256">
        <f>M105*(1+'Driver PIB'!N$2)</f>
        <v>0</v>
      </c>
      <c r="O105" s="256">
        <f>N105*(1+'Driver PIB'!O$2)</f>
        <v>0</v>
      </c>
      <c r="P105" s="256">
        <f>O105*(1+'Driver PIB'!P$2)</f>
        <v>0</v>
      </c>
      <c r="Q105" s="256">
        <f>P105*(1+'Driver PIB'!Q$2)</f>
        <v>0</v>
      </c>
      <c r="R105" s="256">
        <f>Q105*(1+'Driver PIB'!R$2)</f>
        <v>0</v>
      </c>
      <c r="S105" s="256">
        <f>R105*(1+'Driver PIB'!S$2)</f>
        <v>0</v>
      </c>
      <c r="T105" s="256">
        <f>S105*(1+'Driver PIB'!T$2)</f>
        <v>0</v>
      </c>
      <c r="U105" s="256">
        <f>T105*(1+'Driver PIB'!U$2)</f>
        <v>0</v>
      </c>
      <c r="V105" s="256">
        <f>U105*(1+'Driver PIB'!V$2)</f>
        <v>0</v>
      </c>
      <c r="W105" s="256">
        <f>V105*(1+'Driver PIB'!W$2)</f>
        <v>0</v>
      </c>
      <c r="X105" s="256">
        <f>W105*(1+'Driver PIB'!X$2)</f>
        <v>0</v>
      </c>
      <c r="Y105" s="256">
        <f>X105*(1+'Driver PIB'!Y$2)</f>
        <v>0</v>
      </c>
      <c r="Z105" s="256">
        <f>Y105*(1+'Driver PIB'!Z$2)</f>
        <v>0</v>
      </c>
      <c r="AA105" s="256">
        <f>Z105*(1+'Driver PIB'!AA$2)</f>
        <v>0</v>
      </c>
      <c r="AB105" s="256">
        <f>AA105*(1+'Driver PIB'!AB$2)</f>
        <v>0</v>
      </c>
      <c r="AC105" s="256">
        <f>AB105*(1+'Driver PIB'!AC$2)</f>
        <v>0</v>
      </c>
      <c r="AD105" s="256">
        <f>AC105*(1+'Driver PIB'!AD$2)</f>
        <v>0</v>
      </c>
      <c r="AE105" s="256">
        <f>AD105*(1+'Driver PIB'!AE$2)</f>
        <v>0</v>
      </c>
      <c r="AF105" s="256">
        <f>AE105*(1+'Driver PIB'!AF$2)</f>
        <v>0</v>
      </c>
      <c r="AG105" s="256">
        <f>AF105*(1+'Driver PIB'!AG$2)</f>
        <v>0</v>
      </c>
      <c r="AH105" s="256">
        <f>AG105*(1+'Driver PIB'!AH$2)</f>
        <v>0</v>
      </c>
      <c r="AI105" s="256">
        <f>AH105*(1+'Driver PIB'!AI$2)</f>
        <v>0</v>
      </c>
      <c r="AJ105" s="256">
        <f>AI105*(1+'Driver PIB'!AJ$2)</f>
        <v>0</v>
      </c>
      <c r="AK105" s="377"/>
    </row>
    <row r="106" spans="1:37" ht="14.25" customHeight="1">
      <c r="A106" s="619"/>
      <c r="B106" s="618"/>
      <c r="C106" s="259" t="s">
        <v>363</v>
      </c>
      <c r="D106" s="256">
        <f>'Copia de Electricidad'!D366*1000*'Demandas Cálculos Driver PIB'!$E$110</f>
        <v>0</v>
      </c>
      <c r="E106" s="256">
        <f>'Copia de Electricidad'!E366*1000*'Demandas Cálculos Driver PIB'!$E$110</f>
        <v>0</v>
      </c>
      <c r="F106" s="256">
        <f>'Copia de Electricidad'!F366*1000*'Demandas Cálculos Driver PIB'!$E$110</f>
        <v>0</v>
      </c>
      <c r="G106" s="256">
        <f>'Copia de Electricidad'!G366*1000*'Demandas Cálculos Driver PIB'!$E$110</f>
        <v>0</v>
      </c>
      <c r="H106" s="256">
        <f>G106*(1+'Driver PIB'!H$2)</f>
        <v>0</v>
      </c>
      <c r="I106" s="256">
        <f>H106*(1+'Driver PIB'!I$2)</f>
        <v>0</v>
      </c>
      <c r="J106" s="256">
        <f>I106*(1+'Driver PIB'!J$2)</f>
        <v>0</v>
      </c>
      <c r="K106" s="256">
        <f>J106*(1+'Driver PIB'!K$2)</f>
        <v>0</v>
      </c>
      <c r="L106" s="256">
        <f>K106*(1+'Driver PIB'!L$2)</f>
        <v>0</v>
      </c>
      <c r="M106" s="256">
        <f>L106*(1+'Driver PIB'!M$2)</f>
        <v>0</v>
      </c>
      <c r="N106" s="256">
        <f>M106*(1+'Driver PIB'!N$2)</f>
        <v>0</v>
      </c>
      <c r="O106" s="256">
        <f>N106*(1+'Driver PIB'!O$2)</f>
        <v>0</v>
      </c>
      <c r="P106" s="256">
        <f>O106*(1+'Driver PIB'!P$2)</f>
        <v>0</v>
      </c>
      <c r="Q106" s="256">
        <f>P106*(1+'Driver PIB'!Q$2)</f>
        <v>0</v>
      </c>
      <c r="R106" s="256">
        <f>Q106*(1+'Driver PIB'!R$2)</f>
        <v>0</v>
      </c>
      <c r="S106" s="256">
        <f>R106*(1+'Driver PIB'!S$2)</f>
        <v>0</v>
      </c>
      <c r="T106" s="256">
        <f>S106*(1+'Driver PIB'!T$2)</f>
        <v>0</v>
      </c>
      <c r="U106" s="256">
        <f>T106*(1+'Driver PIB'!U$2)</f>
        <v>0</v>
      </c>
      <c r="V106" s="256">
        <f>U106*(1+'Driver PIB'!V$2)</f>
        <v>0</v>
      </c>
      <c r="W106" s="256">
        <f>V106*(1+'Driver PIB'!W$2)</f>
        <v>0</v>
      </c>
      <c r="X106" s="256">
        <f>W106*(1+'Driver PIB'!X$2)</f>
        <v>0</v>
      </c>
      <c r="Y106" s="256">
        <f>X106*(1+'Driver PIB'!Y$2)</f>
        <v>0</v>
      </c>
      <c r="Z106" s="256">
        <f>Y106*(1+'Driver PIB'!Z$2)</f>
        <v>0</v>
      </c>
      <c r="AA106" s="256">
        <f>Z106*(1+'Driver PIB'!AA$2)</f>
        <v>0</v>
      </c>
      <c r="AB106" s="256">
        <f>AA106*(1+'Driver PIB'!AB$2)</f>
        <v>0</v>
      </c>
      <c r="AC106" s="256">
        <f>AB106*(1+'Driver PIB'!AC$2)</f>
        <v>0</v>
      </c>
      <c r="AD106" s="256">
        <f>AC106*(1+'Driver PIB'!AD$2)</f>
        <v>0</v>
      </c>
      <c r="AE106" s="256">
        <f>AD106*(1+'Driver PIB'!AE$2)</f>
        <v>0</v>
      </c>
      <c r="AF106" s="256">
        <f>AE106*(1+'Driver PIB'!AF$2)</f>
        <v>0</v>
      </c>
      <c r="AG106" s="256">
        <f>AF106*(1+'Driver PIB'!AG$2)</f>
        <v>0</v>
      </c>
      <c r="AH106" s="256">
        <f>AG106*(1+'Driver PIB'!AH$2)</f>
        <v>0</v>
      </c>
      <c r="AI106" s="256">
        <f>AH106*(1+'Driver PIB'!AI$2)</f>
        <v>0</v>
      </c>
      <c r="AJ106" s="256">
        <f>AI106*(1+'Driver PIB'!AJ$2)</f>
        <v>0</v>
      </c>
      <c r="AK106" s="377"/>
    </row>
    <row r="107" spans="1:37" ht="14.25" customHeight="1">
      <c r="A107" s="3"/>
      <c r="B107" s="536"/>
      <c r="C107" s="281" t="s">
        <v>13</v>
      </c>
      <c r="D107" s="332">
        <f>'Copia de Electricidad'!D367*1000*'Demandas Cálculos Driver PIB'!$E$110</f>
        <v>97.211040280999995</v>
      </c>
      <c r="E107" s="332">
        <f>'Copia de Electricidad'!E367*1000*'Demandas Cálculos Driver PIB'!$E$110</f>
        <v>100.754874559</v>
      </c>
      <c r="F107" s="332">
        <f>'Copia de Electricidad'!F367*1000*'Demandas Cálculos Driver PIB'!$E$110</f>
        <v>99.202163664000011</v>
      </c>
      <c r="G107" s="332">
        <f>'Copia de Electricidad'!G367*1000*'Demandas Cálculos Driver PIB'!$E$110</f>
        <v>105.258051106</v>
      </c>
      <c r="H107" s="332">
        <f t="shared" ref="H107:AJ107" si="7">SUM(H97:H101)</f>
        <v>108.41640534556008</v>
      </c>
      <c r="I107" s="332">
        <f t="shared" si="7"/>
        <v>111.22181614477297</v>
      </c>
      <c r="J107" s="332">
        <f t="shared" si="7"/>
        <v>114.41093202330174</v>
      </c>
      <c r="K107" s="332">
        <f t="shared" si="7"/>
        <v>117.8245102242674</v>
      </c>
      <c r="L107" s="332">
        <f t="shared" si="7"/>
        <v>121.43778391764256</v>
      </c>
      <c r="M107" s="332">
        <f t="shared" si="7"/>
        <v>124.66410416961668</v>
      </c>
      <c r="N107" s="332">
        <f t="shared" si="7"/>
        <v>128.22449085052835</v>
      </c>
      <c r="O107" s="332">
        <f t="shared" si="7"/>
        <v>131.05256623032389</v>
      </c>
      <c r="P107" s="332">
        <f t="shared" si="7"/>
        <v>134.18669987430627</v>
      </c>
      <c r="Q107" s="332">
        <f t="shared" si="7"/>
        <v>138.45020356429984</v>
      </c>
      <c r="R107" s="332">
        <f t="shared" si="7"/>
        <v>141.87841888579908</v>
      </c>
      <c r="S107" s="332">
        <f t="shared" si="7"/>
        <v>145.99381574203184</v>
      </c>
      <c r="T107" s="332">
        <f t="shared" si="7"/>
        <v>149.46216744764436</v>
      </c>
      <c r="U107" s="332">
        <f t="shared" si="7"/>
        <v>153.00942052314841</v>
      </c>
      <c r="V107" s="332">
        <f t="shared" si="7"/>
        <v>156.93039678129946</v>
      </c>
      <c r="W107" s="332">
        <f t="shared" si="7"/>
        <v>160.50486829006562</v>
      </c>
      <c r="X107" s="332">
        <f t="shared" si="7"/>
        <v>164.27864427857827</v>
      </c>
      <c r="Y107" s="332">
        <f t="shared" si="7"/>
        <v>168.43404849061724</v>
      </c>
      <c r="Z107" s="332">
        <f t="shared" si="7"/>
        <v>172.27384289910674</v>
      </c>
      <c r="AA107" s="332">
        <f t="shared" si="7"/>
        <v>176.22009186247925</v>
      </c>
      <c r="AB107" s="332">
        <f t="shared" si="7"/>
        <v>180.16048803191427</v>
      </c>
      <c r="AC107" s="332">
        <f t="shared" si="7"/>
        <v>183.32601102473561</v>
      </c>
      <c r="AD107" s="332">
        <f t="shared" si="7"/>
        <v>187.35795171642525</v>
      </c>
      <c r="AE107" s="332">
        <f t="shared" si="7"/>
        <v>190.85514677661541</v>
      </c>
      <c r="AF107" s="332">
        <f t="shared" si="7"/>
        <v>195.23254254206773</v>
      </c>
      <c r="AG107" s="332">
        <f t="shared" si="7"/>
        <v>198.84493028602239</v>
      </c>
      <c r="AH107" s="332">
        <f t="shared" si="7"/>
        <v>202.42238072871234</v>
      </c>
      <c r="AI107" s="332">
        <f t="shared" si="7"/>
        <v>206.13140214391854</v>
      </c>
      <c r="AJ107" s="332">
        <f t="shared" si="7"/>
        <v>209.86829247115091</v>
      </c>
      <c r="AK107" s="537"/>
    </row>
    <row r="108" spans="1:37" ht="14.25" customHeight="1">
      <c r="A108" s="1"/>
      <c r="B108" s="1"/>
      <c r="C108" s="1"/>
      <c r="D108" s="15"/>
      <c r="E108" s="15"/>
      <c r="F108" s="15"/>
      <c r="G108" s="15"/>
      <c r="H108" s="1"/>
      <c r="I108" s="1"/>
      <c r="J108" s="1"/>
      <c r="K108" s="15"/>
      <c r="L108" s="1"/>
      <c r="M108" s="1"/>
      <c r="N108" s="1"/>
      <c r="O108" s="1"/>
      <c r="P108" s="15"/>
      <c r="Q108" s="1"/>
      <c r="R108" s="1"/>
      <c r="S108" s="1"/>
      <c r="T108" s="1"/>
      <c r="U108" s="15"/>
      <c r="V108" s="1"/>
      <c r="W108" s="1"/>
      <c r="X108" s="1"/>
      <c r="Y108" s="1"/>
      <c r="Z108" s="15"/>
      <c r="AA108" s="1"/>
      <c r="AB108" s="1"/>
      <c r="AC108" s="1"/>
      <c r="AD108" s="1"/>
      <c r="AE108" s="15"/>
      <c r="AF108" s="1"/>
      <c r="AG108" s="1"/>
      <c r="AH108" s="1"/>
      <c r="AI108" s="1"/>
      <c r="AJ108" s="15"/>
      <c r="AK108" s="1"/>
    </row>
    <row r="109" spans="1:37" ht="14.25" customHeight="1">
      <c r="A109" s="1"/>
      <c r="B109" s="619"/>
      <c r="C109" s="12" t="s">
        <v>95</v>
      </c>
      <c r="D109" s="15"/>
      <c r="E109" s="15"/>
      <c r="F109" s="15"/>
      <c r="G109" s="15"/>
      <c r="H109" s="1"/>
      <c r="I109" s="1"/>
      <c r="J109" s="1"/>
      <c r="K109" s="15"/>
      <c r="L109" s="1"/>
      <c r="M109" s="1"/>
      <c r="N109" s="1"/>
      <c r="O109" s="1"/>
      <c r="P109" s="15"/>
      <c r="Q109" s="1"/>
      <c r="R109" s="1"/>
      <c r="S109" s="1"/>
      <c r="T109" s="1"/>
      <c r="U109" s="15"/>
      <c r="V109" s="1"/>
      <c r="W109" s="1"/>
      <c r="X109" s="1"/>
      <c r="Y109" s="1"/>
      <c r="Z109" s="15"/>
      <c r="AA109" s="1"/>
      <c r="AB109" s="1"/>
      <c r="AC109" s="1"/>
      <c r="AD109" s="1"/>
      <c r="AE109" s="15"/>
      <c r="AF109" s="1"/>
      <c r="AG109" s="1"/>
      <c r="AH109" s="1"/>
      <c r="AI109" s="1"/>
      <c r="AJ109" s="15"/>
      <c r="AK109" s="1"/>
    </row>
    <row r="110" spans="1:37" ht="14.25" customHeight="1">
      <c r="A110" s="1"/>
      <c r="B110" s="619">
        <v>1</v>
      </c>
      <c r="C110" s="442" t="s">
        <v>752</v>
      </c>
      <c r="D110" s="1">
        <v>1</v>
      </c>
      <c r="E110" s="1">
        <v>6.2990299999999997E-6</v>
      </c>
      <c r="F110" s="15"/>
      <c r="G110" s="15"/>
      <c r="H110" s="1"/>
      <c r="I110" s="1"/>
      <c r="J110" s="1"/>
      <c r="K110" s="15"/>
      <c r="L110" s="1"/>
      <c r="M110" s="1"/>
      <c r="N110" s="1"/>
      <c r="O110" s="1"/>
      <c r="P110" s="15"/>
      <c r="Q110" s="1"/>
      <c r="R110" s="1"/>
      <c r="S110" s="1"/>
      <c r="T110" s="1"/>
      <c r="U110" s="15"/>
      <c r="V110" s="1"/>
      <c r="W110" s="1"/>
      <c r="X110" s="1"/>
      <c r="Y110" s="1"/>
      <c r="Z110" s="15"/>
      <c r="AA110" s="1"/>
      <c r="AB110" s="1"/>
      <c r="AC110" s="1"/>
      <c r="AD110" s="1"/>
      <c r="AE110" s="15"/>
      <c r="AF110" s="1"/>
      <c r="AG110" s="1"/>
      <c r="AH110" s="1"/>
      <c r="AI110" s="1"/>
      <c r="AJ110" s="15"/>
      <c r="AK110" s="1"/>
    </row>
    <row r="111" spans="1:37" ht="14.25" customHeight="1">
      <c r="A111" s="1"/>
      <c r="B111" s="1"/>
      <c r="C111" s="619"/>
      <c r="D111" s="4"/>
      <c r="E111" s="15"/>
      <c r="F111" s="15"/>
      <c r="G111" s="15"/>
      <c r="H111" s="1"/>
      <c r="I111" s="1"/>
      <c r="J111" s="1"/>
      <c r="K111" s="15"/>
      <c r="L111" s="1"/>
      <c r="M111" s="1"/>
      <c r="N111" s="1"/>
      <c r="O111" s="1"/>
      <c r="P111" s="15"/>
      <c r="Q111" s="1"/>
      <c r="R111" s="1"/>
      <c r="S111" s="1"/>
      <c r="T111" s="1"/>
      <c r="U111" s="15"/>
      <c r="V111" s="1"/>
      <c r="W111" s="1"/>
      <c r="X111" s="1"/>
      <c r="Y111" s="1"/>
      <c r="Z111" s="15"/>
      <c r="AA111" s="1"/>
      <c r="AB111" s="1"/>
      <c r="AC111" s="1"/>
      <c r="AD111" s="1"/>
      <c r="AE111" s="15"/>
      <c r="AF111" s="1"/>
      <c r="AG111" s="1"/>
      <c r="AH111" s="1"/>
      <c r="AI111" s="1"/>
      <c r="AJ111" s="15"/>
      <c r="AK111" s="1"/>
    </row>
    <row r="112" spans="1:37" ht="14.25" customHeight="1">
      <c r="A112" s="1"/>
      <c r="B112" s="138">
        <v>2</v>
      </c>
      <c r="C112" s="4" t="s">
        <v>753</v>
      </c>
      <c r="D112" s="15"/>
      <c r="E112" s="15"/>
      <c r="F112" s="15"/>
      <c r="G112" s="15"/>
      <c r="H112" s="1"/>
      <c r="I112" s="1"/>
      <c r="J112" s="1"/>
      <c r="K112" s="15"/>
      <c r="L112" s="1"/>
      <c r="M112" s="1"/>
      <c r="N112" s="1"/>
      <c r="O112" s="1"/>
      <c r="P112" s="15"/>
      <c r="Q112" s="1"/>
      <c r="R112" s="1"/>
      <c r="S112" s="1"/>
      <c r="T112" s="1"/>
      <c r="U112" s="15"/>
      <c r="V112" s="1"/>
      <c r="W112" s="1"/>
      <c r="X112" s="1"/>
      <c r="Y112" s="1"/>
      <c r="Z112" s="15"/>
      <c r="AA112" s="1"/>
      <c r="AB112" s="1"/>
      <c r="AC112" s="1"/>
      <c r="AD112" s="1"/>
      <c r="AE112" s="15"/>
      <c r="AF112" s="1"/>
      <c r="AG112" s="1"/>
      <c r="AH112" s="1"/>
      <c r="AI112" s="1"/>
      <c r="AJ112" s="15"/>
      <c r="AK112" s="1"/>
    </row>
    <row r="113" spans="1:37" ht="14.25" customHeight="1">
      <c r="A113" s="1"/>
      <c r="B113" s="1"/>
      <c r="C113" s="1"/>
      <c r="D113" s="15"/>
      <c r="E113" s="15"/>
      <c r="F113" s="15"/>
      <c r="G113" s="15"/>
      <c r="H113" s="1"/>
      <c r="I113" s="1"/>
      <c r="J113" s="1"/>
      <c r="K113" s="15"/>
      <c r="L113" s="1"/>
      <c r="M113" s="1"/>
      <c r="N113" s="1"/>
      <c r="O113" s="1"/>
      <c r="P113" s="15"/>
      <c r="Q113" s="1"/>
      <c r="R113" s="1"/>
      <c r="S113" s="1"/>
      <c r="T113" s="1"/>
      <c r="U113" s="15"/>
      <c r="V113" s="1"/>
      <c r="W113" s="1"/>
      <c r="X113" s="1"/>
      <c r="Y113" s="1"/>
      <c r="Z113" s="15"/>
      <c r="AA113" s="1"/>
      <c r="AB113" s="1"/>
      <c r="AC113" s="1"/>
      <c r="AD113" s="1"/>
      <c r="AE113" s="15"/>
      <c r="AF113" s="1"/>
      <c r="AG113" s="1"/>
      <c r="AH113" s="1"/>
      <c r="AI113" s="1"/>
      <c r="AJ113" s="15"/>
      <c r="AK113" s="1"/>
    </row>
    <row r="114" spans="1:37" ht="14.25" customHeight="1">
      <c r="A114" s="619"/>
      <c r="B114" s="155"/>
      <c r="C114" s="355"/>
      <c r="D114" s="157"/>
      <c r="E114" s="157"/>
      <c r="F114" s="157"/>
      <c r="G114" s="157"/>
      <c r="H114" s="143"/>
      <c r="I114" s="143"/>
      <c r="J114" s="143"/>
      <c r="K114" s="143"/>
      <c r="L114" s="143"/>
      <c r="M114" s="143"/>
      <c r="N114" s="143"/>
      <c r="O114" s="143"/>
      <c r="P114" s="143"/>
      <c r="Q114" s="143"/>
      <c r="R114" s="143"/>
      <c r="S114" s="143"/>
      <c r="T114" s="143"/>
      <c r="U114" s="143"/>
      <c r="V114" s="143"/>
      <c r="W114" s="143"/>
      <c r="X114" s="143"/>
      <c r="Y114" s="143"/>
      <c r="Z114" s="143"/>
      <c r="AA114" s="143"/>
      <c r="AB114" s="143"/>
      <c r="AC114" s="143"/>
      <c r="AD114" s="143"/>
      <c r="AE114" s="143"/>
      <c r="AF114" s="143"/>
      <c r="AG114" s="143"/>
      <c r="AH114" s="143"/>
      <c r="AI114" s="143"/>
      <c r="AJ114" s="143"/>
      <c r="AK114" s="142"/>
    </row>
    <row r="115" spans="1:37" ht="14.25" customHeight="1">
      <c r="A115" s="3"/>
      <c r="B115" s="202"/>
      <c r="C115" s="160" t="s">
        <v>57</v>
      </c>
      <c r="D115" s="492"/>
      <c r="E115" s="492"/>
      <c r="F115" s="492"/>
      <c r="G115" s="492"/>
      <c r="H115" s="620"/>
      <c r="I115" s="620"/>
      <c r="J115" s="620"/>
      <c r="K115" s="620"/>
      <c r="L115" s="620"/>
      <c r="M115" s="620"/>
      <c r="N115" s="620"/>
      <c r="O115" s="620"/>
      <c r="P115" s="620"/>
      <c r="Q115" s="620"/>
      <c r="R115" s="620"/>
      <c r="S115" s="620"/>
      <c r="T115" s="620"/>
      <c r="U115" s="620"/>
      <c r="V115" s="620"/>
      <c r="W115" s="620"/>
      <c r="X115" s="620"/>
      <c r="Y115" s="620"/>
      <c r="Z115" s="620"/>
      <c r="AA115" s="620"/>
      <c r="AB115" s="620"/>
      <c r="AC115" s="620"/>
      <c r="AD115" s="620"/>
      <c r="AE115" s="620"/>
      <c r="AF115" s="620"/>
      <c r="AG115" s="620"/>
      <c r="AH115" s="620"/>
      <c r="AI115" s="620"/>
      <c r="AJ115" s="620"/>
      <c r="AK115" s="473"/>
    </row>
    <row r="116" spans="1:37" ht="14.25" customHeight="1">
      <c r="A116" s="619">
        <v>1</v>
      </c>
      <c r="B116" s="155"/>
      <c r="C116" s="164" t="s">
        <v>28</v>
      </c>
      <c r="D116" s="181">
        <f>'Copia de Combustibles'!D130*1000*'Demandas Cálculos Driver PIB'!$E$110</f>
        <v>817.86266992881019</v>
      </c>
      <c r="E116" s="181">
        <f>'Copia de Combustibles'!E130*1000*'Demandas Cálculos Driver PIB'!$E$110</f>
        <v>864.56370108131648</v>
      </c>
      <c r="F116" s="181">
        <f>'Copia de Combustibles'!F130*1000*'Demandas Cálculos Driver PIB'!$E$110</f>
        <v>797.65886338347275</v>
      </c>
      <c r="G116" s="181">
        <f>'Copia de Combustibles'!G130*1000*'Demandas Cálculos Driver PIB'!$E$110</f>
        <v>740.90919989601377</v>
      </c>
      <c r="H116" s="256">
        <v>740.90919989601377</v>
      </c>
      <c r="I116" s="256">
        <v>740.90919989601377</v>
      </c>
      <c r="J116" s="256">
        <v>740.90919989601377</v>
      </c>
      <c r="K116" s="256">
        <v>740.90919989601377</v>
      </c>
      <c r="L116" s="256">
        <v>740.90919989601377</v>
      </c>
      <c r="M116" s="256">
        <v>740.90919989601377</v>
      </c>
      <c r="N116" s="256">
        <v>740.90919989601377</v>
      </c>
      <c r="O116" s="256">
        <v>740.90919989601377</v>
      </c>
      <c r="P116" s="256">
        <v>740.90919989601377</v>
      </c>
      <c r="Q116" s="256">
        <v>740.90919989601377</v>
      </c>
      <c r="R116" s="256">
        <v>740.90919989601377</v>
      </c>
      <c r="S116" s="256">
        <v>740.90919989601377</v>
      </c>
      <c r="T116" s="256">
        <v>740.90919989601377</v>
      </c>
      <c r="U116" s="256">
        <v>740.90919989601377</v>
      </c>
      <c r="V116" s="256">
        <v>740.90919989601377</v>
      </c>
      <c r="W116" s="256">
        <v>740.90919989601377</v>
      </c>
      <c r="X116" s="256">
        <v>740.90919989601377</v>
      </c>
      <c r="Y116" s="256">
        <v>740.90919989601377</v>
      </c>
      <c r="Z116" s="256">
        <v>740.90919989601377</v>
      </c>
      <c r="AA116" s="256">
        <v>740.90919989601377</v>
      </c>
      <c r="AB116" s="256">
        <v>740.90919989601377</v>
      </c>
      <c r="AC116" s="256">
        <v>740.90919989601377</v>
      </c>
      <c r="AD116" s="256">
        <v>740.90919989601377</v>
      </c>
      <c r="AE116" s="256">
        <v>740.90919989601377</v>
      </c>
      <c r="AF116" s="256">
        <v>740.90919989601377</v>
      </c>
      <c r="AG116" s="256">
        <v>740.90919989601377</v>
      </c>
      <c r="AH116" s="256">
        <v>740.90919989601377</v>
      </c>
      <c r="AI116" s="256">
        <v>740.90919989601377</v>
      </c>
      <c r="AJ116" s="256">
        <v>740.90919989601377</v>
      </c>
      <c r="AK116" s="142"/>
    </row>
    <row r="117" spans="1:37" ht="14.25" customHeight="1">
      <c r="A117" s="619">
        <v>1</v>
      </c>
      <c r="B117" s="155"/>
      <c r="C117" s="164" t="s">
        <v>29</v>
      </c>
      <c r="D117" s="181">
        <f>'Copia de Combustibles'!D131*1000*'Demandas Cálculos Driver PIB'!$E$110</f>
        <v>0</v>
      </c>
      <c r="E117" s="181">
        <f>'Copia de Combustibles'!E131*1000*'Demandas Cálculos Driver PIB'!$E$110</f>
        <v>0.13507113453073524</v>
      </c>
      <c r="F117" s="181">
        <f>'Copia de Combustibles'!F131*1000*'Demandas Cálculos Driver PIB'!$E$110</f>
        <v>0</v>
      </c>
      <c r="G117" s="181">
        <f>'Copia de Combustibles'!G131*1000*'Demandas Cálculos Driver PIB'!$E$110</f>
        <v>4.2699847976134393</v>
      </c>
      <c r="H117" s="256">
        <v>4.2699847976134393</v>
      </c>
      <c r="I117" s="256">
        <v>4.2699847976134393</v>
      </c>
      <c r="J117" s="256">
        <v>4.2699847976134393</v>
      </c>
      <c r="K117" s="256">
        <v>4.2699847976134393</v>
      </c>
      <c r="L117" s="256">
        <v>4.2699847976134393</v>
      </c>
      <c r="M117" s="256">
        <v>4.2699847976134393</v>
      </c>
      <c r="N117" s="256">
        <v>4.2699847976134393</v>
      </c>
      <c r="O117" s="256">
        <v>4.2699847976134393</v>
      </c>
      <c r="P117" s="256">
        <v>4.2699847976134393</v>
      </c>
      <c r="Q117" s="256">
        <v>4.2699847976134393</v>
      </c>
      <c r="R117" s="256">
        <v>4.2699847976134393</v>
      </c>
      <c r="S117" s="256">
        <v>4.2699847976134393</v>
      </c>
      <c r="T117" s="256">
        <v>4.2699847976134393</v>
      </c>
      <c r="U117" s="256">
        <v>4.2699847976134393</v>
      </c>
      <c r="V117" s="256">
        <v>4.2699847976134393</v>
      </c>
      <c r="W117" s="256">
        <v>4.2699847976134393</v>
      </c>
      <c r="X117" s="256">
        <v>4.2699847976134393</v>
      </c>
      <c r="Y117" s="256">
        <v>4.2699847976134393</v>
      </c>
      <c r="Z117" s="256">
        <v>4.2699847976134393</v>
      </c>
      <c r="AA117" s="256">
        <v>4.2699847976134393</v>
      </c>
      <c r="AB117" s="256">
        <v>4.2699847976134393</v>
      </c>
      <c r="AC117" s="256">
        <v>4.2699847976134393</v>
      </c>
      <c r="AD117" s="256">
        <v>4.2699847976134393</v>
      </c>
      <c r="AE117" s="256">
        <v>4.2699847976134393</v>
      </c>
      <c r="AF117" s="256">
        <v>4.2699847976134393</v>
      </c>
      <c r="AG117" s="256">
        <v>4.2699847976134393</v>
      </c>
      <c r="AH117" s="256">
        <v>4.2699847976134393</v>
      </c>
      <c r="AI117" s="256">
        <v>4.2699847976134393</v>
      </c>
      <c r="AJ117" s="256">
        <v>4.2699847976134393</v>
      </c>
      <c r="AK117" s="142"/>
    </row>
    <row r="118" spans="1:37" ht="14.25" customHeight="1">
      <c r="A118" s="619">
        <v>1</v>
      </c>
      <c r="B118" s="155"/>
      <c r="C118" s="164" t="s">
        <v>30</v>
      </c>
      <c r="D118" s="181">
        <f>'Copia de Combustibles'!D132*1000*'Demandas Cálculos Driver PIB'!$E$110</f>
        <v>0</v>
      </c>
      <c r="E118" s="181">
        <f>'Copia de Combustibles'!E132*1000*'Demandas Cálculos Driver PIB'!$E$110</f>
        <v>0.18801816703322061</v>
      </c>
      <c r="F118" s="181">
        <f>'Copia de Combustibles'!F132*1000*'Demandas Cálculos Driver PIB'!$E$110</f>
        <v>0</v>
      </c>
      <c r="G118" s="181">
        <f>'Copia de Combustibles'!G132*1000*'Demandas Cálculos Driver PIB'!$E$110</f>
        <v>0</v>
      </c>
      <c r="H118" s="256">
        <v>0</v>
      </c>
      <c r="I118" s="256">
        <v>0</v>
      </c>
      <c r="J118" s="256">
        <v>0</v>
      </c>
      <c r="K118" s="256">
        <v>0</v>
      </c>
      <c r="L118" s="256">
        <v>0</v>
      </c>
      <c r="M118" s="256">
        <v>0</v>
      </c>
      <c r="N118" s="256">
        <v>0</v>
      </c>
      <c r="O118" s="256">
        <v>0</v>
      </c>
      <c r="P118" s="256">
        <v>0</v>
      </c>
      <c r="Q118" s="256">
        <v>0</v>
      </c>
      <c r="R118" s="256">
        <v>0</v>
      </c>
      <c r="S118" s="256">
        <v>0</v>
      </c>
      <c r="T118" s="256">
        <v>0</v>
      </c>
      <c r="U118" s="256">
        <v>0</v>
      </c>
      <c r="V118" s="256">
        <v>0</v>
      </c>
      <c r="W118" s="256">
        <v>0</v>
      </c>
      <c r="X118" s="256">
        <v>0</v>
      </c>
      <c r="Y118" s="256">
        <v>0</v>
      </c>
      <c r="Z118" s="256">
        <v>0</v>
      </c>
      <c r="AA118" s="256">
        <v>0</v>
      </c>
      <c r="AB118" s="256">
        <v>0</v>
      </c>
      <c r="AC118" s="256">
        <v>0</v>
      </c>
      <c r="AD118" s="256">
        <v>0</v>
      </c>
      <c r="AE118" s="256">
        <v>0</v>
      </c>
      <c r="AF118" s="256">
        <v>0</v>
      </c>
      <c r="AG118" s="256">
        <v>0</v>
      </c>
      <c r="AH118" s="256">
        <v>0</v>
      </c>
      <c r="AI118" s="256">
        <v>0</v>
      </c>
      <c r="AJ118" s="256">
        <v>0</v>
      </c>
      <c r="AK118" s="142"/>
    </row>
    <row r="119" spans="1:37" ht="14.25" customHeight="1">
      <c r="A119" s="619">
        <v>1</v>
      </c>
      <c r="B119" s="155"/>
      <c r="C119" s="164" t="s">
        <v>31</v>
      </c>
      <c r="D119" s="181">
        <f>'Copia de Combustibles'!D133*1000*'Demandas Cálculos Driver PIB'!$E$110</f>
        <v>0</v>
      </c>
      <c r="E119" s="181">
        <f>'Copia de Combustibles'!E133*1000*'Demandas Cálculos Driver PIB'!$E$110</f>
        <v>0</v>
      </c>
      <c r="F119" s="181">
        <f>'Copia de Combustibles'!F133*1000*'Demandas Cálculos Driver PIB'!$E$110</f>
        <v>0</v>
      </c>
      <c r="G119" s="181">
        <f>'Copia de Combustibles'!G133*1000*'Demandas Cálculos Driver PIB'!$E$110</f>
        <v>0</v>
      </c>
      <c r="H119" s="256">
        <v>0</v>
      </c>
      <c r="I119" s="256">
        <v>0</v>
      </c>
      <c r="J119" s="256">
        <v>0</v>
      </c>
      <c r="K119" s="256">
        <v>0</v>
      </c>
      <c r="L119" s="256">
        <v>0</v>
      </c>
      <c r="M119" s="256">
        <v>0</v>
      </c>
      <c r="N119" s="256">
        <v>0</v>
      </c>
      <c r="O119" s="256">
        <v>0</v>
      </c>
      <c r="P119" s="256">
        <v>0</v>
      </c>
      <c r="Q119" s="256">
        <v>0</v>
      </c>
      <c r="R119" s="256">
        <v>0</v>
      </c>
      <c r="S119" s="256">
        <v>0</v>
      </c>
      <c r="T119" s="256">
        <v>0</v>
      </c>
      <c r="U119" s="256">
        <v>0</v>
      </c>
      <c r="V119" s="256">
        <v>0</v>
      </c>
      <c r="W119" s="256">
        <v>0</v>
      </c>
      <c r="X119" s="256">
        <v>0</v>
      </c>
      <c r="Y119" s="256">
        <v>0</v>
      </c>
      <c r="Z119" s="256">
        <v>0</v>
      </c>
      <c r="AA119" s="256">
        <v>0</v>
      </c>
      <c r="AB119" s="256">
        <v>0</v>
      </c>
      <c r="AC119" s="256">
        <v>0</v>
      </c>
      <c r="AD119" s="256">
        <v>0</v>
      </c>
      <c r="AE119" s="256">
        <v>0</v>
      </c>
      <c r="AF119" s="256">
        <v>0</v>
      </c>
      <c r="AG119" s="256">
        <v>0</v>
      </c>
      <c r="AH119" s="256">
        <v>0</v>
      </c>
      <c r="AI119" s="256">
        <v>0</v>
      </c>
      <c r="AJ119" s="256">
        <v>0</v>
      </c>
      <c r="AK119" s="142"/>
    </row>
    <row r="120" spans="1:37" ht="14.25" customHeight="1">
      <c r="A120" s="619">
        <v>1</v>
      </c>
      <c r="B120" s="155"/>
      <c r="C120" s="164" t="s">
        <v>32</v>
      </c>
      <c r="D120" s="181">
        <f>'Copia de Combustibles'!D134*1000*'Demandas Cálculos Driver PIB'!$E$110</f>
        <v>99.924425601785785</v>
      </c>
      <c r="E120" s="181">
        <f>'Copia de Combustibles'!E134*1000*'Demandas Cálculos Driver PIB'!$E$110</f>
        <v>92.97248308251325</v>
      </c>
      <c r="F120" s="181">
        <f>'Copia de Combustibles'!F134*1000*'Demandas Cálculos Driver PIB'!$E$110</f>
        <v>92.389079855368294</v>
      </c>
      <c r="G120" s="181">
        <f>'Copia de Combustibles'!G134*1000*'Demandas Cálculos Driver PIB'!$E$110</f>
        <v>96.493581503354946</v>
      </c>
      <c r="H120" s="256">
        <v>96.493581503354946</v>
      </c>
      <c r="I120" s="256">
        <v>96.493581503354946</v>
      </c>
      <c r="J120" s="256">
        <v>96.493581503354946</v>
      </c>
      <c r="K120" s="256">
        <v>96.493581503354946</v>
      </c>
      <c r="L120" s="256">
        <v>96.493581503354946</v>
      </c>
      <c r="M120" s="256">
        <v>96.493581503354946</v>
      </c>
      <c r="N120" s="256">
        <v>96.493581503354946</v>
      </c>
      <c r="O120" s="256">
        <v>96.493581503354946</v>
      </c>
      <c r="P120" s="256">
        <v>96.493581503354946</v>
      </c>
      <c r="Q120" s="256">
        <v>96.493581503354946</v>
      </c>
      <c r="R120" s="256">
        <v>96.493581503354946</v>
      </c>
      <c r="S120" s="256">
        <v>96.493581503354946</v>
      </c>
      <c r="T120" s="256">
        <v>96.493581503354946</v>
      </c>
      <c r="U120" s="256">
        <v>96.493581503354946</v>
      </c>
      <c r="V120" s="256">
        <v>96.493581503354946</v>
      </c>
      <c r="W120" s="256">
        <v>96.493581503354946</v>
      </c>
      <c r="X120" s="256">
        <v>96.493581503354946</v>
      </c>
      <c r="Y120" s="256">
        <v>96.493581503354946</v>
      </c>
      <c r="Z120" s="256">
        <v>96.493581503354946</v>
      </c>
      <c r="AA120" s="256">
        <v>96.493581503354946</v>
      </c>
      <c r="AB120" s="256">
        <v>96.493581503354946</v>
      </c>
      <c r="AC120" s="256">
        <v>96.493581503354946</v>
      </c>
      <c r="AD120" s="256">
        <v>96.493581503354946</v>
      </c>
      <c r="AE120" s="256">
        <v>96.493581503354946</v>
      </c>
      <c r="AF120" s="256">
        <v>96.493581503354946</v>
      </c>
      <c r="AG120" s="256">
        <v>96.493581503354946</v>
      </c>
      <c r="AH120" s="256">
        <v>96.493581503354946</v>
      </c>
      <c r="AI120" s="256">
        <v>96.493581503354946</v>
      </c>
      <c r="AJ120" s="256">
        <v>96.493581503354946</v>
      </c>
      <c r="AK120" s="142"/>
    </row>
    <row r="121" spans="1:37" ht="14.25" customHeight="1">
      <c r="A121" s="619">
        <v>1</v>
      </c>
      <c r="B121" s="155"/>
      <c r="C121" s="164" t="s">
        <v>33</v>
      </c>
      <c r="D121" s="181">
        <f>'Copia de Combustibles'!D135*1000*'Demandas Cálculos Driver PIB'!$E$110</f>
        <v>0</v>
      </c>
      <c r="E121" s="181">
        <f>'Copia de Combustibles'!E135*1000*'Demandas Cálculos Driver PIB'!$E$110</f>
        <v>0</v>
      </c>
      <c r="F121" s="181">
        <f>'Copia de Combustibles'!F135*1000*'Demandas Cálculos Driver PIB'!$E$110</f>
        <v>0</v>
      </c>
      <c r="G121" s="181">
        <f>'Copia de Combustibles'!G135*1000*'Demandas Cálculos Driver PIB'!$E$110</f>
        <v>0</v>
      </c>
      <c r="H121" s="256">
        <v>0</v>
      </c>
      <c r="I121" s="256">
        <v>0</v>
      </c>
      <c r="J121" s="256">
        <v>0</v>
      </c>
      <c r="K121" s="256">
        <v>0</v>
      </c>
      <c r="L121" s="256">
        <v>0</v>
      </c>
      <c r="M121" s="256">
        <v>0</v>
      </c>
      <c r="N121" s="256">
        <v>0</v>
      </c>
      <c r="O121" s="256">
        <v>0</v>
      </c>
      <c r="P121" s="256">
        <v>0</v>
      </c>
      <c r="Q121" s="256">
        <v>0</v>
      </c>
      <c r="R121" s="256">
        <v>0</v>
      </c>
      <c r="S121" s="256">
        <v>0</v>
      </c>
      <c r="T121" s="256">
        <v>0</v>
      </c>
      <c r="U121" s="256">
        <v>0</v>
      </c>
      <c r="V121" s="256">
        <v>0</v>
      </c>
      <c r="W121" s="256">
        <v>0</v>
      </c>
      <c r="X121" s="256">
        <v>0</v>
      </c>
      <c r="Y121" s="256">
        <v>0</v>
      </c>
      <c r="Z121" s="256">
        <v>0</v>
      </c>
      <c r="AA121" s="256">
        <v>0</v>
      </c>
      <c r="AB121" s="256">
        <v>0</v>
      </c>
      <c r="AC121" s="256">
        <v>0</v>
      </c>
      <c r="AD121" s="256">
        <v>0</v>
      </c>
      <c r="AE121" s="256">
        <v>0</v>
      </c>
      <c r="AF121" s="256">
        <v>0</v>
      </c>
      <c r="AG121" s="256">
        <v>0</v>
      </c>
      <c r="AH121" s="256">
        <v>0</v>
      </c>
      <c r="AI121" s="256">
        <v>0</v>
      </c>
      <c r="AJ121" s="256">
        <v>0</v>
      </c>
      <c r="AK121" s="142"/>
    </row>
    <row r="122" spans="1:37" ht="14.25" customHeight="1">
      <c r="A122" s="619">
        <v>1</v>
      </c>
      <c r="B122" s="155"/>
      <c r="C122" s="164" t="s">
        <v>45</v>
      </c>
      <c r="D122" s="181">
        <f>'Copia de Combustibles'!D136*1000*'Demandas Cálculos Driver PIB'!$E$110</f>
        <v>33.532832000099944</v>
      </c>
      <c r="E122" s="181">
        <f>'Copia de Combustibles'!E136*1000*'Demandas Cálculos Driver PIB'!$E$110</f>
        <v>34.475542206338616</v>
      </c>
      <c r="F122" s="181">
        <f>'Copia de Combustibles'!F136*1000*'Demandas Cálculos Driver PIB'!$E$110</f>
        <v>32.402139556569558</v>
      </c>
      <c r="G122" s="181">
        <f>'Copia de Combustibles'!G136*1000*'Demandas Cálculos Driver PIB'!$E$110</f>
        <v>35.263626678417999</v>
      </c>
      <c r="H122" s="256">
        <v>35.263626678417999</v>
      </c>
      <c r="I122" s="256">
        <v>35.263626678417999</v>
      </c>
      <c r="J122" s="256">
        <v>35.263626678417999</v>
      </c>
      <c r="K122" s="256">
        <v>35.263626678417999</v>
      </c>
      <c r="L122" s="256">
        <v>35.263626678417999</v>
      </c>
      <c r="M122" s="256">
        <v>35.263626678417999</v>
      </c>
      <c r="N122" s="256">
        <v>35.263626678417999</v>
      </c>
      <c r="O122" s="256">
        <v>35.263626678417999</v>
      </c>
      <c r="P122" s="256">
        <v>35.263626678417999</v>
      </c>
      <c r="Q122" s="256">
        <v>35.263626678417999</v>
      </c>
      <c r="R122" s="256">
        <v>35.263626678417999</v>
      </c>
      <c r="S122" s="256">
        <v>35.263626678417999</v>
      </c>
      <c r="T122" s="256">
        <v>35.263626678417999</v>
      </c>
      <c r="U122" s="256">
        <v>35.263626678417999</v>
      </c>
      <c r="V122" s="256">
        <v>35.263626678417999</v>
      </c>
      <c r="W122" s="256">
        <v>35.263626678417999</v>
      </c>
      <c r="X122" s="256">
        <v>35.263626678417999</v>
      </c>
      <c r="Y122" s="256">
        <v>35.263626678417999</v>
      </c>
      <c r="Z122" s="256">
        <v>35.263626678417999</v>
      </c>
      <c r="AA122" s="256">
        <v>35.263626678417999</v>
      </c>
      <c r="AB122" s="256">
        <v>35.263626678417999</v>
      </c>
      <c r="AC122" s="256">
        <v>35.263626678417999</v>
      </c>
      <c r="AD122" s="256">
        <v>35.263626678417999</v>
      </c>
      <c r="AE122" s="256">
        <v>35.263626678417999</v>
      </c>
      <c r="AF122" s="256">
        <v>35.263626678417999</v>
      </c>
      <c r="AG122" s="256">
        <v>35.263626678417999</v>
      </c>
      <c r="AH122" s="256">
        <v>35.263626678417999</v>
      </c>
      <c r="AI122" s="256">
        <v>35.263626678417999</v>
      </c>
      <c r="AJ122" s="256">
        <v>35.263626678417999</v>
      </c>
      <c r="AK122" s="142"/>
    </row>
    <row r="123" spans="1:37" ht="14.25" customHeight="1">
      <c r="A123" s="619"/>
      <c r="B123" s="155"/>
      <c r="C123" s="164"/>
      <c r="D123" s="181">
        <f>'Copia de Combustibles'!D137*1000*'Demandas Cálculos Driver PIB'!$E$110</f>
        <v>0</v>
      </c>
      <c r="E123" s="181">
        <f>'Copia de Combustibles'!E137*1000*'Demandas Cálculos Driver PIB'!$E$110</f>
        <v>0</v>
      </c>
      <c r="F123" s="181">
        <f>'Copia de Combustibles'!F137*1000*'Demandas Cálculos Driver PIB'!$E$110</f>
        <v>0</v>
      </c>
      <c r="G123" s="181">
        <f>'Copia de Combustibles'!G137*1000*'Demandas Cálculos Driver PIB'!$E$110</f>
        <v>0</v>
      </c>
      <c r="H123" s="256">
        <v>0</v>
      </c>
      <c r="I123" s="256">
        <v>0</v>
      </c>
      <c r="J123" s="256">
        <v>0</v>
      </c>
      <c r="K123" s="256">
        <v>0</v>
      </c>
      <c r="L123" s="256">
        <v>0</v>
      </c>
      <c r="M123" s="256">
        <v>0</v>
      </c>
      <c r="N123" s="256">
        <v>0</v>
      </c>
      <c r="O123" s="256">
        <v>0</v>
      </c>
      <c r="P123" s="256">
        <v>0</v>
      </c>
      <c r="Q123" s="256">
        <v>0</v>
      </c>
      <c r="R123" s="256">
        <v>0</v>
      </c>
      <c r="S123" s="256">
        <v>0</v>
      </c>
      <c r="T123" s="256">
        <v>0</v>
      </c>
      <c r="U123" s="256">
        <v>0</v>
      </c>
      <c r="V123" s="256">
        <v>0</v>
      </c>
      <c r="W123" s="256">
        <v>0</v>
      </c>
      <c r="X123" s="256">
        <v>0</v>
      </c>
      <c r="Y123" s="256">
        <v>0</v>
      </c>
      <c r="Z123" s="256">
        <v>0</v>
      </c>
      <c r="AA123" s="256">
        <v>0</v>
      </c>
      <c r="AB123" s="256">
        <v>0</v>
      </c>
      <c r="AC123" s="256">
        <v>0</v>
      </c>
      <c r="AD123" s="256">
        <v>0</v>
      </c>
      <c r="AE123" s="256">
        <v>0</v>
      </c>
      <c r="AF123" s="256">
        <v>0</v>
      </c>
      <c r="AG123" s="256">
        <v>0</v>
      </c>
      <c r="AH123" s="256">
        <v>0</v>
      </c>
      <c r="AI123" s="256">
        <v>0</v>
      </c>
      <c r="AJ123" s="256">
        <v>0</v>
      </c>
      <c r="AK123" s="142"/>
    </row>
    <row r="124" spans="1:37" ht="14.25" customHeight="1">
      <c r="A124" s="619"/>
      <c r="B124" s="155"/>
      <c r="C124" s="164" t="s">
        <v>13</v>
      </c>
      <c r="D124" s="191">
        <f t="shared" ref="D124:AJ124" si="8">SUM(D116:D123)</f>
        <v>951.31992753069585</v>
      </c>
      <c r="E124" s="191">
        <f t="shared" si="8"/>
        <v>992.33481567173226</v>
      </c>
      <c r="F124" s="191">
        <f t="shared" si="8"/>
        <v>922.45008279541059</v>
      </c>
      <c r="G124" s="191">
        <f t="shared" si="8"/>
        <v>876.93639287540009</v>
      </c>
      <c r="H124" s="191">
        <f t="shared" si="8"/>
        <v>876.93639287540009</v>
      </c>
      <c r="I124" s="191">
        <f t="shared" si="8"/>
        <v>876.93639287540009</v>
      </c>
      <c r="J124" s="191">
        <f t="shared" si="8"/>
        <v>876.93639287540009</v>
      </c>
      <c r="K124" s="191">
        <f t="shared" si="8"/>
        <v>876.93639287540009</v>
      </c>
      <c r="L124" s="191">
        <f t="shared" si="8"/>
        <v>876.93639287540009</v>
      </c>
      <c r="M124" s="191">
        <f t="shared" si="8"/>
        <v>876.93639287540009</v>
      </c>
      <c r="N124" s="191">
        <f t="shared" si="8"/>
        <v>876.93639287540009</v>
      </c>
      <c r="O124" s="191">
        <f t="shared" si="8"/>
        <v>876.93639287540009</v>
      </c>
      <c r="P124" s="191">
        <f t="shared" si="8"/>
        <v>876.93639287540009</v>
      </c>
      <c r="Q124" s="191">
        <f t="shared" si="8"/>
        <v>876.93639287540009</v>
      </c>
      <c r="R124" s="191">
        <f t="shared" si="8"/>
        <v>876.93639287540009</v>
      </c>
      <c r="S124" s="191">
        <f t="shared" si="8"/>
        <v>876.93639287540009</v>
      </c>
      <c r="T124" s="191">
        <f t="shared" si="8"/>
        <v>876.93639287540009</v>
      </c>
      <c r="U124" s="191">
        <f t="shared" si="8"/>
        <v>876.93639287540009</v>
      </c>
      <c r="V124" s="191">
        <f t="shared" si="8"/>
        <v>876.93639287540009</v>
      </c>
      <c r="W124" s="191">
        <f t="shared" si="8"/>
        <v>876.93639287540009</v>
      </c>
      <c r="X124" s="191">
        <f t="shared" si="8"/>
        <v>876.93639287540009</v>
      </c>
      <c r="Y124" s="191">
        <f t="shared" si="8"/>
        <v>876.93639287540009</v>
      </c>
      <c r="Z124" s="191">
        <f t="shared" si="8"/>
        <v>876.93639287540009</v>
      </c>
      <c r="AA124" s="191">
        <f t="shared" si="8"/>
        <v>876.93639287540009</v>
      </c>
      <c r="AB124" s="191">
        <f t="shared" si="8"/>
        <v>876.93639287540009</v>
      </c>
      <c r="AC124" s="191">
        <f t="shared" si="8"/>
        <v>876.93639287540009</v>
      </c>
      <c r="AD124" s="191">
        <f t="shared" si="8"/>
        <v>876.93639287540009</v>
      </c>
      <c r="AE124" s="191">
        <f t="shared" si="8"/>
        <v>876.93639287540009</v>
      </c>
      <c r="AF124" s="191">
        <f t="shared" si="8"/>
        <v>876.93639287540009</v>
      </c>
      <c r="AG124" s="191">
        <f t="shared" si="8"/>
        <v>876.93639287540009</v>
      </c>
      <c r="AH124" s="191">
        <f t="shared" si="8"/>
        <v>876.93639287540009</v>
      </c>
      <c r="AI124" s="191">
        <f t="shared" si="8"/>
        <v>876.93639287540009</v>
      </c>
      <c r="AJ124" s="191">
        <f t="shared" si="8"/>
        <v>876.93639287540009</v>
      </c>
      <c r="AK124" s="142"/>
    </row>
    <row r="125" spans="1:37" ht="14.25" customHeight="1">
      <c r="A125" s="619"/>
      <c r="B125" s="155"/>
      <c r="C125" s="355"/>
      <c r="D125" s="157"/>
      <c r="E125" s="157"/>
      <c r="F125" s="157"/>
      <c r="G125" s="157"/>
      <c r="H125" s="143"/>
      <c r="I125" s="143"/>
      <c r="J125" s="143"/>
      <c r="K125" s="143"/>
      <c r="L125" s="143"/>
      <c r="M125" s="143"/>
      <c r="N125" s="143"/>
      <c r="O125" s="143"/>
      <c r="P125" s="143"/>
      <c r="Q125" s="143"/>
      <c r="R125" s="143"/>
      <c r="S125" s="143"/>
      <c r="T125" s="143"/>
      <c r="U125" s="143"/>
      <c r="V125" s="143"/>
      <c r="W125" s="143"/>
      <c r="X125" s="143"/>
      <c r="Y125" s="143"/>
      <c r="Z125" s="143"/>
      <c r="AA125" s="143"/>
      <c r="AB125" s="143"/>
      <c r="AC125" s="143"/>
      <c r="AD125" s="143"/>
      <c r="AE125" s="143"/>
      <c r="AF125" s="143"/>
      <c r="AG125" s="143"/>
      <c r="AH125" s="143"/>
      <c r="AI125" s="143"/>
      <c r="AJ125" s="143"/>
      <c r="AK125" s="142"/>
    </row>
    <row r="126" spans="1:37" ht="14.25" customHeight="1">
      <c r="A126" s="1"/>
      <c r="B126" s="1"/>
      <c r="C126" s="1"/>
      <c r="D126" s="15"/>
      <c r="E126" s="15"/>
      <c r="F126" s="15"/>
      <c r="G126" s="15"/>
      <c r="H126" s="1"/>
      <c r="I126" s="1"/>
      <c r="J126" s="1"/>
      <c r="K126" s="15"/>
      <c r="L126" s="1"/>
      <c r="M126" s="1"/>
      <c r="N126" s="1"/>
      <c r="O126" s="1"/>
      <c r="P126" s="15"/>
      <c r="Q126" s="1"/>
      <c r="R126" s="1"/>
      <c r="S126" s="1"/>
      <c r="T126" s="1"/>
      <c r="U126" s="15"/>
      <c r="V126" s="1"/>
      <c r="W126" s="1"/>
      <c r="X126" s="1"/>
      <c r="Y126" s="1"/>
      <c r="Z126" s="15"/>
      <c r="AA126" s="1"/>
      <c r="AB126" s="1"/>
      <c r="AC126" s="1"/>
      <c r="AD126" s="1"/>
      <c r="AE126" s="15"/>
      <c r="AF126" s="1"/>
      <c r="AG126" s="1"/>
      <c r="AH126" s="1"/>
      <c r="AI126" s="1"/>
      <c r="AJ126" s="15"/>
      <c r="AK126" s="1"/>
    </row>
    <row r="127" spans="1:37" ht="14.25" customHeight="1">
      <c r="A127" s="1"/>
      <c r="B127" s="1"/>
      <c r="C127" s="1"/>
      <c r="D127" s="15"/>
      <c r="E127" s="15"/>
      <c r="F127" s="15"/>
      <c r="G127" s="15"/>
      <c r="H127" s="1"/>
      <c r="I127" s="1"/>
      <c r="J127" s="1"/>
      <c r="K127" s="15"/>
      <c r="L127" s="1"/>
      <c r="M127" s="1"/>
      <c r="N127" s="1"/>
      <c r="O127" s="1"/>
      <c r="P127" s="15"/>
      <c r="Q127" s="1"/>
      <c r="R127" s="1"/>
      <c r="S127" s="1"/>
      <c r="T127" s="1"/>
      <c r="U127" s="15"/>
      <c r="V127" s="1"/>
      <c r="W127" s="1"/>
      <c r="X127" s="1"/>
      <c r="Y127" s="1"/>
      <c r="Z127" s="15"/>
      <c r="AA127" s="1"/>
      <c r="AB127" s="1"/>
      <c r="AC127" s="1"/>
      <c r="AD127" s="1"/>
      <c r="AE127" s="15"/>
      <c r="AF127" s="1"/>
      <c r="AG127" s="1"/>
      <c r="AH127" s="1"/>
      <c r="AI127" s="1"/>
      <c r="AJ127" s="15"/>
      <c r="AK127" s="1"/>
    </row>
    <row r="128" spans="1:37" ht="14.25" customHeight="1">
      <c r="A128" s="1"/>
      <c r="B128" s="1"/>
      <c r="C128" s="1"/>
      <c r="D128" s="15"/>
      <c r="E128" s="15"/>
      <c r="F128" s="15"/>
      <c r="G128" s="15"/>
      <c r="H128" s="1"/>
      <c r="I128" s="1"/>
      <c r="J128" s="1"/>
      <c r="K128" s="15"/>
      <c r="L128" s="1"/>
      <c r="M128" s="1"/>
      <c r="N128" s="1"/>
      <c r="O128" s="1"/>
      <c r="P128" s="15"/>
      <c r="Q128" s="1"/>
      <c r="R128" s="1"/>
      <c r="S128" s="1"/>
      <c r="T128" s="1"/>
      <c r="U128" s="15"/>
      <c r="V128" s="1"/>
      <c r="W128" s="1"/>
      <c r="X128" s="1"/>
      <c r="Y128" s="1"/>
      <c r="Z128" s="15"/>
      <c r="AA128" s="1"/>
      <c r="AB128" s="1"/>
      <c r="AC128" s="1"/>
      <c r="AD128" s="1"/>
      <c r="AE128" s="15"/>
      <c r="AF128" s="1"/>
      <c r="AG128" s="1"/>
      <c r="AH128" s="1"/>
      <c r="AI128" s="1"/>
      <c r="AJ128" s="15"/>
      <c r="AK128" s="1"/>
    </row>
    <row r="129" spans="1:37" ht="14.25" customHeight="1">
      <c r="A129" s="1"/>
      <c r="B129" s="1"/>
      <c r="C129" s="1"/>
      <c r="D129" s="15"/>
      <c r="E129" s="15"/>
      <c r="F129" s="15"/>
      <c r="G129" s="15"/>
      <c r="H129" s="1"/>
      <c r="I129" s="1"/>
      <c r="J129" s="1"/>
      <c r="K129" s="15"/>
      <c r="L129" s="1"/>
      <c r="M129" s="1"/>
      <c r="N129" s="1"/>
      <c r="O129" s="1"/>
      <c r="P129" s="15"/>
      <c r="Q129" s="1"/>
      <c r="R129" s="1"/>
      <c r="S129" s="1"/>
      <c r="T129" s="1"/>
      <c r="U129" s="15"/>
      <c r="V129" s="1"/>
      <c r="W129" s="1"/>
      <c r="X129" s="1"/>
      <c r="Y129" s="1"/>
      <c r="Z129" s="15"/>
      <c r="AA129" s="1"/>
      <c r="AB129" s="1"/>
      <c r="AC129" s="1"/>
      <c r="AD129" s="1"/>
      <c r="AE129" s="15"/>
      <c r="AF129" s="1"/>
      <c r="AG129" s="1"/>
      <c r="AH129" s="1"/>
      <c r="AI129" s="1"/>
      <c r="AJ129" s="15"/>
      <c r="AK129" s="1"/>
    </row>
    <row r="130" spans="1:37" ht="14.25" customHeight="1">
      <c r="A130" s="1"/>
      <c r="B130" s="1"/>
      <c r="C130" s="1"/>
      <c r="D130" s="15"/>
      <c r="E130" s="15"/>
      <c r="F130" s="15"/>
      <c r="G130" s="15"/>
      <c r="H130" s="1"/>
      <c r="I130" s="1"/>
      <c r="J130" s="1"/>
      <c r="K130" s="15"/>
      <c r="L130" s="1"/>
      <c r="M130" s="1"/>
      <c r="N130" s="1"/>
      <c r="O130" s="1"/>
      <c r="P130" s="15"/>
      <c r="Q130" s="1"/>
      <c r="R130" s="1"/>
      <c r="S130" s="1"/>
      <c r="T130" s="1"/>
      <c r="U130" s="15"/>
      <c r="V130" s="1"/>
      <c r="W130" s="1"/>
      <c r="X130" s="1"/>
      <c r="Y130" s="1"/>
      <c r="Z130" s="15"/>
      <c r="AA130" s="1"/>
      <c r="AB130" s="1"/>
      <c r="AC130" s="1"/>
      <c r="AD130" s="1"/>
      <c r="AE130" s="15"/>
      <c r="AF130" s="1"/>
      <c r="AG130" s="1"/>
      <c r="AH130" s="1"/>
      <c r="AI130" s="1"/>
      <c r="AJ130" s="15"/>
      <c r="AK130" s="1"/>
    </row>
    <row r="131" spans="1:37" ht="14.25" customHeight="1">
      <c r="A131" s="1"/>
      <c r="B131" s="1"/>
      <c r="C131" s="1"/>
      <c r="D131" s="15"/>
      <c r="E131" s="15"/>
      <c r="F131" s="15"/>
      <c r="G131" s="15"/>
      <c r="H131" s="1"/>
      <c r="I131" s="1"/>
      <c r="J131" s="1"/>
      <c r="K131" s="15"/>
      <c r="L131" s="1"/>
      <c r="M131" s="1"/>
      <c r="N131" s="1"/>
      <c r="O131" s="1"/>
      <c r="P131" s="15"/>
      <c r="Q131" s="1"/>
      <c r="R131" s="1"/>
      <c r="S131" s="1"/>
      <c r="T131" s="1"/>
      <c r="U131" s="15"/>
      <c r="V131" s="1"/>
      <c r="W131" s="1"/>
      <c r="X131" s="1"/>
      <c r="Y131" s="1"/>
      <c r="Z131" s="15"/>
      <c r="AA131" s="1"/>
      <c r="AB131" s="1"/>
      <c r="AC131" s="1"/>
      <c r="AD131" s="1"/>
      <c r="AE131" s="15"/>
      <c r="AF131" s="1"/>
      <c r="AG131" s="1"/>
      <c r="AH131" s="1"/>
      <c r="AI131" s="1"/>
      <c r="AJ131" s="15"/>
      <c r="AK131" s="1"/>
    </row>
    <row r="132" spans="1:37" ht="14.25" customHeight="1">
      <c r="A132" s="1"/>
      <c r="B132" s="1"/>
      <c r="C132" s="1"/>
      <c r="D132" s="15"/>
      <c r="E132" s="15"/>
      <c r="F132" s="15"/>
      <c r="G132" s="15"/>
      <c r="H132" s="1"/>
      <c r="I132" s="1"/>
      <c r="J132" s="1"/>
      <c r="K132" s="15"/>
      <c r="L132" s="1"/>
      <c r="M132" s="1"/>
      <c r="N132" s="1"/>
      <c r="O132" s="1"/>
      <c r="P132" s="15"/>
      <c r="Q132" s="1"/>
      <c r="R132" s="1"/>
      <c r="S132" s="1"/>
      <c r="T132" s="1"/>
      <c r="U132" s="15"/>
      <c r="V132" s="1"/>
      <c r="W132" s="1"/>
      <c r="X132" s="1"/>
      <c r="Y132" s="1"/>
      <c r="Z132" s="15"/>
      <c r="AA132" s="1"/>
      <c r="AB132" s="1"/>
      <c r="AC132" s="1"/>
      <c r="AD132" s="1"/>
      <c r="AE132" s="15"/>
      <c r="AF132" s="1"/>
      <c r="AG132" s="1"/>
      <c r="AH132" s="1"/>
      <c r="AI132" s="1"/>
      <c r="AJ132" s="15"/>
      <c r="AK132" s="1"/>
    </row>
    <row r="133" spans="1:37" ht="14.25" customHeight="1">
      <c r="A133" s="1"/>
      <c r="B133" s="1"/>
      <c r="C133" s="1"/>
      <c r="D133" s="15"/>
      <c r="E133" s="15"/>
      <c r="F133" s="15"/>
      <c r="G133" s="15"/>
      <c r="H133" s="1"/>
      <c r="I133" s="1"/>
      <c r="J133" s="1"/>
      <c r="K133" s="15"/>
      <c r="L133" s="1"/>
      <c r="M133" s="1"/>
      <c r="N133" s="1"/>
      <c r="O133" s="1"/>
      <c r="P133" s="15"/>
      <c r="Q133" s="1"/>
      <c r="R133" s="1"/>
      <c r="S133" s="1"/>
      <c r="T133" s="1"/>
      <c r="U133" s="15"/>
      <c r="V133" s="1"/>
      <c r="W133" s="1"/>
      <c r="X133" s="1"/>
      <c r="Y133" s="1"/>
      <c r="Z133" s="15"/>
      <c r="AA133" s="1"/>
      <c r="AB133" s="1"/>
      <c r="AC133" s="1"/>
      <c r="AD133" s="1"/>
      <c r="AE133" s="15"/>
      <c r="AF133" s="1"/>
      <c r="AG133" s="1"/>
      <c r="AH133" s="1"/>
      <c r="AI133" s="1"/>
      <c r="AJ133" s="15"/>
      <c r="AK133" s="1"/>
    </row>
    <row r="134" spans="1:37" ht="14.25" customHeight="1">
      <c r="A134" s="1"/>
      <c r="B134" s="1"/>
      <c r="C134" s="1"/>
      <c r="D134" s="15"/>
      <c r="E134" s="15"/>
      <c r="F134" s="15"/>
      <c r="G134" s="15"/>
      <c r="H134" s="1"/>
      <c r="I134" s="1"/>
      <c r="J134" s="1"/>
      <c r="K134" s="15"/>
      <c r="L134" s="1"/>
      <c r="M134" s="1"/>
      <c r="N134" s="1"/>
      <c r="O134" s="1"/>
      <c r="P134" s="15"/>
      <c r="Q134" s="1"/>
      <c r="R134" s="1"/>
      <c r="S134" s="1"/>
      <c r="T134" s="1"/>
      <c r="U134" s="15"/>
      <c r="V134" s="1"/>
      <c r="W134" s="1"/>
      <c r="X134" s="1"/>
      <c r="Y134" s="1"/>
      <c r="Z134" s="15"/>
      <c r="AA134" s="1"/>
      <c r="AB134" s="1"/>
      <c r="AC134" s="1"/>
      <c r="AD134" s="1"/>
      <c r="AE134" s="15"/>
      <c r="AF134" s="1"/>
      <c r="AG134" s="1"/>
      <c r="AH134" s="1"/>
      <c r="AI134" s="1"/>
      <c r="AJ134" s="15"/>
      <c r="AK134" s="1"/>
    </row>
    <row r="135" spans="1:37" ht="14.25" customHeight="1">
      <c r="A135" s="1"/>
      <c r="B135" s="1"/>
      <c r="C135" s="1"/>
      <c r="D135" s="15"/>
      <c r="E135" s="15"/>
      <c r="F135" s="15"/>
      <c r="G135" s="15"/>
      <c r="H135" s="1"/>
      <c r="I135" s="1"/>
      <c r="J135" s="1"/>
      <c r="K135" s="15"/>
      <c r="L135" s="1"/>
      <c r="M135" s="1"/>
      <c r="N135" s="1"/>
      <c r="O135" s="1"/>
      <c r="P135" s="15"/>
      <c r="Q135" s="1"/>
      <c r="R135" s="1"/>
      <c r="S135" s="1"/>
      <c r="T135" s="1"/>
      <c r="U135" s="15"/>
      <c r="V135" s="1"/>
      <c r="W135" s="1"/>
      <c r="X135" s="1"/>
      <c r="Y135" s="1"/>
      <c r="Z135" s="15"/>
      <c r="AA135" s="1"/>
      <c r="AB135" s="1"/>
      <c r="AC135" s="1"/>
      <c r="AD135" s="1"/>
      <c r="AE135" s="15"/>
      <c r="AF135" s="1"/>
      <c r="AG135" s="1"/>
      <c r="AH135" s="1"/>
      <c r="AI135" s="1"/>
      <c r="AJ135" s="15"/>
      <c r="AK135" s="1"/>
    </row>
    <row r="136" spans="1:37" ht="14.25" customHeight="1">
      <c r="A136" s="1"/>
      <c r="B136" s="1"/>
      <c r="C136" s="1"/>
      <c r="D136" s="15"/>
      <c r="E136" s="15"/>
      <c r="F136" s="15"/>
      <c r="G136" s="15"/>
      <c r="H136" s="1"/>
      <c r="I136" s="1"/>
      <c r="J136" s="1"/>
      <c r="K136" s="15"/>
      <c r="L136" s="1"/>
      <c r="M136" s="1"/>
      <c r="N136" s="1"/>
      <c r="O136" s="1"/>
      <c r="P136" s="15"/>
      <c r="Q136" s="1"/>
      <c r="R136" s="1"/>
      <c r="S136" s="1"/>
      <c r="T136" s="1"/>
      <c r="U136" s="15"/>
      <c r="V136" s="1"/>
      <c r="W136" s="1"/>
      <c r="X136" s="1"/>
      <c r="Y136" s="1"/>
      <c r="Z136" s="15"/>
      <c r="AA136" s="1"/>
      <c r="AB136" s="1"/>
      <c r="AC136" s="1"/>
      <c r="AD136" s="1"/>
      <c r="AE136" s="15"/>
      <c r="AF136" s="1"/>
      <c r="AG136" s="1"/>
      <c r="AH136" s="1"/>
      <c r="AI136" s="1"/>
      <c r="AJ136" s="15"/>
      <c r="AK136" s="1"/>
    </row>
    <row r="137" spans="1:37" ht="14.25" customHeight="1">
      <c r="A137" s="1"/>
      <c r="B137" s="1"/>
      <c r="C137" s="1"/>
      <c r="D137" s="15"/>
      <c r="E137" s="15"/>
      <c r="F137" s="15"/>
      <c r="G137" s="15"/>
      <c r="H137" s="1"/>
      <c r="I137" s="1"/>
      <c r="J137" s="1"/>
      <c r="K137" s="15"/>
      <c r="L137" s="1"/>
      <c r="M137" s="1"/>
      <c r="N137" s="1"/>
      <c r="O137" s="1"/>
      <c r="P137" s="15"/>
      <c r="Q137" s="1"/>
      <c r="R137" s="1"/>
      <c r="S137" s="1"/>
      <c r="T137" s="1"/>
      <c r="U137" s="15"/>
      <c r="V137" s="1"/>
      <c r="W137" s="1"/>
      <c r="X137" s="1"/>
      <c r="Y137" s="1"/>
      <c r="Z137" s="15"/>
      <c r="AA137" s="1"/>
      <c r="AB137" s="1"/>
      <c r="AC137" s="1"/>
      <c r="AD137" s="1"/>
      <c r="AE137" s="15"/>
      <c r="AF137" s="1"/>
      <c r="AG137" s="1"/>
      <c r="AH137" s="1"/>
      <c r="AI137" s="1"/>
      <c r="AJ137" s="15"/>
      <c r="AK137" s="1"/>
    </row>
    <row r="138" spans="1:37" ht="14.25" customHeight="1">
      <c r="A138" s="1"/>
      <c r="B138" s="1"/>
      <c r="C138" s="1"/>
      <c r="D138" s="15"/>
      <c r="E138" s="15"/>
      <c r="F138" s="15"/>
      <c r="G138" s="15"/>
      <c r="H138" s="1"/>
      <c r="I138" s="1"/>
      <c r="J138" s="1"/>
      <c r="K138" s="15"/>
      <c r="L138" s="1"/>
      <c r="M138" s="1"/>
      <c r="N138" s="1"/>
      <c r="O138" s="1"/>
      <c r="P138" s="15"/>
      <c r="Q138" s="1"/>
      <c r="R138" s="1"/>
      <c r="S138" s="1"/>
      <c r="T138" s="1"/>
      <c r="U138" s="15"/>
      <c r="V138" s="1"/>
      <c r="W138" s="1"/>
      <c r="X138" s="1"/>
      <c r="Y138" s="1"/>
      <c r="Z138" s="15"/>
      <c r="AA138" s="1"/>
      <c r="AB138" s="1"/>
      <c r="AC138" s="1"/>
      <c r="AD138" s="1"/>
      <c r="AE138" s="15"/>
      <c r="AF138" s="1"/>
      <c r="AG138" s="1"/>
      <c r="AH138" s="1"/>
      <c r="AI138" s="1"/>
      <c r="AJ138" s="15"/>
      <c r="AK138" s="1"/>
    </row>
    <row r="139" spans="1:37" ht="14.25" customHeight="1">
      <c r="A139" s="1"/>
      <c r="B139" s="1"/>
      <c r="C139" s="1"/>
      <c r="D139" s="15"/>
      <c r="E139" s="15"/>
      <c r="F139" s="15"/>
      <c r="G139" s="15"/>
      <c r="H139" s="1"/>
      <c r="I139" s="1"/>
      <c r="J139" s="1"/>
      <c r="K139" s="15"/>
      <c r="L139" s="1"/>
      <c r="M139" s="1"/>
      <c r="N139" s="1"/>
      <c r="O139" s="1"/>
      <c r="P139" s="15"/>
      <c r="Q139" s="1"/>
      <c r="R139" s="1"/>
      <c r="S139" s="1"/>
      <c r="T139" s="1"/>
      <c r="U139" s="15"/>
      <c r="V139" s="1"/>
      <c r="W139" s="1"/>
      <c r="X139" s="1"/>
      <c r="Y139" s="1"/>
      <c r="Z139" s="15"/>
      <c r="AA139" s="1"/>
      <c r="AB139" s="1"/>
      <c r="AC139" s="1"/>
      <c r="AD139" s="1"/>
      <c r="AE139" s="15"/>
      <c r="AF139" s="1"/>
      <c r="AG139" s="1"/>
      <c r="AH139" s="1"/>
      <c r="AI139" s="1"/>
      <c r="AJ139" s="15"/>
      <c r="AK139" s="1"/>
    </row>
    <row r="140" spans="1:37" ht="14.25" customHeight="1">
      <c r="A140" s="1"/>
      <c r="B140" s="1"/>
      <c r="C140" s="1"/>
      <c r="D140" s="15"/>
      <c r="E140" s="15"/>
      <c r="F140" s="15"/>
      <c r="G140" s="15"/>
      <c r="H140" s="1"/>
      <c r="I140" s="1"/>
      <c r="J140" s="1"/>
      <c r="K140" s="15"/>
      <c r="L140" s="1"/>
      <c r="M140" s="1"/>
      <c r="N140" s="1"/>
      <c r="O140" s="1"/>
      <c r="P140" s="15"/>
      <c r="Q140" s="1"/>
      <c r="R140" s="1"/>
      <c r="S140" s="1"/>
      <c r="T140" s="1"/>
      <c r="U140" s="15"/>
      <c r="V140" s="1"/>
      <c r="W140" s="1"/>
      <c r="X140" s="1"/>
      <c r="Y140" s="1"/>
      <c r="Z140" s="15"/>
      <c r="AA140" s="1"/>
      <c r="AB140" s="1"/>
      <c r="AC140" s="1"/>
      <c r="AD140" s="1"/>
      <c r="AE140" s="15"/>
      <c r="AF140" s="1"/>
      <c r="AG140" s="1"/>
      <c r="AH140" s="1"/>
      <c r="AI140" s="1"/>
      <c r="AJ140" s="15"/>
      <c r="AK140" s="1"/>
    </row>
    <row r="141" spans="1:37" ht="14.25" customHeight="1">
      <c r="A141" s="1"/>
      <c r="B141" s="1"/>
      <c r="C141" s="1"/>
      <c r="D141" s="15"/>
      <c r="E141" s="15"/>
      <c r="F141" s="15"/>
      <c r="G141" s="15"/>
      <c r="H141" s="1"/>
      <c r="I141" s="1"/>
      <c r="J141" s="1"/>
      <c r="K141" s="15"/>
      <c r="L141" s="1"/>
      <c r="M141" s="1"/>
      <c r="N141" s="1"/>
      <c r="O141" s="1"/>
      <c r="P141" s="15"/>
      <c r="Q141" s="1"/>
      <c r="R141" s="1"/>
      <c r="S141" s="1"/>
      <c r="T141" s="1"/>
      <c r="U141" s="15"/>
      <c r="V141" s="1"/>
      <c r="W141" s="1"/>
      <c r="X141" s="1"/>
      <c r="Y141" s="1"/>
      <c r="Z141" s="15"/>
      <c r="AA141" s="1"/>
      <c r="AB141" s="1"/>
      <c r="AC141" s="1"/>
      <c r="AD141" s="1"/>
      <c r="AE141" s="15"/>
      <c r="AF141" s="1"/>
      <c r="AG141" s="1"/>
      <c r="AH141" s="1"/>
      <c r="AI141" s="1"/>
      <c r="AJ141" s="15"/>
      <c r="AK141" s="1"/>
    </row>
    <row r="142" spans="1:37" ht="14.25" customHeight="1">
      <c r="A142" s="1"/>
      <c r="B142" s="1"/>
      <c r="C142" s="1"/>
      <c r="D142" s="15"/>
      <c r="E142" s="15"/>
      <c r="F142" s="15"/>
      <c r="G142" s="15"/>
      <c r="H142" s="1"/>
      <c r="I142" s="1"/>
      <c r="J142" s="1"/>
      <c r="K142" s="15"/>
      <c r="L142" s="1"/>
      <c r="M142" s="1"/>
      <c r="N142" s="1"/>
      <c r="O142" s="1"/>
      <c r="P142" s="15"/>
      <c r="Q142" s="1"/>
      <c r="R142" s="1"/>
      <c r="S142" s="1"/>
      <c r="T142" s="1"/>
      <c r="U142" s="15"/>
      <c r="V142" s="1"/>
      <c r="W142" s="1"/>
      <c r="X142" s="1"/>
      <c r="Y142" s="1"/>
      <c r="Z142" s="15"/>
      <c r="AA142" s="1"/>
      <c r="AB142" s="1"/>
      <c r="AC142" s="1"/>
      <c r="AD142" s="1"/>
      <c r="AE142" s="15"/>
      <c r="AF142" s="1"/>
      <c r="AG142" s="1"/>
      <c r="AH142" s="1"/>
      <c r="AI142" s="1"/>
      <c r="AJ142" s="15"/>
      <c r="AK142" s="1"/>
    </row>
    <row r="143" spans="1:37" ht="14.25" customHeight="1">
      <c r="A143" s="1"/>
      <c r="B143" s="1"/>
      <c r="C143" s="1"/>
      <c r="D143" s="15"/>
      <c r="E143" s="15"/>
      <c r="F143" s="15"/>
      <c r="G143" s="15"/>
      <c r="H143" s="1"/>
      <c r="I143" s="1"/>
      <c r="J143" s="1"/>
      <c r="K143" s="15"/>
      <c r="L143" s="1"/>
      <c r="M143" s="1"/>
      <c r="N143" s="1"/>
      <c r="O143" s="1"/>
      <c r="P143" s="15"/>
      <c r="Q143" s="1"/>
      <c r="R143" s="1"/>
      <c r="S143" s="1"/>
      <c r="T143" s="1"/>
      <c r="U143" s="15"/>
      <c r="V143" s="1"/>
      <c r="W143" s="1"/>
      <c r="X143" s="1"/>
      <c r="Y143" s="1"/>
      <c r="Z143" s="15"/>
      <c r="AA143" s="1"/>
      <c r="AB143" s="1"/>
      <c r="AC143" s="1"/>
      <c r="AD143" s="1"/>
      <c r="AE143" s="15"/>
      <c r="AF143" s="1"/>
      <c r="AG143" s="1"/>
      <c r="AH143" s="1"/>
      <c r="AI143" s="1"/>
      <c r="AJ143" s="15"/>
      <c r="AK143" s="1"/>
    </row>
    <row r="144" spans="1:37" ht="14.25" customHeight="1">
      <c r="A144" s="1"/>
      <c r="B144" s="1"/>
      <c r="C144" s="1"/>
      <c r="D144" s="15"/>
      <c r="E144" s="15"/>
      <c r="F144" s="15"/>
      <c r="G144" s="15"/>
      <c r="H144" s="1"/>
      <c r="I144" s="1"/>
      <c r="J144" s="1"/>
      <c r="K144" s="15"/>
      <c r="L144" s="1"/>
      <c r="M144" s="1"/>
      <c r="N144" s="1"/>
      <c r="O144" s="1"/>
      <c r="P144" s="15"/>
      <c r="Q144" s="1"/>
      <c r="R144" s="1"/>
      <c r="S144" s="1"/>
      <c r="T144" s="1"/>
      <c r="U144" s="15"/>
      <c r="V144" s="1"/>
      <c r="W144" s="1"/>
      <c r="X144" s="1"/>
      <c r="Y144" s="1"/>
      <c r="Z144" s="15"/>
      <c r="AA144" s="1"/>
      <c r="AB144" s="1"/>
      <c r="AC144" s="1"/>
      <c r="AD144" s="1"/>
      <c r="AE144" s="15"/>
      <c r="AF144" s="1"/>
      <c r="AG144" s="1"/>
      <c r="AH144" s="1"/>
      <c r="AI144" s="1"/>
      <c r="AJ144" s="15"/>
      <c r="AK144" s="1"/>
    </row>
    <row r="145" spans="1:37" ht="14.25" customHeight="1">
      <c r="A145" s="1"/>
      <c r="B145" s="1"/>
      <c r="C145" s="1"/>
      <c r="D145" s="15"/>
      <c r="E145" s="15"/>
      <c r="F145" s="15"/>
      <c r="G145" s="15"/>
      <c r="H145" s="1"/>
      <c r="I145" s="1"/>
      <c r="J145" s="1"/>
      <c r="K145" s="15"/>
      <c r="L145" s="1"/>
      <c r="M145" s="1"/>
      <c r="N145" s="1"/>
      <c r="O145" s="1"/>
      <c r="P145" s="15"/>
      <c r="Q145" s="1"/>
      <c r="R145" s="1"/>
      <c r="S145" s="1"/>
      <c r="T145" s="1"/>
      <c r="U145" s="15"/>
      <c r="V145" s="1"/>
      <c r="W145" s="1"/>
      <c r="X145" s="1"/>
      <c r="Y145" s="1"/>
      <c r="Z145" s="15"/>
      <c r="AA145" s="1"/>
      <c r="AB145" s="1"/>
      <c r="AC145" s="1"/>
      <c r="AD145" s="1"/>
      <c r="AE145" s="15"/>
      <c r="AF145" s="1"/>
      <c r="AG145" s="1"/>
      <c r="AH145" s="1"/>
      <c r="AI145" s="1"/>
      <c r="AJ145" s="15"/>
      <c r="AK145" s="1"/>
    </row>
    <row r="146" spans="1:37" ht="14.25" customHeight="1">
      <c r="A146" s="1"/>
      <c r="B146" s="1"/>
      <c r="C146" s="1"/>
      <c r="D146" s="15"/>
      <c r="E146" s="15"/>
      <c r="F146" s="15"/>
      <c r="G146" s="15"/>
      <c r="H146" s="1"/>
      <c r="I146" s="1"/>
      <c r="J146" s="1"/>
      <c r="K146" s="15"/>
      <c r="L146" s="1"/>
      <c r="M146" s="1"/>
      <c r="N146" s="1"/>
      <c r="O146" s="1"/>
      <c r="P146" s="15"/>
      <c r="Q146" s="1"/>
      <c r="R146" s="1"/>
      <c r="S146" s="1"/>
      <c r="T146" s="1"/>
      <c r="U146" s="15"/>
      <c r="V146" s="1"/>
      <c r="W146" s="1"/>
      <c r="X146" s="1"/>
      <c r="Y146" s="1"/>
      <c r="Z146" s="15"/>
      <c r="AA146" s="1"/>
      <c r="AB146" s="1"/>
      <c r="AC146" s="1"/>
      <c r="AD146" s="1"/>
      <c r="AE146" s="15"/>
      <c r="AF146" s="1"/>
      <c r="AG146" s="1"/>
      <c r="AH146" s="1"/>
      <c r="AI146" s="1"/>
      <c r="AJ146" s="15"/>
      <c r="AK146" s="1"/>
    </row>
    <row r="147" spans="1:37" ht="14.25" customHeight="1">
      <c r="A147" s="1"/>
      <c r="B147" s="1"/>
      <c r="C147" s="1"/>
      <c r="D147" s="15"/>
      <c r="E147" s="15"/>
      <c r="F147" s="15"/>
      <c r="G147" s="15"/>
      <c r="H147" s="1"/>
      <c r="I147" s="1"/>
      <c r="J147" s="1"/>
      <c r="K147" s="15"/>
      <c r="L147" s="1"/>
      <c r="M147" s="1"/>
      <c r="N147" s="1"/>
      <c r="O147" s="1"/>
      <c r="P147" s="15"/>
      <c r="Q147" s="1"/>
      <c r="R147" s="1"/>
      <c r="S147" s="1"/>
      <c r="T147" s="1"/>
      <c r="U147" s="15"/>
      <c r="V147" s="1"/>
      <c r="W147" s="1"/>
      <c r="X147" s="1"/>
      <c r="Y147" s="1"/>
      <c r="Z147" s="15"/>
      <c r="AA147" s="1"/>
      <c r="AB147" s="1"/>
      <c r="AC147" s="1"/>
      <c r="AD147" s="1"/>
      <c r="AE147" s="15"/>
      <c r="AF147" s="1"/>
      <c r="AG147" s="1"/>
      <c r="AH147" s="1"/>
      <c r="AI147" s="1"/>
      <c r="AJ147" s="15"/>
      <c r="AK147" s="1"/>
    </row>
    <row r="148" spans="1:37" ht="14.25" customHeight="1">
      <c r="A148" s="1"/>
      <c r="B148" s="1"/>
      <c r="C148" s="1"/>
      <c r="D148" s="15"/>
      <c r="E148" s="15"/>
      <c r="F148" s="15"/>
      <c r="G148" s="15"/>
      <c r="H148" s="1"/>
      <c r="I148" s="1"/>
      <c r="J148" s="1"/>
      <c r="K148" s="15"/>
      <c r="L148" s="1"/>
      <c r="M148" s="1"/>
      <c r="N148" s="1"/>
      <c r="O148" s="1"/>
      <c r="P148" s="15"/>
      <c r="Q148" s="1"/>
      <c r="R148" s="1"/>
      <c r="S148" s="1"/>
      <c r="T148" s="1"/>
      <c r="U148" s="15"/>
      <c r="V148" s="1"/>
      <c r="W148" s="1"/>
      <c r="X148" s="1"/>
      <c r="Y148" s="1"/>
      <c r="Z148" s="15"/>
      <c r="AA148" s="1"/>
      <c r="AB148" s="1"/>
      <c r="AC148" s="1"/>
      <c r="AD148" s="1"/>
      <c r="AE148" s="15"/>
      <c r="AF148" s="1"/>
      <c r="AG148" s="1"/>
      <c r="AH148" s="1"/>
      <c r="AI148" s="1"/>
      <c r="AJ148" s="15"/>
      <c r="AK148" s="1"/>
    </row>
    <row r="149" spans="1:37" ht="14.25" customHeight="1">
      <c r="A149" s="1"/>
      <c r="B149" s="1"/>
      <c r="C149" s="1"/>
      <c r="D149" s="15"/>
      <c r="E149" s="15"/>
      <c r="F149" s="15"/>
      <c r="G149" s="15"/>
      <c r="H149" s="1"/>
      <c r="I149" s="1"/>
      <c r="J149" s="1"/>
      <c r="K149" s="15"/>
      <c r="L149" s="1"/>
      <c r="M149" s="1"/>
      <c r="N149" s="1"/>
      <c r="O149" s="1"/>
      <c r="P149" s="15"/>
      <c r="Q149" s="1"/>
      <c r="R149" s="1"/>
      <c r="S149" s="1"/>
      <c r="T149" s="1"/>
      <c r="U149" s="15"/>
      <c r="V149" s="1"/>
      <c r="W149" s="1"/>
      <c r="X149" s="1"/>
      <c r="Y149" s="1"/>
      <c r="Z149" s="15"/>
      <c r="AA149" s="1"/>
      <c r="AB149" s="1"/>
      <c r="AC149" s="1"/>
      <c r="AD149" s="1"/>
      <c r="AE149" s="15"/>
      <c r="AF149" s="1"/>
      <c r="AG149" s="1"/>
      <c r="AH149" s="1"/>
      <c r="AI149" s="1"/>
      <c r="AJ149" s="15"/>
      <c r="AK149" s="1"/>
    </row>
    <row r="150" spans="1:37" ht="14.25" customHeight="1">
      <c r="A150" s="1"/>
      <c r="B150" s="1"/>
      <c r="C150" s="1"/>
      <c r="D150" s="15"/>
      <c r="E150" s="15"/>
      <c r="F150" s="15"/>
      <c r="G150" s="15"/>
      <c r="H150" s="1"/>
      <c r="I150" s="1"/>
      <c r="J150" s="1"/>
      <c r="K150" s="15"/>
      <c r="L150" s="1"/>
      <c r="M150" s="1"/>
      <c r="N150" s="1"/>
      <c r="O150" s="1"/>
      <c r="P150" s="15"/>
      <c r="Q150" s="1"/>
      <c r="R150" s="1"/>
      <c r="S150" s="1"/>
      <c r="T150" s="1"/>
      <c r="U150" s="15"/>
      <c r="V150" s="1"/>
      <c r="W150" s="1"/>
      <c r="X150" s="1"/>
      <c r="Y150" s="1"/>
      <c r="Z150" s="15"/>
      <c r="AA150" s="1"/>
      <c r="AB150" s="1"/>
      <c r="AC150" s="1"/>
      <c r="AD150" s="1"/>
      <c r="AE150" s="15"/>
      <c r="AF150" s="1"/>
      <c r="AG150" s="1"/>
      <c r="AH150" s="1"/>
      <c r="AI150" s="1"/>
      <c r="AJ150" s="15"/>
      <c r="AK150" s="1"/>
    </row>
    <row r="151" spans="1:37" ht="14.25" customHeight="1">
      <c r="A151" s="1"/>
      <c r="B151" s="1"/>
      <c r="C151" s="1"/>
      <c r="D151" s="15"/>
      <c r="E151" s="15"/>
      <c r="F151" s="15"/>
      <c r="G151" s="15"/>
      <c r="H151" s="1"/>
      <c r="I151" s="1"/>
      <c r="J151" s="1"/>
      <c r="K151" s="15"/>
      <c r="L151" s="1"/>
      <c r="M151" s="1"/>
      <c r="N151" s="1"/>
      <c r="O151" s="1"/>
      <c r="P151" s="15"/>
      <c r="Q151" s="1"/>
      <c r="R151" s="1"/>
      <c r="S151" s="1"/>
      <c r="T151" s="1"/>
      <c r="U151" s="15"/>
      <c r="V151" s="1"/>
      <c r="W151" s="1"/>
      <c r="X151" s="1"/>
      <c r="Y151" s="1"/>
      <c r="Z151" s="15"/>
      <c r="AA151" s="1"/>
      <c r="AB151" s="1"/>
      <c r="AC151" s="1"/>
      <c r="AD151" s="1"/>
      <c r="AE151" s="15"/>
      <c r="AF151" s="1"/>
      <c r="AG151" s="1"/>
      <c r="AH151" s="1"/>
      <c r="AI151" s="1"/>
      <c r="AJ151" s="15"/>
      <c r="AK151" s="1"/>
    </row>
    <row r="152" spans="1:37" ht="14.25" customHeight="1">
      <c r="A152" s="1"/>
      <c r="B152" s="1"/>
      <c r="C152" s="1"/>
      <c r="D152" s="15"/>
      <c r="E152" s="15"/>
      <c r="F152" s="15"/>
      <c r="G152" s="15"/>
      <c r="H152" s="1"/>
      <c r="I152" s="1"/>
      <c r="J152" s="1"/>
      <c r="K152" s="15"/>
      <c r="L152" s="1"/>
      <c r="M152" s="1"/>
      <c r="N152" s="1"/>
      <c r="O152" s="1"/>
      <c r="P152" s="15"/>
      <c r="Q152" s="1"/>
      <c r="R152" s="1"/>
      <c r="S152" s="1"/>
      <c r="T152" s="1"/>
      <c r="U152" s="15"/>
      <c r="V152" s="1"/>
      <c r="W152" s="1"/>
      <c r="X152" s="1"/>
      <c r="Y152" s="1"/>
      <c r="Z152" s="15"/>
      <c r="AA152" s="1"/>
      <c r="AB152" s="1"/>
      <c r="AC152" s="1"/>
      <c r="AD152" s="1"/>
      <c r="AE152" s="15"/>
      <c r="AF152" s="1"/>
      <c r="AG152" s="1"/>
      <c r="AH152" s="1"/>
      <c r="AI152" s="1"/>
      <c r="AJ152" s="15"/>
      <c r="AK152" s="1"/>
    </row>
    <row r="153" spans="1:37" ht="14.25" customHeight="1">
      <c r="A153" s="1"/>
      <c r="B153" s="1"/>
      <c r="C153" s="1"/>
      <c r="D153" s="15"/>
      <c r="E153" s="15"/>
      <c r="F153" s="15"/>
      <c r="G153" s="15"/>
      <c r="H153" s="1"/>
      <c r="I153" s="1"/>
      <c r="J153" s="1"/>
      <c r="K153" s="15"/>
      <c r="L153" s="1"/>
      <c r="M153" s="1"/>
      <c r="N153" s="1"/>
      <c r="O153" s="1"/>
      <c r="P153" s="15"/>
      <c r="Q153" s="1"/>
      <c r="R153" s="1"/>
      <c r="S153" s="1"/>
      <c r="T153" s="1"/>
      <c r="U153" s="15"/>
      <c r="V153" s="1"/>
      <c r="W153" s="1"/>
      <c r="X153" s="1"/>
      <c r="Y153" s="1"/>
      <c r="Z153" s="15"/>
      <c r="AA153" s="1"/>
      <c r="AB153" s="1"/>
      <c r="AC153" s="1"/>
      <c r="AD153" s="1"/>
      <c r="AE153" s="15"/>
      <c r="AF153" s="1"/>
      <c r="AG153" s="1"/>
      <c r="AH153" s="1"/>
      <c r="AI153" s="1"/>
      <c r="AJ153" s="15"/>
      <c r="AK153" s="1"/>
    </row>
    <row r="154" spans="1:37" ht="14.25" customHeight="1">
      <c r="A154" s="1"/>
      <c r="B154" s="1"/>
      <c r="C154" s="1"/>
      <c r="D154" s="15"/>
      <c r="E154" s="15"/>
      <c r="F154" s="15"/>
      <c r="G154" s="15"/>
      <c r="H154" s="1"/>
      <c r="I154" s="1"/>
      <c r="J154" s="1"/>
      <c r="K154" s="15"/>
      <c r="L154" s="1"/>
      <c r="M154" s="1"/>
      <c r="N154" s="1"/>
      <c r="O154" s="1"/>
      <c r="P154" s="15"/>
      <c r="Q154" s="1"/>
      <c r="R154" s="1"/>
      <c r="S154" s="1"/>
      <c r="T154" s="1"/>
      <c r="U154" s="15"/>
      <c r="V154" s="1"/>
      <c r="W154" s="1"/>
      <c r="X154" s="1"/>
      <c r="Y154" s="1"/>
      <c r="Z154" s="15"/>
      <c r="AA154" s="1"/>
      <c r="AB154" s="1"/>
      <c r="AC154" s="1"/>
      <c r="AD154" s="1"/>
      <c r="AE154" s="15"/>
      <c r="AF154" s="1"/>
      <c r="AG154" s="1"/>
      <c r="AH154" s="1"/>
      <c r="AI154" s="1"/>
      <c r="AJ154" s="15"/>
      <c r="AK154" s="1"/>
    </row>
    <row r="155" spans="1:37" ht="14.25" customHeight="1">
      <c r="A155" s="1"/>
      <c r="B155" s="1"/>
      <c r="C155" s="1"/>
      <c r="D155" s="15"/>
      <c r="E155" s="15"/>
      <c r="F155" s="15"/>
      <c r="G155" s="15"/>
      <c r="H155" s="1"/>
      <c r="I155" s="1"/>
      <c r="J155" s="1"/>
      <c r="K155" s="15"/>
      <c r="L155" s="1"/>
      <c r="M155" s="1"/>
      <c r="N155" s="1"/>
      <c r="O155" s="1"/>
      <c r="P155" s="15"/>
      <c r="Q155" s="1"/>
      <c r="R155" s="1"/>
      <c r="S155" s="1"/>
      <c r="T155" s="1"/>
      <c r="U155" s="15"/>
      <c r="V155" s="1"/>
      <c r="W155" s="1"/>
      <c r="X155" s="1"/>
      <c r="Y155" s="1"/>
      <c r="Z155" s="15"/>
      <c r="AA155" s="1"/>
      <c r="AB155" s="1"/>
      <c r="AC155" s="1"/>
      <c r="AD155" s="1"/>
      <c r="AE155" s="15"/>
      <c r="AF155" s="1"/>
      <c r="AG155" s="1"/>
      <c r="AH155" s="1"/>
      <c r="AI155" s="1"/>
      <c r="AJ155" s="15"/>
      <c r="AK155" s="1"/>
    </row>
    <row r="156" spans="1:37" ht="14.25" customHeight="1">
      <c r="A156" s="1"/>
      <c r="B156" s="1"/>
      <c r="C156" s="1"/>
      <c r="D156" s="15"/>
      <c r="E156" s="15"/>
      <c r="F156" s="15"/>
      <c r="G156" s="15"/>
      <c r="H156" s="1"/>
      <c r="I156" s="1"/>
      <c r="J156" s="1"/>
      <c r="K156" s="15"/>
      <c r="L156" s="1"/>
      <c r="M156" s="1"/>
      <c r="N156" s="1"/>
      <c r="O156" s="1"/>
      <c r="P156" s="15"/>
      <c r="Q156" s="1"/>
      <c r="R156" s="1"/>
      <c r="S156" s="1"/>
      <c r="T156" s="1"/>
      <c r="U156" s="15"/>
      <c r="V156" s="1"/>
      <c r="W156" s="1"/>
      <c r="X156" s="1"/>
      <c r="Y156" s="1"/>
      <c r="Z156" s="15"/>
      <c r="AA156" s="1"/>
      <c r="AB156" s="1"/>
      <c r="AC156" s="1"/>
      <c r="AD156" s="1"/>
      <c r="AE156" s="15"/>
      <c r="AF156" s="1"/>
      <c r="AG156" s="1"/>
      <c r="AH156" s="1"/>
      <c r="AI156" s="1"/>
      <c r="AJ156" s="15"/>
      <c r="AK156" s="1"/>
    </row>
    <row r="157" spans="1:37" ht="14.25" customHeight="1">
      <c r="A157" s="1"/>
      <c r="B157" s="1"/>
      <c r="C157" s="1"/>
      <c r="D157" s="15"/>
      <c r="E157" s="15"/>
      <c r="F157" s="15"/>
      <c r="G157" s="15"/>
      <c r="H157" s="1"/>
      <c r="I157" s="1"/>
      <c r="J157" s="1"/>
      <c r="K157" s="15"/>
      <c r="L157" s="1"/>
      <c r="M157" s="1"/>
      <c r="N157" s="1"/>
      <c r="O157" s="1"/>
      <c r="P157" s="15"/>
      <c r="Q157" s="1"/>
      <c r="R157" s="1"/>
      <c r="S157" s="1"/>
      <c r="T157" s="1"/>
      <c r="U157" s="15"/>
      <c r="V157" s="1"/>
      <c r="W157" s="1"/>
      <c r="X157" s="1"/>
      <c r="Y157" s="1"/>
      <c r="Z157" s="15"/>
      <c r="AA157" s="1"/>
      <c r="AB157" s="1"/>
      <c r="AC157" s="1"/>
      <c r="AD157" s="1"/>
      <c r="AE157" s="15"/>
      <c r="AF157" s="1"/>
      <c r="AG157" s="1"/>
      <c r="AH157" s="1"/>
      <c r="AI157" s="1"/>
      <c r="AJ157" s="15"/>
      <c r="AK157" s="1"/>
    </row>
    <row r="158" spans="1:37" ht="14.25" customHeight="1">
      <c r="A158" s="1"/>
      <c r="B158" s="1"/>
      <c r="C158" s="1"/>
      <c r="D158" s="15"/>
      <c r="E158" s="15"/>
      <c r="F158" s="15"/>
      <c r="G158" s="15"/>
      <c r="H158" s="1"/>
      <c r="I158" s="1"/>
      <c r="J158" s="1"/>
      <c r="K158" s="15"/>
      <c r="L158" s="1"/>
      <c r="M158" s="1"/>
      <c r="N158" s="1"/>
      <c r="O158" s="1"/>
      <c r="P158" s="15"/>
      <c r="Q158" s="1"/>
      <c r="R158" s="1"/>
      <c r="S158" s="1"/>
      <c r="T158" s="1"/>
      <c r="U158" s="15"/>
      <c r="V158" s="1"/>
      <c r="W158" s="1"/>
      <c r="X158" s="1"/>
      <c r="Y158" s="1"/>
      <c r="Z158" s="15"/>
      <c r="AA158" s="1"/>
      <c r="AB158" s="1"/>
      <c r="AC158" s="1"/>
      <c r="AD158" s="1"/>
      <c r="AE158" s="15"/>
      <c r="AF158" s="1"/>
      <c r="AG158" s="1"/>
      <c r="AH158" s="1"/>
      <c r="AI158" s="1"/>
      <c r="AJ158" s="15"/>
      <c r="AK158" s="1"/>
    </row>
    <row r="159" spans="1:37" ht="14.25" customHeight="1">
      <c r="A159" s="1"/>
      <c r="B159" s="1"/>
      <c r="C159" s="1"/>
      <c r="D159" s="15"/>
      <c r="E159" s="15"/>
      <c r="F159" s="15"/>
      <c r="G159" s="15"/>
      <c r="H159" s="1"/>
      <c r="I159" s="1"/>
      <c r="J159" s="1"/>
      <c r="K159" s="15"/>
      <c r="L159" s="1"/>
      <c r="M159" s="1"/>
      <c r="N159" s="1"/>
      <c r="O159" s="1"/>
      <c r="P159" s="15"/>
      <c r="Q159" s="1"/>
      <c r="R159" s="1"/>
      <c r="S159" s="1"/>
      <c r="T159" s="1"/>
      <c r="U159" s="15"/>
      <c r="V159" s="1"/>
      <c r="W159" s="1"/>
      <c r="X159" s="1"/>
      <c r="Y159" s="1"/>
      <c r="Z159" s="15"/>
      <c r="AA159" s="1"/>
      <c r="AB159" s="1"/>
      <c r="AC159" s="1"/>
      <c r="AD159" s="1"/>
      <c r="AE159" s="15"/>
      <c r="AF159" s="1"/>
      <c r="AG159" s="1"/>
      <c r="AH159" s="1"/>
      <c r="AI159" s="1"/>
      <c r="AJ159" s="15"/>
      <c r="AK159" s="1"/>
    </row>
    <row r="160" spans="1:37" ht="14.25" customHeight="1">
      <c r="A160" s="1"/>
      <c r="B160" s="1"/>
      <c r="C160" s="1"/>
      <c r="D160" s="15"/>
      <c r="E160" s="15"/>
      <c r="F160" s="15"/>
      <c r="G160" s="15"/>
      <c r="H160" s="1"/>
      <c r="I160" s="1"/>
      <c r="J160" s="1"/>
      <c r="K160" s="15"/>
      <c r="L160" s="1"/>
      <c r="M160" s="1"/>
      <c r="N160" s="1"/>
      <c r="O160" s="1"/>
      <c r="P160" s="15"/>
      <c r="Q160" s="1"/>
      <c r="R160" s="1"/>
      <c r="S160" s="1"/>
      <c r="T160" s="1"/>
      <c r="U160" s="15"/>
      <c r="V160" s="1"/>
      <c r="W160" s="1"/>
      <c r="X160" s="1"/>
      <c r="Y160" s="1"/>
      <c r="Z160" s="15"/>
      <c r="AA160" s="1"/>
      <c r="AB160" s="1"/>
      <c r="AC160" s="1"/>
      <c r="AD160" s="1"/>
      <c r="AE160" s="15"/>
      <c r="AF160" s="1"/>
      <c r="AG160" s="1"/>
      <c r="AH160" s="1"/>
      <c r="AI160" s="1"/>
      <c r="AJ160" s="15"/>
      <c r="AK160" s="1"/>
    </row>
    <row r="161" spans="1:37" ht="14.25" customHeight="1">
      <c r="A161" s="1"/>
      <c r="B161" s="1"/>
      <c r="C161" s="1"/>
      <c r="D161" s="15"/>
      <c r="E161" s="15"/>
      <c r="F161" s="15"/>
      <c r="G161" s="15"/>
      <c r="H161" s="1"/>
      <c r="I161" s="1"/>
      <c r="J161" s="1"/>
      <c r="K161" s="15"/>
      <c r="L161" s="1"/>
      <c r="M161" s="1"/>
      <c r="N161" s="1"/>
      <c r="O161" s="1"/>
      <c r="P161" s="15"/>
      <c r="Q161" s="1"/>
      <c r="R161" s="1"/>
      <c r="S161" s="1"/>
      <c r="T161" s="1"/>
      <c r="U161" s="15"/>
      <c r="V161" s="1"/>
      <c r="W161" s="1"/>
      <c r="X161" s="1"/>
      <c r="Y161" s="1"/>
      <c r="Z161" s="15"/>
      <c r="AA161" s="1"/>
      <c r="AB161" s="1"/>
      <c r="AC161" s="1"/>
      <c r="AD161" s="1"/>
      <c r="AE161" s="15"/>
      <c r="AF161" s="1"/>
      <c r="AG161" s="1"/>
      <c r="AH161" s="1"/>
      <c r="AI161" s="1"/>
      <c r="AJ161" s="15"/>
      <c r="AK161" s="1"/>
    </row>
    <row r="162" spans="1:37" ht="14.25" customHeight="1">
      <c r="A162" s="1"/>
      <c r="B162" s="1"/>
      <c r="C162" s="1"/>
      <c r="D162" s="15"/>
      <c r="E162" s="15"/>
      <c r="F162" s="15"/>
      <c r="G162" s="15"/>
      <c r="H162" s="1"/>
      <c r="I162" s="1"/>
      <c r="J162" s="1"/>
      <c r="K162" s="15"/>
      <c r="L162" s="1"/>
      <c r="M162" s="1"/>
      <c r="N162" s="1"/>
      <c r="O162" s="1"/>
      <c r="P162" s="15"/>
      <c r="Q162" s="1"/>
      <c r="R162" s="1"/>
      <c r="S162" s="1"/>
      <c r="T162" s="1"/>
      <c r="U162" s="15"/>
      <c r="V162" s="1"/>
      <c r="W162" s="1"/>
      <c r="X162" s="1"/>
      <c r="Y162" s="1"/>
      <c r="Z162" s="15"/>
      <c r="AA162" s="1"/>
      <c r="AB162" s="1"/>
      <c r="AC162" s="1"/>
      <c r="AD162" s="1"/>
      <c r="AE162" s="15"/>
      <c r="AF162" s="1"/>
      <c r="AG162" s="1"/>
      <c r="AH162" s="1"/>
      <c r="AI162" s="1"/>
      <c r="AJ162" s="15"/>
      <c r="AK162" s="1"/>
    </row>
    <row r="163" spans="1:37" ht="14.25" customHeight="1">
      <c r="A163" s="1"/>
      <c r="B163" s="1"/>
      <c r="C163" s="1"/>
      <c r="D163" s="15"/>
      <c r="E163" s="15"/>
      <c r="F163" s="15"/>
      <c r="G163" s="15"/>
      <c r="H163" s="1"/>
      <c r="I163" s="1"/>
      <c r="J163" s="1"/>
      <c r="K163" s="15"/>
      <c r="L163" s="1"/>
      <c r="M163" s="1"/>
      <c r="N163" s="1"/>
      <c r="O163" s="1"/>
      <c r="P163" s="15"/>
      <c r="Q163" s="1"/>
      <c r="R163" s="1"/>
      <c r="S163" s="1"/>
      <c r="T163" s="1"/>
      <c r="U163" s="15"/>
      <c r="V163" s="1"/>
      <c r="W163" s="1"/>
      <c r="X163" s="1"/>
      <c r="Y163" s="1"/>
      <c r="Z163" s="15"/>
      <c r="AA163" s="1"/>
      <c r="AB163" s="1"/>
      <c r="AC163" s="1"/>
      <c r="AD163" s="1"/>
      <c r="AE163" s="15"/>
      <c r="AF163" s="1"/>
      <c r="AG163" s="1"/>
      <c r="AH163" s="1"/>
      <c r="AI163" s="1"/>
      <c r="AJ163" s="15"/>
      <c r="AK163" s="1"/>
    </row>
    <row r="164" spans="1:37" ht="14.25" customHeight="1">
      <c r="A164" s="1"/>
      <c r="B164" s="1"/>
      <c r="C164" s="1"/>
      <c r="D164" s="15"/>
      <c r="E164" s="15"/>
      <c r="F164" s="15"/>
      <c r="G164" s="15"/>
      <c r="H164" s="1"/>
      <c r="I164" s="1"/>
      <c r="J164" s="1"/>
      <c r="K164" s="15"/>
      <c r="L164" s="1"/>
      <c r="M164" s="1"/>
      <c r="N164" s="1"/>
      <c r="O164" s="1"/>
      <c r="P164" s="15"/>
      <c r="Q164" s="1"/>
      <c r="R164" s="1"/>
      <c r="S164" s="1"/>
      <c r="T164" s="1"/>
      <c r="U164" s="15"/>
      <c r="V164" s="1"/>
      <c r="W164" s="1"/>
      <c r="X164" s="1"/>
      <c r="Y164" s="1"/>
      <c r="Z164" s="15"/>
      <c r="AA164" s="1"/>
      <c r="AB164" s="1"/>
      <c r="AC164" s="1"/>
      <c r="AD164" s="1"/>
      <c r="AE164" s="15"/>
      <c r="AF164" s="1"/>
      <c r="AG164" s="1"/>
      <c r="AH164" s="1"/>
      <c r="AI164" s="1"/>
      <c r="AJ164" s="15"/>
      <c r="AK164" s="1"/>
    </row>
    <row r="165" spans="1:37" ht="14.25" customHeight="1">
      <c r="A165" s="1"/>
      <c r="B165" s="1"/>
      <c r="C165" s="1"/>
      <c r="D165" s="15"/>
      <c r="E165" s="15"/>
      <c r="F165" s="15"/>
      <c r="G165" s="15"/>
      <c r="H165" s="1"/>
      <c r="I165" s="1"/>
      <c r="J165" s="1"/>
      <c r="K165" s="15"/>
      <c r="L165" s="1"/>
      <c r="M165" s="1"/>
      <c r="N165" s="1"/>
      <c r="O165" s="1"/>
      <c r="P165" s="15"/>
      <c r="Q165" s="1"/>
      <c r="R165" s="1"/>
      <c r="S165" s="1"/>
      <c r="T165" s="1"/>
      <c r="U165" s="15"/>
      <c r="V165" s="1"/>
      <c r="W165" s="1"/>
      <c r="X165" s="1"/>
      <c r="Y165" s="1"/>
      <c r="Z165" s="15"/>
      <c r="AA165" s="1"/>
      <c r="AB165" s="1"/>
      <c r="AC165" s="1"/>
      <c r="AD165" s="1"/>
      <c r="AE165" s="15"/>
      <c r="AF165" s="1"/>
      <c r="AG165" s="1"/>
      <c r="AH165" s="1"/>
      <c r="AI165" s="1"/>
      <c r="AJ165" s="15"/>
      <c r="AK165" s="1"/>
    </row>
    <row r="166" spans="1:37" ht="14.25" customHeight="1">
      <c r="A166" s="1"/>
      <c r="B166" s="1"/>
      <c r="C166" s="1"/>
      <c r="D166" s="15"/>
      <c r="E166" s="15"/>
      <c r="F166" s="15"/>
      <c r="G166" s="15"/>
      <c r="H166" s="1"/>
      <c r="I166" s="1"/>
      <c r="J166" s="1"/>
      <c r="K166" s="15"/>
      <c r="L166" s="1"/>
      <c r="M166" s="1"/>
      <c r="N166" s="1"/>
      <c r="O166" s="1"/>
      <c r="P166" s="15"/>
      <c r="Q166" s="1"/>
      <c r="R166" s="1"/>
      <c r="S166" s="1"/>
      <c r="T166" s="1"/>
      <c r="U166" s="15"/>
      <c r="V166" s="1"/>
      <c r="W166" s="1"/>
      <c r="X166" s="1"/>
      <c r="Y166" s="1"/>
      <c r="Z166" s="15"/>
      <c r="AA166" s="1"/>
      <c r="AB166" s="1"/>
      <c r="AC166" s="1"/>
      <c r="AD166" s="1"/>
      <c r="AE166" s="15"/>
      <c r="AF166" s="1"/>
      <c r="AG166" s="1"/>
      <c r="AH166" s="1"/>
      <c r="AI166" s="1"/>
      <c r="AJ166" s="15"/>
      <c r="AK166" s="1"/>
    </row>
    <row r="167" spans="1:37" ht="14.25" customHeight="1">
      <c r="A167" s="1"/>
      <c r="B167" s="1"/>
      <c r="C167" s="1"/>
      <c r="D167" s="15"/>
      <c r="E167" s="15"/>
      <c r="F167" s="15"/>
      <c r="G167" s="15"/>
      <c r="H167" s="1"/>
      <c r="I167" s="1"/>
      <c r="J167" s="1"/>
      <c r="K167" s="15"/>
      <c r="L167" s="1"/>
      <c r="M167" s="1"/>
      <c r="N167" s="1"/>
      <c r="O167" s="1"/>
      <c r="P167" s="15"/>
      <c r="Q167" s="1"/>
      <c r="R167" s="1"/>
      <c r="S167" s="1"/>
      <c r="T167" s="1"/>
      <c r="U167" s="15"/>
      <c r="V167" s="1"/>
      <c r="W167" s="1"/>
      <c r="X167" s="1"/>
      <c r="Y167" s="1"/>
      <c r="Z167" s="15"/>
      <c r="AA167" s="1"/>
      <c r="AB167" s="1"/>
      <c r="AC167" s="1"/>
      <c r="AD167" s="1"/>
      <c r="AE167" s="15"/>
      <c r="AF167" s="1"/>
      <c r="AG167" s="1"/>
      <c r="AH167" s="1"/>
      <c r="AI167" s="1"/>
      <c r="AJ167" s="15"/>
      <c r="AK167" s="1"/>
    </row>
    <row r="168" spans="1:37" ht="14.25" customHeight="1">
      <c r="A168" s="1"/>
      <c r="B168" s="1"/>
      <c r="C168" s="1"/>
      <c r="D168" s="15"/>
      <c r="E168" s="15"/>
      <c r="F168" s="15"/>
      <c r="G168" s="15"/>
      <c r="H168" s="1"/>
      <c r="I168" s="1"/>
      <c r="J168" s="1"/>
      <c r="K168" s="15"/>
      <c r="L168" s="1"/>
      <c r="M168" s="1"/>
      <c r="N168" s="1"/>
      <c r="O168" s="1"/>
      <c r="P168" s="15"/>
      <c r="Q168" s="1"/>
      <c r="R168" s="1"/>
      <c r="S168" s="1"/>
      <c r="T168" s="1"/>
      <c r="U168" s="15"/>
      <c r="V168" s="1"/>
      <c r="W168" s="1"/>
      <c r="X168" s="1"/>
      <c r="Y168" s="1"/>
      <c r="Z168" s="15"/>
      <c r="AA168" s="1"/>
      <c r="AB168" s="1"/>
      <c r="AC168" s="1"/>
      <c r="AD168" s="1"/>
      <c r="AE168" s="15"/>
      <c r="AF168" s="1"/>
      <c r="AG168" s="1"/>
      <c r="AH168" s="1"/>
      <c r="AI168" s="1"/>
      <c r="AJ168" s="15"/>
      <c r="AK168" s="1"/>
    </row>
    <row r="169" spans="1:37" ht="14.25" customHeight="1">
      <c r="A169" s="1"/>
      <c r="B169" s="1"/>
      <c r="C169" s="1"/>
      <c r="D169" s="15"/>
      <c r="E169" s="15"/>
      <c r="F169" s="15"/>
      <c r="G169" s="15"/>
      <c r="H169" s="1"/>
      <c r="I169" s="1"/>
      <c r="J169" s="1"/>
      <c r="K169" s="15"/>
      <c r="L169" s="1"/>
      <c r="M169" s="1"/>
      <c r="N169" s="1"/>
      <c r="O169" s="1"/>
      <c r="P169" s="15"/>
      <c r="Q169" s="1"/>
      <c r="R169" s="1"/>
      <c r="S169" s="1"/>
      <c r="T169" s="1"/>
      <c r="U169" s="15"/>
      <c r="V169" s="1"/>
      <c r="W169" s="1"/>
      <c r="X169" s="1"/>
      <c r="Y169" s="1"/>
      <c r="Z169" s="15"/>
      <c r="AA169" s="1"/>
      <c r="AB169" s="1"/>
      <c r="AC169" s="1"/>
      <c r="AD169" s="1"/>
      <c r="AE169" s="15"/>
      <c r="AF169" s="1"/>
      <c r="AG169" s="1"/>
      <c r="AH169" s="1"/>
      <c r="AI169" s="1"/>
      <c r="AJ169" s="15"/>
      <c r="AK169" s="1"/>
    </row>
    <row r="170" spans="1:37" ht="14.25" customHeight="1">
      <c r="A170" s="1"/>
      <c r="B170" s="1"/>
      <c r="C170" s="1"/>
      <c r="D170" s="15"/>
      <c r="E170" s="15"/>
      <c r="F170" s="15"/>
      <c r="G170" s="15"/>
      <c r="H170" s="1"/>
      <c r="I170" s="1"/>
      <c r="J170" s="1"/>
      <c r="K170" s="15"/>
      <c r="L170" s="1"/>
      <c r="M170" s="1"/>
      <c r="N170" s="1"/>
      <c r="O170" s="1"/>
      <c r="P170" s="15"/>
      <c r="Q170" s="1"/>
      <c r="R170" s="1"/>
      <c r="S170" s="1"/>
      <c r="T170" s="1"/>
      <c r="U170" s="15"/>
      <c r="V170" s="1"/>
      <c r="W170" s="1"/>
      <c r="X170" s="1"/>
      <c r="Y170" s="1"/>
      <c r="Z170" s="15"/>
      <c r="AA170" s="1"/>
      <c r="AB170" s="1"/>
      <c r="AC170" s="1"/>
      <c r="AD170" s="1"/>
      <c r="AE170" s="15"/>
      <c r="AF170" s="1"/>
      <c r="AG170" s="1"/>
      <c r="AH170" s="1"/>
      <c r="AI170" s="1"/>
      <c r="AJ170" s="15"/>
      <c r="AK170" s="1"/>
    </row>
    <row r="171" spans="1:37" ht="14.25" customHeight="1">
      <c r="A171" s="1"/>
      <c r="B171" s="1"/>
      <c r="C171" s="1"/>
      <c r="D171" s="15"/>
      <c r="E171" s="15"/>
      <c r="F171" s="15"/>
      <c r="G171" s="15"/>
      <c r="H171" s="1"/>
      <c r="I171" s="1"/>
      <c r="J171" s="1"/>
      <c r="K171" s="15"/>
      <c r="L171" s="1"/>
      <c r="M171" s="1"/>
      <c r="N171" s="1"/>
      <c r="O171" s="1"/>
      <c r="P171" s="15"/>
      <c r="Q171" s="1"/>
      <c r="R171" s="1"/>
      <c r="S171" s="1"/>
      <c r="T171" s="1"/>
      <c r="U171" s="15"/>
      <c r="V171" s="1"/>
      <c r="W171" s="1"/>
      <c r="X171" s="1"/>
      <c r="Y171" s="1"/>
      <c r="Z171" s="15"/>
      <c r="AA171" s="1"/>
      <c r="AB171" s="1"/>
      <c r="AC171" s="1"/>
      <c r="AD171" s="1"/>
      <c r="AE171" s="15"/>
      <c r="AF171" s="1"/>
      <c r="AG171" s="1"/>
      <c r="AH171" s="1"/>
      <c r="AI171" s="1"/>
      <c r="AJ171" s="15"/>
      <c r="AK171" s="1"/>
    </row>
    <row r="172" spans="1:37" ht="14.25" customHeight="1">
      <c r="A172" s="1"/>
      <c r="B172" s="1"/>
      <c r="C172" s="1"/>
      <c r="D172" s="15"/>
      <c r="E172" s="15"/>
      <c r="F172" s="15"/>
      <c r="G172" s="15"/>
      <c r="H172" s="1"/>
      <c r="I172" s="1"/>
      <c r="J172" s="1"/>
      <c r="K172" s="15"/>
      <c r="L172" s="1"/>
      <c r="M172" s="1"/>
      <c r="N172" s="1"/>
      <c r="O172" s="1"/>
      <c r="P172" s="15"/>
      <c r="Q172" s="1"/>
      <c r="R172" s="1"/>
      <c r="S172" s="1"/>
      <c r="T172" s="1"/>
      <c r="U172" s="15"/>
      <c r="V172" s="1"/>
      <c r="W172" s="1"/>
      <c r="X172" s="1"/>
      <c r="Y172" s="1"/>
      <c r="Z172" s="15"/>
      <c r="AA172" s="1"/>
      <c r="AB172" s="1"/>
      <c r="AC172" s="1"/>
      <c r="AD172" s="1"/>
      <c r="AE172" s="15"/>
      <c r="AF172" s="1"/>
      <c r="AG172" s="1"/>
      <c r="AH172" s="1"/>
      <c r="AI172" s="1"/>
      <c r="AJ172" s="15"/>
      <c r="AK172" s="1"/>
    </row>
    <row r="173" spans="1:37" ht="14.25" customHeight="1">
      <c r="A173" s="1"/>
      <c r="B173" s="1"/>
      <c r="C173" s="1"/>
      <c r="D173" s="15"/>
      <c r="E173" s="15"/>
      <c r="F173" s="15"/>
      <c r="G173" s="15"/>
      <c r="H173" s="1"/>
      <c r="I173" s="1"/>
      <c r="J173" s="1"/>
      <c r="K173" s="15"/>
      <c r="L173" s="1"/>
      <c r="M173" s="1"/>
      <c r="N173" s="1"/>
      <c r="O173" s="1"/>
      <c r="P173" s="15"/>
      <c r="Q173" s="1"/>
      <c r="R173" s="1"/>
      <c r="S173" s="1"/>
      <c r="T173" s="1"/>
      <c r="U173" s="15"/>
      <c r="V173" s="1"/>
      <c r="W173" s="1"/>
      <c r="X173" s="1"/>
      <c r="Y173" s="1"/>
      <c r="Z173" s="15"/>
      <c r="AA173" s="1"/>
      <c r="AB173" s="1"/>
      <c r="AC173" s="1"/>
      <c r="AD173" s="1"/>
      <c r="AE173" s="15"/>
      <c r="AF173" s="1"/>
      <c r="AG173" s="1"/>
      <c r="AH173" s="1"/>
      <c r="AI173" s="1"/>
      <c r="AJ173" s="15"/>
      <c r="AK173" s="1"/>
    </row>
    <row r="174" spans="1:37" ht="14.25" customHeight="1">
      <c r="A174" s="1"/>
      <c r="B174" s="1"/>
      <c r="C174" s="1"/>
      <c r="D174" s="15"/>
      <c r="E174" s="15"/>
      <c r="F174" s="15"/>
      <c r="G174" s="15"/>
      <c r="H174" s="1"/>
      <c r="I174" s="1"/>
      <c r="J174" s="1"/>
      <c r="K174" s="15"/>
      <c r="L174" s="1"/>
      <c r="M174" s="1"/>
      <c r="N174" s="1"/>
      <c r="O174" s="1"/>
      <c r="P174" s="15"/>
      <c r="Q174" s="1"/>
      <c r="R174" s="1"/>
      <c r="S174" s="1"/>
      <c r="T174" s="1"/>
      <c r="U174" s="15"/>
      <c r="V174" s="1"/>
      <c r="W174" s="1"/>
      <c r="X174" s="1"/>
      <c r="Y174" s="1"/>
      <c r="Z174" s="15"/>
      <c r="AA174" s="1"/>
      <c r="AB174" s="1"/>
      <c r="AC174" s="1"/>
      <c r="AD174" s="1"/>
      <c r="AE174" s="15"/>
      <c r="AF174" s="1"/>
      <c r="AG174" s="1"/>
      <c r="AH174" s="1"/>
      <c r="AI174" s="1"/>
      <c r="AJ174" s="15"/>
      <c r="AK174" s="1"/>
    </row>
    <row r="175" spans="1:37" ht="14.25" customHeight="1">
      <c r="A175" s="1"/>
      <c r="B175" s="1"/>
      <c r="C175" s="1"/>
      <c r="D175" s="15"/>
      <c r="E175" s="15"/>
      <c r="F175" s="15"/>
      <c r="G175" s="15"/>
      <c r="H175" s="1"/>
      <c r="I175" s="1"/>
      <c r="J175" s="1"/>
      <c r="K175" s="15"/>
      <c r="L175" s="1"/>
      <c r="M175" s="1"/>
      <c r="N175" s="1"/>
      <c r="O175" s="1"/>
      <c r="P175" s="15"/>
      <c r="Q175" s="1"/>
      <c r="R175" s="1"/>
      <c r="S175" s="1"/>
      <c r="T175" s="1"/>
      <c r="U175" s="15"/>
      <c r="V175" s="1"/>
      <c r="W175" s="1"/>
      <c r="X175" s="1"/>
      <c r="Y175" s="1"/>
      <c r="Z175" s="15"/>
      <c r="AA175" s="1"/>
      <c r="AB175" s="1"/>
      <c r="AC175" s="1"/>
      <c r="AD175" s="1"/>
      <c r="AE175" s="15"/>
      <c r="AF175" s="1"/>
      <c r="AG175" s="1"/>
      <c r="AH175" s="1"/>
      <c r="AI175" s="1"/>
      <c r="AJ175" s="15"/>
      <c r="AK175" s="1"/>
    </row>
    <row r="176" spans="1:37" ht="14.25" customHeight="1">
      <c r="A176" s="1"/>
      <c r="B176" s="1"/>
      <c r="C176" s="1"/>
      <c r="D176" s="15"/>
      <c r="E176" s="15"/>
      <c r="F176" s="15"/>
      <c r="G176" s="15"/>
      <c r="H176" s="1"/>
      <c r="I176" s="1"/>
      <c r="J176" s="1"/>
      <c r="K176" s="15"/>
      <c r="L176" s="1"/>
      <c r="M176" s="1"/>
      <c r="N176" s="1"/>
      <c r="O176" s="1"/>
      <c r="P176" s="15"/>
      <c r="Q176" s="1"/>
      <c r="R176" s="1"/>
      <c r="S176" s="1"/>
      <c r="T176" s="1"/>
      <c r="U176" s="15"/>
      <c r="V176" s="1"/>
      <c r="W176" s="1"/>
      <c r="X176" s="1"/>
      <c r="Y176" s="1"/>
      <c r="Z176" s="15"/>
      <c r="AA176" s="1"/>
      <c r="AB176" s="1"/>
      <c r="AC176" s="1"/>
      <c r="AD176" s="1"/>
      <c r="AE176" s="15"/>
      <c r="AF176" s="1"/>
      <c r="AG176" s="1"/>
      <c r="AH176" s="1"/>
      <c r="AI176" s="1"/>
      <c r="AJ176" s="15"/>
      <c r="AK176" s="1"/>
    </row>
    <row r="177" spans="1:37" ht="14.25" customHeight="1">
      <c r="A177" s="1"/>
      <c r="B177" s="1"/>
      <c r="C177" s="1"/>
      <c r="D177" s="15"/>
      <c r="E177" s="15"/>
      <c r="F177" s="15"/>
      <c r="G177" s="15"/>
      <c r="H177" s="1"/>
      <c r="I177" s="1"/>
      <c r="J177" s="1"/>
      <c r="K177" s="15"/>
      <c r="L177" s="1"/>
      <c r="M177" s="1"/>
      <c r="N177" s="1"/>
      <c r="O177" s="1"/>
      <c r="P177" s="15"/>
      <c r="Q177" s="1"/>
      <c r="R177" s="1"/>
      <c r="S177" s="1"/>
      <c r="T177" s="1"/>
      <c r="U177" s="15"/>
      <c r="V177" s="1"/>
      <c r="W177" s="1"/>
      <c r="X177" s="1"/>
      <c r="Y177" s="1"/>
      <c r="Z177" s="15"/>
      <c r="AA177" s="1"/>
      <c r="AB177" s="1"/>
      <c r="AC177" s="1"/>
      <c r="AD177" s="1"/>
      <c r="AE177" s="15"/>
      <c r="AF177" s="1"/>
      <c r="AG177" s="1"/>
      <c r="AH177" s="1"/>
      <c r="AI177" s="1"/>
      <c r="AJ177" s="15"/>
      <c r="AK177" s="1"/>
    </row>
    <row r="178" spans="1:37" ht="14.25" customHeight="1">
      <c r="A178" s="1"/>
      <c r="B178" s="1"/>
      <c r="C178" s="1"/>
      <c r="D178" s="15"/>
      <c r="E178" s="15"/>
      <c r="F178" s="15"/>
      <c r="G178" s="15"/>
      <c r="H178" s="1"/>
      <c r="I178" s="1"/>
      <c r="J178" s="1"/>
      <c r="K178" s="15"/>
      <c r="L178" s="1"/>
      <c r="M178" s="1"/>
      <c r="N178" s="1"/>
      <c r="O178" s="1"/>
      <c r="P178" s="15"/>
      <c r="Q178" s="1"/>
      <c r="R178" s="1"/>
      <c r="S178" s="1"/>
      <c r="T178" s="1"/>
      <c r="U178" s="15"/>
      <c r="V178" s="1"/>
      <c r="W178" s="1"/>
      <c r="X178" s="1"/>
      <c r="Y178" s="1"/>
      <c r="Z178" s="15"/>
      <c r="AA178" s="1"/>
      <c r="AB178" s="1"/>
      <c r="AC178" s="1"/>
      <c r="AD178" s="1"/>
      <c r="AE178" s="15"/>
      <c r="AF178" s="1"/>
      <c r="AG178" s="1"/>
      <c r="AH178" s="1"/>
      <c r="AI178" s="1"/>
      <c r="AJ178" s="15"/>
      <c r="AK178" s="1"/>
    </row>
    <row r="179" spans="1:37" ht="14.25" customHeight="1">
      <c r="A179" s="1"/>
      <c r="B179" s="1"/>
      <c r="C179" s="1"/>
      <c r="D179" s="15"/>
      <c r="E179" s="15"/>
      <c r="F179" s="15"/>
      <c r="G179" s="15"/>
      <c r="H179" s="1"/>
      <c r="I179" s="1"/>
      <c r="J179" s="1"/>
      <c r="K179" s="15"/>
      <c r="L179" s="1"/>
      <c r="M179" s="1"/>
      <c r="N179" s="1"/>
      <c r="O179" s="1"/>
      <c r="P179" s="15"/>
      <c r="Q179" s="1"/>
      <c r="R179" s="1"/>
      <c r="S179" s="1"/>
      <c r="T179" s="1"/>
      <c r="U179" s="15"/>
      <c r="V179" s="1"/>
      <c r="W179" s="1"/>
      <c r="X179" s="1"/>
      <c r="Y179" s="1"/>
      <c r="Z179" s="15"/>
      <c r="AA179" s="1"/>
      <c r="AB179" s="1"/>
      <c r="AC179" s="1"/>
      <c r="AD179" s="1"/>
      <c r="AE179" s="15"/>
      <c r="AF179" s="1"/>
      <c r="AG179" s="1"/>
      <c r="AH179" s="1"/>
      <c r="AI179" s="1"/>
      <c r="AJ179" s="15"/>
      <c r="AK179" s="1"/>
    </row>
    <row r="180" spans="1:37" ht="14.25" customHeight="1">
      <c r="A180" s="1"/>
      <c r="B180" s="1"/>
      <c r="C180" s="1"/>
      <c r="D180" s="15"/>
      <c r="E180" s="15"/>
      <c r="F180" s="15"/>
      <c r="G180" s="15"/>
      <c r="H180" s="1"/>
      <c r="I180" s="1"/>
      <c r="J180" s="1"/>
      <c r="K180" s="15"/>
      <c r="L180" s="1"/>
      <c r="M180" s="1"/>
      <c r="N180" s="1"/>
      <c r="O180" s="1"/>
      <c r="P180" s="15"/>
      <c r="Q180" s="1"/>
      <c r="R180" s="1"/>
      <c r="S180" s="1"/>
      <c r="T180" s="1"/>
      <c r="U180" s="15"/>
      <c r="V180" s="1"/>
      <c r="W180" s="1"/>
      <c r="X180" s="1"/>
      <c r="Y180" s="1"/>
      <c r="Z180" s="15"/>
      <c r="AA180" s="1"/>
      <c r="AB180" s="1"/>
      <c r="AC180" s="1"/>
      <c r="AD180" s="1"/>
      <c r="AE180" s="15"/>
      <c r="AF180" s="1"/>
      <c r="AG180" s="1"/>
      <c r="AH180" s="1"/>
      <c r="AI180" s="1"/>
      <c r="AJ180" s="15"/>
      <c r="AK180" s="1"/>
    </row>
    <row r="181" spans="1:37" ht="14.25" customHeight="1">
      <c r="A181" s="1"/>
      <c r="B181" s="1"/>
      <c r="C181" s="1"/>
      <c r="D181" s="15"/>
      <c r="E181" s="15"/>
      <c r="F181" s="15"/>
      <c r="G181" s="15"/>
      <c r="H181" s="1"/>
      <c r="I181" s="1"/>
      <c r="J181" s="1"/>
      <c r="K181" s="15"/>
      <c r="L181" s="1"/>
      <c r="M181" s="1"/>
      <c r="N181" s="1"/>
      <c r="O181" s="1"/>
      <c r="P181" s="15"/>
      <c r="Q181" s="1"/>
      <c r="R181" s="1"/>
      <c r="S181" s="1"/>
      <c r="T181" s="1"/>
      <c r="U181" s="15"/>
      <c r="V181" s="1"/>
      <c r="W181" s="1"/>
      <c r="X181" s="1"/>
      <c r="Y181" s="1"/>
      <c r="Z181" s="15"/>
      <c r="AA181" s="1"/>
      <c r="AB181" s="1"/>
      <c r="AC181" s="1"/>
      <c r="AD181" s="1"/>
      <c r="AE181" s="15"/>
      <c r="AF181" s="1"/>
      <c r="AG181" s="1"/>
      <c r="AH181" s="1"/>
      <c r="AI181" s="1"/>
      <c r="AJ181" s="15"/>
      <c r="AK181" s="1"/>
    </row>
    <row r="182" spans="1:37" ht="14.25" customHeight="1">
      <c r="A182" s="1"/>
      <c r="B182" s="1"/>
      <c r="C182" s="1"/>
      <c r="D182" s="15"/>
      <c r="E182" s="15"/>
      <c r="F182" s="15"/>
      <c r="G182" s="15"/>
      <c r="H182" s="1"/>
      <c r="I182" s="1"/>
      <c r="J182" s="1"/>
      <c r="K182" s="15"/>
      <c r="L182" s="1"/>
      <c r="M182" s="1"/>
      <c r="N182" s="1"/>
      <c r="O182" s="1"/>
      <c r="P182" s="15"/>
      <c r="Q182" s="1"/>
      <c r="R182" s="1"/>
      <c r="S182" s="1"/>
      <c r="T182" s="1"/>
      <c r="U182" s="15"/>
      <c r="V182" s="1"/>
      <c r="W182" s="1"/>
      <c r="X182" s="1"/>
      <c r="Y182" s="1"/>
      <c r="Z182" s="15"/>
      <c r="AA182" s="1"/>
      <c r="AB182" s="1"/>
      <c r="AC182" s="1"/>
      <c r="AD182" s="1"/>
      <c r="AE182" s="15"/>
      <c r="AF182" s="1"/>
      <c r="AG182" s="1"/>
      <c r="AH182" s="1"/>
      <c r="AI182" s="1"/>
      <c r="AJ182" s="15"/>
      <c r="AK182" s="1"/>
    </row>
    <row r="183" spans="1:37" ht="14.25" customHeight="1">
      <c r="A183" s="1"/>
      <c r="B183" s="1"/>
      <c r="C183" s="1"/>
      <c r="D183" s="15"/>
      <c r="E183" s="15"/>
      <c r="F183" s="15"/>
      <c r="G183" s="15"/>
      <c r="H183" s="1"/>
      <c r="I183" s="1"/>
      <c r="J183" s="1"/>
      <c r="K183" s="15"/>
      <c r="L183" s="1"/>
      <c r="M183" s="1"/>
      <c r="N183" s="1"/>
      <c r="O183" s="1"/>
      <c r="P183" s="15"/>
      <c r="Q183" s="1"/>
      <c r="R183" s="1"/>
      <c r="S183" s="1"/>
      <c r="T183" s="1"/>
      <c r="U183" s="15"/>
      <c r="V183" s="1"/>
      <c r="W183" s="1"/>
      <c r="X183" s="1"/>
      <c r="Y183" s="1"/>
      <c r="Z183" s="15"/>
      <c r="AA183" s="1"/>
      <c r="AB183" s="1"/>
      <c r="AC183" s="1"/>
      <c r="AD183" s="1"/>
      <c r="AE183" s="15"/>
      <c r="AF183" s="1"/>
      <c r="AG183" s="1"/>
      <c r="AH183" s="1"/>
      <c r="AI183" s="1"/>
      <c r="AJ183" s="15"/>
      <c r="AK183" s="1"/>
    </row>
    <row r="184" spans="1:37" ht="14.25" customHeight="1">
      <c r="A184" s="1"/>
      <c r="B184" s="1"/>
      <c r="C184" s="1"/>
      <c r="D184" s="15"/>
      <c r="E184" s="15"/>
      <c r="F184" s="15"/>
      <c r="G184" s="15"/>
      <c r="H184" s="1"/>
      <c r="I184" s="1"/>
      <c r="J184" s="1"/>
      <c r="K184" s="15"/>
      <c r="L184" s="1"/>
      <c r="M184" s="1"/>
      <c r="N184" s="1"/>
      <c r="O184" s="1"/>
      <c r="P184" s="15"/>
      <c r="Q184" s="1"/>
      <c r="R184" s="1"/>
      <c r="S184" s="1"/>
      <c r="T184" s="1"/>
      <c r="U184" s="15"/>
      <c r="V184" s="1"/>
      <c r="W184" s="1"/>
      <c r="X184" s="1"/>
      <c r="Y184" s="1"/>
      <c r="Z184" s="15"/>
      <c r="AA184" s="1"/>
      <c r="AB184" s="1"/>
      <c r="AC184" s="1"/>
      <c r="AD184" s="1"/>
      <c r="AE184" s="15"/>
      <c r="AF184" s="1"/>
      <c r="AG184" s="1"/>
      <c r="AH184" s="1"/>
      <c r="AI184" s="1"/>
      <c r="AJ184" s="15"/>
      <c r="AK184" s="1"/>
    </row>
    <row r="185" spans="1:37" ht="14.25" customHeight="1">
      <c r="A185" s="1"/>
      <c r="B185" s="1"/>
      <c r="C185" s="1"/>
      <c r="D185" s="15"/>
      <c r="E185" s="15"/>
      <c r="F185" s="15"/>
      <c r="G185" s="15"/>
      <c r="H185" s="1"/>
      <c r="I185" s="1"/>
      <c r="J185" s="1"/>
      <c r="K185" s="15"/>
      <c r="L185" s="1"/>
      <c r="M185" s="1"/>
      <c r="N185" s="1"/>
      <c r="O185" s="1"/>
      <c r="P185" s="15"/>
      <c r="Q185" s="1"/>
      <c r="R185" s="1"/>
      <c r="S185" s="1"/>
      <c r="T185" s="1"/>
      <c r="U185" s="15"/>
      <c r="V185" s="1"/>
      <c r="W185" s="1"/>
      <c r="X185" s="1"/>
      <c r="Y185" s="1"/>
      <c r="Z185" s="15"/>
      <c r="AA185" s="1"/>
      <c r="AB185" s="1"/>
      <c r="AC185" s="1"/>
      <c r="AD185" s="1"/>
      <c r="AE185" s="15"/>
      <c r="AF185" s="1"/>
      <c r="AG185" s="1"/>
      <c r="AH185" s="1"/>
      <c r="AI185" s="1"/>
      <c r="AJ185" s="15"/>
      <c r="AK185" s="1"/>
    </row>
    <row r="186" spans="1:37" ht="14.25" customHeight="1">
      <c r="A186" s="1"/>
      <c r="B186" s="1"/>
      <c r="C186" s="1"/>
      <c r="D186" s="15"/>
      <c r="E186" s="15"/>
      <c r="F186" s="15"/>
      <c r="G186" s="15"/>
      <c r="H186" s="1"/>
      <c r="I186" s="1"/>
      <c r="J186" s="1"/>
      <c r="K186" s="15"/>
      <c r="L186" s="1"/>
      <c r="M186" s="1"/>
      <c r="N186" s="1"/>
      <c r="O186" s="1"/>
      <c r="P186" s="15"/>
      <c r="Q186" s="1"/>
      <c r="R186" s="1"/>
      <c r="S186" s="1"/>
      <c r="T186" s="1"/>
      <c r="U186" s="15"/>
      <c r="V186" s="1"/>
      <c r="W186" s="1"/>
      <c r="X186" s="1"/>
      <c r="Y186" s="1"/>
      <c r="Z186" s="15"/>
      <c r="AA186" s="1"/>
      <c r="AB186" s="1"/>
      <c r="AC186" s="1"/>
      <c r="AD186" s="1"/>
      <c r="AE186" s="15"/>
      <c r="AF186" s="1"/>
      <c r="AG186" s="1"/>
      <c r="AH186" s="1"/>
      <c r="AI186" s="1"/>
      <c r="AJ186" s="15"/>
      <c r="AK186" s="1"/>
    </row>
    <row r="187" spans="1:37" ht="14.25" customHeight="1">
      <c r="A187" s="1"/>
      <c r="B187" s="1"/>
      <c r="C187" s="1"/>
      <c r="D187" s="15"/>
      <c r="E187" s="15"/>
      <c r="F187" s="15"/>
      <c r="G187" s="15"/>
      <c r="H187" s="1"/>
      <c r="I187" s="1"/>
      <c r="J187" s="1"/>
      <c r="K187" s="15"/>
      <c r="L187" s="1"/>
      <c r="M187" s="1"/>
      <c r="N187" s="1"/>
      <c r="O187" s="1"/>
      <c r="P187" s="15"/>
      <c r="Q187" s="1"/>
      <c r="R187" s="1"/>
      <c r="S187" s="1"/>
      <c r="T187" s="1"/>
      <c r="U187" s="15"/>
      <c r="V187" s="1"/>
      <c r="W187" s="1"/>
      <c r="X187" s="1"/>
      <c r="Y187" s="1"/>
      <c r="Z187" s="15"/>
      <c r="AA187" s="1"/>
      <c r="AB187" s="1"/>
      <c r="AC187" s="1"/>
      <c r="AD187" s="1"/>
      <c r="AE187" s="15"/>
      <c r="AF187" s="1"/>
      <c r="AG187" s="1"/>
      <c r="AH187" s="1"/>
      <c r="AI187" s="1"/>
      <c r="AJ187" s="15"/>
      <c r="AK187" s="1"/>
    </row>
    <row r="188" spans="1:37" ht="14.25" customHeight="1">
      <c r="A188" s="1"/>
      <c r="B188" s="1"/>
      <c r="C188" s="1"/>
      <c r="D188" s="15"/>
      <c r="E188" s="15"/>
      <c r="F188" s="15"/>
      <c r="G188" s="15"/>
      <c r="H188" s="1"/>
      <c r="I188" s="1"/>
      <c r="J188" s="1"/>
      <c r="K188" s="15"/>
      <c r="L188" s="1"/>
      <c r="M188" s="1"/>
      <c r="N188" s="1"/>
      <c r="O188" s="1"/>
      <c r="P188" s="15"/>
      <c r="Q188" s="1"/>
      <c r="R188" s="1"/>
      <c r="S188" s="1"/>
      <c r="T188" s="1"/>
      <c r="U188" s="15"/>
      <c r="V188" s="1"/>
      <c r="W188" s="1"/>
      <c r="X188" s="1"/>
      <c r="Y188" s="1"/>
      <c r="Z188" s="15"/>
      <c r="AA188" s="1"/>
      <c r="AB188" s="1"/>
      <c r="AC188" s="1"/>
      <c r="AD188" s="1"/>
      <c r="AE188" s="15"/>
      <c r="AF188" s="1"/>
      <c r="AG188" s="1"/>
      <c r="AH188" s="1"/>
      <c r="AI188" s="1"/>
      <c r="AJ188" s="15"/>
      <c r="AK188" s="1"/>
    </row>
    <row r="189" spans="1:37" ht="14.25" customHeight="1">
      <c r="A189" s="1"/>
      <c r="B189" s="1"/>
      <c r="C189" s="1"/>
      <c r="D189" s="15"/>
      <c r="E189" s="15"/>
      <c r="F189" s="15"/>
      <c r="G189" s="15"/>
      <c r="H189" s="1"/>
      <c r="I189" s="1"/>
      <c r="J189" s="1"/>
      <c r="K189" s="15"/>
      <c r="L189" s="1"/>
      <c r="M189" s="1"/>
      <c r="N189" s="1"/>
      <c r="O189" s="1"/>
      <c r="P189" s="15"/>
      <c r="Q189" s="1"/>
      <c r="R189" s="1"/>
      <c r="S189" s="1"/>
      <c r="T189" s="1"/>
      <c r="U189" s="15"/>
      <c r="V189" s="1"/>
      <c r="W189" s="1"/>
      <c r="X189" s="1"/>
      <c r="Y189" s="1"/>
      <c r="Z189" s="15"/>
      <c r="AA189" s="1"/>
      <c r="AB189" s="1"/>
      <c r="AC189" s="1"/>
      <c r="AD189" s="1"/>
      <c r="AE189" s="15"/>
      <c r="AF189" s="1"/>
      <c r="AG189" s="1"/>
      <c r="AH189" s="1"/>
      <c r="AI189" s="1"/>
      <c r="AJ189" s="15"/>
      <c r="AK189" s="1"/>
    </row>
    <row r="190" spans="1:37" ht="14.25" customHeight="1">
      <c r="A190" s="1"/>
      <c r="B190" s="1"/>
      <c r="C190" s="1"/>
      <c r="D190" s="15"/>
      <c r="E190" s="15"/>
      <c r="F190" s="15"/>
      <c r="G190" s="15"/>
      <c r="H190" s="1"/>
      <c r="I190" s="1"/>
      <c r="J190" s="1"/>
      <c r="K190" s="15"/>
      <c r="L190" s="1"/>
      <c r="M190" s="1"/>
      <c r="N190" s="1"/>
      <c r="O190" s="1"/>
      <c r="P190" s="15"/>
      <c r="Q190" s="1"/>
      <c r="R190" s="1"/>
      <c r="S190" s="1"/>
      <c r="T190" s="1"/>
      <c r="U190" s="15"/>
      <c r="V190" s="1"/>
      <c r="W190" s="1"/>
      <c r="X190" s="1"/>
      <c r="Y190" s="1"/>
      <c r="Z190" s="15"/>
      <c r="AA190" s="1"/>
      <c r="AB190" s="1"/>
      <c r="AC190" s="1"/>
      <c r="AD190" s="1"/>
      <c r="AE190" s="15"/>
      <c r="AF190" s="1"/>
      <c r="AG190" s="1"/>
      <c r="AH190" s="1"/>
      <c r="AI190" s="1"/>
      <c r="AJ190" s="15"/>
      <c r="AK190" s="1"/>
    </row>
    <row r="191" spans="1:37" ht="14.25" customHeight="1">
      <c r="A191" s="1"/>
      <c r="B191" s="1"/>
      <c r="C191" s="1"/>
      <c r="D191" s="15"/>
      <c r="E191" s="15"/>
      <c r="F191" s="15"/>
      <c r="G191" s="15"/>
      <c r="H191" s="1"/>
      <c r="I191" s="1"/>
      <c r="J191" s="1"/>
      <c r="K191" s="15"/>
      <c r="L191" s="1"/>
      <c r="M191" s="1"/>
      <c r="N191" s="1"/>
      <c r="O191" s="1"/>
      <c r="P191" s="15"/>
      <c r="Q191" s="1"/>
      <c r="R191" s="1"/>
      <c r="S191" s="1"/>
      <c r="T191" s="1"/>
      <c r="U191" s="15"/>
      <c r="V191" s="1"/>
      <c r="W191" s="1"/>
      <c r="X191" s="1"/>
      <c r="Y191" s="1"/>
      <c r="Z191" s="15"/>
      <c r="AA191" s="1"/>
      <c r="AB191" s="1"/>
      <c r="AC191" s="1"/>
      <c r="AD191" s="1"/>
      <c r="AE191" s="15"/>
      <c r="AF191" s="1"/>
      <c r="AG191" s="1"/>
      <c r="AH191" s="1"/>
      <c r="AI191" s="1"/>
      <c r="AJ191" s="15"/>
      <c r="AK191" s="1"/>
    </row>
    <row r="192" spans="1:37" ht="14.25" customHeight="1">
      <c r="A192" s="1"/>
      <c r="B192" s="1"/>
      <c r="C192" s="1"/>
      <c r="D192" s="15"/>
      <c r="E192" s="15"/>
      <c r="F192" s="15"/>
      <c r="G192" s="15"/>
      <c r="H192" s="1"/>
      <c r="I192" s="1"/>
      <c r="J192" s="1"/>
      <c r="K192" s="15"/>
      <c r="L192" s="1"/>
      <c r="M192" s="1"/>
      <c r="N192" s="1"/>
      <c r="O192" s="1"/>
      <c r="P192" s="15"/>
      <c r="Q192" s="1"/>
      <c r="R192" s="1"/>
      <c r="S192" s="1"/>
      <c r="T192" s="1"/>
      <c r="U192" s="15"/>
      <c r="V192" s="1"/>
      <c r="W192" s="1"/>
      <c r="X192" s="1"/>
      <c r="Y192" s="1"/>
      <c r="Z192" s="15"/>
      <c r="AA192" s="1"/>
      <c r="AB192" s="1"/>
      <c r="AC192" s="1"/>
      <c r="AD192" s="1"/>
      <c r="AE192" s="15"/>
      <c r="AF192" s="1"/>
      <c r="AG192" s="1"/>
      <c r="AH192" s="1"/>
      <c r="AI192" s="1"/>
      <c r="AJ192" s="15"/>
      <c r="AK192" s="1"/>
    </row>
    <row r="193" spans="1:37" ht="14.25" customHeight="1">
      <c r="A193" s="1"/>
      <c r="B193" s="1"/>
      <c r="C193" s="1"/>
      <c r="D193" s="15"/>
      <c r="E193" s="15"/>
      <c r="F193" s="15"/>
      <c r="G193" s="15"/>
      <c r="H193" s="1"/>
      <c r="I193" s="1"/>
      <c r="J193" s="1"/>
      <c r="K193" s="15"/>
      <c r="L193" s="1"/>
      <c r="M193" s="1"/>
      <c r="N193" s="1"/>
      <c r="O193" s="1"/>
      <c r="P193" s="15"/>
      <c r="Q193" s="1"/>
      <c r="R193" s="1"/>
      <c r="S193" s="1"/>
      <c r="T193" s="1"/>
      <c r="U193" s="15"/>
      <c r="V193" s="1"/>
      <c r="W193" s="1"/>
      <c r="X193" s="1"/>
      <c r="Y193" s="1"/>
      <c r="Z193" s="15"/>
      <c r="AA193" s="1"/>
      <c r="AB193" s="1"/>
      <c r="AC193" s="1"/>
      <c r="AD193" s="1"/>
      <c r="AE193" s="15"/>
      <c r="AF193" s="1"/>
      <c r="AG193" s="1"/>
      <c r="AH193" s="1"/>
      <c r="AI193" s="1"/>
      <c r="AJ193" s="15"/>
      <c r="AK193" s="1"/>
    </row>
    <row r="194" spans="1:37" ht="14.25" customHeight="1">
      <c r="A194" s="1"/>
      <c r="B194" s="1"/>
      <c r="C194" s="1"/>
      <c r="D194" s="15"/>
      <c r="E194" s="15"/>
      <c r="F194" s="15"/>
      <c r="G194" s="15"/>
      <c r="H194" s="1"/>
      <c r="I194" s="1"/>
      <c r="J194" s="1"/>
      <c r="K194" s="15"/>
      <c r="L194" s="1"/>
      <c r="M194" s="1"/>
      <c r="N194" s="1"/>
      <c r="O194" s="1"/>
      <c r="P194" s="15"/>
      <c r="Q194" s="1"/>
      <c r="R194" s="1"/>
      <c r="S194" s="1"/>
      <c r="T194" s="1"/>
      <c r="U194" s="15"/>
      <c r="V194" s="1"/>
      <c r="W194" s="1"/>
      <c r="X194" s="1"/>
      <c r="Y194" s="1"/>
      <c r="Z194" s="15"/>
      <c r="AA194" s="1"/>
      <c r="AB194" s="1"/>
      <c r="AC194" s="1"/>
      <c r="AD194" s="1"/>
      <c r="AE194" s="15"/>
      <c r="AF194" s="1"/>
      <c r="AG194" s="1"/>
      <c r="AH194" s="1"/>
      <c r="AI194" s="1"/>
      <c r="AJ194" s="15"/>
      <c r="AK194" s="1"/>
    </row>
    <row r="195" spans="1:37" ht="14.25" customHeight="1">
      <c r="A195" s="1"/>
      <c r="B195" s="1"/>
      <c r="C195" s="1"/>
      <c r="D195" s="15"/>
      <c r="E195" s="15"/>
      <c r="F195" s="15"/>
      <c r="G195" s="15"/>
      <c r="H195" s="1"/>
      <c r="I195" s="1"/>
      <c r="J195" s="1"/>
      <c r="K195" s="15"/>
      <c r="L195" s="1"/>
      <c r="M195" s="1"/>
      <c r="N195" s="1"/>
      <c r="O195" s="1"/>
      <c r="P195" s="15"/>
      <c r="Q195" s="1"/>
      <c r="R195" s="1"/>
      <c r="S195" s="1"/>
      <c r="T195" s="1"/>
      <c r="U195" s="15"/>
      <c r="V195" s="1"/>
      <c r="W195" s="1"/>
      <c r="X195" s="1"/>
      <c r="Y195" s="1"/>
      <c r="Z195" s="15"/>
      <c r="AA195" s="1"/>
      <c r="AB195" s="1"/>
      <c r="AC195" s="1"/>
      <c r="AD195" s="1"/>
      <c r="AE195" s="15"/>
      <c r="AF195" s="1"/>
      <c r="AG195" s="1"/>
      <c r="AH195" s="1"/>
      <c r="AI195" s="1"/>
      <c r="AJ195" s="15"/>
      <c r="AK195" s="1"/>
    </row>
    <row r="196" spans="1:37" ht="14.25" customHeight="1">
      <c r="A196" s="1"/>
      <c r="B196" s="1"/>
      <c r="C196" s="1"/>
      <c r="D196" s="15"/>
      <c r="E196" s="15"/>
      <c r="F196" s="15"/>
      <c r="G196" s="15"/>
      <c r="H196" s="1"/>
      <c r="I196" s="1"/>
      <c r="J196" s="1"/>
      <c r="K196" s="15"/>
      <c r="L196" s="1"/>
      <c r="M196" s="1"/>
      <c r="N196" s="1"/>
      <c r="O196" s="1"/>
      <c r="P196" s="15"/>
      <c r="Q196" s="1"/>
      <c r="R196" s="1"/>
      <c r="S196" s="1"/>
      <c r="T196" s="1"/>
      <c r="U196" s="15"/>
      <c r="V196" s="1"/>
      <c r="W196" s="1"/>
      <c r="X196" s="1"/>
      <c r="Y196" s="1"/>
      <c r="Z196" s="15"/>
      <c r="AA196" s="1"/>
      <c r="AB196" s="1"/>
      <c r="AC196" s="1"/>
      <c r="AD196" s="1"/>
      <c r="AE196" s="15"/>
      <c r="AF196" s="1"/>
      <c r="AG196" s="1"/>
      <c r="AH196" s="1"/>
      <c r="AI196" s="1"/>
      <c r="AJ196" s="15"/>
      <c r="AK196" s="1"/>
    </row>
    <row r="197" spans="1:37" ht="14.25" customHeight="1">
      <c r="A197" s="1"/>
      <c r="B197" s="1"/>
      <c r="C197" s="1"/>
      <c r="D197" s="15"/>
      <c r="E197" s="15"/>
      <c r="F197" s="15"/>
      <c r="G197" s="15"/>
      <c r="H197" s="1"/>
      <c r="I197" s="1"/>
      <c r="J197" s="1"/>
      <c r="K197" s="15"/>
      <c r="L197" s="1"/>
      <c r="M197" s="1"/>
      <c r="N197" s="1"/>
      <c r="O197" s="1"/>
      <c r="P197" s="15"/>
      <c r="Q197" s="1"/>
      <c r="R197" s="1"/>
      <c r="S197" s="1"/>
      <c r="T197" s="1"/>
      <c r="U197" s="15"/>
      <c r="V197" s="1"/>
      <c r="W197" s="1"/>
      <c r="X197" s="1"/>
      <c r="Y197" s="1"/>
      <c r="Z197" s="15"/>
      <c r="AA197" s="1"/>
      <c r="AB197" s="1"/>
      <c r="AC197" s="1"/>
      <c r="AD197" s="1"/>
      <c r="AE197" s="15"/>
      <c r="AF197" s="1"/>
      <c r="AG197" s="1"/>
      <c r="AH197" s="1"/>
      <c r="AI197" s="1"/>
      <c r="AJ197" s="15"/>
      <c r="AK197" s="1"/>
    </row>
    <row r="198" spans="1:37" ht="14.25" customHeight="1">
      <c r="A198" s="1"/>
      <c r="B198" s="1"/>
      <c r="C198" s="1"/>
      <c r="D198" s="15"/>
      <c r="E198" s="15"/>
      <c r="F198" s="15"/>
      <c r="G198" s="15"/>
      <c r="H198" s="1"/>
      <c r="I198" s="1"/>
      <c r="J198" s="1"/>
      <c r="K198" s="15"/>
      <c r="L198" s="1"/>
      <c r="M198" s="1"/>
      <c r="N198" s="1"/>
      <c r="O198" s="1"/>
      <c r="P198" s="15"/>
      <c r="Q198" s="1"/>
      <c r="R198" s="1"/>
      <c r="S198" s="1"/>
      <c r="T198" s="1"/>
      <c r="U198" s="15"/>
      <c r="V198" s="1"/>
      <c r="W198" s="1"/>
      <c r="X198" s="1"/>
      <c r="Y198" s="1"/>
      <c r="Z198" s="15"/>
      <c r="AA198" s="1"/>
      <c r="AB198" s="1"/>
      <c r="AC198" s="1"/>
      <c r="AD198" s="1"/>
      <c r="AE198" s="15"/>
      <c r="AF198" s="1"/>
      <c r="AG198" s="1"/>
      <c r="AH198" s="1"/>
      <c r="AI198" s="1"/>
      <c r="AJ198" s="15"/>
      <c r="AK198" s="1"/>
    </row>
    <row r="199" spans="1:37" ht="14.25" customHeight="1">
      <c r="A199" s="1"/>
      <c r="B199" s="1"/>
      <c r="C199" s="1"/>
      <c r="D199" s="15"/>
      <c r="E199" s="15"/>
      <c r="F199" s="15"/>
      <c r="G199" s="15"/>
      <c r="H199" s="1"/>
      <c r="I199" s="1"/>
      <c r="J199" s="1"/>
      <c r="K199" s="15"/>
      <c r="L199" s="1"/>
      <c r="M199" s="1"/>
      <c r="N199" s="1"/>
      <c r="O199" s="1"/>
      <c r="P199" s="15"/>
      <c r="Q199" s="1"/>
      <c r="R199" s="1"/>
      <c r="S199" s="1"/>
      <c r="T199" s="1"/>
      <c r="U199" s="15"/>
      <c r="V199" s="1"/>
      <c r="W199" s="1"/>
      <c r="X199" s="1"/>
      <c r="Y199" s="1"/>
      <c r="Z199" s="15"/>
      <c r="AA199" s="1"/>
      <c r="AB199" s="1"/>
      <c r="AC199" s="1"/>
      <c r="AD199" s="1"/>
      <c r="AE199" s="15"/>
      <c r="AF199" s="1"/>
      <c r="AG199" s="1"/>
      <c r="AH199" s="1"/>
      <c r="AI199" s="1"/>
      <c r="AJ199" s="15"/>
      <c r="AK199" s="1"/>
    </row>
    <row r="200" spans="1:37" ht="14.25" customHeight="1">
      <c r="A200" s="1"/>
      <c r="B200" s="1"/>
      <c r="C200" s="1"/>
      <c r="D200" s="15"/>
      <c r="E200" s="15"/>
      <c r="F200" s="15"/>
      <c r="G200" s="15"/>
      <c r="H200" s="1"/>
      <c r="I200" s="1"/>
      <c r="J200" s="1"/>
      <c r="K200" s="15"/>
      <c r="L200" s="1"/>
      <c r="M200" s="1"/>
      <c r="N200" s="1"/>
      <c r="O200" s="1"/>
      <c r="P200" s="15"/>
      <c r="Q200" s="1"/>
      <c r="R200" s="1"/>
      <c r="S200" s="1"/>
      <c r="T200" s="1"/>
      <c r="U200" s="15"/>
      <c r="V200" s="1"/>
      <c r="W200" s="1"/>
      <c r="X200" s="1"/>
      <c r="Y200" s="1"/>
      <c r="Z200" s="15"/>
      <c r="AA200" s="1"/>
      <c r="AB200" s="1"/>
      <c r="AC200" s="1"/>
      <c r="AD200" s="1"/>
      <c r="AE200" s="15"/>
      <c r="AF200" s="1"/>
      <c r="AG200" s="1"/>
      <c r="AH200" s="1"/>
      <c r="AI200" s="1"/>
      <c r="AJ200" s="15"/>
      <c r="AK200" s="1"/>
    </row>
    <row r="201" spans="1:37" ht="14.25" customHeight="1">
      <c r="A201" s="1"/>
      <c r="B201" s="1"/>
      <c r="C201" s="1"/>
      <c r="D201" s="15"/>
      <c r="E201" s="15"/>
      <c r="F201" s="15"/>
      <c r="G201" s="15"/>
      <c r="H201" s="1"/>
      <c r="I201" s="1"/>
      <c r="J201" s="1"/>
      <c r="K201" s="15"/>
      <c r="L201" s="1"/>
      <c r="M201" s="1"/>
      <c r="N201" s="1"/>
      <c r="O201" s="1"/>
      <c r="P201" s="15"/>
      <c r="Q201" s="1"/>
      <c r="R201" s="1"/>
      <c r="S201" s="1"/>
      <c r="T201" s="1"/>
      <c r="U201" s="15"/>
      <c r="V201" s="1"/>
      <c r="W201" s="1"/>
      <c r="X201" s="1"/>
      <c r="Y201" s="1"/>
      <c r="Z201" s="15"/>
      <c r="AA201" s="1"/>
      <c r="AB201" s="1"/>
      <c r="AC201" s="1"/>
      <c r="AD201" s="1"/>
      <c r="AE201" s="15"/>
      <c r="AF201" s="1"/>
      <c r="AG201" s="1"/>
      <c r="AH201" s="1"/>
      <c r="AI201" s="1"/>
      <c r="AJ201" s="15"/>
      <c r="AK201" s="1"/>
    </row>
    <row r="202" spans="1:37" ht="14.25" customHeight="1">
      <c r="A202" s="1"/>
      <c r="B202" s="1"/>
      <c r="C202" s="1"/>
      <c r="D202" s="15"/>
      <c r="E202" s="15"/>
      <c r="F202" s="15"/>
      <c r="G202" s="15"/>
      <c r="H202" s="1"/>
      <c r="I202" s="1"/>
      <c r="J202" s="1"/>
      <c r="K202" s="15"/>
      <c r="L202" s="1"/>
      <c r="M202" s="1"/>
      <c r="N202" s="1"/>
      <c r="O202" s="1"/>
      <c r="P202" s="15"/>
      <c r="Q202" s="1"/>
      <c r="R202" s="1"/>
      <c r="S202" s="1"/>
      <c r="T202" s="1"/>
      <c r="U202" s="15"/>
      <c r="V202" s="1"/>
      <c r="W202" s="1"/>
      <c r="X202" s="1"/>
      <c r="Y202" s="1"/>
      <c r="Z202" s="15"/>
      <c r="AA202" s="1"/>
      <c r="AB202" s="1"/>
      <c r="AC202" s="1"/>
      <c r="AD202" s="1"/>
      <c r="AE202" s="15"/>
      <c r="AF202" s="1"/>
      <c r="AG202" s="1"/>
      <c r="AH202" s="1"/>
      <c r="AI202" s="1"/>
      <c r="AJ202" s="15"/>
      <c r="AK202" s="1"/>
    </row>
    <row r="203" spans="1:37" ht="14.25" customHeight="1">
      <c r="A203" s="1"/>
      <c r="B203" s="1"/>
      <c r="C203" s="1"/>
      <c r="D203" s="15"/>
      <c r="E203" s="15"/>
      <c r="F203" s="15"/>
      <c r="G203" s="15"/>
      <c r="H203" s="1"/>
      <c r="I203" s="1"/>
      <c r="J203" s="1"/>
      <c r="K203" s="15"/>
      <c r="L203" s="1"/>
      <c r="M203" s="1"/>
      <c r="N203" s="1"/>
      <c r="O203" s="1"/>
      <c r="P203" s="15"/>
      <c r="Q203" s="1"/>
      <c r="R203" s="1"/>
      <c r="S203" s="1"/>
      <c r="T203" s="1"/>
      <c r="U203" s="15"/>
      <c r="V203" s="1"/>
      <c r="W203" s="1"/>
      <c r="X203" s="1"/>
      <c r="Y203" s="1"/>
      <c r="Z203" s="15"/>
      <c r="AA203" s="1"/>
      <c r="AB203" s="1"/>
      <c r="AC203" s="1"/>
      <c r="AD203" s="1"/>
      <c r="AE203" s="15"/>
      <c r="AF203" s="1"/>
      <c r="AG203" s="1"/>
      <c r="AH203" s="1"/>
      <c r="AI203" s="1"/>
      <c r="AJ203" s="15"/>
      <c r="AK203" s="1"/>
    </row>
    <row r="204" spans="1:37" ht="14.25" customHeight="1">
      <c r="A204" s="1"/>
      <c r="B204" s="1"/>
      <c r="C204" s="1"/>
      <c r="D204" s="15"/>
      <c r="E204" s="15"/>
      <c r="F204" s="15"/>
      <c r="G204" s="15"/>
      <c r="H204" s="1"/>
      <c r="I204" s="1"/>
      <c r="J204" s="1"/>
      <c r="K204" s="15"/>
      <c r="L204" s="1"/>
      <c r="M204" s="1"/>
      <c r="N204" s="1"/>
      <c r="O204" s="1"/>
      <c r="P204" s="15"/>
      <c r="Q204" s="1"/>
      <c r="R204" s="1"/>
      <c r="S204" s="1"/>
      <c r="T204" s="1"/>
      <c r="U204" s="15"/>
      <c r="V204" s="1"/>
      <c r="W204" s="1"/>
      <c r="X204" s="1"/>
      <c r="Y204" s="1"/>
      <c r="Z204" s="15"/>
      <c r="AA204" s="1"/>
      <c r="AB204" s="1"/>
      <c r="AC204" s="1"/>
      <c r="AD204" s="1"/>
      <c r="AE204" s="15"/>
      <c r="AF204" s="1"/>
      <c r="AG204" s="1"/>
      <c r="AH204" s="1"/>
      <c r="AI204" s="1"/>
      <c r="AJ204" s="15"/>
      <c r="AK204" s="1"/>
    </row>
    <row r="205" spans="1:37" ht="14.25" customHeight="1">
      <c r="A205" s="1"/>
      <c r="B205" s="1"/>
      <c r="C205" s="1"/>
      <c r="D205" s="15"/>
      <c r="E205" s="15"/>
      <c r="F205" s="15"/>
      <c r="G205" s="15"/>
      <c r="H205" s="1"/>
      <c r="I205" s="1"/>
      <c r="J205" s="1"/>
      <c r="K205" s="15"/>
      <c r="L205" s="1"/>
      <c r="M205" s="1"/>
      <c r="N205" s="1"/>
      <c r="O205" s="1"/>
      <c r="P205" s="15"/>
      <c r="Q205" s="1"/>
      <c r="R205" s="1"/>
      <c r="S205" s="1"/>
      <c r="T205" s="1"/>
      <c r="U205" s="15"/>
      <c r="V205" s="1"/>
      <c r="W205" s="1"/>
      <c r="X205" s="1"/>
      <c r="Y205" s="1"/>
      <c r="Z205" s="15"/>
      <c r="AA205" s="1"/>
      <c r="AB205" s="1"/>
      <c r="AC205" s="1"/>
      <c r="AD205" s="1"/>
      <c r="AE205" s="15"/>
      <c r="AF205" s="1"/>
      <c r="AG205" s="1"/>
      <c r="AH205" s="1"/>
      <c r="AI205" s="1"/>
      <c r="AJ205" s="15"/>
      <c r="AK205" s="1"/>
    </row>
    <row r="206" spans="1:37" ht="14.25" customHeight="1">
      <c r="A206" s="1"/>
      <c r="B206" s="1"/>
      <c r="C206" s="1"/>
      <c r="D206" s="15"/>
      <c r="E206" s="15"/>
      <c r="F206" s="15"/>
      <c r="G206" s="15"/>
      <c r="H206" s="1"/>
      <c r="I206" s="1"/>
      <c r="J206" s="1"/>
      <c r="K206" s="15"/>
      <c r="L206" s="1"/>
      <c r="M206" s="1"/>
      <c r="N206" s="1"/>
      <c r="O206" s="1"/>
      <c r="P206" s="15"/>
      <c r="Q206" s="1"/>
      <c r="R206" s="1"/>
      <c r="S206" s="1"/>
      <c r="T206" s="1"/>
      <c r="U206" s="15"/>
      <c r="V206" s="1"/>
      <c r="W206" s="1"/>
      <c r="X206" s="1"/>
      <c r="Y206" s="1"/>
      <c r="Z206" s="15"/>
      <c r="AA206" s="1"/>
      <c r="AB206" s="1"/>
      <c r="AC206" s="1"/>
      <c r="AD206" s="1"/>
      <c r="AE206" s="15"/>
      <c r="AF206" s="1"/>
      <c r="AG206" s="1"/>
      <c r="AH206" s="1"/>
      <c r="AI206" s="1"/>
      <c r="AJ206" s="15"/>
      <c r="AK206" s="1"/>
    </row>
    <row r="207" spans="1:37" ht="14.25" customHeight="1">
      <c r="A207" s="1"/>
      <c r="B207" s="1"/>
      <c r="C207" s="1"/>
      <c r="D207" s="15"/>
      <c r="E207" s="15"/>
      <c r="F207" s="15"/>
      <c r="G207" s="15"/>
      <c r="H207" s="1"/>
      <c r="I207" s="1"/>
      <c r="J207" s="1"/>
      <c r="K207" s="15"/>
      <c r="L207" s="1"/>
      <c r="M207" s="1"/>
      <c r="N207" s="1"/>
      <c r="O207" s="1"/>
      <c r="P207" s="15"/>
      <c r="Q207" s="1"/>
      <c r="R207" s="1"/>
      <c r="S207" s="1"/>
      <c r="T207" s="1"/>
      <c r="U207" s="15"/>
      <c r="V207" s="1"/>
      <c r="W207" s="1"/>
      <c r="X207" s="1"/>
      <c r="Y207" s="1"/>
      <c r="Z207" s="15"/>
      <c r="AA207" s="1"/>
      <c r="AB207" s="1"/>
      <c r="AC207" s="1"/>
      <c r="AD207" s="1"/>
      <c r="AE207" s="15"/>
      <c r="AF207" s="1"/>
      <c r="AG207" s="1"/>
      <c r="AH207" s="1"/>
      <c r="AI207" s="1"/>
      <c r="AJ207" s="15"/>
      <c r="AK207" s="1"/>
    </row>
    <row r="208" spans="1:37" ht="14.25" customHeight="1">
      <c r="A208" s="1"/>
      <c r="B208" s="1"/>
      <c r="C208" s="1"/>
      <c r="D208" s="15"/>
      <c r="E208" s="15"/>
      <c r="F208" s="15"/>
      <c r="G208" s="15"/>
      <c r="H208" s="1"/>
      <c r="I208" s="1"/>
      <c r="J208" s="1"/>
      <c r="K208" s="15"/>
      <c r="L208" s="1"/>
      <c r="M208" s="1"/>
      <c r="N208" s="1"/>
      <c r="O208" s="1"/>
      <c r="P208" s="15"/>
      <c r="Q208" s="1"/>
      <c r="R208" s="1"/>
      <c r="S208" s="1"/>
      <c r="T208" s="1"/>
      <c r="U208" s="15"/>
      <c r="V208" s="1"/>
      <c r="W208" s="1"/>
      <c r="X208" s="1"/>
      <c r="Y208" s="1"/>
      <c r="Z208" s="15"/>
      <c r="AA208" s="1"/>
      <c r="AB208" s="1"/>
      <c r="AC208" s="1"/>
      <c r="AD208" s="1"/>
      <c r="AE208" s="15"/>
      <c r="AF208" s="1"/>
      <c r="AG208" s="1"/>
      <c r="AH208" s="1"/>
      <c r="AI208" s="1"/>
      <c r="AJ208" s="15"/>
      <c r="AK208" s="1"/>
    </row>
    <row r="209" spans="1:37" ht="14.25" customHeight="1">
      <c r="A209" s="1"/>
      <c r="B209" s="1"/>
      <c r="C209" s="1"/>
      <c r="D209" s="15"/>
      <c r="E209" s="15"/>
      <c r="F209" s="15"/>
      <c r="G209" s="15"/>
      <c r="H209" s="1"/>
      <c r="I209" s="1"/>
      <c r="J209" s="1"/>
      <c r="K209" s="15"/>
      <c r="L209" s="1"/>
      <c r="M209" s="1"/>
      <c r="N209" s="1"/>
      <c r="O209" s="1"/>
      <c r="P209" s="15"/>
      <c r="Q209" s="1"/>
      <c r="R209" s="1"/>
      <c r="S209" s="1"/>
      <c r="T209" s="1"/>
      <c r="U209" s="15"/>
      <c r="V209" s="1"/>
      <c r="W209" s="1"/>
      <c r="X209" s="1"/>
      <c r="Y209" s="1"/>
      <c r="Z209" s="15"/>
      <c r="AA209" s="1"/>
      <c r="AB209" s="1"/>
      <c r="AC209" s="1"/>
      <c r="AD209" s="1"/>
      <c r="AE209" s="15"/>
      <c r="AF209" s="1"/>
      <c r="AG209" s="1"/>
      <c r="AH209" s="1"/>
      <c r="AI209" s="1"/>
      <c r="AJ209" s="15"/>
      <c r="AK209" s="1"/>
    </row>
    <row r="210" spans="1:37" ht="14.25" customHeight="1">
      <c r="A210" s="1"/>
      <c r="B210" s="1"/>
      <c r="C210" s="1"/>
      <c r="D210" s="15"/>
      <c r="E210" s="15"/>
      <c r="F210" s="15"/>
      <c r="G210" s="15"/>
      <c r="H210" s="1"/>
      <c r="I210" s="1"/>
      <c r="J210" s="1"/>
      <c r="K210" s="15"/>
      <c r="L210" s="1"/>
      <c r="M210" s="1"/>
      <c r="N210" s="1"/>
      <c r="O210" s="1"/>
      <c r="P210" s="15"/>
      <c r="Q210" s="1"/>
      <c r="R210" s="1"/>
      <c r="S210" s="1"/>
      <c r="T210" s="1"/>
      <c r="U210" s="15"/>
      <c r="V210" s="1"/>
      <c r="W210" s="1"/>
      <c r="X210" s="1"/>
      <c r="Y210" s="1"/>
      <c r="Z210" s="15"/>
      <c r="AA210" s="1"/>
      <c r="AB210" s="1"/>
      <c r="AC210" s="1"/>
      <c r="AD210" s="1"/>
      <c r="AE210" s="15"/>
      <c r="AF210" s="1"/>
      <c r="AG210" s="1"/>
      <c r="AH210" s="1"/>
      <c r="AI210" s="1"/>
      <c r="AJ210" s="15"/>
      <c r="AK210" s="1"/>
    </row>
    <row r="211" spans="1:37" ht="14.25" customHeight="1">
      <c r="A211" s="1"/>
      <c r="B211" s="1"/>
      <c r="C211" s="1"/>
      <c r="D211" s="15"/>
      <c r="E211" s="15"/>
      <c r="F211" s="15"/>
      <c r="G211" s="15"/>
      <c r="H211" s="1"/>
      <c r="I211" s="1"/>
      <c r="J211" s="1"/>
      <c r="K211" s="15"/>
      <c r="L211" s="1"/>
      <c r="M211" s="1"/>
      <c r="N211" s="1"/>
      <c r="O211" s="1"/>
      <c r="P211" s="15"/>
      <c r="Q211" s="1"/>
      <c r="R211" s="1"/>
      <c r="S211" s="1"/>
      <c r="T211" s="1"/>
      <c r="U211" s="15"/>
      <c r="V211" s="1"/>
      <c r="W211" s="1"/>
      <c r="X211" s="1"/>
      <c r="Y211" s="1"/>
      <c r="Z211" s="15"/>
      <c r="AA211" s="1"/>
      <c r="AB211" s="1"/>
      <c r="AC211" s="1"/>
      <c r="AD211" s="1"/>
      <c r="AE211" s="15"/>
      <c r="AF211" s="1"/>
      <c r="AG211" s="1"/>
      <c r="AH211" s="1"/>
      <c r="AI211" s="1"/>
      <c r="AJ211" s="15"/>
      <c r="AK211" s="1"/>
    </row>
    <row r="212" spans="1:37" ht="14.25" customHeight="1">
      <c r="A212" s="1"/>
      <c r="B212" s="1"/>
      <c r="C212" s="1"/>
      <c r="D212" s="15"/>
      <c r="E212" s="15"/>
      <c r="F212" s="15"/>
      <c r="G212" s="15"/>
      <c r="H212" s="1"/>
      <c r="I212" s="1"/>
      <c r="J212" s="1"/>
      <c r="K212" s="15"/>
      <c r="L212" s="1"/>
      <c r="M212" s="1"/>
      <c r="N212" s="1"/>
      <c r="O212" s="1"/>
      <c r="P212" s="15"/>
      <c r="Q212" s="1"/>
      <c r="R212" s="1"/>
      <c r="S212" s="1"/>
      <c r="T212" s="1"/>
      <c r="U212" s="15"/>
      <c r="V212" s="1"/>
      <c r="W212" s="1"/>
      <c r="X212" s="1"/>
      <c r="Y212" s="1"/>
      <c r="Z212" s="15"/>
      <c r="AA212" s="1"/>
      <c r="AB212" s="1"/>
      <c r="AC212" s="1"/>
      <c r="AD212" s="1"/>
      <c r="AE212" s="15"/>
      <c r="AF212" s="1"/>
      <c r="AG212" s="1"/>
      <c r="AH212" s="1"/>
      <c r="AI212" s="1"/>
      <c r="AJ212" s="15"/>
      <c r="AK212" s="1"/>
    </row>
    <row r="213" spans="1:37" ht="14.25" customHeight="1">
      <c r="A213" s="1"/>
      <c r="B213" s="1"/>
      <c r="C213" s="1"/>
      <c r="D213" s="15"/>
      <c r="E213" s="15"/>
      <c r="F213" s="15"/>
      <c r="G213" s="15"/>
      <c r="H213" s="1"/>
      <c r="I213" s="1"/>
      <c r="J213" s="1"/>
      <c r="K213" s="15"/>
      <c r="L213" s="1"/>
      <c r="M213" s="1"/>
      <c r="N213" s="1"/>
      <c r="O213" s="1"/>
      <c r="P213" s="15"/>
      <c r="Q213" s="1"/>
      <c r="R213" s="1"/>
      <c r="S213" s="1"/>
      <c r="T213" s="1"/>
      <c r="U213" s="15"/>
      <c r="V213" s="1"/>
      <c r="W213" s="1"/>
      <c r="X213" s="1"/>
      <c r="Y213" s="1"/>
      <c r="Z213" s="15"/>
      <c r="AA213" s="1"/>
      <c r="AB213" s="1"/>
      <c r="AC213" s="1"/>
      <c r="AD213" s="1"/>
      <c r="AE213" s="15"/>
      <c r="AF213" s="1"/>
      <c r="AG213" s="1"/>
      <c r="AH213" s="1"/>
      <c r="AI213" s="1"/>
      <c r="AJ213" s="15"/>
      <c r="AK213" s="1"/>
    </row>
    <row r="214" spans="1:37" ht="14.25" customHeight="1">
      <c r="A214" s="1"/>
      <c r="B214" s="1"/>
      <c r="C214" s="1"/>
      <c r="D214" s="15"/>
      <c r="E214" s="15"/>
      <c r="F214" s="15"/>
      <c r="G214" s="15"/>
      <c r="H214" s="1"/>
      <c r="I214" s="1"/>
      <c r="J214" s="1"/>
      <c r="K214" s="15"/>
      <c r="L214" s="1"/>
      <c r="M214" s="1"/>
      <c r="N214" s="1"/>
      <c r="O214" s="1"/>
      <c r="P214" s="15"/>
      <c r="Q214" s="1"/>
      <c r="R214" s="1"/>
      <c r="S214" s="1"/>
      <c r="T214" s="1"/>
      <c r="U214" s="15"/>
      <c r="V214" s="1"/>
      <c r="W214" s="1"/>
      <c r="X214" s="1"/>
      <c r="Y214" s="1"/>
      <c r="Z214" s="15"/>
      <c r="AA214" s="1"/>
      <c r="AB214" s="1"/>
      <c r="AC214" s="1"/>
      <c r="AD214" s="1"/>
      <c r="AE214" s="15"/>
      <c r="AF214" s="1"/>
      <c r="AG214" s="1"/>
      <c r="AH214" s="1"/>
      <c r="AI214" s="1"/>
      <c r="AJ214" s="15"/>
      <c r="AK214" s="1"/>
    </row>
    <row r="215" spans="1:37" ht="14.25" customHeight="1">
      <c r="A215" s="1"/>
      <c r="B215" s="1"/>
      <c r="C215" s="1"/>
      <c r="D215" s="15"/>
      <c r="E215" s="15"/>
      <c r="F215" s="15"/>
      <c r="G215" s="15"/>
      <c r="H215" s="1"/>
      <c r="I215" s="1"/>
      <c r="J215" s="1"/>
      <c r="K215" s="15"/>
      <c r="L215" s="1"/>
      <c r="M215" s="1"/>
      <c r="N215" s="1"/>
      <c r="O215" s="1"/>
      <c r="P215" s="15"/>
      <c r="Q215" s="1"/>
      <c r="R215" s="1"/>
      <c r="S215" s="1"/>
      <c r="T215" s="1"/>
      <c r="U215" s="15"/>
      <c r="V215" s="1"/>
      <c r="W215" s="1"/>
      <c r="X215" s="1"/>
      <c r="Y215" s="1"/>
      <c r="Z215" s="15"/>
      <c r="AA215" s="1"/>
      <c r="AB215" s="1"/>
      <c r="AC215" s="1"/>
      <c r="AD215" s="1"/>
      <c r="AE215" s="15"/>
      <c r="AF215" s="1"/>
      <c r="AG215" s="1"/>
      <c r="AH215" s="1"/>
      <c r="AI215" s="1"/>
      <c r="AJ215" s="15"/>
      <c r="AK215" s="1"/>
    </row>
    <row r="216" spans="1:37" ht="14.25" customHeight="1">
      <c r="A216" s="1"/>
      <c r="B216" s="1"/>
      <c r="C216" s="1"/>
      <c r="D216" s="15"/>
      <c r="E216" s="15"/>
      <c r="F216" s="15"/>
      <c r="G216" s="15"/>
      <c r="H216" s="1"/>
      <c r="I216" s="1"/>
      <c r="J216" s="1"/>
      <c r="K216" s="15"/>
      <c r="L216" s="1"/>
      <c r="M216" s="1"/>
      <c r="N216" s="1"/>
      <c r="O216" s="1"/>
      <c r="P216" s="15"/>
      <c r="Q216" s="1"/>
      <c r="R216" s="1"/>
      <c r="S216" s="1"/>
      <c r="T216" s="1"/>
      <c r="U216" s="15"/>
      <c r="V216" s="1"/>
      <c r="W216" s="1"/>
      <c r="X216" s="1"/>
      <c r="Y216" s="1"/>
      <c r="Z216" s="15"/>
      <c r="AA216" s="1"/>
      <c r="AB216" s="1"/>
      <c r="AC216" s="1"/>
      <c r="AD216" s="1"/>
      <c r="AE216" s="15"/>
      <c r="AF216" s="1"/>
      <c r="AG216" s="1"/>
      <c r="AH216" s="1"/>
      <c r="AI216" s="1"/>
      <c r="AJ216" s="15"/>
      <c r="AK216" s="1"/>
    </row>
    <row r="217" spans="1:37" ht="14.25" customHeight="1">
      <c r="A217" s="1"/>
      <c r="B217" s="1"/>
      <c r="C217" s="1"/>
      <c r="D217" s="15"/>
      <c r="E217" s="15"/>
      <c r="F217" s="15"/>
      <c r="G217" s="15"/>
      <c r="H217" s="1"/>
      <c r="I217" s="1"/>
      <c r="J217" s="1"/>
      <c r="K217" s="15"/>
      <c r="L217" s="1"/>
      <c r="M217" s="1"/>
      <c r="N217" s="1"/>
      <c r="O217" s="1"/>
      <c r="P217" s="15"/>
      <c r="Q217" s="1"/>
      <c r="R217" s="1"/>
      <c r="S217" s="1"/>
      <c r="T217" s="1"/>
      <c r="U217" s="15"/>
      <c r="V217" s="1"/>
      <c r="W217" s="1"/>
      <c r="X217" s="1"/>
      <c r="Y217" s="1"/>
      <c r="Z217" s="15"/>
      <c r="AA217" s="1"/>
      <c r="AB217" s="1"/>
      <c r="AC217" s="1"/>
      <c r="AD217" s="1"/>
      <c r="AE217" s="15"/>
      <c r="AF217" s="1"/>
      <c r="AG217" s="1"/>
      <c r="AH217" s="1"/>
      <c r="AI217" s="1"/>
      <c r="AJ217" s="15"/>
      <c r="AK217" s="1"/>
    </row>
    <row r="218" spans="1:37" ht="14.25" customHeight="1">
      <c r="A218" s="1"/>
      <c r="B218" s="1"/>
      <c r="C218" s="1"/>
      <c r="D218" s="15"/>
      <c r="E218" s="15"/>
      <c r="F218" s="15"/>
      <c r="G218" s="15"/>
      <c r="H218" s="1"/>
      <c r="I218" s="1"/>
      <c r="J218" s="1"/>
      <c r="K218" s="15"/>
      <c r="L218" s="1"/>
      <c r="M218" s="1"/>
      <c r="N218" s="1"/>
      <c r="O218" s="1"/>
      <c r="P218" s="15"/>
      <c r="Q218" s="1"/>
      <c r="R218" s="1"/>
      <c r="S218" s="1"/>
      <c r="T218" s="1"/>
      <c r="U218" s="15"/>
      <c r="V218" s="1"/>
      <c r="W218" s="1"/>
      <c r="X218" s="1"/>
      <c r="Y218" s="1"/>
      <c r="Z218" s="15"/>
      <c r="AA218" s="1"/>
      <c r="AB218" s="1"/>
      <c r="AC218" s="1"/>
      <c r="AD218" s="1"/>
      <c r="AE218" s="15"/>
      <c r="AF218" s="1"/>
      <c r="AG218" s="1"/>
      <c r="AH218" s="1"/>
      <c r="AI218" s="1"/>
      <c r="AJ218" s="15"/>
      <c r="AK218" s="1"/>
    </row>
    <row r="219" spans="1:37" ht="14.25" customHeight="1">
      <c r="A219" s="1"/>
      <c r="B219" s="1"/>
      <c r="C219" s="1"/>
      <c r="D219" s="15"/>
      <c r="E219" s="15"/>
      <c r="F219" s="15"/>
      <c r="G219" s="15"/>
      <c r="H219" s="1"/>
      <c r="I219" s="1"/>
      <c r="J219" s="1"/>
      <c r="K219" s="15"/>
      <c r="L219" s="1"/>
      <c r="M219" s="1"/>
      <c r="N219" s="1"/>
      <c r="O219" s="1"/>
      <c r="P219" s="15"/>
      <c r="Q219" s="1"/>
      <c r="R219" s="1"/>
      <c r="S219" s="1"/>
      <c r="T219" s="1"/>
      <c r="U219" s="15"/>
      <c r="V219" s="1"/>
      <c r="W219" s="1"/>
      <c r="X219" s="1"/>
      <c r="Y219" s="1"/>
      <c r="Z219" s="15"/>
      <c r="AA219" s="1"/>
      <c r="AB219" s="1"/>
      <c r="AC219" s="1"/>
      <c r="AD219" s="1"/>
      <c r="AE219" s="15"/>
      <c r="AF219" s="1"/>
      <c r="AG219" s="1"/>
      <c r="AH219" s="1"/>
      <c r="AI219" s="1"/>
      <c r="AJ219" s="15"/>
      <c r="AK219" s="1"/>
    </row>
    <row r="220" spans="1:37" ht="14.25" customHeight="1">
      <c r="A220" s="1"/>
      <c r="B220" s="1"/>
      <c r="C220" s="1"/>
      <c r="D220" s="15"/>
      <c r="E220" s="15"/>
      <c r="F220" s="15"/>
      <c r="G220" s="15"/>
      <c r="H220" s="1"/>
      <c r="I220" s="1"/>
      <c r="J220" s="1"/>
      <c r="K220" s="15"/>
      <c r="L220" s="1"/>
      <c r="M220" s="1"/>
      <c r="N220" s="1"/>
      <c r="O220" s="1"/>
      <c r="P220" s="15"/>
      <c r="Q220" s="1"/>
      <c r="R220" s="1"/>
      <c r="S220" s="1"/>
      <c r="T220" s="1"/>
      <c r="U220" s="15"/>
      <c r="V220" s="1"/>
      <c r="W220" s="1"/>
      <c r="X220" s="1"/>
      <c r="Y220" s="1"/>
      <c r="Z220" s="15"/>
      <c r="AA220" s="1"/>
      <c r="AB220" s="1"/>
      <c r="AC220" s="1"/>
      <c r="AD220" s="1"/>
      <c r="AE220" s="15"/>
      <c r="AF220" s="1"/>
      <c r="AG220" s="1"/>
      <c r="AH220" s="1"/>
      <c r="AI220" s="1"/>
      <c r="AJ220" s="15"/>
      <c r="AK220" s="1"/>
    </row>
    <row r="221" spans="1:37" ht="14.25" customHeight="1">
      <c r="A221" s="1"/>
      <c r="B221" s="1"/>
      <c r="C221" s="1"/>
      <c r="D221" s="15"/>
      <c r="E221" s="15"/>
      <c r="F221" s="15"/>
      <c r="G221" s="15"/>
      <c r="H221" s="1"/>
      <c r="I221" s="1"/>
      <c r="J221" s="1"/>
      <c r="K221" s="15"/>
      <c r="L221" s="1"/>
      <c r="M221" s="1"/>
      <c r="N221" s="1"/>
      <c r="O221" s="1"/>
      <c r="P221" s="15"/>
      <c r="Q221" s="1"/>
      <c r="R221" s="1"/>
      <c r="S221" s="1"/>
      <c r="T221" s="1"/>
      <c r="U221" s="15"/>
      <c r="V221" s="1"/>
      <c r="W221" s="1"/>
      <c r="X221" s="1"/>
      <c r="Y221" s="1"/>
      <c r="Z221" s="15"/>
      <c r="AA221" s="1"/>
      <c r="AB221" s="1"/>
      <c r="AC221" s="1"/>
      <c r="AD221" s="1"/>
      <c r="AE221" s="15"/>
      <c r="AF221" s="1"/>
      <c r="AG221" s="1"/>
      <c r="AH221" s="1"/>
      <c r="AI221" s="1"/>
      <c r="AJ221" s="15"/>
      <c r="AK221" s="1"/>
    </row>
    <row r="222" spans="1:37" ht="14.25" customHeight="1">
      <c r="A222" s="1"/>
      <c r="B222" s="1"/>
      <c r="C222" s="1"/>
      <c r="D222" s="15"/>
      <c r="E222" s="15"/>
      <c r="F222" s="15"/>
      <c r="G222" s="15"/>
      <c r="H222" s="1"/>
      <c r="I222" s="1"/>
      <c r="J222" s="1"/>
      <c r="K222" s="15"/>
      <c r="L222" s="1"/>
      <c r="M222" s="1"/>
      <c r="N222" s="1"/>
      <c r="O222" s="1"/>
      <c r="P222" s="15"/>
      <c r="Q222" s="1"/>
      <c r="R222" s="1"/>
      <c r="S222" s="1"/>
      <c r="T222" s="1"/>
      <c r="U222" s="15"/>
      <c r="V222" s="1"/>
      <c r="W222" s="1"/>
      <c r="X222" s="1"/>
      <c r="Y222" s="1"/>
      <c r="Z222" s="15"/>
      <c r="AA222" s="1"/>
      <c r="AB222" s="1"/>
      <c r="AC222" s="1"/>
      <c r="AD222" s="1"/>
      <c r="AE222" s="15"/>
      <c r="AF222" s="1"/>
      <c r="AG222" s="1"/>
      <c r="AH222" s="1"/>
      <c r="AI222" s="1"/>
      <c r="AJ222" s="15"/>
      <c r="AK222" s="1"/>
    </row>
    <row r="223" spans="1:37" ht="14.25" customHeight="1">
      <c r="A223" s="1"/>
      <c r="B223" s="1"/>
      <c r="C223" s="1"/>
      <c r="D223" s="15"/>
      <c r="E223" s="15"/>
      <c r="F223" s="15"/>
      <c r="G223" s="15"/>
      <c r="H223" s="1"/>
      <c r="I223" s="1"/>
      <c r="J223" s="1"/>
      <c r="K223" s="15"/>
      <c r="L223" s="1"/>
      <c r="M223" s="1"/>
      <c r="N223" s="1"/>
      <c r="O223" s="1"/>
      <c r="P223" s="15"/>
      <c r="Q223" s="1"/>
      <c r="R223" s="1"/>
      <c r="S223" s="1"/>
      <c r="T223" s="1"/>
      <c r="U223" s="15"/>
      <c r="V223" s="1"/>
      <c r="W223" s="1"/>
      <c r="X223" s="1"/>
      <c r="Y223" s="1"/>
      <c r="Z223" s="15"/>
      <c r="AA223" s="1"/>
      <c r="AB223" s="1"/>
      <c r="AC223" s="1"/>
      <c r="AD223" s="1"/>
      <c r="AE223" s="15"/>
      <c r="AF223" s="1"/>
      <c r="AG223" s="1"/>
      <c r="AH223" s="1"/>
      <c r="AI223" s="1"/>
      <c r="AJ223" s="15"/>
      <c r="AK223" s="1"/>
    </row>
    <row r="224" spans="1:37" ht="14.25" customHeight="1">
      <c r="A224" s="1"/>
      <c r="B224" s="1"/>
      <c r="C224" s="1"/>
      <c r="D224" s="15"/>
      <c r="E224" s="15"/>
      <c r="F224" s="15"/>
      <c r="G224" s="15"/>
      <c r="H224" s="1"/>
      <c r="I224" s="1"/>
      <c r="J224" s="1"/>
      <c r="K224" s="15"/>
      <c r="L224" s="1"/>
      <c r="M224" s="1"/>
      <c r="N224" s="1"/>
      <c r="O224" s="1"/>
      <c r="P224" s="15"/>
      <c r="Q224" s="1"/>
      <c r="R224" s="1"/>
      <c r="S224" s="1"/>
      <c r="T224" s="1"/>
      <c r="U224" s="15"/>
      <c r="V224" s="1"/>
      <c r="W224" s="1"/>
      <c r="X224" s="1"/>
      <c r="Y224" s="1"/>
      <c r="Z224" s="15"/>
      <c r="AA224" s="1"/>
      <c r="AB224" s="1"/>
      <c r="AC224" s="1"/>
      <c r="AD224" s="1"/>
      <c r="AE224" s="15"/>
      <c r="AF224" s="1"/>
      <c r="AG224" s="1"/>
      <c r="AH224" s="1"/>
      <c r="AI224" s="1"/>
      <c r="AJ224" s="15"/>
      <c r="AK224" s="1"/>
    </row>
    <row r="225" spans="1:37" ht="14.25" customHeight="1">
      <c r="A225" s="1"/>
      <c r="B225" s="1"/>
      <c r="C225" s="1"/>
      <c r="D225" s="15"/>
      <c r="E225" s="15"/>
      <c r="F225" s="15"/>
      <c r="G225" s="15"/>
      <c r="H225" s="1"/>
      <c r="I225" s="1"/>
      <c r="J225" s="1"/>
      <c r="K225" s="15"/>
      <c r="L225" s="1"/>
      <c r="M225" s="1"/>
      <c r="N225" s="1"/>
      <c r="O225" s="1"/>
      <c r="P225" s="15"/>
      <c r="Q225" s="1"/>
      <c r="R225" s="1"/>
      <c r="S225" s="1"/>
      <c r="T225" s="1"/>
      <c r="U225" s="15"/>
      <c r="V225" s="1"/>
      <c r="W225" s="1"/>
      <c r="X225" s="1"/>
      <c r="Y225" s="1"/>
      <c r="Z225" s="15"/>
      <c r="AA225" s="1"/>
      <c r="AB225" s="1"/>
      <c r="AC225" s="1"/>
      <c r="AD225" s="1"/>
      <c r="AE225" s="15"/>
      <c r="AF225" s="1"/>
      <c r="AG225" s="1"/>
      <c r="AH225" s="1"/>
      <c r="AI225" s="1"/>
      <c r="AJ225" s="15"/>
      <c r="AK225" s="1"/>
    </row>
    <row r="226" spans="1:37" ht="14.25" customHeight="1">
      <c r="A226" s="1"/>
      <c r="B226" s="1"/>
      <c r="C226" s="1"/>
      <c r="D226" s="15"/>
      <c r="E226" s="15"/>
      <c r="F226" s="15"/>
      <c r="G226" s="15"/>
      <c r="H226" s="1"/>
      <c r="I226" s="1"/>
      <c r="J226" s="1"/>
      <c r="K226" s="15"/>
      <c r="L226" s="1"/>
      <c r="M226" s="1"/>
      <c r="N226" s="1"/>
      <c r="O226" s="1"/>
      <c r="P226" s="15"/>
      <c r="Q226" s="1"/>
      <c r="R226" s="1"/>
      <c r="S226" s="1"/>
      <c r="T226" s="1"/>
      <c r="U226" s="15"/>
      <c r="V226" s="1"/>
      <c r="W226" s="1"/>
      <c r="X226" s="1"/>
      <c r="Y226" s="1"/>
      <c r="Z226" s="15"/>
      <c r="AA226" s="1"/>
      <c r="AB226" s="1"/>
      <c r="AC226" s="1"/>
      <c r="AD226" s="1"/>
      <c r="AE226" s="15"/>
      <c r="AF226" s="1"/>
      <c r="AG226" s="1"/>
      <c r="AH226" s="1"/>
      <c r="AI226" s="1"/>
      <c r="AJ226" s="15"/>
      <c r="AK226" s="1"/>
    </row>
    <row r="227" spans="1:37" ht="14.25" customHeight="1">
      <c r="A227" s="1"/>
      <c r="B227" s="1"/>
      <c r="C227" s="1"/>
      <c r="D227" s="15"/>
      <c r="E227" s="15"/>
      <c r="F227" s="15"/>
      <c r="G227" s="15"/>
      <c r="H227" s="1"/>
      <c r="I227" s="1"/>
      <c r="J227" s="1"/>
      <c r="K227" s="15"/>
      <c r="L227" s="1"/>
      <c r="M227" s="1"/>
      <c r="N227" s="1"/>
      <c r="O227" s="1"/>
      <c r="P227" s="15"/>
      <c r="Q227" s="1"/>
      <c r="R227" s="1"/>
      <c r="S227" s="1"/>
      <c r="T227" s="1"/>
      <c r="U227" s="15"/>
      <c r="V227" s="1"/>
      <c r="W227" s="1"/>
      <c r="X227" s="1"/>
      <c r="Y227" s="1"/>
      <c r="Z227" s="15"/>
      <c r="AA227" s="1"/>
      <c r="AB227" s="1"/>
      <c r="AC227" s="1"/>
      <c r="AD227" s="1"/>
      <c r="AE227" s="15"/>
      <c r="AF227" s="1"/>
      <c r="AG227" s="1"/>
      <c r="AH227" s="1"/>
      <c r="AI227" s="1"/>
      <c r="AJ227" s="15"/>
      <c r="AK227" s="1"/>
    </row>
    <row r="228" spans="1:37" ht="14.25" customHeight="1">
      <c r="A228" s="1"/>
      <c r="B228" s="1"/>
      <c r="C228" s="1"/>
      <c r="D228" s="15"/>
      <c r="E228" s="15"/>
      <c r="F228" s="15"/>
      <c r="G228" s="15"/>
      <c r="H228" s="1"/>
      <c r="I228" s="1"/>
      <c r="J228" s="1"/>
      <c r="K228" s="15"/>
      <c r="L228" s="1"/>
      <c r="M228" s="1"/>
      <c r="N228" s="1"/>
      <c r="O228" s="1"/>
      <c r="P228" s="15"/>
      <c r="Q228" s="1"/>
      <c r="R228" s="1"/>
      <c r="S228" s="1"/>
      <c r="T228" s="1"/>
      <c r="U228" s="15"/>
      <c r="V228" s="1"/>
      <c r="W228" s="1"/>
      <c r="X228" s="1"/>
      <c r="Y228" s="1"/>
      <c r="Z228" s="15"/>
      <c r="AA228" s="1"/>
      <c r="AB228" s="1"/>
      <c r="AC228" s="1"/>
      <c r="AD228" s="1"/>
      <c r="AE228" s="15"/>
      <c r="AF228" s="1"/>
      <c r="AG228" s="1"/>
      <c r="AH228" s="1"/>
      <c r="AI228" s="1"/>
      <c r="AJ228" s="15"/>
      <c r="AK228" s="1"/>
    </row>
    <row r="229" spans="1:37" ht="14.25" customHeight="1">
      <c r="A229" s="1"/>
      <c r="B229" s="1"/>
      <c r="C229" s="1"/>
      <c r="D229" s="15"/>
      <c r="E229" s="15"/>
      <c r="F229" s="15"/>
      <c r="G229" s="15"/>
      <c r="H229" s="1"/>
      <c r="I229" s="1"/>
      <c r="J229" s="1"/>
      <c r="K229" s="15"/>
      <c r="L229" s="1"/>
      <c r="M229" s="1"/>
      <c r="N229" s="1"/>
      <c r="O229" s="1"/>
      <c r="P229" s="15"/>
      <c r="Q229" s="1"/>
      <c r="R229" s="1"/>
      <c r="S229" s="1"/>
      <c r="T229" s="1"/>
      <c r="U229" s="15"/>
      <c r="V229" s="1"/>
      <c r="W229" s="1"/>
      <c r="X229" s="1"/>
      <c r="Y229" s="1"/>
      <c r="Z229" s="15"/>
      <c r="AA229" s="1"/>
      <c r="AB229" s="1"/>
      <c r="AC229" s="1"/>
      <c r="AD229" s="1"/>
      <c r="AE229" s="15"/>
      <c r="AF229" s="1"/>
      <c r="AG229" s="1"/>
      <c r="AH229" s="1"/>
      <c r="AI229" s="1"/>
      <c r="AJ229" s="15"/>
      <c r="AK229" s="1"/>
    </row>
    <row r="230" spans="1:37" ht="14.25" customHeight="1">
      <c r="A230" s="1"/>
      <c r="B230" s="1"/>
      <c r="C230" s="1"/>
      <c r="D230" s="15"/>
      <c r="E230" s="15"/>
      <c r="F230" s="15"/>
      <c r="G230" s="15"/>
      <c r="H230" s="1"/>
      <c r="I230" s="1"/>
      <c r="J230" s="1"/>
      <c r="K230" s="15"/>
      <c r="L230" s="1"/>
      <c r="M230" s="1"/>
      <c r="N230" s="1"/>
      <c r="O230" s="1"/>
      <c r="P230" s="15"/>
      <c r="Q230" s="1"/>
      <c r="R230" s="1"/>
      <c r="S230" s="1"/>
      <c r="T230" s="1"/>
      <c r="U230" s="15"/>
      <c r="V230" s="1"/>
      <c r="W230" s="1"/>
      <c r="X230" s="1"/>
      <c r="Y230" s="1"/>
      <c r="Z230" s="15"/>
      <c r="AA230" s="1"/>
      <c r="AB230" s="1"/>
      <c r="AC230" s="1"/>
      <c r="AD230" s="1"/>
      <c r="AE230" s="15"/>
      <c r="AF230" s="1"/>
      <c r="AG230" s="1"/>
      <c r="AH230" s="1"/>
      <c r="AI230" s="1"/>
      <c r="AJ230" s="15"/>
      <c r="AK230" s="1"/>
    </row>
    <row r="231" spans="1:37" ht="14.25" customHeight="1">
      <c r="A231" s="1"/>
      <c r="B231" s="1"/>
      <c r="C231" s="1"/>
      <c r="D231" s="15"/>
      <c r="E231" s="15"/>
      <c r="F231" s="15"/>
      <c r="G231" s="15"/>
      <c r="H231" s="1"/>
      <c r="I231" s="1"/>
      <c r="J231" s="1"/>
      <c r="K231" s="15"/>
      <c r="L231" s="1"/>
      <c r="M231" s="1"/>
      <c r="N231" s="1"/>
      <c r="O231" s="1"/>
      <c r="P231" s="15"/>
      <c r="Q231" s="1"/>
      <c r="R231" s="1"/>
      <c r="S231" s="1"/>
      <c r="T231" s="1"/>
      <c r="U231" s="15"/>
      <c r="V231" s="1"/>
      <c r="W231" s="1"/>
      <c r="X231" s="1"/>
      <c r="Y231" s="1"/>
      <c r="Z231" s="15"/>
      <c r="AA231" s="1"/>
      <c r="AB231" s="1"/>
      <c r="AC231" s="1"/>
      <c r="AD231" s="1"/>
      <c r="AE231" s="15"/>
      <c r="AF231" s="1"/>
      <c r="AG231" s="1"/>
      <c r="AH231" s="1"/>
      <c r="AI231" s="1"/>
      <c r="AJ231" s="15"/>
      <c r="AK231" s="1"/>
    </row>
    <row r="232" spans="1:37" ht="14.25" customHeight="1">
      <c r="A232" s="1"/>
      <c r="B232" s="1"/>
      <c r="C232" s="1"/>
      <c r="D232" s="15"/>
      <c r="E232" s="15"/>
      <c r="F232" s="15"/>
      <c r="G232" s="15"/>
      <c r="H232" s="1"/>
      <c r="I232" s="1"/>
      <c r="J232" s="1"/>
      <c r="K232" s="15"/>
      <c r="L232" s="1"/>
      <c r="M232" s="1"/>
      <c r="N232" s="1"/>
      <c r="O232" s="1"/>
      <c r="P232" s="15"/>
      <c r="Q232" s="1"/>
      <c r="R232" s="1"/>
      <c r="S232" s="1"/>
      <c r="T232" s="1"/>
      <c r="U232" s="15"/>
      <c r="V232" s="1"/>
      <c r="W232" s="1"/>
      <c r="X232" s="1"/>
      <c r="Y232" s="1"/>
      <c r="Z232" s="15"/>
      <c r="AA232" s="1"/>
      <c r="AB232" s="1"/>
      <c r="AC232" s="1"/>
      <c r="AD232" s="1"/>
      <c r="AE232" s="15"/>
      <c r="AF232" s="1"/>
      <c r="AG232" s="1"/>
      <c r="AH232" s="1"/>
      <c r="AI232" s="1"/>
      <c r="AJ232" s="15"/>
      <c r="AK232" s="1"/>
    </row>
    <row r="233" spans="1:37" ht="14.25" customHeight="1">
      <c r="A233" s="1"/>
      <c r="B233" s="1"/>
      <c r="C233" s="1"/>
      <c r="D233" s="15"/>
      <c r="E233" s="15"/>
      <c r="F233" s="15"/>
      <c r="G233" s="15"/>
      <c r="H233" s="1"/>
      <c r="I233" s="1"/>
      <c r="J233" s="1"/>
      <c r="K233" s="15"/>
      <c r="L233" s="1"/>
      <c r="M233" s="1"/>
      <c r="N233" s="1"/>
      <c r="O233" s="1"/>
      <c r="P233" s="15"/>
      <c r="Q233" s="1"/>
      <c r="R233" s="1"/>
      <c r="S233" s="1"/>
      <c r="T233" s="1"/>
      <c r="U233" s="15"/>
      <c r="V233" s="1"/>
      <c r="W233" s="1"/>
      <c r="X233" s="1"/>
      <c r="Y233" s="1"/>
      <c r="Z233" s="15"/>
      <c r="AA233" s="1"/>
      <c r="AB233" s="1"/>
      <c r="AC233" s="1"/>
      <c r="AD233" s="1"/>
      <c r="AE233" s="15"/>
      <c r="AF233" s="1"/>
      <c r="AG233" s="1"/>
      <c r="AH233" s="1"/>
      <c r="AI233" s="1"/>
      <c r="AJ233" s="15"/>
      <c r="AK233" s="1"/>
    </row>
    <row r="234" spans="1:37" ht="14.25" customHeight="1">
      <c r="A234" s="1"/>
      <c r="B234" s="1"/>
      <c r="C234" s="1"/>
      <c r="D234" s="15"/>
      <c r="E234" s="15"/>
      <c r="F234" s="15"/>
      <c r="G234" s="15"/>
      <c r="H234" s="1"/>
      <c r="I234" s="1"/>
      <c r="J234" s="1"/>
      <c r="K234" s="15"/>
      <c r="L234" s="1"/>
      <c r="M234" s="1"/>
      <c r="N234" s="1"/>
      <c r="O234" s="1"/>
      <c r="P234" s="15"/>
      <c r="Q234" s="1"/>
      <c r="R234" s="1"/>
      <c r="S234" s="1"/>
      <c r="T234" s="1"/>
      <c r="U234" s="15"/>
      <c r="V234" s="1"/>
      <c r="W234" s="1"/>
      <c r="X234" s="1"/>
      <c r="Y234" s="1"/>
      <c r="Z234" s="15"/>
      <c r="AA234" s="1"/>
      <c r="AB234" s="1"/>
      <c r="AC234" s="1"/>
      <c r="AD234" s="1"/>
      <c r="AE234" s="15"/>
      <c r="AF234" s="1"/>
      <c r="AG234" s="1"/>
      <c r="AH234" s="1"/>
      <c r="AI234" s="1"/>
      <c r="AJ234" s="15"/>
      <c r="AK234" s="1"/>
    </row>
    <row r="235" spans="1:37" ht="14.25" customHeight="1">
      <c r="A235" s="1"/>
      <c r="B235" s="1"/>
      <c r="C235" s="1"/>
      <c r="D235" s="15"/>
      <c r="E235" s="15"/>
      <c r="F235" s="15"/>
      <c r="G235" s="15"/>
      <c r="H235" s="1"/>
      <c r="I235" s="1"/>
      <c r="J235" s="1"/>
      <c r="K235" s="15"/>
      <c r="L235" s="1"/>
      <c r="M235" s="1"/>
      <c r="N235" s="1"/>
      <c r="O235" s="1"/>
      <c r="P235" s="15"/>
      <c r="Q235" s="1"/>
      <c r="R235" s="1"/>
      <c r="S235" s="1"/>
      <c r="T235" s="1"/>
      <c r="U235" s="15"/>
      <c r="V235" s="1"/>
      <c r="W235" s="1"/>
      <c r="X235" s="1"/>
      <c r="Y235" s="1"/>
      <c r="Z235" s="15"/>
      <c r="AA235" s="1"/>
      <c r="AB235" s="1"/>
      <c r="AC235" s="1"/>
      <c r="AD235" s="1"/>
      <c r="AE235" s="15"/>
      <c r="AF235" s="1"/>
      <c r="AG235" s="1"/>
      <c r="AH235" s="1"/>
      <c r="AI235" s="1"/>
      <c r="AJ235" s="15"/>
      <c r="AK235" s="1"/>
    </row>
    <row r="236" spans="1:37" ht="14.25" customHeight="1">
      <c r="A236" s="1"/>
      <c r="B236" s="1"/>
      <c r="C236" s="1"/>
      <c r="D236" s="15"/>
      <c r="E236" s="15"/>
      <c r="F236" s="15"/>
      <c r="G236" s="15"/>
      <c r="H236" s="1"/>
      <c r="I236" s="1"/>
      <c r="J236" s="1"/>
      <c r="K236" s="15"/>
      <c r="L236" s="1"/>
      <c r="M236" s="1"/>
      <c r="N236" s="1"/>
      <c r="O236" s="1"/>
      <c r="P236" s="15"/>
      <c r="Q236" s="1"/>
      <c r="R236" s="1"/>
      <c r="S236" s="1"/>
      <c r="T236" s="1"/>
      <c r="U236" s="15"/>
      <c r="V236" s="1"/>
      <c r="W236" s="1"/>
      <c r="X236" s="1"/>
      <c r="Y236" s="1"/>
      <c r="Z236" s="15"/>
      <c r="AA236" s="1"/>
      <c r="AB236" s="1"/>
      <c r="AC236" s="1"/>
      <c r="AD236" s="1"/>
      <c r="AE236" s="15"/>
      <c r="AF236" s="1"/>
      <c r="AG236" s="1"/>
      <c r="AH236" s="1"/>
      <c r="AI236" s="1"/>
      <c r="AJ236" s="15"/>
      <c r="AK236" s="1"/>
    </row>
    <row r="237" spans="1:37" ht="14.25" customHeight="1">
      <c r="A237" s="1"/>
      <c r="B237" s="1"/>
      <c r="C237" s="1"/>
      <c r="D237" s="15"/>
      <c r="E237" s="15"/>
      <c r="F237" s="15"/>
      <c r="G237" s="15"/>
      <c r="H237" s="1"/>
      <c r="I237" s="1"/>
      <c r="J237" s="1"/>
      <c r="K237" s="15"/>
      <c r="L237" s="1"/>
      <c r="M237" s="1"/>
      <c r="N237" s="1"/>
      <c r="O237" s="1"/>
      <c r="P237" s="15"/>
      <c r="Q237" s="1"/>
      <c r="R237" s="1"/>
      <c r="S237" s="1"/>
      <c r="T237" s="1"/>
      <c r="U237" s="15"/>
      <c r="V237" s="1"/>
      <c r="W237" s="1"/>
      <c r="X237" s="1"/>
      <c r="Y237" s="1"/>
      <c r="Z237" s="15"/>
      <c r="AA237" s="1"/>
      <c r="AB237" s="1"/>
      <c r="AC237" s="1"/>
      <c r="AD237" s="1"/>
      <c r="AE237" s="15"/>
      <c r="AF237" s="1"/>
      <c r="AG237" s="1"/>
      <c r="AH237" s="1"/>
      <c r="AI237" s="1"/>
      <c r="AJ237" s="15"/>
      <c r="AK237" s="1"/>
    </row>
    <row r="238" spans="1:37" ht="14.25" customHeight="1">
      <c r="A238" s="1"/>
      <c r="B238" s="1"/>
      <c r="C238" s="1"/>
      <c r="D238" s="15"/>
      <c r="E238" s="15"/>
      <c r="F238" s="15"/>
      <c r="G238" s="15"/>
      <c r="H238" s="1"/>
      <c r="I238" s="1"/>
      <c r="J238" s="1"/>
      <c r="K238" s="15"/>
      <c r="L238" s="1"/>
      <c r="M238" s="1"/>
      <c r="N238" s="1"/>
      <c r="O238" s="1"/>
      <c r="P238" s="15"/>
      <c r="Q238" s="1"/>
      <c r="R238" s="1"/>
      <c r="S238" s="1"/>
      <c r="T238" s="1"/>
      <c r="U238" s="15"/>
      <c r="V238" s="1"/>
      <c r="W238" s="1"/>
      <c r="X238" s="1"/>
      <c r="Y238" s="1"/>
      <c r="Z238" s="15"/>
      <c r="AA238" s="1"/>
      <c r="AB238" s="1"/>
      <c r="AC238" s="1"/>
      <c r="AD238" s="1"/>
      <c r="AE238" s="15"/>
      <c r="AF238" s="1"/>
      <c r="AG238" s="1"/>
      <c r="AH238" s="1"/>
      <c r="AI238" s="1"/>
      <c r="AJ238" s="15"/>
      <c r="AK238" s="1"/>
    </row>
    <row r="239" spans="1:37" ht="14.25" customHeight="1">
      <c r="A239" s="1"/>
      <c r="B239" s="1"/>
      <c r="C239" s="1"/>
      <c r="D239" s="15"/>
      <c r="E239" s="15"/>
      <c r="F239" s="15"/>
      <c r="G239" s="15"/>
      <c r="H239" s="1"/>
      <c r="I239" s="1"/>
      <c r="J239" s="1"/>
      <c r="K239" s="15"/>
      <c r="L239" s="1"/>
      <c r="M239" s="1"/>
      <c r="N239" s="1"/>
      <c r="O239" s="1"/>
      <c r="P239" s="15"/>
      <c r="Q239" s="1"/>
      <c r="R239" s="1"/>
      <c r="S239" s="1"/>
      <c r="T239" s="1"/>
      <c r="U239" s="15"/>
      <c r="V239" s="1"/>
      <c r="W239" s="1"/>
      <c r="X239" s="1"/>
      <c r="Y239" s="1"/>
      <c r="Z239" s="15"/>
      <c r="AA239" s="1"/>
      <c r="AB239" s="1"/>
      <c r="AC239" s="1"/>
      <c r="AD239" s="1"/>
      <c r="AE239" s="15"/>
      <c r="AF239" s="1"/>
      <c r="AG239" s="1"/>
      <c r="AH239" s="1"/>
      <c r="AI239" s="1"/>
      <c r="AJ239" s="15"/>
      <c r="AK239" s="1"/>
    </row>
    <row r="240" spans="1:37" ht="14.25" customHeight="1">
      <c r="A240" s="1"/>
      <c r="B240" s="1"/>
      <c r="C240" s="1"/>
      <c r="D240" s="15"/>
      <c r="E240" s="15"/>
      <c r="F240" s="15"/>
      <c r="G240" s="15"/>
      <c r="H240" s="1"/>
      <c r="I240" s="1"/>
      <c r="J240" s="1"/>
      <c r="K240" s="15"/>
      <c r="L240" s="1"/>
      <c r="M240" s="1"/>
      <c r="N240" s="1"/>
      <c r="O240" s="1"/>
      <c r="P240" s="15"/>
      <c r="Q240" s="1"/>
      <c r="R240" s="1"/>
      <c r="S240" s="1"/>
      <c r="T240" s="1"/>
      <c r="U240" s="15"/>
      <c r="V240" s="1"/>
      <c r="W240" s="1"/>
      <c r="X240" s="1"/>
      <c r="Y240" s="1"/>
      <c r="Z240" s="15"/>
      <c r="AA240" s="1"/>
      <c r="AB240" s="1"/>
      <c r="AC240" s="1"/>
      <c r="AD240" s="1"/>
      <c r="AE240" s="15"/>
      <c r="AF240" s="1"/>
      <c r="AG240" s="1"/>
      <c r="AH240" s="1"/>
      <c r="AI240" s="1"/>
      <c r="AJ240" s="15"/>
      <c r="AK240" s="1"/>
    </row>
    <row r="241" spans="1:37" ht="14.25" customHeight="1">
      <c r="A241" s="1"/>
      <c r="B241" s="1"/>
      <c r="C241" s="1"/>
      <c r="D241" s="15"/>
      <c r="E241" s="15"/>
      <c r="F241" s="15"/>
      <c r="G241" s="15"/>
      <c r="H241" s="1"/>
      <c r="I241" s="1"/>
      <c r="J241" s="1"/>
      <c r="K241" s="15"/>
      <c r="L241" s="1"/>
      <c r="M241" s="1"/>
      <c r="N241" s="1"/>
      <c r="O241" s="1"/>
      <c r="P241" s="15"/>
      <c r="Q241" s="1"/>
      <c r="R241" s="1"/>
      <c r="S241" s="1"/>
      <c r="T241" s="1"/>
      <c r="U241" s="15"/>
      <c r="V241" s="1"/>
      <c r="W241" s="1"/>
      <c r="X241" s="1"/>
      <c r="Y241" s="1"/>
      <c r="Z241" s="15"/>
      <c r="AA241" s="1"/>
      <c r="AB241" s="1"/>
      <c r="AC241" s="1"/>
      <c r="AD241" s="1"/>
      <c r="AE241" s="15"/>
      <c r="AF241" s="1"/>
      <c r="AG241" s="1"/>
      <c r="AH241" s="1"/>
      <c r="AI241" s="1"/>
      <c r="AJ241" s="15"/>
      <c r="AK241" s="1"/>
    </row>
    <row r="242" spans="1:37" ht="14.25" customHeight="1">
      <c r="A242" s="1"/>
      <c r="B242" s="1"/>
      <c r="C242" s="1"/>
      <c r="D242" s="15"/>
      <c r="E242" s="15"/>
      <c r="F242" s="15"/>
      <c r="G242" s="15"/>
      <c r="H242" s="1"/>
      <c r="I242" s="1"/>
      <c r="J242" s="1"/>
      <c r="K242" s="15"/>
      <c r="L242" s="1"/>
      <c r="M242" s="1"/>
      <c r="N242" s="1"/>
      <c r="O242" s="1"/>
      <c r="P242" s="15"/>
      <c r="Q242" s="1"/>
      <c r="R242" s="1"/>
      <c r="S242" s="1"/>
      <c r="T242" s="1"/>
      <c r="U242" s="15"/>
      <c r="V242" s="1"/>
      <c r="W242" s="1"/>
      <c r="X242" s="1"/>
      <c r="Y242" s="1"/>
      <c r="Z242" s="15"/>
      <c r="AA242" s="1"/>
      <c r="AB242" s="1"/>
      <c r="AC242" s="1"/>
      <c r="AD242" s="1"/>
      <c r="AE242" s="15"/>
      <c r="AF242" s="1"/>
      <c r="AG242" s="1"/>
      <c r="AH242" s="1"/>
      <c r="AI242" s="1"/>
      <c r="AJ242" s="15"/>
      <c r="AK242" s="1"/>
    </row>
    <row r="243" spans="1:37" ht="14.25" customHeight="1">
      <c r="A243" s="1"/>
      <c r="B243" s="1"/>
      <c r="C243" s="1"/>
      <c r="D243" s="15"/>
      <c r="E243" s="15"/>
      <c r="F243" s="15"/>
      <c r="G243" s="15"/>
      <c r="H243" s="1"/>
      <c r="I243" s="1"/>
      <c r="J243" s="1"/>
      <c r="K243" s="15"/>
      <c r="L243" s="1"/>
      <c r="M243" s="1"/>
      <c r="N243" s="1"/>
      <c r="O243" s="1"/>
      <c r="P243" s="15"/>
      <c r="Q243" s="1"/>
      <c r="R243" s="1"/>
      <c r="S243" s="1"/>
      <c r="T243" s="1"/>
      <c r="U243" s="15"/>
      <c r="V243" s="1"/>
      <c r="W243" s="1"/>
      <c r="X243" s="1"/>
      <c r="Y243" s="1"/>
      <c r="Z243" s="15"/>
      <c r="AA243" s="1"/>
      <c r="AB243" s="1"/>
      <c r="AC243" s="1"/>
      <c r="AD243" s="1"/>
      <c r="AE243" s="15"/>
      <c r="AF243" s="1"/>
      <c r="AG243" s="1"/>
      <c r="AH243" s="1"/>
      <c r="AI243" s="1"/>
      <c r="AJ243" s="15"/>
      <c r="AK243" s="1"/>
    </row>
    <row r="244" spans="1:37" ht="14.25" customHeight="1">
      <c r="A244" s="1"/>
      <c r="B244" s="1"/>
      <c r="C244" s="1"/>
      <c r="D244" s="15"/>
      <c r="E244" s="15"/>
      <c r="F244" s="15"/>
      <c r="G244" s="15"/>
      <c r="H244" s="1"/>
      <c r="I244" s="1"/>
      <c r="J244" s="1"/>
      <c r="K244" s="15"/>
      <c r="L244" s="1"/>
      <c r="M244" s="1"/>
      <c r="N244" s="1"/>
      <c r="O244" s="1"/>
      <c r="P244" s="15"/>
      <c r="Q244" s="1"/>
      <c r="R244" s="1"/>
      <c r="S244" s="1"/>
      <c r="T244" s="1"/>
      <c r="U244" s="15"/>
      <c r="V244" s="1"/>
      <c r="W244" s="1"/>
      <c r="X244" s="1"/>
      <c r="Y244" s="1"/>
      <c r="Z244" s="15"/>
      <c r="AA244" s="1"/>
      <c r="AB244" s="1"/>
      <c r="AC244" s="1"/>
      <c r="AD244" s="1"/>
      <c r="AE244" s="15"/>
      <c r="AF244" s="1"/>
      <c r="AG244" s="1"/>
      <c r="AH244" s="1"/>
      <c r="AI244" s="1"/>
      <c r="AJ244" s="15"/>
      <c r="AK244" s="1"/>
    </row>
    <row r="245" spans="1:37" ht="14.25" customHeight="1">
      <c r="A245" s="1"/>
      <c r="B245" s="1"/>
      <c r="C245" s="1"/>
      <c r="D245" s="15"/>
      <c r="E245" s="15"/>
      <c r="F245" s="15"/>
      <c r="G245" s="15"/>
      <c r="H245" s="1"/>
      <c r="I245" s="1"/>
      <c r="J245" s="1"/>
      <c r="K245" s="15"/>
      <c r="L245" s="1"/>
      <c r="M245" s="1"/>
      <c r="N245" s="1"/>
      <c r="O245" s="1"/>
      <c r="P245" s="15"/>
      <c r="Q245" s="1"/>
      <c r="R245" s="1"/>
      <c r="S245" s="1"/>
      <c r="T245" s="1"/>
      <c r="U245" s="15"/>
      <c r="V245" s="1"/>
      <c r="W245" s="1"/>
      <c r="X245" s="1"/>
      <c r="Y245" s="1"/>
      <c r="Z245" s="15"/>
      <c r="AA245" s="1"/>
      <c r="AB245" s="1"/>
      <c r="AC245" s="1"/>
      <c r="AD245" s="1"/>
      <c r="AE245" s="15"/>
      <c r="AF245" s="1"/>
      <c r="AG245" s="1"/>
      <c r="AH245" s="1"/>
      <c r="AI245" s="1"/>
      <c r="AJ245" s="15"/>
      <c r="AK245" s="1"/>
    </row>
    <row r="246" spans="1:37" ht="14.25" customHeight="1">
      <c r="A246" s="1"/>
      <c r="B246" s="1"/>
      <c r="C246" s="1"/>
      <c r="D246" s="15"/>
      <c r="E246" s="15"/>
      <c r="F246" s="15"/>
      <c r="G246" s="15"/>
      <c r="H246" s="1"/>
      <c r="I246" s="1"/>
      <c r="J246" s="1"/>
      <c r="K246" s="15"/>
      <c r="L246" s="1"/>
      <c r="M246" s="1"/>
      <c r="N246" s="1"/>
      <c r="O246" s="1"/>
      <c r="P246" s="15"/>
      <c r="Q246" s="1"/>
      <c r="R246" s="1"/>
      <c r="S246" s="1"/>
      <c r="T246" s="1"/>
      <c r="U246" s="15"/>
      <c r="V246" s="1"/>
      <c r="W246" s="1"/>
      <c r="X246" s="1"/>
      <c r="Y246" s="1"/>
      <c r="Z246" s="15"/>
      <c r="AA246" s="1"/>
      <c r="AB246" s="1"/>
      <c r="AC246" s="1"/>
      <c r="AD246" s="1"/>
      <c r="AE246" s="15"/>
      <c r="AF246" s="1"/>
      <c r="AG246" s="1"/>
      <c r="AH246" s="1"/>
      <c r="AI246" s="1"/>
      <c r="AJ246" s="15"/>
      <c r="AK246" s="1"/>
    </row>
    <row r="247" spans="1:37" ht="14.25" customHeight="1">
      <c r="A247" s="1"/>
      <c r="B247" s="1"/>
      <c r="C247" s="1"/>
      <c r="D247" s="15"/>
      <c r="E247" s="15"/>
      <c r="F247" s="15"/>
      <c r="G247" s="15"/>
      <c r="H247" s="1"/>
      <c r="I247" s="1"/>
      <c r="J247" s="1"/>
      <c r="K247" s="15"/>
      <c r="L247" s="1"/>
      <c r="M247" s="1"/>
      <c r="N247" s="1"/>
      <c r="O247" s="1"/>
      <c r="P247" s="15"/>
      <c r="Q247" s="1"/>
      <c r="R247" s="1"/>
      <c r="S247" s="1"/>
      <c r="T247" s="1"/>
      <c r="U247" s="15"/>
      <c r="V247" s="1"/>
      <c r="W247" s="1"/>
      <c r="X247" s="1"/>
      <c r="Y247" s="1"/>
      <c r="Z247" s="15"/>
      <c r="AA247" s="1"/>
      <c r="AB247" s="1"/>
      <c r="AC247" s="1"/>
      <c r="AD247" s="1"/>
      <c r="AE247" s="15"/>
      <c r="AF247" s="1"/>
      <c r="AG247" s="1"/>
      <c r="AH247" s="1"/>
      <c r="AI247" s="1"/>
      <c r="AJ247" s="15"/>
      <c r="AK247" s="1"/>
    </row>
    <row r="248" spans="1:37" ht="14.25" customHeight="1">
      <c r="A248" s="1"/>
      <c r="B248" s="1"/>
      <c r="C248" s="1"/>
      <c r="D248" s="15"/>
      <c r="E248" s="15"/>
      <c r="F248" s="15"/>
      <c r="G248" s="15"/>
      <c r="H248" s="1"/>
      <c r="I248" s="1"/>
      <c r="J248" s="1"/>
      <c r="K248" s="15"/>
      <c r="L248" s="1"/>
      <c r="M248" s="1"/>
      <c r="N248" s="1"/>
      <c r="O248" s="1"/>
      <c r="P248" s="15"/>
      <c r="Q248" s="1"/>
      <c r="R248" s="1"/>
      <c r="S248" s="1"/>
      <c r="T248" s="1"/>
      <c r="U248" s="15"/>
      <c r="V248" s="1"/>
      <c r="W248" s="1"/>
      <c r="X248" s="1"/>
      <c r="Y248" s="1"/>
      <c r="Z248" s="15"/>
      <c r="AA248" s="1"/>
      <c r="AB248" s="1"/>
      <c r="AC248" s="1"/>
      <c r="AD248" s="1"/>
      <c r="AE248" s="15"/>
      <c r="AF248" s="1"/>
      <c r="AG248" s="1"/>
      <c r="AH248" s="1"/>
      <c r="AI248" s="1"/>
      <c r="AJ248" s="15"/>
      <c r="AK248" s="1"/>
    </row>
    <row r="249" spans="1:37" ht="14.25" customHeight="1">
      <c r="A249" s="1"/>
      <c r="B249" s="1"/>
      <c r="C249" s="1"/>
      <c r="D249" s="15"/>
      <c r="E249" s="15"/>
      <c r="F249" s="15"/>
      <c r="G249" s="15"/>
      <c r="H249" s="1"/>
      <c r="I249" s="1"/>
      <c r="J249" s="1"/>
      <c r="K249" s="15"/>
      <c r="L249" s="1"/>
      <c r="M249" s="1"/>
      <c r="N249" s="1"/>
      <c r="O249" s="1"/>
      <c r="P249" s="15"/>
      <c r="Q249" s="1"/>
      <c r="R249" s="1"/>
      <c r="S249" s="1"/>
      <c r="T249" s="1"/>
      <c r="U249" s="15"/>
      <c r="V249" s="1"/>
      <c r="W249" s="1"/>
      <c r="X249" s="1"/>
      <c r="Y249" s="1"/>
      <c r="Z249" s="15"/>
      <c r="AA249" s="1"/>
      <c r="AB249" s="1"/>
      <c r="AC249" s="1"/>
      <c r="AD249" s="1"/>
      <c r="AE249" s="15"/>
      <c r="AF249" s="1"/>
      <c r="AG249" s="1"/>
      <c r="AH249" s="1"/>
      <c r="AI249" s="1"/>
      <c r="AJ249" s="15"/>
      <c r="AK249" s="1"/>
    </row>
    <row r="250" spans="1:37" ht="14.25" customHeight="1">
      <c r="A250" s="1"/>
      <c r="B250" s="1"/>
      <c r="C250" s="1"/>
      <c r="D250" s="15"/>
      <c r="E250" s="15"/>
      <c r="F250" s="15"/>
      <c r="G250" s="15"/>
      <c r="H250" s="1"/>
      <c r="I250" s="1"/>
      <c r="J250" s="1"/>
      <c r="K250" s="15"/>
      <c r="L250" s="1"/>
      <c r="M250" s="1"/>
      <c r="N250" s="1"/>
      <c r="O250" s="1"/>
      <c r="P250" s="15"/>
      <c r="Q250" s="1"/>
      <c r="R250" s="1"/>
      <c r="S250" s="1"/>
      <c r="T250" s="1"/>
      <c r="U250" s="15"/>
      <c r="V250" s="1"/>
      <c r="W250" s="1"/>
      <c r="X250" s="1"/>
      <c r="Y250" s="1"/>
      <c r="Z250" s="15"/>
      <c r="AA250" s="1"/>
      <c r="AB250" s="1"/>
      <c r="AC250" s="1"/>
      <c r="AD250" s="1"/>
      <c r="AE250" s="15"/>
      <c r="AF250" s="1"/>
      <c r="AG250" s="1"/>
      <c r="AH250" s="1"/>
      <c r="AI250" s="1"/>
      <c r="AJ250" s="15"/>
      <c r="AK250" s="1"/>
    </row>
    <row r="251" spans="1:37" ht="14.25" customHeight="1">
      <c r="A251" s="1"/>
      <c r="B251" s="1"/>
      <c r="C251" s="1"/>
      <c r="D251" s="15"/>
      <c r="E251" s="15"/>
      <c r="F251" s="15"/>
      <c r="G251" s="15"/>
      <c r="H251" s="1"/>
      <c r="I251" s="1"/>
      <c r="J251" s="1"/>
      <c r="K251" s="15"/>
      <c r="L251" s="1"/>
      <c r="M251" s="1"/>
      <c r="N251" s="1"/>
      <c r="O251" s="1"/>
      <c r="P251" s="15"/>
      <c r="Q251" s="1"/>
      <c r="R251" s="1"/>
      <c r="S251" s="1"/>
      <c r="T251" s="1"/>
      <c r="U251" s="15"/>
      <c r="V251" s="1"/>
      <c r="W251" s="1"/>
      <c r="X251" s="1"/>
      <c r="Y251" s="1"/>
      <c r="Z251" s="15"/>
      <c r="AA251" s="1"/>
      <c r="AB251" s="1"/>
      <c r="AC251" s="1"/>
      <c r="AD251" s="1"/>
      <c r="AE251" s="15"/>
      <c r="AF251" s="1"/>
      <c r="AG251" s="1"/>
      <c r="AH251" s="1"/>
      <c r="AI251" s="1"/>
      <c r="AJ251" s="15"/>
      <c r="AK251" s="1"/>
    </row>
    <row r="252" spans="1:37" ht="14.25" customHeight="1">
      <c r="A252" s="1"/>
      <c r="B252" s="1"/>
      <c r="C252" s="1"/>
      <c r="D252" s="15"/>
      <c r="E252" s="15"/>
      <c r="F252" s="15"/>
      <c r="G252" s="15"/>
      <c r="H252" s="1"/>
      <c r="I252" s="1"/>
      <c r="J252" s="1"/>
      <c r="K252" s="15"/>
      <c r="L252" s="1"/>
      <c r="M252" s="1"/>
      <c r="N252" s="1"/>
      <c r="O252" s="1"/>
      <c r="P252" s="15"/>
      <c r="Q252" s="1"/>
      <c r="R252" s="1"/>
      <c r="S252" s="1"/>
      <c r="T252" s="1"/>
      <c r="U252" s="15"/>
      <c r="V252" s="1"/>
      <c r="W252" s="1"/>
      <c r="X252" s="1"/>
      <c r="Y252" s="1"/>
      <c r="Z252" s="15"/>
      <c r="AA252" s="1"/>
      <c r="AB252" s="1"/>
      <c r="AC252" s="1"/>
      <c r="AD252" s="1"/>
      <c r="AE252" s="15"/>
      <c r="AF252" s="1"/>
      <c r="AG252" s="1"/>
      <c r="AH252" s="1"/>
      <c r="AI252" s="1"/>
      <c r="AJ252" s="15"/>
      <c r="AK252" s="1"/>
    </row>
    <row r="253" spans="1:37" ht="14.25" customHeight="1">
      <c r="A253" s="1"/>
      <c r="B253" s="1"/>
      <c r="C253" s="1"/>
      <c r="D253" s="15"/>
      <c r="E253" s="15"/>
      <c r="F253" s="15"/>
      <c r="G253" s="15"/>
      <c r="H253" s="1"/>
      <c r="I253" s="1"/>
      <c r="J253" s="1"/>
      <c r="K253" s="15"/>
      <c r="L253" s="1"/>
      <c r="M253" s="1"/>
      <c r="N253" s="1"/>
      <c r="O253" s="1"/>
      <c r="P253" s="15"/>
      <c r="Q253" s="1"/>
      <c r="R253" s="1"/>
      <c r="S253" s="1"/>
      <c r="T253" s="1"/>
      <c r="U253" s="15"/>
      <c r="V253" s="1"/>
      <c r="W253" s="1"/>
      <c r="X253" s="1"/>
      <c r="Y253" s="1"/>
      <c r="Z253" s="15"/>
      <c r="AA253" s="1"/>
      <c r="AB253" s="1"/>
      <c r="AC253" s="1"/>
      <c r="AD253" s="1"/>
      <c r="AE253" s="15"/>
      <c r="AF253" s="1"/>
      <c r="AG253" s="1"/>
      <c r="AH253" s="1"/>
      <c r="AI253" s="1"/>
      <c r="AJ253" s="15"/>
      <c r="AK253" s="1"/>
    </row>
    <row r="254" spans="1:37" ht="14.25" customHeight="1">
      <c r="A254" s="1"/>
      <c r="B254" s="1"/>
      <c r="C254" s="1"/>
      <c r="D254" s="15"/>
      <c r="E254" s="15"/>
      <c r="F254" s="15"/>
      <c r="G254" s="15"/>
      <c r="H254" s="1"/>
      <c r="I254" s="1"/>
      <c r="J254" s="1"/>
      <c r="K254" s="15"/>
      <c r="L254" s="1"/>
      <c r="M254" s="1"/>
      <c r="N254" s="1"/>
      <c r="O254" s="1"/>
      <c r="P254" s="15"/>
      <c r="Q254" s="1"/>
      <c r="R254" s="1"/>
      <c r="S254" s="1"/>
      <c r="T254" s="1"/>
      <c r="U254" s="15"/>
      <c r="V254" s="1"/>
      <c r="W254" s="1"/>
      <c r="X254" s="1"/>
      <c r="Y254" s="1"/>
      <c r="Z254" s="15"/>
      <c r="AA254" s="1"/>
      <c r="AB254" s="1"/>
      <c r="AC254" s="1"/>
      <c r="AD254" s="1"/>
      <c r="AE254" s="15"/>
      <c r="AF254" s="1"/>
      <c r="AG254" s="1"/>
      <c r="AH254" s="1"/>
      <c r="AI254" s="1"/>
      <c r="AJ254" s="15"/>
      <c r="AK254" s="1"/>
    </row>
    <row r="255" spans="1:37" ht="14.25" customHeight="1">
      <c r="A255" s="1"/>
      <c r="B255" s="1"/>
      <c r="C255" s="1"/>
      <c r="D255" s="15"/>
      <c r="E255" s="15"/>
      <c r="F255" s="15"/>
      <c r="G255" s="15"/>
      <c r="H255" s="1"/>
      <c r="I255" s="1"/>
      <c r="J255" s="1"/>
      <c r="K255" s="15"/>
      <c r="L255" s="1"/>
      <c r="M255" s="1"/>
      <c r="N255" s="1"/>
      <c r="O255" s="1"/>
      <c r="P255" s="15"/>
      <c r="Q255" s="1"/>
      <c r="R255" s="1"/>
      <c r="S255" s="1"/>
      <c r="T255" s="1"/>
      <c r="U255" s="15"/>
      <c r="V255" s="1"/>
      <c r="W255" s="1"/>
      <c r="X255" s="1"/>
      <c r="Y255" s="1"/>
      <c r="Z255" s="15"/>
      <c r="AA255" s="1"/>
      <c r="AB255" s="1"/>
      <c r="AC255" s="1"/>
      <c r="AD255" s="1"/>
      <c r="AE255" s="15"/>
      <c r="AF255" s="1"/>
      <c r="AG255" s="1"/>
      <c r="AH255" s="1"/>
      <c r="AI255" s="1"/>
      <c r="AJ255" s="15"/>
      <c r="AK255" s="1"/>
    </row>
    <row r="256" spans="1:37" ht="14.25" customHeight="1">
      <c r="A256" s="1"/>
      <c r="B256" s="1"/>
      <c r="C256" s="1"/>
      <c r="D256" s="15"/>
      <c r="E256" s="15"/>
      <c r="F256" s="15"/>
      <c r="G256" s="15"/>
      <c r="H256" s="1"/>
      <c r="I256" s="1"/>
      <c r="J256" s="1"/>
      <c r="K256" s="15"/>
      <c r="L256" s="1"/>
      <c r="M256" s="1"/>
      <c r="N256" s="1"/>
      <c r="O256" s="1"/>
      <c r="P256" s="15"/>
      <c r="Q256" s="1"/>
      <c r="R256" s="1"/>
      <c r="S256" s="1"/>
      <c r="T256" s="1"/>
      <c r="U256" s="15"/>
      <c r="V256" s="1"/>
      <c r="W256" s="1"/>
      <c r="X256" s="1"/>
      <c r="Y256" s="1"/>
      <c r="Z256" s="15"/>
      <c r="AA256" s="1"/>
      <c r="AB256" s="1"/>
      <c r="AC256" s="1"/>
      <c r="AD256" s="1"/>
      <c r="AE256" s="15"/>
      <c r="AF256" s="1"/>
      <c r="AG256" s="1"/>
      <c r="AH256" s="1"/>
      <c r="AI256" s="1"/>
      <c r="AJ256" s="15"/>
      <c r="AK256" s="1"/>
    </row>
    <row r="257" spans="1:37" ht="14.25" customHeight="1">
      <c r="A257" s="1"/>
      <c r="B257" s="1"/>
      <c r="C257" s="1"/>
      <c r="D257" s="15"/>
      <c r="E257" s="15"/>
      <c r="F257" s="15"/>
      <c r="G257" s="15"/>
      <c r="H257" s="1"/>
      <c r="I257" s="1"/>
      <c r="J257" s="1"/>
      <c r="K257" s="15"/>
      <c r="L257" s="1"/>
      <c r="M257" s="1"/>
      <c r="N257" s="1"/>
      <c r="O257" s="1"/>
      <c r="P257" s="15"/>
      <c r="Q257" s="1"/>
      <c r="R257" s="1"/>
      <c r="S257" s="1"/>
      <c r="T257" s="1"/>
      <c r="U257" s="15"/>
      <c r="V257" s="1"/>
      <c r="W257" s="1"/>
      <c r="X257" s="1"/>
      <c r="Y257" s="1"/>
      <c r="Z257" s="15"/>
      <c r="AA257" s="1"/>
      <c r="AB257" s="1"/>
      <c r="AC257" s="1"/>
      <c r="AD257" s="1"/>
      <c r="AE257" s="15"/>
      <c r="AF257" s="1"/>
      <c r="AG257" s="1"/>
      <c r="AH257" s="1"/>
      <c r="AI257" s="1"/>
      <c r="AJ257" s="15"/>
      <c r="AK257" s="1"/>
    </row>
    <row r="258" spans="1:37" ht="14.25" customHeight="1">
      <c r="A258" s="1"/>
      <c r="B258" s="1"/>
      <c r="C258" s="1"/>
      <c r="D258" s="15"/>
      <c r="E258" s="15"/>
      <c r="F258" s="15"/>
      <c r="G258" s="15"/>
      <c r="H258" s="1"/>
      <c r="I258" s="1"/>
      <c r="J258" s="1"/>
      <c r="K258" s="15"/>
      <c r="L258" s="1"/>
      <c r="M258" s="1"/>
      <c r="N258" s="1"/>
      <c r="O258" s="1"/>
      <c r="P258" s="15"/>
      <c r="Q258" s="1"/>
      <c r="R258" s="1"/>
      <c r="S258" s="1"/>
      <c r="T258" s="1"/>
      <c r="U258" s="15"/>
      <c r="V258" s="1"/>
      <c r="W258" s="1"/>
      <c r="X258" s="1"/>
      <c r="Y258" s="1"/>
      <c r="Z258" s="15"/>
      <c r="AA258" s="1"/>
      <c r="AB258" s="1"/>
      <c r="AC258" s="1"/>
      <c r="AD258" s="1"/>
      <c r="AE258" s="15"/>
      <c r="AF258" s="1"/>
      <c r="AG258" s="1"/>
      <c r="AH258" s="1"/>
      <c r="AI258" s="1"/>
      <c r="AJ258" s="15"/>
      <c r="AK258" s="1"/>
    </row>
    <row r="259" spans="1:37" ht="14.25" customHeight="1">
      <c r="A259" s="1"/>
      <c r="B259" s="1"/>
      <c r="C259" s="1"/>
      <c r="D259" s="15"/>
      <c r="E259" s="15"/>
      <c r="F259" s="15"/>
      <c r="G259" s="15"/>
      <c r="H259" s="1"/>
      <c r="I259" s="1"/>
      <c r="J259" s="1"/>
      <c r="K259" s="15"/>
      <c r="L259" s="1"/>
      <c r="M259" s="1"/>
      <c r="N259" s="1"/>
      <c r="O259" s="1"/>
      <c r="P259" s="15"/>
      <c r="Q259" s="1"/>
      <c r="R259" s="1"/>
      <c r="S259" s="1"/>
      <c r="T259" s="1"/>
      <c r="U259" s="15"/>
      <c r="V259" s="1"/>
      <c r="W259" s="1"/>
      <c r="X259" s="1"/>
      <c r="Y259" s="1"/>
      <c r="Z259" s="15"/>
      <c r="AA259" s="1"/>
      <c r="AB259" s="1"/>
      <c r="AC259" s="1"/>
      <c r="AD259" s="1"/>
      <c r="AE259" s="15"/>
      <c r="AF259" s="1"/>
      <c r="AG259" s="1"/>
      <c r="AH259" s="1"/>
      <c r="AI259" s="1"/>
      <c r="AJ259" s="15"/>
      <c r="AK259" s="1"/>
    </row>
    <row r="260" spans="1:37" ht="14.25" customHeight="1">
      <c r="A260" s="1"/>
      <c r="B260" s="1"/>
      <c r="C260" s="1"/>
      <c r="D260" s="15"/>
      <c r="E260" s="15"/>
      <c r="F260" s="15"/>
      <c r="G260" s="15"/>
      <c r="H260" s="1"/>
      <c r="I260" s="1"/>
      <c r="J260" s="1"/>
      <c r="K260" s="15"/>
      <c r="L260" s="1"/>
      <c r="M260" s="1"/>
      <c r="N260" s="1"/>
      <c r="O260" s="1"/>
      <c r="P260" s="15"/>
      <c r="Q260" s="1"/>
      <c r="R260" s="1"/>
      <c r="S260" s="1"/>
      <c r="T260" s="1"/>
      <c r="U260" s="15"/>
      <c r="V260" s="1"/>
      <c r="W260" s="1"/>
      <c r="X260" s="1"/>
      <c r="Y260" s="1"/>
      <c r="Z260" s="15"/>
      <c r="AA260" s="1"/>
      <c r="AB260" s="1"/>
      <c r="AC260" s="1"/>
      <c r="AD260" s="1"/>
      <c r="AE260" s="15"/>
      <c r="AF260" s="1"/>
      <c r="AG260" s="1"/>
      <c r="AH260" s="1"/>
      <c r="AI260" s="1"/>
      <c r="AJ260" s="15"/>
      <c r="AK260" s="1"/>
    </row>
    <row r="261" spans="1:37" ht="14.25" customHeight="1">
      <c r="A261" s="1"/>
      <c r="B261" s="1"/>
      <c r="C261" s="1"/>
      <c r="D261" s="15"/>
      <c r="E261" s="15"/>
      <c r="F261" s="15"/>
      <c r="G261" s="15"/>
      <c r="H261" s="1"/>
      <c r="I261" s="1"/>
      <c r="J261" s="1"/>
      <c r="K261" s="15"/>
      <c r="L261" s="1"/>
      <c r="M261" s="1"/>
      <c r="N261" s="1"/>
      <c r="O261" s="1"/>
      <c r="P261" s="15"/>
      <c r="Q261" s="1"/>
      <c r="R261" s="1"/>
      <c r="S261" s="1"/>
      <c r="T261" s="1"/>
      <c r="U261" s="15"/>
      <c r="V261" s="1"/>
      <c r="W261" s="1"/>
      <c r="X261" s="1"/>
      <c r="Y261" s="1"/>
      <c r="Z261" s="15"/>
      <c r="AA261" s="1"/>
      <c r="AB261" s="1"/>
      <c r="AC261" s="1"/>
      <c r="AD261" s="1"/>
      <c r="AE261" s="15"/>
      <c r="AF261" s="1"/>
      <c r="AG261" s="1"/>
      <c r="AH261" s="1"/>
      <c r="AI261" s="1"/>
      <c r="AJ261" s="15"/>
      <c r="AK261" s="1"/>
    </row>
    <row r="262" spans="1:37" ht="14.25" customHeight="1">
      <c r="A262" s="1"/>
      <c r="B262" s="1"/>
      <c r="C262" s="1"/>
      <c r="D262" s="15"/>
      <c r="E262" s="15"/>
      <c r="F262" s="15"/>
      <c r="G262" s="15"/>
      <c r="H262" s="1"/>
      <c r="I262" s="1"/>
      <c r="J262" s="1"/>
      <c r="K262" s="15"/>
      <c r="L262" s="1"/>
      <c r="M262" s="1"/>
      <c r="N262" s="1"/>
      <c r="O262" s="1"/>
      <c r="P262" s="15"/>
      <c r="Q262" s="1"/>
      <c r="R262" s="1"/>
      <c r="S262" s="1"/>
      <c r="T262" s="1"/>
      <c r="U262" s="15"/>
      <c r="V262" s="1"/>
      <c r="W262" s="1"/>
      <c r="X262" s="1"/>
      <c r="Y262" s="1"/>
      <c r="Z262" s="15"/>
      <c r="AA262" s="1"/>
      <c r="AB262" s="1"/>
      <c r="AC262" s="1"/>
      <c r="AD262" s="1"/>
      <c r="AE262" s="15"/>
      <c r="AF262" s="1"/>
      <c r="AG262" s="1"/>
      <c r="AH262" s="1"/>
      <c r="AI262" s="1"/>
      <c r="AJ262" s="15"/>
      <c r="AK262" s="1"/>
    </row>
    <row r="263" spans="1:37" ht="14.25" customHeight="1">
      <c r="A263" s="1"/>
      <c r="B263" s="1"/>
      <c r="C263" s="1"/>
      <c r="D263" s="15"/>
      <c r="E263" s="15"/>
      <c r="F263" s="15"/>
      <c r="G263" s="15"/>
      <c r="H263" s="1"/>
      <c r="I263" s="1"/>
      <c r="J263" s="1"/>
      <c r="K263" s="15"/>
      <c r="L263" s="1"/>
      <c r="M263" s="1"/>
      <c r="N263" s="1"/>
      <c r="O263" s="1"/>
      <c r="P263" s="15"/>
      <c r="Q263" s="1"/>
      <c r="R263" s="1"/>
      <c r="S263" s="1"/>
      <c r="T263" s="1"/>
      <c r="U263" s="15"/>
      <c r="V263" s="1"/>
      <c r="W263" s="1"/>
      <c r="X263" s="1"/>
      <c r="Y263" s="1"/>
      <c r="Z263" s="15"/>
      <c r="AA263" s="1"/>
      <c r="AB263" s="1"/>
      <c r="AC263" s="1"/>
      <c r="AD263" s="1"/>
      <c r="AE263" s="15"/>
      <c r="AF263" s="1"/>
      <c r="AG263" s="1"/>
      <c r="AH263" s="1"/>
      <c r="AI263" s="1"/>
      <c r="AJ263" s="15"/>
      <c r="AK263" s="1"/>
    </row>
    <row r="264" spans="1:37" ht="14.25" customHeight="1">
      <c r="A264" s="1"/>
      <c r="B264" s="1"/>
      <c r="C264" s="1"/>
      <c r="D264" s="15"/>
      <c r="E264" s="15"/>
      <c r="F264" s="15"/>
      <c r="G264" s="15"/>
      <c r="H264" s="1"/>
      <c r="I264" s="1"/>
      <c r="J264" s="1"/>
      <c r="K264" s="15"/>
      <c r="L264" s="1"/>
      <c r="M264" s="1"/>
      <c r="N264" s="1"/>
      <c r="O264" s="1"/>
      <c r="P264" s="15"/>
      <c r="Q264" s="1"/>
      <c r="R264" s="1"/>
      <c r="S264" s="1"/>
      <c r="T264" s="1"/>
      <c r="U264" s="15"/>
      <c r="V264" s="1"/>
      <c r="W264" s="1"/>
      <c r="X264" s="1"/>
      <c r="Y264" s="1"/>
      <c r="Z264" s="15"/>
      <c r="AA264" s="1"/>
      <c r="AB264" s="1"/>
      <c r="AC264" s="1"/>
      <c r="AD264" s="1"/>
      <c r="AE264" s="15"/>
      <c r="AF264" s="1"/>
      <c r="AG264" s="1"/>
      <c r="AH264" s="1"/>
      <c r="AI264" s="1"/>
      <c r="AJ264" s="15"/>
      <c r="AK264" s="1"/>
    </row>
    <row r="265" spans="1:37" ht="14.25" customHeight="1">
      <c r="A265" s="1"/>
      <c r="B265" s="1"/>
      <c r="C265" s="1"/>
      <c r="D265" s="15"/>
      <c r="E265" s="15"/>
      <c r="F265" s="15"/>
      <c r="G265" s="15"/>
      <c r="H265" s="1"/>
      <c r="I265" s="1"/>
      <c r="J265" s="1"/>
      <c r="K265" s="15"/>
      <c r="L265" s="1"/>
      <c r="M265" s="1"/>
      <c r="N265" s="1"/>
      <c r="O265" s="1"/>
      <c r="P265" s="15"/>
      <c r="Q265" s="1"/>
      <c r="R265" s="1"/>
      <c r="S265" s="1"/>
      <c r="T265" s="1"/>
      <c r="U265" s="15"/>
      <c r="V265" s="1"/>
      <c r="W265" s="1"/>
      <c r="X265" s="1"/>
      <c r="Y265" s="1"/>
      <c r="Z265" s="15"/>
      <c r="AA265" s="1"/>
      <c r="AB265" s="1"/>
      <c r="AC265" s="1"/>
      <c r="AD265" s="1"/>
      <c r="AE265" s="15"/>
      <c r="AF265" s="1"/>
      <c r="AG265" s="1"/>
      <c r="AH265" s="1"/>
      <c r="AI265" s="1"/>
      <c r="AJ265" s="15"/>
      <c r="AK265" s="1"/>
    </row>
    <row r="266" spans="1:37" ht="14.25" customHeight="1">
      <c r="A266" s="1"/>
      <c r="B266" s="1"/>
      <c r="C266" s="1"/>
      <c r="D266" s="15"/>
      <c r="E266" s="15"/>
      <c r="F266" s="15"/>
      <c r="G266" s="15"/>
      <c r="H266" s="1"/>
      <c r="I266" s="1"/>
      <c r="J266" s="1"/>
      <c r="K266" s="15"/>
      <c r="L266" s="1"/>
      <c r="M266" s="1"/>
      <c r="N266" s="1"/>
      <c r="O266" s="1"/>
      <c r="P266" s="15"/>
      <c r="Q266" s="1"/>
      <c r="R266" s="1"/>
      <c r="S266" s="1"/>
      <c r="T266" s="1"/>
      <c r="U266" s="15"/>
      <c r="V266" s="1"/>
      <c r="W266" s="1"/>
      <c r="X266" s="1"/>
      <c r="Y266" s="1"/>
      <c r="Z266" s="15"/>
      <c r="AA266" s="1"/>
      <c r="AB266" s="1"/>
      <c r="AC266" s="1"/>
      <c r="AD266" s="1"/>
      <c r="AE266" s="15"/>
      <c r="AF266" s="1"/>
      <c r="AG266" s="1"/>
      <c r="AH266" s="1"/>
      <c r="AI266" s="1"/>
      <c r="AJ266" s="15"/>
      <c r="AK266" s="1"/>
    </row>
    <row r="267" spans="1:37" ht="14.25" customHeight="1">
      <c r="A267" s="1"/>
      <c r="B267" s="1"/>
      <c r="C267" s="1"/>
      <c r="D267" s="15"/>
      <c r="E267" s="15"/>
      <c r="F267" s="15"/>
      <c r="G267" s="15"/>
      <c r="H267" s="1"/>
      <c r="I267" s="1"/>
      <c r="J267" s="1"/>
      <c r="K267" s="15"/>
      <c r="L267" s="1"/>
      <c r="M267" s="1"/>
      <c r="N267" s="1"/>
      <c r="O267" s="1"/>
      <c r="P267" s="15"/>
      <c r="Q267" s="1"/>
      <c r="R267" s="1"/>
      <c r="S267" s="1"/>
      <c r="T267" s="1"/>
      <c r="U267" s="15"/>
      <c r="V267" s="1"/>
      <c r="W267" s="1"/>
      <c r="X267" s="1"/>
      <c r="Y267" s="1"/>
      <c r="Z267" s="15"/>
      <c r="AA267" s="1"/>
      <c r="AB267" s="1"/>
      <c r="AC267" s="1"/>
      <c r="AD267" s="1"/>
      <c r="AE267" s="15"/>
      <c r="AF267" s="1"/>
      <c r="AG267" s="1"/>
      <c r="AH267" s="1"/>
      <c r="AI267" s="1"/>
      <c r="AJ267" s="15"/>
      <c r="AK267" s="1"/>
    </row>
    <row r="268" spans="1:37" ht="14.25" customHeight="1">
      <c r="A268" s="1"/>
      <c r="B268" s="1"/>
      <c r="C268" s="1"/>
      <c r="D268" s="15"/>
      <c r="E268" s="15"/>
      <c r="F268" s="15"/>
      <c r="G268" s="15"/>
      <c r="H268" s="1"/>
      <c r="I268" s="1"/>
      <c r="J268" s="1"/>
      <c r="K268" s="15"/>
      <c r="L268" s="1"/>
      <c r="M268" s="1"/>
      <c r="N268" s="1"/>
      <c r="O268" s="1"/>
      <c r="P268" s="15"/>
      <c r="Q268" s="1"/>
      <c r="R268" s="1"/>
      <c r="S268" s="1"/>
      <c r="T268" s="1"/>
      <c r="U268" s="15"/>
      <c r="V268" s="1"/>
      <c r="W268" s="1"/>
      <c r="X268" s="1"/>
      <c r="Y268" s="1"/>
      <c r="Z268" s="15"/>
      <c r="AA268" s="1"/>
      <c r="AB268" s="1"/>
      <c r="AC268" s="1"/>
      <c r="AD268" s="1"/>
      <c r="AE268" s="15"/>
      <c r="AF268" s="1"/>
      <c r="AG268" s="1"/>
      <c r="AH268" s="1"/>
      <c r="AI268" s="1"/>
      <c r="AJ268" s="15"/>
      <c r="AK268" s="1"/>
    </row>
    <row r="269" spans="1:37" ht="14.25" customHeight="1">
      <c r="A269" s="1"/>
      <c r="B269" s="1"/>
      <c r="C269" s="1"/>
      <c r="D269" s="15"/>
      <c r="E269" s="15"/>
      <c r="F269" s="15"/>
      <c r="G269" s="15"/>
      <c r="H269" s="1"/>
      <c r="I269" s="1"/>
      <c r="J269" s="1"/>
      <c r="K269" s="15"/>
      <c r="L269" s="1"/>
      <c r="M269" s="1"/>
      <c r="N269" s="1"/>
      <c r="O269" s="1"/>
      <c r="P269" s="15"/>
      <c r="Q269" s="1"/>
      <c r="R269" s="1"/>
      <c r="S269" s="1"/>
      <c r="T269" s="1"/>
      <c r="U269" s="15"/>
      <c r="V269" s="1"/>
      <c r="W269" s="1"/>
      <c r="X269" s="1"/>
      <c r="Y269" s="1"/>
      <c r="Z269" s="15"/>
      <c r="AA269" s="1"/>
      <c r="AB269" s="1"/>
      <c r="AC269" s="1"/>
      <c r="AD269" s="1"/>
      <c r="AE269" s="15"/>
      <c r="AF269" s="1"/>
      <c r="AG269" s="1"/>
      <c r="AH269" s="1"/>
      <c r="AI269" s="1"/>
      <c r="AJ269" s="15"/>
      <c r="AK269" s="1"/>
    </row>
    <row r="270" spans="1:37" ht="14.25" customHeight="1">
      <c r="A270" s="1"/>
      <c r="B270" s="1"/>
      <c r="C270" s="1"/>
      <c r="D270" s="15"/>
      <c r="E270" s="15"/>
      <c r="F270" s="15"/>
      <c r="G270" s="15"/>
      <c r="H270" s="1"/>
      <c r="I270" s="1"/>
      <c r="J270" s="1"/>
      <c r="K270" s="15"/>
      <c r="L270" s="1"/>
      <c r="M270" s="1"/>
      <c r="N270" s="1"/>
      <c r="O270" s="1"/>
      <c r="P270" s="15"/>
      <c r="Q270" s="1"/>
      <c r="R270" s="1"/>
      <c r="S270" s="1"/>
      <c r="T270" s="1"/>
      <c r="U270" s="15"/>
      <c r="V270" s="1"/>
      <c r="W270" s="1"/>
      <c r="X270" s="1"/>
      <c r="Y270" s="1"/>
      <c r="Z270" s="15"/>
      <c r="AA270" s="1"/>
      <c r="AB270" s="1"/>
      <c r="AC270" s="1"/>
      <c r="AD270" s="1"/>
      <c r="AE270" s="15"/>
      <c r="AF270" s="1"/>
      <c r="AG270" s="1"/>
      <c r="AH270" s="1"/>
      <c r="AI270" s="1"/>
      <c r="AJ270" s="15"/>
      <c r="AK270" s="1"/>
    </row>
    <row r="271" spans="1:37" ht="14.25" customHeight="1">
      <c r="A271" s="1"/>
      <c r="B271" s="1"/>
      <c r="C271" s="1"/>
      <c r="D271" s="15"/>
      <c r="E271" s="15"/>
      <c r="F271" s="15"/>
      <c r="G271" s="15"/>
      <c r="H271" s="1"/>
      <c r="I271" s="1"/>
      <c r="J271" s="1"/>
      <c r="K271" s="15"/>
      <c r="L271" s="1"/>
      <c r="M271" s="1"/>
      <c r="N271" s="1"/>
      <c r="O271" s="1"/>
      <c r="P271" s="15"/>
      <c r="Q271" s="1"/>
      <c r="R271" s="1"/>
      <c r="S271" s="1"/>
      <c r="T271" s="1"/>
      <c r="U271" s="15"/>
      <c r="V271" s="1"/>
      <c r="W271" s="1"/>
      <c r="X271" s="1"/>
      <c r="Y271" s="1"/>
      <c r="Z271" s="15"/>
      <c r="AA271" s="1"/>
      <c r="AB271" s="1"/>
      <c r="AC271" s="1"/>
      <c r="AD271" s="1"/>
      <c r="AE271" s="15"/>
      <c r="AF271" s="1"/>
      <c r="AG271" s="1"/>
      <c r="AH271" s="1"/>
      <c r="AI271" s="1"/>
      <c r="AJ271" s="15"/>
      <c r="AK271" s="1"/>
    </row>
    <row r="272" spans="1:37" ht="14.25" customHeight="1">
      <c r="A272" s="1"/>
      <c r="B272" s="1"/>
      <c r="C272" s="1"/>
      <c r="D272" s="15"/>
      <c r="E272" s="15"/>
      <c r="F272" s="15"/>
      <c r="G272" s="15"/>
      <c r="H272" s="1"/>
      <c r="I272" s="1"/>
      <c r="J272" s="1"/>
      <c r="K272" s="15"/>
      <c r="L272" s="1"/>
      <c r="M272" s="1"/>
      <c r="N272" s="1"/>
      <c r="O272" s="1"/>
      <c r="P272" s="15"/>
      <c r="Q272" s="1"/>
      <c r="R272" s="1"/>
      <c r="S272" s="1"/>
      <c r="T272" s="1"/>
      <c r="U272" s="15"/>
      <c r="V272" s="1"/>
      <c r="W272" s="1"/>
      <c r="X272" s="1"/>
      <c r="Y272" s="1"/>
      <c r="Z272" s="15"/>
      <c r="AA272" s="1"/>
      <c r="AB272" s="1"/>
      <c r="AC272" s="1"/>
      <c r="AD272" s="1"/>
      <c r="AE272" s="15"/>
      <c r="AF272" s="1"/>
      <c r="AG272" s="1"/>
      <c r="AH272" s="1"/>
      <c r="AI272" s="1"/>
      <c r="AJ272" s="15"/>
      <c r="AK272" s="1"/>
    </row>
    <row r="273" spans="1:37" ht="14.25" customHeight="1">
      <c r="A273" s="1"/>
      <c r="B273" s="1"/>
      <c r="C273" s="1"/>
      <c r="D273" s="15"/>
      <c r="E273" s="15"/>
      <c r="F273" s="15"/>
      <c r="G273" s="15"/>
      <c r="H273" s="1"/>
      <c r="I273" s="1"/>
      <c r="J273" s="1"/>
      <c r="K273" s="15"/>
      <c r="L273" s="1"/>
      <c r="M273" s="1"/>
      <c r="N273" s="1"/>
      <c r="O273" s="1"/>
      <c r="P273" s="15"/>
      <c r="Q273" s="1"/>
      <c r="R273" s="1"/>
      <c r="S273" s="1"/>
      <c r="T273" s="1"/>
      <c r="U273" s="15"/>
      <c r="V273" s="1"/>
      <c r="W273" s="1"/>
      <c r="X273" s="1"/>
      <c r="Y273" s="1"/>
      <c r="Z273" s="15"/>
      <c r="AA273" s="1"/>
      <c r="AB273" s="1"/>
      <c r="AC273" s="1"/>
      <c r="AD273" s="1"/>
      <c r="AE273" s="15"/>
      <c r="AF273" s="1"/>
      <c r="AG273" s="1"/>
      <c r="AH273" s="1"/>
      <c r="AI273" s="1"/>
      <c r="AJ273" s="15"/>
      <c r="AK273" s="1"/>
    </row>
    <row r="274" spans="1:37" ht="14.25" customHeight="1">
      <c r="A274" s="1"/>
      <c r="B274" s="1"/>
      <c r="C274" s="1"/>
      <c r="D274" s="15"/>
      <c r="E274" s="15"/>
      <c r="F274" s="15"/>
      <c r="G274" s="15"/>
      <c r="H274" s="1"/>
      <c r="I274" s="1"/>
      <c r="J274" s="1"/>
      <c r="K274" s="15"/>
      <c r="L274" s="1"/>
      <c r="M274" s="1"/>
      <c r="N274" s="1"/>
      <c r="O274" s="1"/>
      <c r="P274" s="15"/>
      <c r="Q274" s="1"/>
      <c r="R274" s="1"/>
      <c r="S274" s="1"/>
      <c r="T274" s="1"/>
      <c r="U274" s="15"/>
      <c r="V274" s="1"/>
      <c r="W274" s="1"/>
      <c r="X274" s="1"/>
      <c r="Y274" s="1"/>
      <c r="Z274" s="15"/>
      <c r="AA274" s="1"/>
      <c r="AB274" s="1"/>
      <c r="AC274" s="1"/>
      <c r="AD274" s="1"/>
      <c r="AE274" s="15"/>
      <c r="AF274" s="1"/>
      <c r="AG274" s="1"/>
      <c r="AH274" s="1"/>
      <c r="AI274" s="1"/>
      <c r="AJ274" s="15"/>
      <c r="AK274" s="1"/>
    </row>
    <row r="275" spans="1:37" ht="14.25" customHeight="1">
      <c r="A275" s="1"/>
      <c r="B275" s="1"/>
      <c r="C275" s="1"/>
      <c r="D275" s="15"/>
      <c r="E275" s="15"/>
      <c r="F275" s="15"/>
      <c r="G275" s="15"/>
      <c r="H275" s="1"/>
      <c r="I275" s="1"/>
      <c r="J275" s="1"/>
      <c r="K275" s="15"/>
      <c r="L275" s="1"/>
      <c r="M275" s="1"/>
      <c r="N275" s="1"/>
      <c r="O275" s="1"/>
      <c r="P275" s="15"/>
      <c r="Q275" s="1"/>
      <c r="R275" s="1"/>
      <c r="S275" s="1"/>
      <c r="T275" s="1"/>
      <c r="U275" s="15"/>
      <c r="V275" s="1"/>
      <c r="W275" s="1"/>
      <c r="X275" s="1"/>
      <c r="Y275" s="1"/>
      <c r="Z275" s="15"/>
      <c r="AA275" s="1"/>
      <c r="AB275" s="1"/>
      <c r="AC275" s="1"/>
      <c r="AD275" s="1"/>
      <c r="AE275" s="15"/>
      <c r="AF275" s="1"/>
      <c r="AG275" s="1"/>
      <c r="AH275" s="1"/>
      <c r="AI275" s="1"/>
      <c r="AJ275" s="15"/>
      <c r="AK275" s="1"/>
    </row>
    <row r="276" spans="1:37" ht="14.25" customHeight="1">
      <c r="A276" s="1"/>
      <c r="B276" s="1"/>
      <c r="C276" s="1"/>
      <c r="D276" s="15"/>
      <c r="E276" s="15"/>
      <c r="F276" s="15"/>
      <c r="G276" s="15"/>
      <c r="H276" s="1"/>
      <c r="I276" s="1"/>
      <c r="J276" s="1"/>
      <c r="K276" s="15"/>
      <c r="L276" s="1"/>
      <c r="M276" s="1"/>
      <c r="N276" s="1"/>
      <c r="O276" s="1"/>
      <c r="P276" s="15"/>
      <c r="Q276" s="1"/>
      <c r="R276" s="1"/>
      <c r="S276" s="1"/>
      <c r="T276" s="1"/>
      <c r="U276" s="15"/>
      <c r="V276" s="1"/>
      <c r="W276" s="1"/>
      <c r="X276" s="1"/>
      <c r="Y276" s="1"/>
      <c r="Z276" s="15"/>
      <c r="AA276" s="1"/>
      <c r="AB276" s="1"/>
      <c r="AC276" s="1"/>
      <c r="AD276" s="1"/>
      <c r="AE276" s="15"/>
      <c r="AF276" s="1"/>
      <c r="AG276" s="1"/>
      <c r="AH276" s="1"/>
      <c r="AI276" s="1"/>
      <c r="AJ276" s="15"/>
      <c r="AK276" s="1"/>
    </row>
    <row r="277" spans="1:37" ht="14.25" customHeight="1">
      <c r="A277" s="1"/>
      <c r="B277" s="1"/>
      <c r="C277" s="1"/>
      <c r="D277" s="15"/>
      <c r="E277" s="15"/>
      <c r="F277" s="15"/>
      <c r="G277" s="15"/>
      <c r="H277" s="1"/>
      <c r="I277" s="1"/>
      <c r="J277" s="1"/>
      <c r="K277" s="15"/>
      <c r="L277" s="1"/>
      <c r="M277" s="1"/>
      <c r="N277" s="1"/>
      <c r="O277" s="1"/>
      <c r="P277" s="15"/>
      <c r="Q277" s="1"/>
      <c r="R277" s="1"/>
      <c r="S277" s="1"/>
      <c r="T277" s="1"/>
      <c r="U277" s="15"/>
      <c r="V277" s="1"/>
      <c r="W277" s="1"/>
      <c r="X277" s="1"/>
      <c r="Y277" s="1"/>
      <c r="Z277" s="15"/>
      <c r="AA277" s="1"/>
      <c r="AB277" s="1"/>
      <c r="AC277" s="1"/>
      <c r="AD277" s="1"/>
      <c r="AE277" s="15"/>
      <c r="AF277" s="1"/>
      <c r="AG277" s="1"/>
      <c r="AH277" s="1"/>
      <c r="AI277" s="1"/>
      <c r="AJ277" s="15"/>
      <c r="AK277" s="1"/>
    </row>
    <row r="278" spans="1:37" ht="14.25" customHeight="1">
      <c r="A278" s="1"/>
      <c r="B278" s="1"/>
      <c r="C278" s="1"/>
      <c r="D278" s="15"/>
      <c r="E278" s="15"/>
      <c r="F278" s="15"/>
      <c r="G278" s="15"/>
      <c r="H278" s="1"/>
      <c r="I278" s="1"/>
      <c r="J278" s="1"/>
      <c r="K278" s="15"/>
      <c r="L278" s="1"/>
      <c r="M278" s="1"/>
      <c r="N278" s="1"/>
      <c r="O278" s="1"/>
      <c r="P278" s="15"/>
      <c r="Q278" s="1"/>
      <c r="R278" s="1"/>
      <c r="S278" s="1"/>
      <c r="T278" s="1"/>
      <c r="U278" s="15"/>
      <c r="V278" s="1"/>
      <c r="W278" s="1"/>
      <c r="X278" s="1"/>
      <c r="Y278" s="1"/>
      <c r="Z278" s="15"/>
      <c r="AA278" s="1"/>
      <c r="AB278" s="1"/>
      <c r="AC278" s="1"/>
      <c r="AD278" s="1"/>
      <c r="AE278" s="15"/>
      <c r="AF278" s="1"/>
      <c r="AG278" s="1"/>
      <c r="AH278" s="1"/>
      <c r="AI278" s="1"/>
      <c r="AJ278" s="15"/>
      <c r="AK278" s="1"/>
    </row>
    <row r="279" spans="1:37" ht="14.25" customHeight="1">
      <c r="A279" s="1"/>
      <c r="B279" s="1"/>
      <c r="C279" s="1"/>
      <c r="D279" s="15"/>
      <c r="E279" s="15"/>
      <c r="F279" s="15"/>
      <c r="G279" s="15"/>
      <c r="H279" s="1"/>
      <c r="I279" s="1"/>
      <c r="J279" s="1"/>
      <c r="K279" s="15"/>
      <c r="L279" s="1"/>
      <c r="M279" s="1"/>
      <c r="N279" s="1"/>
      <c r="O279" s="1"/>
      <c r="P279" s="15"/>
      <c r="Q279" s="1"/>
      <c r="R279" s="1"/>
      <c r="S279" s="1"/>
      <c r="T279" s="1"/>
      <c r="U279" s="15"/>
      <c r="V279" s="1"/>
      <c r="W279" s="1"/>
      <c r="X279" s="1"/>
      <c r="Y279" s="1"/>
      <c r="Z279" s="15"/>
      <c r="AA279" s="1"/>
      <c r="AB279" s="1"/>
      <c r="AC279" s="1"/>
      <c r="AD279" s="1"/>
      <c r="AE279" s="15"/>
      <c r="AF279" s="1"/>
      <c r="AG279" s="1"/>
      <c r="AH279" s="1"/>
      <c r="AI279" s="1"/>
      <c r="AJ279" s="15"/>
      <c r="AK279" s="1"/>
    </row>
    <row r="280" spans="1:37" ht="14.25" customHeight="1">
      <c r="A280" s="1"/>
      <c r="B280" s="1"/>
      <c r="C280" s="1"/>
      <c r="D280" s="15"/>
      <c r="E280" s="15"/>
      <c r="F280" s="15"/>
      <c r="G280" s="15"/>
      <c r="H280" s="1"/>
      <c r="I280" s="1"/>
      <c r="J280" s="1"/>
      <c r="K280" s="15"/>
      <c r="L280" s="1"/>
      <c r="M280" s="1"/>
      <c r="N280" s="1"/>
      <c r="O280" s="1"/>
      <c r="P280" s="15"/>
      <c r="Q280" s="1"/>
      <c r="R280" s="1"/>
      <c r="S280" s="1"/>
      <c r="T280" s="1"/>
      <c r="U280" s="15"/>
      <c r="V280" s="1"/>
      <c r="W280" s="1"/>
      <c r="X280" s="1"/>
      <c r="Y280" s="1"/>
      <c r="Z280" s="15"/>
      <c r="AA280" s="1"/>
      <c r="AB280" s="1"/>
      <c r="AC280" s="1"/>
      <c r="AD280" s="1"/>
      <c r="AE280" s="15"/>
      <c r="AF280" s="1"/>
      <c r="AG280" s="1"/>
      <c r="AH280" s="1"/>
      <c r="AI280" s="1"/>
      <c r="AJ280" s="15"/>
      <c r="AK280" s="1"/>
    </row>
    <row r="281" spans="1:37" ht="14.25" customHeight="1">
      <c r="A281" s="1"/>
      <c r="B281" s="1"/>
      <c r="C281" s="1"/>
      <c r="D281" s="15"/>
      <c r="E281" s="15"/>
      <c r="F281" s="15"/>
      <c r="G281" s="15"/>
      <c r="H281" s="1"/>
      <c r="I281" s="1"/>
      <c r="J281" s="1"/>
      <c r="K281" s="15"/>
      <c r="L281" s="1"/>
      <c r="M281" s="1"/>
      <c r="N281" s="1"/>
      <c r="O281" s="1"/>
      <c r="P281" s="15"/>
      <c r="Q281" s="1"/>
      <c r="R281" s="1"/>
      <c r="S281" s="1"/>
      <c r="T281" s="1"/>
      <c r="U281" s="15"/>
      <c r="V281" s="1"/>
      <c r="W281" s="1"/>
      <c r="X281" s="1"/>
      <c r="Y281" s="1"/>
      <c r="Z281" s="15"/>
      <c r="AA281" s="1"/>
      <c r="AB281" s="1"/>
      <c r="AC281" s="1"/>
      <c r="AD281" s="1"/>
      <c r="AE281" s="15"/>
      <c r="AF281" s="1"/>
      <c r="AG281" s="1"/>
      <c r="AH281" s="1"/>
      <c r="AI281" s="1"/>
      <c r="AJ281" s="15"/>
      <c r="AK281" s="1"/>
    </row>
    <row r="282" spans="1:37" ht="14.25" customHeight="1">
      <c r="A282" s="1"/>
      <c r="B282" s="1"/>
      <c r="C282" s="1"/>
      <c r="D282" s="15"/>
      <c r="E282" s="15"/>
      <c r="F282" s="15"/>
      <c r="G282" s="15"/>
      <c r="H282" s="1"/>
      <c r="I282" s="1"/>
      <c r="J282" s="1"/>
      <c r="K282" s="15"/>
      <c r="L282" s="1"/>
      <c r="M282" s="1"/>
      <c r="N282" s="1"/>
      <c r="O282" s="1"/>
      <c r="P282" s="15"/>
      <c r="Q282" s="1"/>
      <c r="R282" s="1"/>
      <c r="S282" s="1"/>
      <c r="T282" s="1"/>
      <c r="U282" s="15"/>
      <c r="V282" s="1"/>
      <c r="W282" s="1"/>
      <c r="X282" s="1"/>
      <c r="Y282" s="1"/>
      <c r="Z282" s="15"/>
      <c r="AA282" s="1"/>
      <c r="AB282" s="1"/>
      <c r="AC282" s="1"/>
      <c r="AD282" s="1"/>
      <c r="AE282" s="15"/>
      <c r="AF282" s="1"/>
      <c r="AG282" s="1"/>
      <c r="AH282" s="1"/>
      <c r="AI282" s="1"/>
      <c r="AJ282" s="15"/>
      <c r="AK282" s="1"/>
    </row>
    <row r="283" spans="1:37" ht="14.25" customHeight="1">
      <c r="A283" s="1"/>
      <c r="B283" s="1"/>
      <c r="C283" s="1"/>
      <c r="D283" s="15"/>
      <c r="E283" s="15"/>
      <c r="F283" s="15"/>
      <c r="G283" s="15"/>
      <c r="H283" s="1"/>
      <c r="I283" s="1"/>
      <c r="J283" s="1"/>
      <c r="K283" s="15"/>
      <c r="L283" s="1"/>
      <c r="M283" s="1"/>
      <c r="N283" s="1"/>
      <c r="O283" s="1"/>
      <c r="P283" s="15"/>
      <c r="Q283" s="1"/>
      <c r="R283" s="1"/>
      <c r="S283" s="1"/>
      <c r="T283" s="1"/>
      <c r="U283" s="15"/>
      <c r="V283" s="1"/>
      <c r="W283" s="1"/>
      <c r="X283" s="1"/>
      <c r="Y283" s="1"/>
      <c r="Z283" s="15"/>
      <c r="AA283" s="1"/>
      <c r="AB283" s="1"/>
      <c r="AC283" s="1"/>
      <c r="AD283" s="1"/>
      <c r="AE283" s="15"/>
      <c r="AF283" s="1"/>
      <c r="AG283" s="1"/>
      <c r="AH283" s="1"/>
      <c r="AI283" s="1"/>
      <c r="AJ283" s="15"/>
      <c r="AK283" s="1"/>
    </row>
    <row r="284" spans="1:37" ht="14.25" customHeight="1">
      <c r="A284" s="1"/>
      <c r="B284" s="1"/>
      <c r="C284" s="1"/>
      <c r="D284" s="15"/>
      <c r="E284" s="15"/>
      <c r="F284" s="15"/>
      <c r="G284" s="15"/>
      <c r="H284" s="1"/>
      <c r="I284" s="1"/>
      <c r="J284" s="1"/>
      <c r="K284" s="15"/>
      <c r="L284" s="1"/>
      <c r="M284" s="1"/>
      <c r="N284" s="1"/>
      <c r="O284" s="1"/>
      <c r="P284" s="15"/>
      <c r="Q284" s="1"/>
      <c r="R284" s="1"/>
      <c r="S284" s="1"/>
      <c r="T284" s="1"/>
      <c r="U284" s="15"/>
      <c r="V284" s="1"/>
      <c r="W284" s="1"/>
      <c r="X284" s="1"/>
      <c r="Y284" s="1"/>
      <c r="Z284" s="15"/>
      <c r="AA284" s="1"/>
      <c r="AB284" s="1"/>
      <c r="AC284" s="1"/>
      <c r="AD284" s="1"/>
      <c r="AE284" s="15"/>
      <c r="AF284" s="1"/>
      <c r="AG284" s="1"/>
      <c r="AH284" s="1"/>
      <c r="AI284" s="1"/>
      <c r="AJ284" s="15"/>
      <c r="AK284" s="1"/>
    </row>
    <row r="285" spans="1:37" ht="14.25" customHeight="1">
      <c r="A285" s="1"/>
      <c r="B285" s="1"/>
      <c r="C285" s="1"/>
      <c r="D285" s="15"/>
      <c r="E285" s="15"/>
      <c r="F285" s="15"/>
      <c r="G285" s="15"/>
      <c r="H285" s="1"/>
      <c r="I285" s="1"/>
      <c r="J285" s="1"/>
      <c r="K285" s="15"/>
      <c r="L285" s="1"/>
      <c r="M285" s="1"/>
      <c r="N285" s="1"/>
      <c r="O285" s="1"/>
      <c r="P285" s="15"/>
      <c r="Q285" s="1"/>
      <c r="R285" s="1"/>
      <c r="S285" s="1"/>
      <c r="T285" s="1"/>
      <c r="U285" s="15"/>
      <c r="V285" s="1"/>
      <c r="W285" s="1"/>
      <c r="X285" s="1"/>
      <c r="Y285" s="1"/>
      <c r="Z285" s="15"/>
      <c r="AA285" s="1"/>
      <c r="AB285" s="1"/>
      <c r="AC285" s="1"/>
      <c r="AD285" s="1"/>
      <c r="AE285" s="15"/>
      <c r="AF285" s="1"/>
      <c r="AG285" s="1"/>
      <c r="AH285" s="1"/>
      <c r="AI285" s="1"/>
      <c r="AJ285" s="15"/>
      <c r="AK285" s="1"/>
    </row>
    <row r="286" spans="1:37" ht="14.25" customHeight="1">
      <c r="A286" s="1"/>
      <c r="B286" s="1"/>
      <c r="C286" s="1"/>
      <c r="D286" s="15"/>
      <c r="E286" s="15"/>
      <c r="F286" s="15"/>
      <c r="G286" s="15"/>
      <c r="H286" s="1"/>
      <c r="I286" s="1"/>
      <c r="J286" s="1"/>
      <c r="K286" s="15"/>
      <c r="L286" s="1"/>
      <c r="M286" s="1"/>
      <c r="N286" s="1"/>
      <c r="O286" s="1"/>
      <c r="P286" s="15"/>
      <c r="Q286" s="1"/>
      <c r="R286" s="1"/>
      <c r="S286" s="1"/>
      <c r="T286" s="1"/>
      <c r="U286" s="15"/>
      <c r="V286" s="1"/>
      <c r="W286" s="1"/>
      <c r="X286" s="1"/>
      <c r="Y286" s="1"/>
      <c r="Z286" s="15"/>
      <c r="AA286" s="1"/>
      <c r="AB286" s="1"/>
      <c r="AC286" s="1"/>
      <c r="AD286" s="1"/>
      <c r="AE286" s="15"/>
      <c r="AF286" s="1"/>
      <c r="AG286" s="1"/>
      <c r="AH286" s="1"/>
      <c r="AI286" s="1"/>
      <c r="AJ286" s="15"/>
      <c r="AK286" s="1"/>
    </row>
    <row r="287" spans="1:37" ht="14.25" customHeight="1">
      <c r="A287" s="1"/>
      <c r="B287" s="1"/>
      <c r="C287" s="1"/>
      <c r="D287" s="15"/>
      <c r="E287" s="15"/>
      <c r="F287" s="15"/>
      <c r="G287" s="15"/>
      <c r="H287" s="1"/>
      <c r="I287" s="1"/>
      <c r="J287" s="1"/>
      <c r="K287" s="15"/>
      <c r="L287" s="1"/>
      <c r="M287" s="1"/>
      <c r="N287" s="1"/>
      <c r="O287" s="1"/>
      <c r="P287" s="15"/>
      <c r="Q287" s="1"/>
      <c r="R287" s="1"/>
      <c r="S287" s="1"/>
      <c r="T287" s="1"/>
      <c r="U287" s="15"/>
      <c r="V287" s="1"/>
      <c r="W287" s="1"/>
      <c r="X287" s="1"/>
      <c r="Y287" s="1"/>
      <c r="Z287" s="15"/>
      <c r="AA287" s="1"/>
      <c r="AB287" s="1"/>
      <c r="AC287" s="1"/>
      <c r="AD287" s="1"/>
      <c r="AE287" s="15"/>
      <c r="AF287" s="1"/>
      <c r="AG287" s="1"/>
      <c r="AH287" s="1"/>
      <c r="AI287" s="1"/>
      <c r="AJ287" s="15"/>
      <c r="AK287" s="1"/>
    </row>
    <row r="288" spans="1:37" ht="14.25" customHeight="1">
      <c r="A288" s="1"/>
      <c r="B288" s="1"/>
      <c r="C288" s="1"/>
      <c r="D288" s="15"/>
      <c r="E288" s="15"/>
      <c r="F288" s="15"/>
      <c r="G288" s="15"/>
      <c r="H288" s="1"/>
      <c r="I288" s="1"/>
      <c r="J288" s="1"/>
      <c r="K288" s="15"/>
      <c r="L288" s="1"/>
      <c r="M288" s="1"/>
      <c r="N288" s="1"/>
      <c r="O288" s="1"/>
      <c r="P288" s="15"/>
      <c r="Q288" s="1"/>
      <c r="R288" s="1"/>
      <c r="S288" s="1"/>
      <c r="T288" s="1"/>
      <c r="U288" s="15"/>
      <c r="V288" s="1"/>
      <c r="W288" s="1"/>
      <c r="X288" s="1"/>
      <c r="Y288" s="1"/>
      <c r="Z288" s="15"/>
      <c r="AA288" s="1"/>
      <c r="AB288" s="1"/>
      <c r="AC288" s="1"/>
      <c r="AD288" s="1"/>
      <c r="AE288" s="15"/>
      <c r="AF288" s="1"/>
      <c r="AG288" s="1"/>
      <c r="AH288" s="1"/>
      <c r="AI288" s="1"/>
      <c r="AJ288" s="15"/>
      <c r="AK288" s="1"/>
    </row>
    <row r="289" spans="1:37" ht="14.25" customHeight="1">
      <c r="A289" s="1"/>
      <c r="B289" s="1"/>
      <c r="C289" s="1"/>
      <c r="D289" s="15"/>
      <c r="E289" s="15"/>
      <c r="F289" s="15"/>
      <c r="G289" s="15"/>
      <c r="H289" s="1"/>
      <c r="I289" s="1"/>
      <c r="J289" s="1"/>
      <c r="K289" s="15"/>
      <c r="L289" s="1"/>
      <c r="M289" s="1"/>
      <c r="N289" s="1"/>
      <c r="O289" s="1"/>
      <c r="P289" s="15"/>
      <c r="Q289" s="1"/>
      <c r="R289" s="1"/>
      <c r="S289" s="1"/>
      <c r="T289" s="1"/>
      <c r="U289" s="15"/>
      <c r="V289" s="1"/>
      <c r="W289" s="1"/>
      <c r="X289" s="1"/>
      <c r="Y289" s="1"/>
      <c r="Z289" s="15"/>
      <c r="AA289" s="1"/>
      <c r="AB289" s="1"/>
      <c r="AC289" s="1"/>
      <c r="AD289" s="1"/>
      <c r="AE289" s="15"/>
      <c r="AF289" s="1"/>
      <c r="AG289" s="1"/>
      <c r="AH289" s="1"/>
      <c r="AI289" s="1"/>
      <c r="AJ289" s="15"/>
      <c r="AK289" s="1"/>
    </row>
    <row r="290" spans="1:37" ht="14.25" customHeight="1">
      <c r="A290" s="1"/>
      <c r="B290" s="1"/>
      <c r="C290" s="1"/>
      <c r="D290" s="15"/>
      <c r="E290" s="15"/>
      <c r="F290" s="15"/>
      <c r="G290" s="15"/>
      <c r="H290" s="1"/>
      <c r="I290" s="1"/>
      <c r="J290" s="1"/>
      <c r="K290" s="15"/>
      <c r="L290" s="1"/>
      <c r="M290" s="1"/>
      <c r="N290" s="1"/>
      <c r="O290" s="1"/>
      <c r="P290" s="15"/>
      <c r="Q290" s="1"/>
      <c r="R290" s="1"/>
      <c r="S290" s="1"/>
      <c r="T290" s="1"/>
      <c r="U290" s="15"/>
      <c r="V290" s="1"/>
      <c r="W290" s="1"/>
      <c r="X290" s="1"/>
      <c r="Y290" s="1"/>
      <c r="Z290" s="15"/>
      <c r="AA290" s="1"/>
      <c r="AB290" s="1"/>
      <c r="AC290" s="1"/>
      <c r="AD290" s="1"/>
      <c r="AE290" s="15"/>
      <c r="AF290" s="1"/>
      <c r="AG290" s="1"/>
      <c r="AH290" s="1"/>
      <c r="AI290" s="1"/>
      <c r="AJ290" s="15"/>
      <c r="AK290" s="1"/>
    </row>
    <row r="291" spans="1:37" ht="14.25" customHeight="1">
      <c r="A291" s="1"/>
      <c r="B291" s="1"/>
      <c r="C291" s="1"/>
      <c r="D291" s="15"/>
      <c r="E291" s="15"/>
      <c r="F291" s="15"/>
      <c r="G291" s="15"/>
      <c r="H291" s="1"/>
      <c r="I291" s="1"/>
      <c r="J291" s="1"/>
      <c r="K291" s="15"/>
      <c r="L291" s="1"/>
      <c r="M291" s="1"/>
      <c r="N291" s="1"/>
      <c r="O291" s="1"/>
      <c r="P291" s="15"/>
      <c r="Q291" s="1"/>
      <c r="R291" s="1"/>
      <c r="S291" s="1"/>
      <c r="T291" s="1"/>
      <c r="U291" s="15"/>
      <c r="V291" s="1"/>
      <c r="W291" s="1"/>
      <c r="X291" s="1"/>
      <c r="Y291" s="1"/>
      <c r="Z291" s="15"/>
      <c r="AA291" s="1"/>
      <c r="AB291" s="1"/>
      <c r="AC291" s="1"/>
      <c r="AD291" s="1"/>
      <c r="AE291" s="15"/>
      <c r="AF291" s="1"/>
      <c r="AG291" s="1"/>
      <c r="AH291" s="1"/>
      <c r="AI291" s="1"/>
      <c r="AJ291" s="15"/>
      <c r="AK291" s="1"/>
    </row>
    <row r="292" spans="1:37" ht="14.25" customHeight="1">
      <c r="A292" s="1"/>
      <c r="B292" s="1"/>
      <c r="C292" s="1"/>
      <c r="D292" s="15"/>
      <c r="E292" s="15"/>
      <c r="F292" s="15"/>
      <c r="G292" s="15"/>
      <c r="H292" s="1"/>
      <c r="I292" s="1"/>
      <c r="J292" s="1"/>
      <c r="K292" s="15"/>
      <c r="L292" s="1"/>
      <c r="M292" s="1"/>
      <c r="N292" s="1"/>
      <c r="O292" s="1"/>
      <c r="P292" s="15"/>
      <c r="Q292" s="1"/>
      <c r="R292" s="1"/>
      <c r="S292" s="1"/>
      <c r="T292" s="1"/>
      <c r="U292" s="15"/>
      <c r="V292" s="1"/>
      <c r="W292" s="1"/>
      <c r="X292" s="1"/>
      <c r="Y292" s="1"/>
      <c r="Z292" s="15"/>
      <c r="AA292" s="1"/>
      <c r="AB292" s="1"/>
      <c r="AC292" s="1"/>
      <c r="AD292" s="1"/>
      <c r="AE292" s="15"/>
      <c r="AF292" s="1"/>
      <c r="AG292" s="1"/>
      <c r="AH292" s="1"/>
      <c r="AI292" s="1"/>
      <c r="AJ292" s="15"/>
      <c r="AK292" s="1"/>
    </row>
    <row r="293" spans="1:37" ht="14.25" customHeight="1">
      <c r="A293" s="1"/>
      <c r="B293" s="1"/>
      <c r="C293" s="1"/>
      <c r="D293" s="15"/>
      <c r="E293" s="15"/>
      <c r="F293" s="15"/>
      <c r="G293" s="15"/>
      <c r="H293" s="1"/>
      <c r="I293" s="1"/>
      <c r="J293" s="1"/>
      <c r="K293" s="15"/>
      <c r="L293" s="1"/>
      <c r="M293" s="1"/>
      <c r="N293" s="1"/>
      <c r="O293" s="1"/>
      <c r="P293" s="15"/>
      <c r="Q293" s="1"/>
      <c r="R293" s="1"/>
      <c r="S293" s="1"/>
      <c r="T293" s="1"/>
      <c r="U293" s="15"/>
      <c r="V293" s="1"/>
      <c r="W293" s="1"/>
      <c r="X293" s="1"/>
      <c r="Y293" s="1"/>
      <c r="Z293" s="15"/>
      <c r="AA293" s="1"/>
      <c r="AB293" s="1"/>
      <c r="AC293" s="1"/>
      <c r="AD293" s="1"/>
      <c r="AE293" s="15"/>
      <c r="AF293" s="1"/>
      <c r="AG293" s="1"/>
      <c r="AH293" s="1"/>
      <c r="AI293" s="1"/>
      <c r="AJ293" s="15"/>
      <c r="AK293" s="1"/>
    </row>
    <row r="294" spans="1:37" ht="14.25" customHeight="1">
      <c r="A294" s="1"/>
      <c r="B294" s="1"/>
      <c r="C294" s="1"/>
      <c r="D294" s="15"/>
      <c r="E294" s="15"/>
      <c r="F294" s="15"/>
      <c r="G294" s="15"/>
      <c r="H294" s="1"/>
      <c r="I294" s="1"/>
      <c r="J294" s="1"/>
      <c r="K294" s="15"/>
      <c r="L294" s="1"/>
      <c r="M294" s="1"/>
      <c r="N294" s="1"/>
      <c r="O294" s="1"/>
      <c r="P294" s="15"/>
      <c r="Q294" s="1"/>
      <c r="R294" s="1"/>
      <c r="S294" s="1"/>
      <c r="T294" s="1"/>
      <c r="U294" s="15"/>
      <c r="V294" s="1"/>
      <c r="W294" s="1"/>
      <c r="X294" s="1"/>
      <c r="Y294" s="1"/>
      <c r="Z294" s="15"/>
      <c r="AA294" s="1"/>
      <c r="AB294" s="1"/>
      <c r="AC294" s="1"/>
      <c r="AD294" s="1"/>
      <c r="AE294" s="15"/>
      <c r="AF294" s="1"/>
      <c r="AG294" s="1"/>
      <c r="AH294" s="1"/>
      <c r="AI294" s="1"/>
      <c r="AJ294" s="15"/>
      <c r="AK294" s="1"/>
    </row>
    <row r="295" spans="1:37" ht="14.25" customHeight="1">
      <c r="A295" s="1"/>
      <c r="B295" s="1"/>
      <c r="C295" s="1"/>
      <c r="D295" s="15"/>
      <c r="E295" s="15"/>
      <c r="F295" s="15"/>
      <c r="G295" s="15"/>
      <c r="H295" s="1"/>
      <c r="I295" s="1"/>
      <c r="J295" s="1"/>
      <c r="K295" s="15"/>
      <c r="L295" s="1"/>
      <c r="M295" s="1"/>
      <c r="N295" s="1"/>
      <c r="O295" s="1"/>
      <c r="P295" s="15"/>
      <c r="Q295" s="1"/>
      <c r="R295" s="1"/>
      <c r="S295" s="1"/>
      <c r="T295" s="1"/>
      <c r="U295" s="15"/>
      <c r="V295" s="1"/>
      <c r="W295" s="1"/>
      <c r="X295" s="1"/>
      <c r="Y295" s="1"/>
      <c r="Z295" s="15"/>
      <c r="AA295" s="1"/>
      <c r="AB295" s="1"/>
      <c r="AC295" s="1"/>
      <c r="AD295" s="1"/>
      <c r="AE295" s="15"/>
      <c r="AF295" s="1"/>
      <c r="AG295" s="1"/>
      <c r="AH295" s="1"/>
      <c r="AI295" s="1"/>
      <c r="AJ295" s="15"/>
      <c r="AK295" s="1"/>
    </row>
    <row r="296" spans="1:37" ht="14.25" customHeight="1">
      <c r="A296" s="1"/>
      <c r="B296" s="1"/>
      <c r="C296" s="1"/>
      <c r="D296" s="15"/>
      <c r="E296" s="15"/>
      <c r="F296" s="15"/>
      <c r="G296" s="15"/>
      <c r="H296" s="1"/>
      <c r="I296" s="1"/>
      <c r="J296" s="1"/>
      <c r="K296" s="15"/>
      <c r="L296" s="1"/>
      <c r="M296" s="1"/>
      <c r="N296" s="1"/>
      <c r="O296" s="1"/>
      <c r="P296" s="15"/>
      <c r="Q296" s="1"/>
      <c r="R296" s="1"/>
      <c r="S296" s="1"/>
      <c r="T296" s="1"/>
      <c r="U296" s="15"/>
      <c r="V296" s="1"/>
      <c r="W296" s="1"/>
      <c r="X296" s="1"/>
      <c r="Y296" s="1"/>
      <c r="Z296" s="15"/>
      <c r="AA296" s="1"/>
      <c r="AB296" s="1"/>
      <c r="AC296" s="1"/>
      <c r="AD296" s="1"/>
      <c r="AE296" s="15"/>
      <c r="AF296" s="1"/>
      <c r="AG296" s="1"/>
      <c r="AH296" s="1"/>
      <c r="AI296" s="1"/>
      <c r="AJ296" s="15"/>
      <c r="AK296" s="1"/>
    </row>
    <row r="297" spans="1:37" ht="14.25" customHeight="1">
      <c r="A297" s="1"/>
      <c r="B297" s="1"/>
      <c r="C297" s="1"/>
      <c r="D297" s="15"/>
      <c r="E297" s="15"/>
      <c r="F297" s="15"/>
      <c r="G297" s="15"/>
      <c r="H297" s="1"/>
      <c r="I297" s="1"/>
      <c r="J297" s="1"/>
      <c r="K297" s="15"/>
      <c r="L297" s="1"/>
      <c r="M297" s="1"/>
      <c r="N297" s="1"/>
      <c r="O297" s="1"/>
      <c r="P297" s="15"/>
      <c r="Q297" s="1"/>
      <c r="R297" s="1"/>
      <c r="S297" s="1"/>
      <c r="T297" s="1"/>
      <c r="U297" s="15"/>
      <c r="V297" s="1"/>
      <c r="W297" s="1"/>
      <c r="X297" s="1"/>
      <c r="Y297" s="1"/>
      <c r="Z297" s="15"/>
      <c r="AA297" s="1"/>
      <c r="AB297" s="1"/>
      <c r="AC297" s="1"/>
      <c r="AD297" s="1"/>
      <c r="AE297" s="15"/>
      <c r="AF297" s="1"/>
      <c r="AG297" s="1"/>
      <c r="AH297" s="1"/>
      <c r="AI297" s="1"/>
      <c r="AJ297" s="15"/>
      <c r="AK297" s="1"/>
    </row>
    <row r="298" spans="1:37" ht="14.25" customHeight="1">
      <c r="A298" s="1"/>
      <c r="B298" s="1"/>
      <c r="C298" s="1"/>
      <c r="D298" s="15"/>
      <c r="E298" s="15"/>
      <c r="F298" s="15"/>
      <c r="G298" s="15"/>
      <c r="H298" s="1"/>
      <c r="I298" s="1"/>
      <c r="J298" s="1"/>
      <c r="K298" s="15"/>
      <c r="L298" s="1"/>
      <c r="M298" s="1"/>
      <c r="N298" s="1"/>
      <c r="O298" s="1"/>
      <c r="P298" s="15"/>
      <c r="Q298" s="1"/>
      <c r="R298" s="1"/>
      <c r="S298" s="1"/>
      <c r="T298" s="1"/>
      <c r="U298" s="15"/>
      <c r="V298" s="1"/>
      <c r="W298" s="1"/>
      <c r="X298" s="1"/>
      <c r="Y298" s="1"/>
      <c r="Z298" s="15"/>
      <c r="AA298" s="1"/>
      <c r="AB298" s="1"/>
      <c r="AC298" s="1"/>
      <c r="AD298" s="1"/>
      <c r="AE298" s="15"/>
      <c r="AF298" s="1"/>
      <c r="AG298" s="1"/>
      <c r="AH298" s="1"/>
      <c r="AI298" s="1"/>
      <c r="AJ298" s="15"/>
      <c r="AK298" s="1"/>
    </row>
    <row r="299" spans="1:37" ht="14.25" customHeight="1">
      <c r="A299" s="1"/>
      <c r="B299" s="1"/>
      <c r="C299" s="1"/>
      <c r="D299" s="15"/>
      <c r="E299" s="15"/>
      <c r="F299" s="15"/>
      <c r="G299" s="15"/>
      <c r="H299" s="1"/>
      <c r="I299" s="1"/>
      <c r="J299" s="1"/>
      <c r="K299" s="15"/>
      <c r="L299" s="1"/>
      <c r="M299" s="1"/>
      <c r="N299" s="1"/>
      <c r="O299" s="1"/>
      <c r="P299" s="15"/>
      <c r="Q299" s="1"/>
      <c r="R299" s="1"/>
      <c r="S299" s="1"/>
      <c r="T299" s="1"/>
      <c r="U299" s="15"/>
      <c r="V299" s="1"/>
      <c r="W299" s="1"/>
      <c r="X299" s="1"/>
      <c r="Y299" s="1"/>
      <c r="Z299" s="15"/>
      <c r="AA299" s="1"/>
      <c r="AB299" s="1"/>
      <c r="AC299" s="1"/>
      <c r="AD299" s="1"/>
      <c r="AE299" s="15"/>
      <c r="AF299" s="1"/>
      <c r="AG299" s="1"/>
      <c r="AH299" s="1"/>
      <c r="AI299" s="1"/>
      <c r="AJ299" s="15"/>
      <c r="AK299" s="1"/>
    </row>
    <row r="300" spans="1:37" ht="14.25" customHeight="1">
      <c r="A300" s="1"/>
      <c r="B300" s="1"/>
      <c r="C300" s="1"/>
      <c r="D300" s="15"/>
      <c r="E300" s="15"/>
      <c r="F300" s="15"/>
      <c r="G300" s="15"/>
      <c r="H300" s="1"/>
      <c r="I300" s="1"/>
      <c r="J300" s="1"/>
      <c r="K300" s="15"/>
      <c r="L300" s="1"/>
      <c r="M300" s="1"/>
      <c r="N300" s="1"/>
      <c r="O300" s="1"/>
      <c r="P300" s="15"/>
      <c r="Q300" s="1"/>
      <c r="R300" s="1"/>
      <c r="S300" s="1"/>
      <c r="T300" s="1"/>
      <c r="U300" s="15"/>
      <c r="V300" s="1"/>
      <c r="W300" s="1"/>
      <c r="X300" s="1"/>
      <c r="Y300" s="1"/>
      <c r="Z300" s="15"/>
      <c r="AA300" s="1"/>
      <c r="AB300" s="1"/>
      <c r="AC300" s="1"/>
      <c r="AD300" s="1"/>
      <c r="AE300" s="15"/>
      <c r="AF300" s="1"/>
      <c r="AG300" s="1"/>
      <c r="AH300" s="1"/>
      <c r="AI300" s="1"/>
      <c r="AJ300" s="15"/>
      <c r="AK300" s="1"/>
    </row>
    <row r="301" spans="1:37" ht="14.25" customHeight="1">
      <c r="A301" s="1"/>
      <c r="B301" s="1"/>
      <c r="C301" s="1"/>
      <c r="D301" s="15"/>
      <c r="E301" s="15"/>
      <c r="F301" s="15"/>
      <c r="G301" s="15"/>
      <c r="H301" s="1"/>
      <c r="I301" s="1"/>
      <c r="J301" s="1"/>
      <c r="K301" s="15"/>
      <c r="L301" s="1"/>
      <c r="M301" s="1"/>
      <c r="N301" s="1"/>
      <c r="O301" s="1"/>
      <c r="P301" s="15"/>
      <c r="Q301" s="1"/>
      <c r="R301" s="1"/>
      <c r="S301" s="1"/>
      <c r="T301" s="1"/>
      <c r="U301" s="15"/>
      <c r="V301" s="1"/>
      <c r="W301" s="1"/>
      <c r="X301" s="1"/>
      <c r="Y301" s="1"/>
      <c r="Z301" s="15"/>
      <c r="AA301" s="1"/>
      <c r="AB301" s="1"/>
      <c r="AC301" s="1"/>
      <c r="AD301" s="1"/>
      <c r="AE301" s="15"/>
      <c r="AF301" s="1"/>
      <c r="AG301" s="1"/>
      <c r="AH301" s="1"/>
      <c r="AI301" s="1"/>
      <c r="AJ301" s="15"/>
      <c r="AK301" s="1"/>
    </row>
    <row r="302" spans="1:37" ht="14.25" customHeight="1">
      <c r="A302" s="1"/>
      <c r="B302" s="1"/>
      <c r="C302" s="1"/>
      <c r="D302" s="15"/>
      <c r="E302" s="15"/>
      <c r="F302" s="15"/>
      <c r="G302" s="15"/>
      <c r="H302" s="1"/>
      <c r="I302" s="1"/>
      <c r="J302" s="1"/>
      <c r="K302" s="15"/>
      <c r="L302" s="1"/>
      <c r="M302" s="1"/>
      <c r="N302" s="1"/>
      <c r="O302" s="1"/>
      <c r="P302" s="15"/>
      <c r="Q302" s="1"/>
      <c r="R302" s="1"/>
      <c r="S302" s="1"/>
      <c r="T302" s="1"/>
      <c r="U302" s="15"/>
      <c r="V302" s="1"/>
      <c r="W302" s="1"/>
      <c r="X302" s="1"/>
      <c r="Y302" s="1"/>
      <c r="Z302" s="15"/>
      <c r="AA302" s="1"/>
      <c r="AB302" s="1"/>
      <c r="AC302" s="1"/>
      <c r="AD302" s="1"/>
      <c r="AE302" s="15"/>
      <c r="AF302" s="1"/>
      <c r="AG302" s="1"/>
      <c r="AH302" s="1"/>
      <c r="AI302" s="1"/>
      <c r="AJ302" s="15"/>
      <c r="AK302" s="1"/>
    </row>
    <row r="303" spans="1:37" ht="14.25" customHeight="1">
      <c r="A303" s="1"/>
      <c r="B303" s="1"/>
      <c r="C303" s="1"/>
      <c r="D303" s="15"/>
      <c r="E303" s="15"/>
      <c r="F303" s="15"/>
      <c r="G303" s="15"/>
      <c r="H303" s="1"/>
      <c r="I303" s="1"/>
      <c r="J303" s="1"/>
      <c r="K303" s="15"/>
      <c r="L303" s="1"/>
      <c r="M303" s="1"/>
      <c r="N303" s="1"/>
      <c r="O303" s="1"/>
      <c r="P303" s="15"/>
      <c r="Q303" s="1"/>
      <c r="R303" s="1"/>
      <c r="S303" s="1"/>
      <c r="T303" s="1"/>
      <c r="U303" s="15"/>
      <c r="V303" s="1"/>
      <c r="W303" s="1"/>
      <c r="X303" s="1"/>
      <c r="Y303" s="1"/>
      <c r="Z303" s="15"/>
      <c r="AA303" s="1"/>
      <c r="AB303" s="1"/>
      <c r="AC303" s="1"/>
      <c r="AD303" s="1"/>
      <c r="AE303" s="15"/>
      <c r="AF303" s="1"/>
      <c r="AG303" s="1"/>
      <c r="AH303" s="1"/>
      <c r="AI303" s="1"/>
      <c r="AJ303" s="15"/>
      <c r="AK303" s="1"/>
    </row>
    <row r="304" spans="1:37" ht="14.25" customHeight="1">
      <c r="A304" s="1"/>
      <c r="B304" s="1"/>
      <c r="C304" s="1"/>
      <c r="D304" s="15"/>
      <c r="E304" s="15"/>
      <c r="F304" s="15"/>
      <c r="G304" s="15"/>
      <c r="H304" s="1"/>
      <c r="I304" s="1"/>
      <c r="J304" s="1"/>
      <c r="K304" s="15"/>
      <c r="L304" s="1"/>
      <c r="M304" s="1"/>
      <c r="N304" s="1"/>
      <c r="O304" s="1"/>
      <c r="P304" s="15"/>
      <c r="Q304" s="1"/>
      <c r="R304" s="1"/>
      <c r="S304" s="1"/>
      <c r="T304" s="1"/>
      <c r="U304" s="15"/>
      <c r="V304" s="1"/>
      <c r="W304" s="1"/>
      <c r="X304" s="1"/>
      <c r="Y304" s="1"/>
      <c r="Z304" s="15"/>
      <c r="AA304" s="1"/>
      <c r="AB304" s="1"/>
      <c r="AC304" s="1"/>
      <c r="AD304" s="1"/>
      <c r="AE304" s="15"/>
      <c r="AF304" s="1"/>
      <c r="AG304" s="1"/>
      <c r="AH304" s="1"/>
      <c r="AI304" s="1"/>
      <c r="AJ304" s="15"/>
      <c r="AK304" s="1"/>
    </row>
    <row r="305" spans="1:37" ht="14.25" customHeight="1">
      <c r="A305" s="1"/>
      <c r="B305" s="1"/>
      <c r="C305" s="1"/>
      <c r="D305" s="15"/>
      <c r="E305" s="15"/>
      <c r="F305" s="15"/>
      <c r="G305" s="15"/>
      <c r="H305" s="1"/>
      <c r="I305" s="1"/>
      <c r="J305" s="1"/>
      <c r="K305" s="15"/>
      <c r="L305" s="1"/>
      <c r="M305" s="1"/>
      <c r="N305" s="1"/>
      <c r="O305" s="1"/>
      <c r="P305" s="15"/>
      <c r="Q305" s="1"/>
      <c r="R305" s="1"/>
      <c r="S305" s="1"/>
      <c r="T305" s="1"/>
      <c r="U305" s="15"/>
      <c r="V305" s="1"/>
      <c r="W305" s="1"/>
      <c r="X305" s="1"/>
      <c r="Y305" s="1"/>
      <c r="Z305" s="15"/>
      <c r="AA305" s="1"/>
      <c r="AB305" s="1"/>
      <c r="AC305" s="1"/>
      <c r="AD305" s="1"/>
      <c r="AE305" s="15"/>
      <c r="AF305" s="1"/>
      <c r="AG305" s="1"/>
      <c r="AH305" s="1"/>
      <c r="AI305" s="1"/>
      <c r="AJ305" s="15"/>
      <c r="AK305" s="1"/>
    </row>
    <row r="306" spans="1:37" ht="14.25" customHeight="1">
      <c r="A306" s="1"/>
      <c r="B306" s="1"/>
      <c r="C306" s="1"/>
      <c r="D306" s="15"/>
      <c r="E306" s="15"/>
      <c r="F306" s="15"/>
      <c r="G306" s="15"/>
      <c r="H306" s="1"/>
      <c r="I306" s="1"/>
      <c r="J306" s="1"/>
      <c r="K306" s="15"/>
      <c r="L306" s="1"/>
      <c r="M306" s="1"/>
      <c r="N306" s="1"/>
      <c r="O306" s="1"/>
      <c r="P306" s="15"/>
      <c r="Q306" s="1"/>
      <c r="R306" s="1"/>
      <c r="S306" s="1"/>
      <c r="T306" s="1"/>
      <c r="U306" s="15"/>
      <c r="V306" s="1"/>
      <c r="W306" s="1"/>
      <c r="X306" s="1"/>
      <c r="Y306" s="1"/>
      <c r="Z306" s="15"/>
      <c r="AA306" s="1"/>
      <c r="AB306" s="1"/>
      <c r="AC306" s="1"/>
      <c r="AD306" s="1"/>
      <c r="AE306" s="15"/>
      <c r="AF306" s="1"/>
      <c r="AG306" s="1"/>
      <c r="AH306" s="1"/>
      <c r="AI306" s="1"/>
      <c r="AJ306" s="15"/>
      <c r="AK306" s="1"/>
    </row>
    <row r="307" spans="1:37" ht="14.25" customHeight="1">
      <c r="A307" s="1"/>
      <c r="B307" s="1"/>
      <c r="C307" s="1"/>
      <c r="D307" s="15"/>
      <c r="E307" s="15"/>
      <c r="F307" s="15"/>
      <c r="G307" s="15"/>
      <c r="H307" s="1"/>
      <c r="I307" s="1"/>
      <c r="J307" s="1"/>
      <c r="K307" s="15"/>
      <c r="L307" s="1"/>
      <c r="M307" s="1"/>
      <c r="N307" s="1"/>
      <c r="O307" s="1"/>
      <c r="P307" s="15"/>
      <c r="Q307" s="1"/>
      <c r="R307" s="1"/>
      <c r="S307" s="1"/>
      <c r="T307" s="1"/>
      <c r="U307" s="15"/>
      <c r="V307" s="1"/>
      <c r="W307" s="1"/>
      <c r="X307" s="1"/>
      <c r="Y307" s="1"/>
      <c r="Z307" s="15"/>
      <c r="AA307" s="1"/>
      <c r="AB307" s="1"/>
      <c r="AC307" s="1"/>
      <c r="AD307" s="1"/>
      <c r="AE307" s="15"/>
      <c r="AF307" s="1"/>
      <c r="AG307" s="1"/>
      <c r="AH307" s="1"/>
      <c r="AI307" s="1"/>
      <c r="AJ307" s="15"/>
      <c r="AK307" s="1"/>
    </row>
    <row r="308" spans="1:37" ht="14.25" customHeight="1">
      <c r="A308" s="1"/>
      <c r="B308" s="1"/>
      <c r="C308" s="1"/>
      <c r="D308" s="15"/>
      <c r="E308" s="15"/>
      <c r="F308" s="15"/>
      <c r="G308" s="15"/>
      <c r="H308" s="1"/>
      <c r="I308" s="1"/>
      <c r="J308" s="1"/>
      <c r="K308" s="15"/>
      <c r="L308" s="1"/>
      <c r="M308" s="1"/>
      <c r="N308" s="1"/>
      <c r="O308" s="1"/>
      <c r="P308" s="15"/>
      <c r="Q308" s="1"/>
      <c r="R308" s="1"/>
      <c r="S308" s="1"/>
      <c r="T308" s="1"/>
      <c r="U308" s="15"/>
      <c r="V308" s="1"/>
      <c r="W308" s="1"/>
      <c r="X308" s="1"/>
      <c r="Y308" s="1"/>
      <c r="Z308" s="15"/>
      <c r="AA308" s="1"/>
      <c r="AB308" s="1"/>
      <c r="AC308" s="1"/>
      <c r="AD308" s="1"/>
      <c r="AE308" s="15"/>
      <c r="AF308" s="1"/>
      <c r="AG308" s="1"/>
      <c r="AH308" s="1"/>
      <c r="AI308" s="1"/>
      <c r="AJ308" s="15"/>
      <c r="AK308" s="1"/>
    </row>
    <row r="309" spans="1:37" ht="14.25" customHeight="1">
      <c r="A309" s="1"/>
      <c r="B309" s="1"/>
      <c r="C309" s="1"/>
      <c r="D309" s="15"/>
      <c r="E309" s="15"/>
      <c r="F309" s="15"/>
      <c r="G309" s="15"/>
      <c r="H309" s="1"/>
      <c r="I309" s="1"/>
      <c r="J309" s="1"/>
      <c r="K309" s="15"/>
      <c r="L309" s="1"/>
      <c r="M309" s="1"/>
      <c r="N309" s="1"/>
      <c r="O309" s="1"/>
      <c r="P309" s="15"/>
      <c r="Q309" s="1"/>
      <c r="R309" s="1"/>
      <c r="S309" s="1"/>
      <c r="T309" s="1"/>
      <c r="U309" s="15"/>
      <c r="V309" s="1"/>
      <c r="W309" s="1"/>
      <c r="X309" s="1"/>
      <c r="Y309" s="1"/>
      <c r="Z309" s="15"/>
      <c r="AA309" s="1"/>
      <c r="AB309" s="1"/>
      <c r="AC309" s="1"/>
      <c r="AD309" s="1"/>
      <c r="AE309" s="15"/>
      <c r="AF309" s="1"/>
      <c r="AG309" s="1"/>
      <c r="AH309" s="1"/>
      <c r="AI309" s="1"/>
      <c r="AJ309" s="15"/>
      <c r="AK309" s="1"/>
    </row>
    <row r="310" spans="1:37" ht="14.25" customHeight="1">
      <c r="A310" s="1"/>
      <c r="B310" s="1"/>
      <c r="C310" s="1"/>
      <c r="D310" s="15"/>
      <c r="E310" s="15"/>
      <c r="F310" s="15"/>
      <c r="G310" s="15"/>
      <c r="H310" s="1"/>
      <c r="I310" s="1"/>
      <c r="J310" s="1"/>
      <c r="K310" s="15"/>
      <c r="L310" s="1"/>
      <c r="M310" s="1"/>
      <c r="N310" s="1"/>
      <c r="O310" s="1"/>
      <c r="P310" s="15"/>
      <c r="Q310" s="1"/>
      <c r="R310" s="1"/>
      <c r="S310" s="1"/>
      <c r="T310" s="1"/>
      <c r="U310" s="15"/>
      <c r="V310" s="1"/>
      <c r="W310" s="1"/>
      <c r="X310" s="1"/>
      <c r="Y310" s="1"/>
      <c r="Z310" s="15"/>
      <c r="AA310" s="1"/>
      <c r="AB310" s="1"/>
      <c r="AC310" s="1"/>
      <c r="AD310" s="1"/>
      <c r="AE310" s="15"/>
      <c r="AF310" s="1"/>
      <c r="AG310" s="1"/>
      <c r="AH310" s="1"/>
      <c r="AI310" s="1"/>
      <c r="AJ310" s="15"/>
      <c r="AK310" s="1"/>
    </row>
    <row r="311" spans="1:37" ht="14.25" customHeight="1">
      <c r="A311" s="1"/>
      <c r="B311" s="1"/>
      <c r="C311" s="1"/>
      <c r="D311" s="15"/>
      <c r="E311" s="15"/>
      <c r="F311" s="15"/>
      <c r="G311" s="15"/>
      <c r="H311" s="1"/>
      <c r="I311" s="1"/>
      <c r="J311" s="1"/>
      <c r="K311" s="15"/>
      <c r="L311" s="1"/>
      <c r="M311" s="1"/>
      <c r="N311" s="1"/>
      <c r="O311" s="1"/>
      <c r="P311" s="15"/>
      <c r="Q311" s="1"/>
      <c r="R311" s="1"/>
      <c r="S311" s="1"/>
      <c r="T311" s="1"/>
      <c r="U311" s="15"/>
      <c r="V311" s="1"/>
      <c r="W311" s="1"/>
      <c r="X311" s="1"/>
      <c r="Y311" s="1"/>
      <c r="Z311" s="15"/>
      <c r="AA311" s="1"/>
      <c r="AB311" s="1"/>
      <c r="AC311" s="1"/>
      <c r="AD311" s="1"/>
      <c r="AE311" s="15"/>
      <c r="AF311" s="1"/>
      <c r="AG311" s="1"/>
      <c r="AH311" s="1"/>
      <c r="AI311" s="1"/>
      <c r="AJ311" s="15"/>
      <c r="AK311" s="1"/>
    </row>
    <row r="312" spans="1:37" ht="14.25" customHeight="1">
      <c r="A312" s="1"/>
      <c r="B312" s="1"/>
      <c r="C312" s="1"/>
      <c r="D312" s="15"/>
      <c r="E312" s="15"/>
      <c r="F312" s="15"/>
      <c r="G312" s="15"/>
      <c r="H312" s="1"/>
      <c r="I312" s="1"/>
      <c r="J312" s="1"/>
      <c r="K312" s="15"/>
      <c r="L312" s="1"/>
      <c r="M312" s="1"/>
      <c r="N312" s="1"/>
      <c r="O312" s="1"/>
      <c r="P312" s="15"/>
      <c r="Q312" s="1"/>
      <c r="R312" s="1"/>
      <c r="S312" s="1"/>
      <c r="T312" s="1"/>
      <c r="U312" s="15"/>
      <c r="V312" s="1"/>
      <c r="W312" s="1"/>
      <c r="X312" s="1"/>
      <c r="Y312" s="1"/>
      <c r="Z312" s="15"/>
      <c r="AA312" s="1"/>
      <c r="AB312" s="1"/>
      <c r="AC312" s="1"/>
      <c r="AD312" s="1"/>
      <c r="AE312" s="15"/>
      <c r="AF312" s="1"/>
      <c r="AG312" s="1"/>
      <c r="AH312" s="1"/>
      <c r="AI312" s="1"/>
      <c r="AJ312" s="15"/>
      <c r="AK312" s="1"/>
    </row>
    <row r="313" spans="1:37" ht="14.25" customHeight="1">
      <c r="A313" s="1"/>
      <c r="B313" s="1"/>
      <c r="C313" s="1"/>
      <c r="D313" s="15"/>
      <c r="E313" s="15"/>
      <c r="F313" s="15"/>
      <c r="G313" s="15"/>
      <c r="H313" s="1"/>
      <c r="I313" s="1"/>
      <c r="J313" s="1"/>
      <c r="K313" s="15"/>
      <c r="L313" s="1"/>
      <c r="M313" s="1"/>
      <c r="N313" s="1"/>
      <c r="O313" s="1"/>
      <c r="P313" s="15"/>
      <c r="Q313" s="1"/>
      <c r="R313" s="1"/>
      <c r="S313" s="1"/>
      <c r="T313" s="1"/>
      <c r="U313" s="15"/>
      <c r="V313" s="1"/>
      <c r="W313" s="1"/>
      <c r="X313" s="1"/>
      <c r="Y313" s="1"/>
      <c r="Z313" s="15"/>
      <c r="AA313" s="1"/>
      <c r="AB313" s="1"/>
      <c r="AC313" s="1"/>
      <c r="AD313" s="1"/>
      <c r="AE313" s="15"/>
      <c r="AF313" s="1"/>
      <c r="AG313" s="1"/>
      <c r="AH313" s="1"/>
      <c r="AI313" s="1"/>
      <c r="AJ313" s="15"/>
      <c r="AK313" s="1"/>
    </row>
    <row r="314" spans="1:37" ht="14.25" customHeight="1">
      <c r="A314" s="1"/>
      <c r="B314" s="1"/>
      <c r="C314" s="1"/>
      <c r="D314" s="15"/>
      <c r="E314" s="15"/>
      <c r="F314" s="15"/>
      <c r="G314" s="15"/>
      <c r="H314" s="1"/>
      <c r="I314" s="1"/>
      <c r="J314" s="1"/>
      <c r="K314" s="15"/>
      <c r="L314" s="1"/>
      <c r="M314" s="1"/>
      <c r="N314" s="1"/>
      <c r="O314" s="1"/>
      <c r="P314" s="15"/>
      <c r="Q314" s="1"/>
      <c r="R314" s="1"/>
      <c r="S314" s="1"/>
      <c r="T314" s="1"/>
      <c r="U314" s="15"/>
      <c r="V314" s="1"/>
      <c r="W314" s="1"/>
      <c r="X314" s="1"/>
      <c r="Y314" s="1"/>
      <c r="Z314" s="15"/>
      <c r="AA314" s="1"/>
      <c r="AB314" s="1"/>
      <c r="AC314" s="1"/>
      <c r="AD314" s="1"/>
      <c r="AE314" s="15"/>
      <c r="AF314" s="1"/>
      <c r="AG314" s="1"/>
      <c r="AH314" s="1"/>
      <c r="AI314" s="1"/>
      <c r="AJ314" s="15"/>
      <c r="AK314" s="1"/>
    </row>
    <row r="315" spans="1:37" ht="14.25" customHeight="1">
      <c r="A315" s="1"/>
      <c r="B315" s="1"/>
      <c r="C315" s="1"/>
      <c r="D315" s="15"/>
      <c r="E315" s="15"/>
      <c r="F315" s="15"/>
      <c r="G315" s="15"/>
      <c r="H315" s="1"/>
      <c r="I315" s="1"/>
      <c r="J315" s="1"/>
      <c r="K315" s="15"/>
      <c r="L315" s="1"/>
      <c r="M315" s="1"/>
      <c r="N315" s="1"/>
      <c r="O315" s="1"/>
      <c r="P315" s="15"/>
      <c r="Q315" s="1"/>
      <c r="R315" s="1"/>
      <c r="S315" s="1"/>
      <c r="T315" s="1"/>
      <c r="U315" s="15"/>
      <c r="V315" s="1"/>
      <c r="W315" s="1"/>
      <c r="X315" s="1"/>
      <c r="Y315" s="1"/>
      <c r="Z315" s="15"/>
      <c r="AA315" s="1"/>
      <c r="AB315" s="1"/>
      <c r="AC315" s="1"/>
      <c r="AD315" s="1"/>
      <c r="AE315" s="15"/>
      <c r="AF315" s="1"/>
      <c r="AG315" s="1"/>
      <c r="AH315" s="1"/>
      <c r="AI315" s="1"/>
      <c r="AJ315" s="15"/>
      <c r="AK315" s="1"/>
    </row>
    <row r="316" spans="1:37" ht="14.25" customHeight="1">
      <c r="A316" s="1"/>
      <c r="B316" s="1"/>
      <c r="C316" s="1"/>
      <c r="D316" s="15"/>
      <c r="E316" s="15"/>
      <c r="F316" s="15"/>
      <c r="G316" s="15"/>
      <c r="H316" s="1"/>
      <c r="I316" s="1"/>
      <c r="J316" s="1"/>
      <c r="K316" s="15"/>
      <c r="L316" s="1"/>
      <c r="M316" s="1"/>
      <c r="N316" s="1"/>
      <c r="O316" s="1"/>
      <c r="P316" s="15"/>
      <c r="Q316" s="1"/>
      <c r="R316" s="1"/>
      <c r="S316" s="1"/>
      <c r="T316" s="1"/>
      <c r="U316" s="15"/>
      <c r="V316" s="1"/>
      <c r="W316" s="1"/>
      <c r="X316" s="1"/>
      <c r="Y316" s="1"/>
      <c r="Z316" s="15"/>
      <c r="AA316" s="1"/>
      <c r="AB316" s="1"/>
      <c r="AC316" s="1"/>
      <c r="AD316" s="1"/>
      <c r="AE316" s="15"/>
      <c r="AF316" s="1"/>
      <c r="AG316" s="1"/>
      <c r="AH316" s="1"/>
      <c r="AI316" s="1"/>
      <c r="AJ316" s="15"/>
      <c r="AK316" s="1"/>
    </row>
    <row r="317" spans="1:37" ht="14.25" customHeight="1">
      <c r="A317" s="1"/>
      <c r="B317" s="1"/>
      <c r="C317" s="1"/>
      <c r="D317" s="15"/>
      <c r="E317" s="15"/>
      <c r="F317" s="15"/>
      <c r="G317" s="15"/>
      <c r="H317" s="1"/>
      <c r="I317" s="1"/>
      <c r="J317" s="1"/>
      <c r="K317" s="15"/>
      <c r="L317" s="1"/>
      <c r="M317" s="1"/>
      <c r="N317" s="1"/>
      <c r="O317" s="1"/>
      <c r="P317" s="15"/>
      <c r="Q317" s="1"/>
      <c r="R317" s="1"/>
      <c r="S317" s="1"/>
      <c r="T317" s="1"/>
      <c r="U317" s="15"/>
      <c r="V317" s="1"/>
      <c r="W317" s="1"/>
      <c r="X317" s="1"/>
      <c r="Y317" s="1"/>
      <c r="Z317" s="15"/>
      <c r="AA317" s="1"/>
      <c r="AB317" s="1"/>
      <c r="AC317" s="1"/>
      <c r="AD317" s="1"/>
      <c r="AE317" s="15"/>
      <c r="AF317" s="1"/>
      <c r="AG317" s="1"/>
      <c r="AH317" s="1"/>
      <c r="AI317" s="1"/>
      <c r="AJ317" s="15"/>
      <c r="AK317" s="1"/>
    </row>
    <row r="318" spans="1:37" ht="14.25" customHeight="1">
      <c r="A318" s="1"/>
      <c r="B318" s="1"/>
      <c r="C318" s="1"/>
      <c r="D318" s="15"/>
      <c r="E318" s="15"/>
      <c r="F318" s="15"/>
      <c r="G318" s="15"/>
      <c r="H318" s="1"/>
      <c r="I318" s="1"/>
      <c r="J318" s="1"/>
      <c r="K318" s="15"/>
      <c r="L318" s="1"/>
      <c r="M318" s="1"/>
      <c r="N318" s="1"/>
      <c r="O318" s="1"/>
      <c r="P318" s="15"/>
      <c r="Q318" s="1"/>
      <c r="R318" s="1"/>
      <c r="S318" s="1"/>
      <c r="T318" s="1"/>
      <c r="U318" s="15"/>
      <c r="V318" s="1"/>
      <c r="W318" s="1"/>
      <c r="X318" s="1"/>
      <c r="Y318" s="1"/>
      <c r="Z318" s="15"/>
      <c r="AA318" s="1"/>
      <c r="AB318" s="1"/>
      <c r="AC318" s="1"/>
      <c r="AD318" s="1"/>
      <c r="AE318" s="15"/>
      <c r="AF318" s="1"/>
      <c r="AG318" s="1"/>
      <c r="AH318" s="1"/>
      <c r="AI318" s="1"/>
      <c r="AJ318" s="15"/>
      <c r="AK318" s="1"/>
    </row>
    <row r="319" spans="1:37" ht="14.25" customHeight="1">
      <c r="A319" s="1"/>
      <c r="B319" s="1"/>
      <c r="C319" s="1"/>
      <c r="D319" s="15"/>
      <c r="E319" s="15"/>
      <c r="F319" s="15"/>
      <c r="G319" s="15"/>
      <c r="H319" s="1"/>
      <c r="I319" s="1"/>
      <c r="J319" s="1"/>
      <c r="K319" s="15"/>
      <c r="L319" s="1"/>
      <c r="M319" s="1"/>
      <c r="N319" s="1"/>
      <c r="O319" s="1"/>
      <c r="P319" s="15"/>
      <c r="Q319" s="1"/>
      <c r="R319" s="1"/>
      <c r="S319" s="1"/>
      <c r="T319" s="1"/>
      <c r="U319" s="15"/>
      <c r="V319" s="1"/>
      <c r="W319" s="1"/>
      <c r="X319" s="1"/>
      <c r="Y319" s="1"/>
      <c r="Z319" s="15"/>
      <c r="AA319" s="1"/>
      <c r="AB319" s="1"/>
      <c r="AC319" s="1"/>
      <c r="AD319" s="1"/>
      <c r="AE319" s="15"/>
      <c r="AF319" s="1"/>
      <c r="AG319" s="1"/>
      <c r="AH319" s="1"/>
      <c r="AI319" s="1"/>
      <c r="AJ319" s="15"/>
      <c r="AK319" s="1"/>
    </row>
    <row r="320" spans="1:37" ht="14.25" customHeight="1">
      <c r="A320" s="1"/>
      <c r="B320" s="1"/>
      <c r="C320" s="1"/>
      <c r="D320" s="15"/>
      <c r="E320" s="15"/>
      <c r="F320" s="15"/>
      <c r="G320" s="15"/>
      <c r="H320" s="1"/>
      <c r="I320" s="1"/>
      <c r="J320" s="1"/>
      <c r="K320" s="15"/>
      <c r="L320" s="1"/>
      <c r="M320" s="1"/>
      <c r="N320" s="1"/>
      <c r="O320" s="1"/>
      <c r="P320" s="15"/>
      <c r="Q320" s="1"/>
      <c r="R320" s="1"/>
      <c r="S320" s="1"/>
      <c r="T320" s="1"/>
      <c r="U320" s="15"/>
      <c r="V320" s="1"/>
      <c r="W320" s="1"/>
      <c r="X320" s="1"/>
      <c r="Y320" s="1"/>
      <c r="Z320" s="15"/>
      <c r="AA320" s="1"/>
      <c r="AB320" s="1"/>
      <c r="AC320" s="1"/>
      <c r="AD320" s="1"/>
      <c r="AE320" s="15"/>
      <c r="AF320" s="1"/>
      <c r="AG320" s="1"/>
      <c r="AH320" s="1"/>
      <c r="AI320" s="1"/>
      <c r="AJ320" s="15"/>
      <c r="AK320" s="1"/>
    </row>
    <row r="321" spans="1:37" ht="14.25" customHeight="1">
      <c r="A321" s="1"/>
      <c r="B321" s="1"/>
      <c r="C321" s="1"/>
      <c r="D321" s="15"/>
      <c r="E321" s="15"/>
      <c r="F321" s="15"/>
      <c r="G321" s="15"/>
      <c r="H321" s="1"/>
      <c r="I321" s="1"/>
      <c r="J321" s="1"/>
      <c r="K321" s="15"/>
      <c r="L321" s="1"/>
      <c r="M321" s="1"/>
      <c r="N321" s="1"/>
      <c r="O321" s="1"/>
      <c r="P321" s="15"/>
      <c r="Q321" s="1"/>
      <c r="R321" s="1"/>
      <c r="S321" s="1"/>
      <c r="T321" s="1"/>
      <c r="U321" s="15"/>
      <c r="V321" s="1"/>
      <c r="W321" s="1"/>
      <c r="X321" s="1"/>
      <c r="Y321" s="1"/>
      <c r="Z321" s="15"/>
      <c r="AA321" s="1"/>
      <c r="AB321" s="1"/>
      <c r="AC321" s="1"/>
      <c r="AD321" s="1"/>
      <c r="AE321" s="15"/>
      <c r="AF321" s="1"/>
      <c r="AG321" s="1"/>
      <c r="AH321" s="1"/>
      <c r="AI321" s="1"/>
      <c r="AJ321" s="15"/>
      <c r="AK321" s="1"/>
    </row>
    <row r="322" spans="1:37" ht="14.25" customHeight="1">
      <c r="A322" s="1"/>
      <c r="B322" s="1"/>
      <c r="C322" s="1"/>
      <c r="D322" s="15"/>
      <c r="E322" s="15"/>
      <c r="F322" s="15"/>
      <c r="G322" s="15"/>
      <c r="H322" s="1"/>
      <c r="I322" s="1"/>
      <c r="J322" s="1"/>
      <c r="K322" s="15"/>
      <c r="L322" s="1"/>
      <c r="M322" s="1"/>
      <c r="N322" s="1"/>
      <c r="O322" s="1"/>
      <c r="P322" s="15"/>
      <c r="Q322" s="1"/>
      <c r="R322" s="1"/>
      <c r="S322" s="1"/>
      <c r="T322" s="1"/>
      <c r="U322" s="15"/>
      <c r="V322" s="1"/>
      <c r="W322" s="1"/>
      <c r="X322" s="1"/>
      <c r="Y322" s="1"/>
      <c r="Z322" s="15"/>
      <c r="AA322" s="1"/>
      <c r="AB322" s="1"/>
      <c r="AC322" s="1"/>
      <c r="AD322" s="1"/>
      <c r="AE322" s="15"/>
      <c r="AF322" s="1"/>
      <c r="AG322" s="1"/>
      <c r="AH322" s="1"/>
      <c r="AI322" s="1"/>
      <c r="AJ322" s="15"/>
      <c r="AK322" s="1"/>
    </row>
    <row r="323" spans="1:37" ht="14.25" customHeight="1">
      <c r="A323" s="1"/>
      <c r="B323" s="1"/>
      <c r="C323" s="1"/>
      <c r="D323" s="15"/>
      <c r="E323" s="15"/>
      <c r="F323" s="15"/>
      <c r="G323" s="15"/>
      <c r="H323" s="1"/>
      <c r="I323" s="1"/>
      <c r="J323" s="1"/>
      <c r="K323" s="15"/>
      <c r="L323" s="1"/>
      <c r="M323" s="1"/>
      <c r="N323" s="1"/>
      <c r="O323" s="1"/>
      <c r="P323" s="15"/>
      <c r="Q323" s="1"/>
      <c r="R323" s="1"/>
      <c r="S323" s="1"/>
      <c r="T323" s="1"/>
      <c r="U323" s="15"/>
      <c r="V323" s="1"/>
      <c r="W323" s="1"/>
      <c r="X323" s="1"/>
      <c r="Y323" s="1"/>
      <c r="Z323" s="15"/>
      <c r="AA323" s="1"/>
      <c r="AB323" s="1"/>
      <c r="AC323" s="1"/>
      <c r="AD323" s="1"/>
      <c r="AE323" s="15"/>
      <c r="AF323" s="1"/>
      <c r="AG323" s="1"/>
      <c r="AH323" s="1"/>
      <c r="AI323" s="1"/>
      <c r="AJ323" s="15"/>
      <c r="AK323" s="1"/>
    </row>
    <row r="324" spans="1:37" ht="14.25" customHeight="1">
      <c r="A324" s="1"/>
      <c r="B324" s="1"/>
      <c r="C324" s="1"/>
      <c r="D324" s="15"/>
      <c r="E324" s="15"/>
      <c r="F324" s="15"/>
      <c r="G324" s="15"/>
      <c r="H324" s="1"/>
      <c r="I324" s="1"/>
      <c r="J324" s="1"/>
      <c r="K324" s="15"/>
      <c r="L324" s="1"/>
      <c r="M324" s="1"/>
      <c r="N324" s="1"/>
      <c r="O324" s="1"/>
      <c r="P324" s="15"/>
      <c r="Q324" s="1"/>
      <c r="R324" s="1"/>
      <c r="S324" s="1"/>
      <c r="T324" s="1"/>
      <c r="U324" s="15"/>
      <c r="V324" s="1"/>
      <c r="W324" s="1"/>
      <c r="X324" s="1"/>
      <c r="Y324" s="1"/>
      <c r="Z324" s="15"/>
      <c r="AA324" s="1"/>
      <c r="AB324" s="1"/>
      <c r="AC324" s="1"/>
      <c r="AD324" s="1"/>
      <c r="AE324" s="15"/>
      <c r="AF324" s="1"/>
      <c r="AG324" s="1"/>
      <c r="AH324" s="1"/>
      <c r="AI324" s="1"/>
      <c r="AJ324" s="15"/>
      <c r="AK324" s="1"/>
    </row>
    <row r="325" spans="1:37" ht="16.5" customHeight="1">
      <c r="A325" s="1"/>
      <c r="B325" s="1"/>
      <c r="C325" s="1"/>
      <c r="D325" s="15"/>
      <c r="E325" s="15"/>
      <c r="F325" s="15"/>
      <c r="G325" s="15"/>
      <c r="H325" s="1"/>
      <c r="I325" s="1"/>
      <c r="J325" s="1"/>
      <c r="K325" s="15"/>
      <c r="L325" s="1"/>
      <c r="M325" s="1"/>
      <c r="N325" s="1"/>
      <c r="O325" s="1"/>
      <c r="P325" s="15"/>
      <c r="Q325" s="1"/>
      <c r="R325" s="1"/>
      <c r="S325" s="1"/>
      <c r="T325" s="1"/>
      <c r="U325" s="15"/>
      <c r="V325" s="1"/>
      <c r="W325" s="1"/>
      <c r="X325" s="1"/>
      <c r="Y325" s="1"/>
      <c r="Z325" s="15"/>
      <c r="AA325" s="1"/>
      <c r="AB325" s="1"/>
      <c r="AC325" s="1"/>
      <c r="AD325" s="1"/>
      <c r="AE325" s="15"/>
      <c r="AF325" s="1"/>
      <c r="AG325" s="1"/>
      <c r="AH325" s="1"/>
      <c r="AI325" s="1"/>
      <c r="AJ325" s="15"/>
      <c r="AK325" s="1"/>
    </row>
    <row r="326" spans="1:37" ht="16.5" customHeight="1">
      <c r="A326" s="1"/>
      <c r="B326" s="1"/>
      <c r="C326" s="1"/>
      <c r="D326" s="15"/>
      <c r="E326" s="15"/>
      <c r="F326" s="15"/>
      <c r="G326" s="15"/>
      <c r="H326" s="1"/>
      <c r="I326" s="1"/>
      <c r="J326" s="1"/>
      <c r="K326" s="15"/>
      <c r="L326" s="1"/>
      <c r="M326" s="1"/>
      <c r="N326" s="1"/>
      <c r="O326" s="1"/>
      <c r="P326" s="15"/>
      <c r="Q326" s="1"/>
      <c r="R326" s="1"/>
      <c r="S326" s="1"/>
      <c r="T326" s="1"/>
      <c r="U326" s="15"/>
      <c r="V326" s="1"/>
      <c r="W326" s="1"/>
      <c r="X326" s="1"/>
      <c r="Y326" s="1"/>
      <c r="Z326" s="15"/>
      <c r="AA326" s="1"/>
      <c r="AB326" s="1"/>
      <c r="AC326" s="1"/>
      <c r="AD326" s="1"/>
      <c r="AE326" s="15"/>
      <c r="AF326" s="1"/>
      <c r="AG326" s="1"/>
      <c r="AH326" s="1"/>
      <c r="AI326" s="1"/>
      <c r="AJ326" s="15"/>
      <c r="AK326" s="1"/>
    </row>
    <row r="327" spans="1:37" ht="16.5" customHeight="1">
      <c r="A327" s="1"/>
      <c r="B327" s="1"/>
      <c r="C327" s="1"/>
      <c r="D327" s="15"/>
      <c r="E327" s="15"/>
      <c r="F327" s="15"/>
      <c r="G327" s="15"/>
      <c r="H327" s="1"/>
      <c r="I327" s="1"/>
      <c r="J327" s="1"/>
      <c r="K327" s="15"/>
      <c r="L327" s="1"/>
      <c r="M327" s="1"/>
      <c r="N327" s="1"/>
      <c r="O327" s="1"/>
      <c r="P327" s="15"/>
      <c r="Q327" s="1"/>
      <c r="R327" s="1"/>
      <c r="S327" s="1"/>
      <c r="T327" s="1"/>
      <c r="U327" s="15"/>
      <c r="V327" s="1"/>
      <c r="W327" s="1"/>
      <c r="X327" s="1"/>
      <c r="Y327" s="1"/>
      <c r="Z327" s="15"/>
      <c r="AA327" s="1"/>
      <c r="AB327" s="1"/>
      <c r="AC327" s="1"/>
      <c r="AD327" s="1"/>
      <c r="AE327" s="15"/>
      <c r="AF327" s="1"/>
      <c r="AG327" s="1"/>
      <c r="AH327" s="1"/>
      <c r="AI327" s="1"/>
      <c r="AJ327" s="15"/>
      <c r="AK327" s="1"/>
    </row>
    <row r="328" spans="1:37" ht="16.5" customHeight="1">
      <c r="A328" s="1"/>
      <c r="B328" s="1"/>
      <c r="C328" s="1"/>
      <c r="D328" s="15"/>
      <c r="E328" s="15"/>
      <c r="F328" s="15"/>
      <c r="G328" s="15"/>
      <c r="H328" s="1"/>
      <c r="I328" s="1"/>
      <c r="J328" s="1"/>
      <c r="K328" s="15"/>
      <c r="L328" s="1"/>
      <c r="M328" s="1"/>
      <c r="N328" s="1"/>
      <c r="O328" s="1"/>
      <c r="P328" s="15"/>
      <c r="Q328" s="1"/>
      <c r="R328" s="1"/>
      <c r="S328" s="1"/>
      <c r="T328" s="1"/>
      <c r="U328" s="15"/>
      <c r="V328" s="1"/>
      <c r="W328" s="1"/>
      <c r="X328" s="1"/>
      <c r="Y328" s="1"/>
      <c r="Z328" s="15"/>
      <c r="AA328" s="1"/>
      <c r="AB328" s="1"/>
      <c r="AC328" s="1"/>
      <c r="AD328" s="1"/>
      <c r="AE328" s="15"/>
      <c r="AF328" s="1"/>
      <c r="AG328" s="1"/>
      <c r="AH328" s="1"/>
      <c r="AI328" s="1"/>
      <c r="AJ328" s="15"/>
      <c r="AK328" s="1"/>
    </row>
    <row r="329" spans="1:37" ht="16.5" customHeight="1">
      <c r="A329" s="1"/>
      <c r="B329" s="1"/>
      <c r="C329" s="1"/>
      <c r="D329" s="15"/>
      <c r="E329" s="15"/>
      <c r="F329" s="15"/>
      <c r="G329" s="15"/>
      <c r="H329" s="1"/>
      <c r="I329" s="1"/>
      <c r="J329" s="1"/>
      <c r="K329" s="15"/>
      <c r="L329" s="1"/>
      <c r="M329" s="1"/>
      <c r="N329" s="1"/>
      <c r="O329" s="1"/>
      <c r="P329" s="15"/>
      <c r="Q329" s="1"/>
      <c r="R329" s="1"/>
      <c r="S329" s="1"/>
      <c r="T329" s="1"/>
      <c r="U329" s="15"/>
      <c r="V329" s="1"/>
      <c r="W329" s="1"/>
      <c r="X329" s="1"/>
      <c r="Y329" s="1"/>
      <c r="Z329" s="15"/>
      <c r="AA329" s="1"/>
      <c r="AB329" s="1"/>
      <c r="AC329" s="1"/>
      <c r="AD329" s="1"/>
      <c r="AE329" s="15"/>
      <c r="AF329" s="1"/>
      <c r="AG329" s="1"/>
      <c r="AH329" s="1"/>
      <c r="AI329" s="1"/>
      <c r="AJ329" s="15"/>
      <c r="AK329" s="1"/>
    </row>
    <row r="330" spans="1:37" ht="16.5" customHeight="1">
      <c r="A330" s="1"/>
      <c r="B330" s="1"/>
      <c r="C330" s="1"/>
      <c r="D330" s="15"/>
      <c r="E330" s="15"/>
      <c r="F330" s="15"/>
      <c r="G330" s="15"/>
      <c r="H330" s="1"/>
      <c r="I330" s="1"/>
      <c r="J330" s="1"/>
      <c r="K330" s="15"/>
      <c r="L330" s="1"/>
      <c r="M330" s="1"/>
      <c r="N330" s="1"/>
      <c r="O330" s="1"/>
      <c r="P330" s="15"/>
      <c r="Q330" s="1"/>
      <c r="R330" s="1"/>
      <c r="S330" s="1"/>
      <c r="T330" s="1"/>
      <c r="U330" s="15"/>
      <c r="V330" s="1"/>
      <c r="W330" s="1"/>
      <c r="X330" s="1"/>
      <c r="Y330" s="1"/>
      <c r="Z330" s="15"/>
      <c r="AA330" s="1"/>
      <c r="AB330" s="1"/>
      <c r="AC330" s="1"/>
      <c r="AD330" s="1"/>
      <c r="AE330" s="15"/>
      <c r="AF330" s="1"/>
      <c r="AG330" s="1"/>
      <c r="AH330" s="1"/>
      <c r="AI330" s="1"/>
      <c r="AJ330" s="15"/>
      <c r="AK330" s="1"/>
    </row>
    <row r="331" spans="1:37" ht="16.5" customHeight="1">
      <c r="A331" s="1"/>
      <c r="B331" s="1"/>
      <c r="C331" s="1"/>
      <c r="D331" s="15"/>
      <c r="E331" s="15"/>
      <c r="F331" s="15"/>
      <c r="G331" s="15"/>
      <c r="H331" s="1"/>
      <c r="I331" s="1"/>
      <c r="J331" s="1"/>
      <c r="K331" s="15"/>
      <c r="L331" s="1"/>
      <c r="M331" s="1"/>
      <c r="N331" s="1"/>
      <c r="O331" s="1"/>
      <c r="P331" s="15"/>
      <c r="Q331" s="1"/>
      <c r="R331" s="1"/>
      <c r="S331" s="1"/>
      <c r="T331" s="1"/>
      <c r="U331" s="15"/>
      <c r="V331" s="1"/>
      <c r="W331" s="1"/>
      <c r="X331" s="1"/>
      <c r="Y331" s="1"/>
      <c r="Z331" s="15"/>
      <c r="AA331" s="1"/>
      <c r="AB331" s="1"/>
      <c r="AC331" s="1"/>
      <c r="AD331" s="1"/>
      <c r="AE331" s="15"/>
      <c r="AF331" s="1"/>
      <c r="AG331" s="1"/>
      <c r="AH331" s="1"/>
      <c r="AI331" s="1"/>
      <c r="AJ331" s="15"/>
      <c r="AK331" s="1"/>
    </row>
    <row r="332" spans="1:37" ht="16.5" customHeight="1">
      <c r="A332" s="1"/>
      <c r="B332" s="1"/>
      <c r="C332" s="1"/>
      <c r="D332" s="15"/>
      <c r="E332" s="15"/>
      <c r="F332" s="15"/>
      <c r="G332" s="15"/>
      <c r="H332" s="1"/>
      <c r="I332" s="1"/>
      <c r="J332" s="1"/>
      <c r="K332" s="15"/>
      <c r="L332" s="1"/>
      <c r="M332" s="1"/>
      <c r="N332" s="1"/>
      <c r="O332" s="1"/>
      <c r="P332" s="15"/>
      <c r="Q332" s="1"/>
      <c r="R332" s="1"/>
      <c r="S332" s="1"/>
      <c r="T332" s="1"/>
      <c r="U332" s="15"/>
      <c r="V332" s="1"/>
      <c r="W332" s="1"/>
      <c r="X332" s="1"/>
      <c r="Y332" s="1"/>
      <c r="Z332" s="15"/>
      <c r="AA332" s="1"/>
      <c r="AB332" s="1"/>
      <c r="AC332" s="1"/>
      <c r="AD332" s="1"/>
      <c r="AE332" s="15"/>
      <c r="AF332" s="1"/>
      <c r="AG332" s="1"/>
      <c r="AH332" s="1"/>
      <c r="AI332" s="1"/>
      <c r="AJ332" s="15"/>
      <c r="AK332" s="1"/>
    </row>
    <row r="333" spans="1:37" ht="16.5" customHeight="1">
      <c r="A333" s="1"/>
      <c r="B333" s="1"/>
      <c r="C333" s="1"/>
      <c r="D333" s="15"/>
      <c r="E333" s="15"/>
      <c r="F333" s="15"/>
      <c r="G333" s="15"/>
      <c r="H333" s="1"/>
      <c r="I333" s="1"/>
      <c r="J333" s="1"/>
      <c r="K333" s="15"/>
      <c r="L333" s="1"/>
      <c r="M333" s="1"/>
      <c r="N333" s="1"/>
      <c r="O333" s="1"/>
      <c r="P333" s="15"/>
      <c r="Q333" s="1"/>
      <c r="R333" s="1"/>
      <c r="S333" s="1"/>
      <c r="T333" s="1"/>
      <c r="U333" s="15"/>
      <c r="V333" s="1"/>
      <c r="W333" s="1"/>
      <c r="X333" s="1"/>
      <c r="Y333" s="1"/>
      <c r="Z333" s="15"/>
      <c r="AA333" s="1"/>
      <c r="AB333" s="1"/>
      <c r="AC333" s="1"/>
      <c r="AD333" s="1"/>
      <c r="AE333" s="15"/>
      <c r="AF333" s="1"/>
      <c r="AG333" s="1"/>
      <c r="AH333" s="1"/>
      <c r="AI333" s="1"/>
      <c r="AJ333" s="15"/>
      <c r="AK333" s="1"/>
    </row>
    <row r="334" spans="1:37" ht="16.5" customHeight="1">
      <c r="A334" s="1"/>
      <c r="B334" s="1"/>
      <c r="C334" s="1"/>
      <c r="D334" s="15"/>
      <c r="E334" s="15"/>
      <c r="F334" s="15"/>
      <c r="G334" s="15"/>
      <c r="H334" s="1"/>
      <c r="I334" s="1"/>
      <c r="J334" s="1"/>
      <c r="K334" s="15"/>
      <c r="L334" s="1"/>
      <c r="M334" s="1"/>
      <c r="N334" s="1"/>
      <c r="O334" s="1"/>
      <c r="P334" s="15"/>
      <c r="Q334" s="1"/>
      <c r="R334" s="1"/>
      <c r="S334" s="1"/>
      <c r="T334" s="1"/>
      <c r="U334" s="15"/>
      <c r="V334" s="1"/>
      <c r="W334" s="1"/>
      <c r="X334" s="1"/>
      <c r="Y334" s="1"/>
      <c r="Z334" s="15"/>
      <c r="AA334" s="1"/>
      <c r="AB334" s="1"/>
      <c r="AC334" s="1"/>
      <c r="AD334" s="1"/>
      <c r="AE334" s="15"/>
      <c r="AF334" s="1"/>
      <c r="AG334" s="1"/>
      <c r="AH334" s="1"/>
      <c r="AI334" s="1"/>
      <c r="AJ334" s="15"/>
      <c r="AK334" s="1"/>
    </row>
    <row r="335" spans="1:37" ht="16.5" customHeight="1">
      <c r="A335" s="1"/>
      <c r="B335" s="1"/>
      <c r="C335" s="1"/>
      <c r="D335" s="15"/>
      <c r="E335" s="15"/>
      <c r="F335" s="15"/>
      <c r="G335" s="15"/>
      <c r="H335" s="1"/>
      <c r="I335" s="1"/>
      <c r="J335" s="1"/>
      <c r="K335" s="15"/>
      <c r="L335" s="1"/>
      <c r="M335" s="1"/>
      <c r="N335" s="1"/>
      <c r="O335" s="1"/>
      <c r="P335" s="15"/>
      <c r="Q335" s="1"/>
      <c r="R335" s="1"/>
      <c r="S335" s="1"/>
      <c r="T335" s="1"/>
      <c r="U335" s="15"/>
      <c r="V335" s="1"/>
      <c r="W335" s="1"/>
      <c r="X335" s="1"/>
      <c r="Y335" s="1"/>
      <c r="Z335" s="15"/>
      <c r="AA335" s="1"/>
      <c r="AB335" s="1"/>
      <c r="AC335" s="1"/>
      <c r="AD335" s="1"/>
      <c r="AE335" s="15"/>
      <c r="AF335" s="1"/>
      <c r="AG335" s="1"/>
      <c r="AH335" s="1"/>
      <c r="AI335" s="1"/>
      <c r="AJ335" s="15"/>
      <c r="AK335" s="1"/>
    </row>
    <row r="336" spans="1:37" ht="16.5" customHeight="1">
      <c r="A336" s="1"/>
      <c r="B336" s="1"/>
      <c r="C336" s="1"/>
      <c r="D336" s="15"/>
      <c r="E336" s="15"/>
      <c r="F336" s="15"/>
      <c r="G336" s="15"/>
      <c r="H336" s="1"/>
      <c r="I336" s="1"/>
      <c r="J336" s="1"/>
      <c r="K336" s="15"/>
      <c r="L336" s="1"/>
      <c r="M336" s="1"/>
      <c r="N336" s="1"/>
      <c r="O336" s="1"/>
      <c r="P336" s="15"/>
      <c r="Q336" s="1"/>
      <c r="R336" s="1"/>
      <c r="S336" s="1"/>
      <c r="T336" s="1"/>
      <c r="U336" s="15"/>
      <c r="V336" s="1"/>
      <c r="W336" s="1"/>
      <c r="X336" s="1"/>
      <c r="Y336" s="1"/>
      <c r="Z336" s="15"/>
      <c r="AA336" s="1"/>
      <c r="AB336" s="1"/>
      <c r="AC336" s="1"/>
      <c r="AD336" s="1"/>
      <c r="AE336" s="15"/>
      <c r="AF336" s="1"/>
      <c r="AG336" s="1"/>
      <c r="AH336" s="1"/>
      <c r="AI336" s="1"/>
      <c r="AJ336" s="15"/>
      <c r="AK336" s="1"/>
    </row>
    <row r="337" spans="1:37" ht="16.5" customHeight="1">
      <c r="A337" s="1"/>
      <c r="B337" s="1"/>
      <c r="C337" s="1"/>
      <c r="D337" s="15"/>
      <c r="E337" s="15"/>
      <c r="F337" s="15"/>
      <c r="G337" s="15"/>
      <c r="H337" s="1"/>
      <c r="I337" s="1"/>
      <c r="J337" s="1"/>
      <c r="K337" s="15"/>
      <c r="L337" s="1"/>
      <c r="M337" s="1"/>
      <c r="N337" s="1"/>
      <c r="O337" s="1"/>
      <c r="P337" s="15"/>
      <c r="Q337" s="1"/>
      <c r="R337" s="1"/>
      <c r="S337" s="1"/>
      <c r="T337" s="1"/>
      <c r="U337" s="15"/>
      <c r="V337" s="1"/>
      <c r="W337" s="1"/>
      <c r="X337" s="1"/>
      <c r="Y337" s="1"/>
      <c r="Z337" s="15"/>
      <c r="AA337" s="1"/>
      <c r="AB337" s="1"/>
      <c r="AC337" s="1"/>
      <c r="AD337" s="1"/>
      <c r="AE337" s="15"/>
      <c r="AF337" s="1"/>
      <c r="AG337" s="1"/>
      <c r="AH337" s="1"/>
      <c r="AI337" s="1"/>
      <c r="AJ337" s="15"/>
      <c r="AK337" s="1"/>
    </row>
    <row r="338" spans="1:37" ht="16.5" customHeight="1">
      <c r="A338" s="1"/>
      <c r="B338" s="1"/>
      <c r="C338" s="1"/>
      <c r="D338" s="15"/>
      <c r="E338" s="15"/>
      <c r="F338" s="15"/>
      <c r="G338" s="15"/>
      <c r="H338" s="1"/>
      <c r="I338" s="1"/>
      <c r="J338" s="1"/>
      <c r="K338" s="15"/>
      <c r="L338" s="1"/>
      <c r="M338" s="1"/>
      <c r="N338" s="1"/>
      <c r="O338" s="1"/>
      <c r="P338" s="15"/>
      <c r="Q338" s="1"/>
      <c r="R338" s="1"/>
      <c r="S338" s="1"/>
      <c r="T338" s="1"/>
      <c r="U338" s="15"/>
      <c r="V338" s="1"/>
      <c r="W338" s="1"/>
      <c r="X338" s="1"/>
      <c r="Y338" s="1"/>
      <c r="Z338" s="15"/>
      <c r="AA338" s="1"/>
      <c r="AB338" s="1"/>
      <c r="AC338" s="1"/>
      <c r="AD338" s="1"/>
      <c r="AE338" s="15"/>
      <c r="AF338" s="1"/>
      <c r="AG338" s="1"/>
      <c r="AH338" s="1"/>
      <c r="AI338" s="1"/>
      <c r="AJ338" s="15"/>
      <c r="AK338" s="1"/>
    </row>
    <row r="339" spans="1:37" ht="16.5" customHeight="1">
      <c r="A339" s="1"/>
      <c r="B339" s="1"/>
      <c r="C339" s="1"/>
      <c r="D339" s="15"/>
      <c r="E339" s="15"/>
      <c r="F339" s="15"/>
      <c r="G339" s="15"/>
      <c r="H339" s="1"/>
      <c r="I339" s="1"/>
      <c r="J339" s="1"/>
      <c r="K339" s="15"/>
      <c r="L339" s="1"/>
      <c r="M339" s="1"/>
      <c r="N339" s="1"/>
      <c r="O339" s="1"/>
      <c r="P339" s="15"/>
      <c r="Q339" s="1"/>
      <c r="R339" s="1"/>
      <c r="S339" s="1"/>
      <c r="T339" s="1"/>
      <c r="U339" s="15"/>
      <c r="V339" s="1"/>
      <c r="W339" s="1"/>
      <c r="X339" s="1"/>
      <c r="Y339" s="1"/>
      <c r="Z339" s="15"/>
      <c r="AA339" s="1"/>
      <c r="AB339" s="1"/>
      <c r="AC339" s="1"/>
      <c r="AD339" s="1"/>
      <c r="AE339" s="15"/>
      <c r="AF339" s="1"/>
      <c r="AG339" s="1"/>
      <c r="AH339" s="1"/>
      <c r="AI339" s="1"/>
      <c r="AJ339" s="15"/>
      <c r="AK339" s="1"/>
    </row>
    <row r="340" spans="1:37" ht="16.5" customHeight="1">
      <c r="A340" s="1"/>
      <c r="B340" s="1"/>
      <c r="C340" s="1"/>
      <c r="D340" s="15"/>
      <c r="E340" s="15"/>
      <c r="F340" s="15"/>
      <c r="G340" s="15"/>
      <c r="H340" s="1"/>
      <c r="I340" s="1"/>
      <c r="J340" s="1"/>
      <c r="K340" s="15"/>
      <c r="L340" s="1"/>
      <c r="M340" s="1"/>
      <c r="N340" s="1"/>
      <c r="O340" s="1"/>
      <c r="P340" s="15"/>
      <c r="Q340" s="1"/>
      <c r="R340" s="1"/>
      <c r="S340" s="1"/>
      <c r="T340" s="1"/>
      <c r="U340" s="15"/>
      <c r="V340" s="1"/>
      <c r="W340" s="1"/>
      <c r="X340" s="1"/>
      <c r="Y340" s="1"/>
      <c r="Z340" s="15"/>
      <c r="AA340" s="1"/>
      <c r="AB340" s="1"/>
      <c r="AC340" s="1"/>
      <c r="AD340" s="1"/>
      <c r="AE340" s="15"/>
      <c r="AF340" s="1"/>
      <c r="AG340" s="1"/>
      <c r="AH340" s="1"/>
      <c r="AI340" s="1"/>
      <c r="AJ340" s="15"/>
      <c r="AK340" s="1"/>
    </row>
    <row r="341" spans="1:37" ht="16.5" customHeight="1">
      <c r="A341" s="1"/>
      <c r="B341" s="1"/>
      <c r="C341" s="1"/>
      <c r="D341" s="15"/>
      <c r="E341" s="15"/>
      <c r="F341" s="15"/>
      <c r="G341" s="15"/>
      <c r="H341" s="1"/>
      <c r="I341" s="1"/>
      <c r="J341" s="1"/>
      <c r="K341" s="15"/>
      <c r="L341" s="1"/>
      <c r="M341" s="1"/>
      <c r="N341" s="1"/>
      <c r="O341" s="1"/>
      <c r="P341" s="15"/>
      <c r="Q341" s="1"/>
      <c r="R341" s="1"/>
      <c r="S341" s="1"/>
      <c r="T341" s="1"/>
      <c r="U341" s="15"/>
      <c r="V341" s="1"/>
      <c r="W341" s="1"/>
      <c r="X341" s="1"/>
      <c r="Y341" s="1"/>
      <c r="Z341" s="15"/>
      <c r="AA341" s="1"/>
      <c r="AB341" s="1"/>
      <c r="AC341" s="1"/>
      <c r="AD341" s="1"/>
      <c r="AE341" s="15"/>
      <c r="AF341" s="1"/>
      <c r="AG341" s="1"/>
      <c r="AH341" s="1"/>
      <c r="AI341" s="1"/>
      <c r="AJ341" s="15"/>
      <c r="AK341" s="1"/>
    </row>
    <row r="342" spans="1:37" ht="16.5" customHeight="1">
      <c r="A342" s="1"/>
      <c r="B342" s="1"/>
      <c r="C342" s="1"/>
      <c r="D342" s="15"/>
      <c r="E342" s="15"/>
      <c r="F342" s="15"/>
      <c r="G342" s="15"/>
      <c r="H342" s="1"/>
      <c r="I342" s="1"/>
      <c r="J342" s="1"/>
      <c r="K342" s="15"/>
      <c r="L342" s="1"/>
      <c r="M342" s="1"/>
      <c r="N342" s="1"/>
      <c r="O342" s="1"/>
      <c r="P342" s="15"/>
      <c r="Q342" s="1"/>
      <c r="R342" s="1"/>
      <c r="S342" s="1"/>
      <c r="T342" s="1"/>
      <c r="U342" s="15"/>
      <c r="V342" s="1"/>
      <c r="W342" s="1"/>
      <c r="X342" s="1"/>
      <c r="Y342" s="1"/>
      <c r="Z342" s="15"/>
      <c r="AA342" s="1"/>
      <c r="AB342" s="1"/>
      <c r="AC342" s="1"/>
      <c r="AD342" s="1"/>
      <c r="AE342" s="15"/>
      <c r="AF342" s="1"/>
      <c r="AG342" s="1"/>
      <c r="AH342" s="1"/>
      <c r="AI342" s="1"/>
      <c r="AJ342" s="15"/>
      <c r="AK342" s="1"/>
    </row>
    <row r="343" spans="1:37" ht="16.5" customHeight="1">
      <c r="A343" s="1"/>
      <c r="B343" s="1"/>
      <c r="C343" s="1"/>
      <c r="D343" s="15"/>
      <c r="E343" s="15"/>
      <c r="F343" s="15"/>
      <c r="G343" s="15"/>
      <c r="H343" s="1"/>
      <c r="I343" s="1"/>
      <c r="J343" s="1"/>
      <c r="K343" s="15"/>
      <c r="L343" s="1"/>
      <c r="M343" s="1"/>
      <c r="N343" s="1"/>
      <c r="O343" s="1"/>
      <c r="P343" s="15"/>
      <c r="Q343" s="1"/>
      <c r="R343" s="1"/>
      <c r="S343" s="1"/>
      <c r="T343" s="1"/>
      <c r="U343" s="15"/>
      <c r="V343" s="1"/>
      <c r="W343" s="1"/>
      <c r="X343" s="1"/>
      <c r="Y343" s="1"/>
      <c r="Z343" s="15"/>
      <c r="AA343" s="1"/>
      <c r="AB343" s="1"/>
      <c r="AC343" s="1"/>
      <c r="AD343" s="1"/>
      <c r="AE343" s="15"/>
      <c r="AF343" s="1"/>
      <c r="AG343" s="1"/>
      <c r="AH343" s="1"/>
      <c r="AI343" s="1"/>
      <c r="AJ343" s="15"/>
      <c r="AK343" s="1"/>
    </row>
    <row r="344" spans="1:37" ht="16.5" customHeight="1">
      <c r="A344" s="1"/>
      <c r="B344" s="1"/>
      <c r="C344" s="1"/>
      <c r="D344" s="15"/>
      <c r="E344" s="15"/>
      <c r="F344" s="15"/>
      <c r="G344" s="15"/>
      <c r="H344" s="1"/>
      <c r="I344" s="1"/>
      <c r="J344" s="1"/>
      <c r="K344" s="15"/>
      <c r="L344" s="1"/>
      <c r="M344" s="1"/>
      <c r="N344" s="1"/>
      <c r="O344" s="1"/>
      <c r="P344" s="15"/>
      <c r="Q344" s="1"/>
      <c r="R344" s="1"/>
      <c r="S344" s="1"/>
      <c r="T344" s="1"/>
      <c r="U344" s="15"/>
      <c r="V344" s="1"/>
      <c r="W344" s="1"/>
      <c r="X344" s="1"/>
      <c r="Y344" s="1"/>
      <c r="Z344" s="15"/>
      <c r="AA344" s="1"/>
      <c r="AB344" s="1"/>
      <c r="AC344" s="1"/>
      <c r="AD344" s="1"/>
      <c r="AE344" s="15"/>
      <c r="AF344" s="1"/>
      <c r="AG344" s="1"/>
      <c r="AH344" s="1"/>
      <c r="AI344" s="1"/>
      <c r="AJ344" s="15"/>
      <c r="AK344" s="1"/>
    </row>
    <row r="345" spans="1:37" ht="16.5" customHeight="1">
      <c r="A345" s="1"/>
      <c r="B345" s="1"/>
      <c r="C345" s="1"/>
      <c r="D345" s="15"/>
      <c r="E345" s="15"/>
      <c r="F345" s="15"/>
      <c r="G345" s="15"/>
      <c r="H345" s="1"/>
      <c r="I345" s="1"/>
      <c r="J345" s="1"/>
      <c r="K345" s="15"/>
      <c r="L345" s="1"/>
      <c r="M345" s="1"/>
      <c r="N345" s="1"/>
      <c r="O345" s="1"/>
      <c r="P345" s="15"/>
      <c r="Q345" s="1"/>
      <c r="R345" s="1"/>
      <c r="S345" s="1"/>
      <c r="T345" s="1"/>
      <c r="U345" s="15"/>
      <c r="V345" s="1"/>
      <c r="W345" s="1"/>
      <c r="X345" s="1"/>
      <c r="Y345" s="1"/>
      <c r="Z345" s="15"/>
      <c r="AA345" s="1"/>
      <c r="AB345" s="1"/>
      <c r="AC345" s="1"/>
      <c r="AD345" s="1"/>
      <c r="AE345" s="15"/>
      <c r="AF345" s="1"/>
      <c r="AG345" s="1"/>
      <c r="AH345" s="1"/>
      <c r="AI345" s="1"/>
      <c r="AJ345" s="15"/>
      <c r="AK345" s="1"/>
    </row>
    <row r="346" spans="1:37" ht="16.5" customHeight="1">
      <c r="A346" s="1"/>
      <c r="B346" s="1"/>
      <c r="C346" s="1"/>
      <c r="D346" s="15"/>
      <c r="E346" s="15"/>
      <c r="F346" s="15"/>
      <c r="G346" s="15"/>
      <c r="H346" s="1"/>
      <c r="I346" s="1"/>
      <c r="J346" s="1"/>
      <c r="K346" s="15"/>
      <c r="L346" s="1"/>
      <c r="M346" s="1"/>
      <c r="N346" s="1"/>
      <c r="O346" s="1"/>
      <c r="P346" s="15"/>
      <c r="Q346" s="1"/>
      <c r="R346" s="1"/>
      <c r="S346" s="1"/>
      <c r="T346" s="1"/>
      <c r="U346" s="15"/>
      <c r="V346" s="1"/>
      <c r="W346" s="1"/>
      <c r="X346" s="1"/>
      <c r="Y346" s="1"/>
      <c r="Z346" s="15"/>
      <c r="AA346" s="1"/>
      <c r="AB346" s="1"/>
      <c r="AC346" s="1"/>
      <c r="AD346" s="1"/>
      <c r="AE346" s="15"/>
      <c r="AF346" s="1"/>
      <c r="AG346" s="1"/>
      <c r="AH346" s="1"/>
      <c r="AI346" s="1"/>
      <c r="AJ346" s="15"/>
      <c r="AK346" s="1"/>
    </row>
    <row r="347" spans="1:37" ht="16.5" customHeight="1">
      <c r="A347" s="1"/>
      <c r="B347" s="1"/>
      <c r="C347" s="1"/>
      <c r="D347" s="15"/>
      <c r="E347" s="15"/>
      <c r="F347" s="15"/>
      <c r="G347" s="15"/>
      <c r="H347" s="1"/>
      <c r="I347" s="1"/>
      <c r="J347" s="1"/>
      <c r="K347" s="15"/>
      <c r="L347" s="1"/>
      <c r="M347" s="1"/>
      <c r="N347" s="1"/>
      <c r="O347" s="1"/>
      <c r="P347" s="15"/>
      <c r="Q347" s="1"/>
      <c r="R347" s="1"/>
      <c r="S347" s="1"/>
      <c r="T347" s="1"/>
      <c r="U347" s="15"/>
      <c r="V347" s="1"/>
      <c r="W347" s="1"/>
      <c r="X347" s="1"/>
      <c r="Y347" s="1"/>
      <c r="Z347" s="15"/>
      <c r="AA347" s="1"/>
      <c r="AB347" s="1"/>
      <c r="AC347" s="1"/>
      <c r="AD347" s="1"/>
      <c r="AE347" s="15"/>
      <c r="AF347" s="1"/>
      <c r="AG347" s="1"/>
      <c r="AH347" s="1"/>
      <c r="AI347" s="1"/>
      <c r="AJ347" s="15"/>
      <c r="AK347" s="1"/>
    </row>
    <row r="348" spans="1:37" ht="16.5" customHeight="1">
      <c r="A348" s="1"/>
      <c r="B348" s="1"/>
      <c r="C348" s="1"/>
      <c r="D348" s="15"/>
      <c r="E348" s="15"/>
      <c r="F348" s="15"/>
      <c r="G348" s="15"/>
      <c r="H348" s="1"/>
      <c r="I348" s="1"/>
      <c r="J348" s="1"/>
      <c r="K348" s="15"/>
      <c r="L348" s="1"/>
      <c r="M348" s="1"/>
      <c r="N348" s="1"/>
      <c r="O348" s="1"/>
      <c r="P348" s="15"/>
      <c r="Q348" s="1"/>
      <c r="R348" s="1"/>
      <c r="S348" s="1"/>
      <c r="T348" s="1"/>
      <c r="U348" s="15"/>
      <c r="V348" s="1"/>
      <c r="W348" s="1"/>
      <c r="X348" s="1"/>
      <c r="Y348" s="1"/>
      <c r="Z348" s="15"/>
      <c r="AA348" s="1"/>
      <c r="AB348" s="1"/>
      <c r="AC348" s="1"/>
      <c r="AD348" s="1"/>
      <c r="AE348" s="15"/>
      <c r="AF348" s="1"/>
      <c r="AG348" s="1"/>
      <c r="AH348" s="1"/>
      <c r="AI348" s="1"/>
      <c r="AJ348" s="15"/>
      <c r="AK348" s="1"/>
    </row>
    <row r="349" spans="1:37" ht="16.5" customHeight="1">
      <c r="A349" s="1"/>
      <c r="B349" s="1"/>
      <c r="C349" s="1"/>
      <c r="D349" s="15"/>
      <c r="E349" s="15"/>
      <c r="F349" s="15"/>
      <c r="G349" s="15"/>
      <c r="H349" s="1"/>
      <c r="I349" s="1"/>
      <c r="J349" s="1"/>
      <c r="K349" s="15"/>
      <c r="L349" s="1"/>
      <c r="M349" s="1"/>
      <c r="N349" s="1"/>
      <c r="O349" s="1"/>
      <c r="P349" s="15"/>
      <c r="Q349" s="1"/>
      <c r="R349" s="1"/>
      <c r="S349" s="1"/>
      <c r="T349" s="1"/>
      <c r="U349" s="15"/>
      <c r="V349" s="1"/>
      <c r="W349" s="1"/>
      <c r="X349" s="1"/>
      <c r="Y349" s="1"/>
      <c r="Z349" s="15"/>
      <c r="AA349" s="1"/>
      <c r="AB349" s="1"/>
      <c r="AC349" s="1"/>
      <c r="AD349" s="1"/>
      <c r="AE349" s="15"/>
      <c r="AF349" s="1"/>
      <c r="AG349" s="1"/>
      <c r="AH349" s="1"/>
      <c r="AI349" s="1"/>
      <c r="AJ349" s="15"/>
      <c r="AK349" s="1"/>
    </row>
    <row r="350" spans="1:37" ht="16.5" customHeight="1">
      <c r="A350" s="1"/>
      <c r="B350" s="1"/>
      <c r="C350" s="1"/>
      <c r="D350" s="15"/>
      <c r="E350" s="15"/>
      <c r="F350" s="15"/>
      <c r="G350" s="15"/>
      <c r="H350" s="1"/>
      <c r="I350" s="1"/>
      <c r="J350" s="1"/>
      <c r="K350" s="15"/>
      <c r="L350" s="1"/>
      <c r="M350" s="1"/>
      <c r="N350" s="1"/>
      <c r="O350" s="1"/>
      <c r="P350" s="15"/>
      <c r="Q350" s="1"/>
      <c r="R350" s="1"/>
      <c r="S350" s="1"/>
      <c r="T350" s="1"/>
      <c r="U350" s="15"/>
      <c r="V350" s="1"/>
      <c r="W350" s="1"/>
      <c r="X350" s="1"/>
      <c r="Y350" s="1"/>
      <c r="Z350" s="15"/>
      <c r="AA350" s="1"/>
      <c r="AB350" s="1"/>
      <c r="AC350" s="1"/>
      <c r="AD350" s="1"/>
      <c r="AE350" s="15"/>
      <c r="AF350" s="1"/>
      <c r="AG350" s="1"/>
      <c r="AH350" s="1"/>
      <c r="AI350" s="1"/>
      <c r="AJ350" s="15"/>
      <c r="AK350" s="1"/>
    </row>
    <row r="351" spans="1:37" ht="16.5" customHeight="1">
      <c r="A351" s="1"/>
      <c r="B351" s="1"/>
      <c r="C351" s="1"/>
      <c r="D351" s="15"/>
      <c r="E351" s="15"/>
      <c r="F351" s="15"/>
      <c r="G351" s="15"/>
      <c r="H351" s="1"/>
      <c r="I351" s="1"/>
      <c r="J351" s="1"/>
      <c r="K351" s="15"/>
      <c r="L351" s="1"/>
      <c r="M351" s="1"/>
      <c r="N351" s="1"/>
      <c r="O351" s="1"/>
      <c r="P351" s="15"/>
      <c r="Q351" s="1"/>
      <c r="R351" s="1"/>
      <c r="S351" s="1"/>
      <c r="T351" s="1"/>
      <c r="U351" s="15"/>
      <c r="V351" s="1"/>
      <c r="W351" s="1"/>
      <c r="X351" s="1"/>
      <c r="Y351" s="1"/>
      <c r="Z351" s="15"/>
      <c r="AA351" s="1"/>
      <c r="AB351" s="1"/>
      <c r="AC351" s="1"/>
      <c r="AD351" s="1"/>
      <c r="AE351" s="15"/>
      <c r="AF351" s="1"/>
      <c r="AG351" s="1"/>
      <c r="AH351" s="1"/>
      <c r="AI351" s="1"/>
      <c r="AJ351" s="15"/>
      <c r="AK351" s="1"/>
    </row>
    <row r="352" spans="1:37" ht="16.5" customHeight="1">
      <c r="A352" s="1"/>
      <c r="B352" s="1"/>
      <c r="C352" s="1"/>
      <c r="D352" s="15"/>
      <c r="E352" s="15"/>
      <c r="F352" s="15"/>
      <c r="G352" s="15"/>
      <c r="H352" s="1"/>
      <c r="I352" s="1"/>
      <c r="J352" s="1"/>
      <c r="K352" s="15"/>
      <c r="L352" s="1"/>
      <c r="M352" s="1"/>
      <c r="N352" s="1"/>
      <c r="O352" s="1"/>
      <c r="P352" s="15"/>
      <c r="Q352" s="1"/>
      <c r="R352" s="1"/>
      <c r="S352" s="1"/>
      <c r="T352" s="1"/>
      <c r="U352" s="15"/>
      <c r="V352" s="1"/>
      <c r="W352" s="1"/>
      <c r="X352" s="1"/>
      <c r="Y352" s="1"/>
      <c r="Z352" s="15"/>
      <c r="AA352" s="1"/>
      <c r="AB352" s="1"/>
      <c r="AC352" s="1"/>
      <c r="AD352" s="1"/>
      <c r="AE352" s="15"/>
      <c r="AF352" s="1"/>
      <c r="AG352" s="1"/>
      <c r="AH352" s="1"/>
      <c r="AI352" s="1"/>
      <c r="AJ352" s="15"/>
      <c r="AK352" s="1"/>
    </row>
    <row r="353" spans="1:37" ht="16.5" customHeight="1">
      <c r="A353" s="1"/>
      <c r="B353" s="1"/>
      <c r="C353" s="1"/>
      <c r="D353" s="15"/>
      <c r="E353" s="15"/>
      <c r="F353" s="15"/>
      <c r="G353" s="15"/>
      <c r="H353" s="1"/>
      <c r="I353" s="1"/>
      <c r="J353" s="1"/>
      <c r="K353" s="15"/>
      <c r="L353" s="1"/>
      <c r="M353" s="1"/>
      <c r="N353" s="1"/>
      <c r="O353" s="1"/>
      <c r="P353" s="15"/>
      <c r="Q353" s="1"/>
      <c r="R353" s="1"/>
      <c r="S353" s="1"/>
      <c r="T353" s="1"/>
      <c r="U353" s="15"/>
      <c r="V353" s="1"/>
      <c r="W353" s="1"/>
      <c r="X353" s="1"/>
      <c r="Y353" s="1"/>
      <c r="Z353" s="15"/>
      <c r="AA353" s="1"/>
      <c r="AB353" s="1"/>
      <c r="AC353" s="1"/>
      <c r="AD353" s="1"/>
      <c r="AE353" s="15"/>
      <c r="AF353" s="1"/>
      <c r="AG353" s="1"/>
      <c r="AH353" s="1"/>
      <c r="AI353" s="1"/>
      <c r="AJ353" s="15"/>
      <c r="AK353" s="1"/>
    </row>
    <row r="354" spans="1:37" ht="16.5" customHeight="1">
      <c r="A354" s="1"/>
      <c r="B354" s="1"/>
      <c r="C354" s="1"/>
      <c r="D354" s="15"/>
      <c r="E354" s="15"/>
      <c r="F354" s="15"/>
      <c r="G354" s="15"/>
      <c r="H354" s="1"/>
      <c r="I354" s="1"/>
      <c r="J354" s="1"/>
      <c r="K354" s="15"/>
      <c r="L354" s="1"/>
      <c r="M354" s="1"/>
      <c r="N354" s="1"/>
      <c r="O354" s="1"/>
      <c r="P354" s="15"/>
      <c r="Q354" s="1"/>
      <c r="R354" s="1"/>
      <c r="S354" s="1"/>
      <c r="T354" s="1"/>
      <c r="U354" s="15"/>
      <c r="V354" s="1"/>
      <c r="W354" s="1"/>
      <c r="X354" s="1"/>
      <c r="Y354" s="1"/>
      <c r="Z354" s="15"/>
      <c r="AA354" s="1"/>
      <c r="AB354" s="1"/>
      <c r="AC354" s="1"/>
      <c r="AD354" s="1"/>
      <c r="AE354" s="15"/>
      <c r="AF354" s="1"/>
      <c r="AG354" s="1"/>
      <c r="AH354" s="1"/>
      <c r="AI354" s="1"/>
      <c r="AJ354" s="15"/>
      <c r="AK354" s="1"/>
    </row>
    <row r="355" spans="1:37" ht="16.5" customHeight="1">
      <c r="A355" s="1"/>
      <c r="B355" s="1"/>
      <c r="C355" s="1"/>
      <c r="D355" s="15"/>
      <c r="E355" s="15"/>
      <c r="F355" s="15"/>
      <c r="G355" s="15"/>
      <c r="H355" s="1"/>
      <c r="I355" s="1"/>
      <c r="J355" s="1"/>
      <c r="K355" s="15"/>
      <c r="L355" s="1"/>
      <c r="M355" s="1"/>
      <c r="N355" s="1"/>
      <c r="O355" s="1"/>
      <c r="P355" s="15"/>
      <c r="Q355" s="1"/>
      <c r="R355" s="1"/>
      <c r="S355" s="1"/>
      <c r="T355" s="1"/>
      <c r="U355" s="15"/>
      <c r="V355" s="1"/>
      <c r="W355" s="1"/>
      <c r="X355" s="1"/>
      <c r="Y355" s="1"/>
      <c r="Z355" s="15"/>
      <c r="AA355" s="1"/>
      <c r="AB355" s="1"/>
      <c r="AC355" s="1"/>
      <c r="AD355" s="1"/>
      <c r="AE355" s="15"/>
      <c r="AF355" s="1"/>
      <c r="AG355" s="1"/>
      <c r="AH355" s="1"/>
      <c r="AI355" s="1"/>
      <c r="AJ355" s="15"/>
      <c r="AK355" s="1"/>
    </row>
    <row r="356" spans="1:37" ht="16.5" customHeight="1">
      <c r="A356" s="1"/>
      <c r="B356" s="1"/>
      <c r="C356" s="1"/>
      <c r="D356" s="15"/>
      <c r="E356" s="15"/>
      <c r="F356" s="15"/>
      <c r="G356" s="15"/>
      <c r="H356" s="1"/>
      <c r="I356" s="1"/>
      <c r="J356" s="1"/>
      <c r="K356" s="15"/>
      <c r="L356" s="1"/>
      <c r="M356" s="1"/>
      <c r="N356" s="1"/>
      <c r="O356" s="1"/>
      <c r="P356" s="15"/>
      <c r="Q356" s="1"/>
      <c r="R356" s="1"/>
      <c r="S356" s="1"/>
      <c r="T356" s="1"/>
      <c r="U356" s="15"/>
      <c r="V356" s="1"/>
      <c r="W356" s="1"/>
      <c r="X356" s="1"/>
      <c r="Y356" s="1"/>
      <c r="Z356" s="15"/>
      <c r="AA356" s="1"/>
      <c r="AB356" s="1"/>
      <c r="AC356" s="1"/>
      <c r="AD356" s="1"/>
      <c r="AE356" s="15"/>
      <c r="AF356" s="1"/>
      <c r="AG356" s="1"/>
      <c r="AH356" s="1"/>
      <c r="AI356" s="1"/>
      <c r="AJ356" s="15"/>
      <c r="AK356" s="1"/>
    </row>
    <row r="357" spans="1:37" ht="16.5" customHeight="1">
      <c r="A357" s="1"/>
      <c r="B357" s="1"/>
      <c r="C357" s="1"/>
      <c r="D357" s="15"/>
      <c r="E357" s="15"/>
      <c r="F357" s="15"/>
      <c r="G357" s="15"/>
      <c r="H357" s="1"/>
      <c r="I357" s="1"/>
      <c r="J357" s="1"/>
      <c r="K357" s="15"/>
      <c r="L357" s="1"/>
      <c r="M357" s="1"/>
      <c r="N357" s="1"/>
      <c r="O357" s="1"/>
      <c r="P357" s="15"/>
      <c r="Q357" s="1"/>
      <c r="R357" s="1"/>
      <c r="S357" s="1"/>
      <c r="T357" s="1"/>
      <c r="U357" s="15"/>
      <c r="V357" s="1"/>
      <c r="W357" s="1"/>
      <c r="X357" s="1"/>
      <c r="Y357" s="1"/>
      <c r="Z357" s="15"/>
      <c r="AA357" s="1"/>
      <c r="AB357" s="1"/>
      <c r="AC357" s="1"/>
      <c r="AD357" s="1"/>
      <c r="AE357" s="15"/>
      <c r="AF357" s="1"/>
      <c r="AG357" s="1"/>
      <c r="AH357" s="1"/>
      <c r="AI357" s="1"/>
      <c r="AJ357" s="15"/>
      <c r="AK357" s="1"/>
    </row>
    <row r="358" spans="1:37" ht="16.5" customHeight="1">
      <c r="A358" s="1"/>
      <c r="B358" s="1"/>
      <c r="C358" s="1"/>
      <c r="D358" s="15"/>
      <c r="E358" s="15"/>
      <c r="F358" s="15"/>
      <c r="G358" s="15"/>
      <c r="H358" s="1"/>
      <c r="I358" s="1"/>
      <c r="J358" s="1"/>
      <c r="K358" s="15"/>
      <c r="L358" s="1"/>
      <c r="M358" s="1"/>
      <c r="N358" s="1"/>
      <c r="O358" s="1"/>
      <c r="P358" s="15"/>
      <c r="Q358" s="1"/>
      <c r="R358" s="1"/>
      <c r="S358" s="1"/>
      <c r="T358" s="1"/>
      <c r="U358" s="15"/>
      <c r="V358" s="1"/>
      <c r="W358" s="1"/>
      <c r="X358" s="1"/>
      <c r="Y358" s="1"/>
      <c r="Z358" s="15"/>
      <c r="AA358" s="1"/>
      <c r="AB358" s="1"/>
      <c r="AC358" s="1"/>
      <c r="AD358" s="1"/>
      <c r="AE358" s="15"/>
      <c r="AF358" s="1"/>
      <c r="AG358" s="1"/>
      <c r="AH358" s="1"/>
      <c r="AI358" s="1"/>
      <c r="AJ358" s="15"/>
      <c r="AK358" s="1"/>
    </row>
    <row r="359" spans="1:37" ht="16.5" customHeight="1">
      <c r="A359" s="1"/>
      <c r="B359" s="1"/>
      <c r="C359" s="1"/>
      <c r="D359" s="15"/>
      <c r="E359" s="15"/>
      <c r="F359" s="15"/>
      <c r="G359" s="15"/>
      <c r="H359" s="1"/>
      <c r="I359" s="1"/>
      <c r="J359" s="1"/>
      <c r="K359" s="15"/>
      <c r="L359" s="1"/>
      <c r="M359" s="1"/>
      <c r="N359" s="1"/>
      <c r="O359" s="1"/>
      <c r="P359" s="15"/>
      <c r="Q359" s="1"/>
      <c r="R359" s="1"/>
      <c r="S359" s="1"/>
      <c r="T359" s="1"/>
      <c r="U359" s="15"/>
      <c r="V359" s="1"/>
      <c r="W359" s="1"/>
      <c r="X359" s="1"/>
      <c r="Y359" s="1"/>
      <c r="Z359" s="15"/>
      <c r="AA359" s="1"/>
      <c r="AB359" s="1"/>
      <c r="AC359" s="1"/>
      <c r="AD359" s="1"/>
      <c r="AE359" s="15"/>
      <c r="AF359" s="1"/>
      <c r="AG359" s="1"/>
      <c r="AH359" s="1"/>
      <c r="AI359" s="1"/>
      <c r="AJ359" s="15"/>
      <c r="AK359" s="1"/>
    </row>
    <row r="360" spans="1:37" ht="16.5" customHeight="1">
      <c r="A360" s="1"/>
      <c r="B360" s="1"/>
      <c r="C360" s="1"/>
      <c r="D360" s="15"/>
      <c r="E360" s="15"/>
      <c r="F360" s="15"/>
      <c r="G360" s="15"/>
      <c r="H360" s="1"/>
      <c r="I360" s="1"/>
      <c r="J360" s="1"/>
      <c r="K360" s="15"/>
      <c r="L360" s="1"/>
      <c r="M360" s="1"/>
      <c r="N360" s="1"/>
      <c r="O360" s="1"/>
      <c r="P360" s="15"/>
      <c r="Q360" s="1"/>
      <c r="R360" s="1"/>
      <c r="S360" s="1"/>
      <c r="T360" s="1"/>
      <c r="U360" s="15"/>
      <c r="V360" s="1"/>
      <c r="W360" s="1"/>
      <c r="X360" s="1"/>
      <c r="Y360" s="1"/>
      <c r="Z360" s="15"/>
      <c r="AA360" s="1"/>
      <c r="AB360" s="1"/>
      <c r="AC360" s="1"/>
      <c r="AD360" s="1"/>
      <c r="AE360" s="15"/>
      <c r="AF360" s="1"/>
      <c r="AG360" s="1"/>
      <c r="AH360" s="1"/>
      <c r="AI360" s="1"/>
      <c r="AJ360" s="15"/>
      <c r="AK360" s="1"/>
    </row>
    <row r="361" spans="1:37" ht="16.5" customHeight="1">
      <c r="A361" s="1"/>
      <c r="B361" s="1"/>
      <c r="C361" s="1"/>
      <c r="D361" s="15"/>
      <c r="E361" s="15"/>
      <c r="F361" s="15"/>
      <c r="G361" s="15"/>
      <c r="H361" s="1"/>
      <c r="I361" s="1"/>
      <c r="J361" s="1"/>
      <c r="K361" s="15"/>
      <c r="L361" s="1"/>
      <c r="M361" s="1"/>
      <c r="N361" s="1"/>
      <c r="O361" s="1"/>
      <c r="P361" s="15"/>
      <c r="Q361" s="1"/>
      <c r="R361" s="1"/>
      <c r="S361" s="1"/>
      <c r="T361" s="1"/>
      <c r="U361" s="15"/>
      <c r="V361" s="1"/>
      <c r="W361" s="1"/>
      <c r="X361" s="1"/>
      <c r="Y361" s="1"/>
      <c r="Z361" s="15"/>
      <c r="AA361" s="1"/>
      <c r="AB361" s="1"/>
      <c r="AC361" s="1"/>
      <c r="AD361" s="1"/>
      <c r="AE361" s="15"/>
      <c r="AF361" s="1"/>
      <c r="AG361" s="1"/>
      <c r="AH361" s="1"/>
      <c r="AI361" s="1"/>
      <c r="AJ361" s="15"/>
      <c r="AK361" s="1"/>
    </row>
    <row r="362" spans="1:37" ht="16.5" customHeight="1">
      <c r="A362" s="1"/>
      <c r="B362" s="1"/>
      <c r="C362" s="1"/>
      <c r="D362" s="15"/>
      <c r="E362" s="15"/>
      <c r="F362" s="15"/>
      <c r="G362" s="15"/>
      <c r="H362" s="1"/>
      <c r="I362" s="1"/>
      <c r="J362" s="1"/>
      <c r="K362" s="15"/>
      <c r="L362" s="1"/>
      <c r="M362" s="1"/>
      <c r="N362" s="1"/>
      <c r="O362" s="1"/>
      <c r="P362" s="15"/>
      <c r="Q362" s="1"/>
      <c r="R362" s="1"/>
      <c r="S362" s="1"/>
      <c r="T362" s="1"/>
      <c r="U362" s="15"/>
      <c r="V362" s="1"/>
      <c r="W362" s="1"/>
      <c r="X362" s="1"/>
      <c r="Y362" s="1"/>
      <c r="Z362" s="15"/>
      <c r="AA362" s="1"/>
      <c r="AB362" s="1"/>
      <c r="AC362" s="1"/>
      <c r="AD362" s="1"/>
      <c r="AE362" s="15"/>
      <c r="AF362" s="1"/>
      <c r="AG362" s="1"/>
      <c r="AH362" s="1"/>
      <c r="AI362" s="1"/>
      <c r="AJ362" s="15"/>
      <c r="AK362" s="1"/>
    </row>
    <row r="363" spans="1:37" ht="16.5" customHeight="1">
      <c r="A363" s="1"/>
      <c r="B363" s="1"/>
      <c r="C363" s="1"/>
      <c r="D363" s="15"/>
      <c r="E363" s="15"/>
      <c r="F363" s="15"/>
      <c r="G363" s="15"/>
      <c r="H363" s="1"/>
      <c r="I363" s="1"/>
      <c r="J363" s="1"/>
      <c r="K363" s="15"/>
      <c r="L363" s="1"/>
      <c r="M363" s="1"/>
      <c r="N363" s="1"/>
      <c r="O363" s="1"/>
      <c r="P363" s="15"/>
      <c r="Q363" s="1"/>
      <c r="R363" s="1"/>
      <c r="S363" s="1"/>
      <c r="T363" s="1"/>
      <c r="U363" s="15"/>
      <c r="V363" s="1"/>
      <c r="W363" s="1"/>
      <c r="X363" s="1"/>
      <c r="Y363" s="1"/>
      <c r="Z363" s="15"/>
      <c r="AA363" s="1"/>
      <c r="AB363" s="1"/>
      <c r="AC363" s="1"/>
      <c r="AD363" s="1"/>
      <c r="AE363" s="15"/>
      <c r="AF363" s="1"/>
      <c r="AG363" s="1"/>
      <c r="AH363" s="1"/>
      <c r="AI363" s="1"/>
      <c r="AJ363" s="15"/>
      <c r="AK363" s="1"/>
    </row>
    <row r="364" spans="1:37" ht="16.5" customHeight="1">
      <c r="A364" s="1"/>
      <c r="B364" s="1"/>
      <c r="C364" s="1"/>
      <c r="D364" s="15"/>
      <c r="E364" s="15"/>
      <c r="F364" s="15"/>
      <c r="G364" s="15"/>
      <c r="H364" s="1"/>
      <c r="I364" s="1"/>
      <c r="J364" s="1"/>
      <c r="K364" s="15"/>
      <c r="L364" s="1"/>
      <c r="M364" s="1"/>
      <c r="N364" s="1"/>
      <c r="O364" s="1"/>
      <c r="P364" s="15"/>
      <c r="Q364" s="1"/>
      <c r="R364" s="1"/>
      <c r="S364" s="1"/>
      <c r="T364" s="1"/>
      <c r="U364" s="15"/>
      <c r="V364" s="1"/>
      <c r="W364" s="1"/>
      <c r="X364" s="1"/>
      <c r="Y364" s="1"/>
      <c r="Z364" s="15"/>
      <c r="AA364" s="1"/>
      <c r="AB364" s="1"/>
      <c r="AC364" s="1"/>
      <c r="AD364" s="1"/>
      <c r="AE364" s="15"/>
      <c r="AF364" s="1"/>
      <c r="AG364" s="1"/>
      <c r="AH364" s="1"/>
      <c r="AI364" s="1"/>
      <c r="AJ364" s="15"/>
      <c r="AK364" s="1"/>
    </row>
    <row r="365" spans="1:37" ht="16.5" customHeight="1">
      <c r="A365" s="1"/>
      <c r="B365" s="1"/>
      <c r="C365" s="1"/>
      <c r="D365" s="15"/>
      <c r="E365" s="15"/>
      <c r="F365" s="15"/>
      <c r="G365" s="15"/>
      <c r="H365" s="1"/>
      <c r="I365" s="1"/>
      <c r="J365" s="1"/>
      <c r="K365" s="15"/>
      <c r="L365" s="1"/>
      <c r="M365" s="1"/>
      <c r="N365" s="1"/>
      <c r="O365" s="1"/>
      <c r="P365" s="15"/>
      <c r="Q365" s="1"/>
      <c r="R365" s="1"/>
      <c r="S365" s="1"/>
      <c r="T365" s="1"/>
      <c r="U365" s="15"/>
      <c r="V365" s="1"/>
      <c r="W365" s="1"/>
      <c r="X365" s="1"/>
      <c r="Y365" s="1"/>
      <c r="Z365" s="15"/>
      <c r="AA365" s="1"/>
      <c r="AB365" s="1"/>
      <c r="AC365" s="1"/>
      <c r="AD365" s="1"/>
      <c r="AE365" s="15"/>
      <c r="AF365" s="1"/>
      <c r="AG365" s="1"/>
      <c r="AH365" s="1"/>
      <c r="AI365" s="1"/>
      <c r="AJ365" s="15"/>
      <c r="AK365" s="1"/>
    </row>
    <row r="366" spans="1:37" ht="16.5" customHeight="1">
      <c r="A366" s="1"/>
      <c r="B366" s="1"/>
      <c r="C366" s="1"/>
      <c r="D366" s="15"/>
      <c r="E366" s="15"/>
      <c r="F366" s="15"/>
      <c r="G366" s="15"/>
      <c r="H366" s="1"/>
      <c r="I366" s="1"/>
      <c r="J366" s="1"/>
      <c r="K366" s="15"/>
      <c r="L366" s="1"/>
      <c r="M366" s="1"/>
      <c r="N366" s="1"/>
      <c r="O366" s="1"/>
      <c r="P366" s="15"/>
      <c r="Q366" s="1"/>
      <c r="R366" s="1"/>
      <c r="S366" s="1"/>
      <c r="T366" s="1"/>
      <c r="U366" s="15"/>
      <c r="V366" s="1"/>
      <c r="W366" s="1"/>
      <c r="X366" s="1"/>
      <c r="Y366" s="1"/>
      <c r="Z366" s="15"/>
      <c r="AA366" s="1"/>
      <c r="AB366" s="1"/>
      <c r="AC366" s="1"/>
      <c r="AD366" s="1"/>
      <c r="AE366" s="15"/>
      <c r="AF366" s="1"/>
      <c r="AG366" s="1"/>
      <c r="AH366" s="1"/>
      <c r="AI366" s="1"/>
      <c r="AJ366" s="15"/>
      <c r="AK366" s="1"/>
    </row>
    <row r="367" spans="1:37" ht="16.5" customHeight="1">
      <c r="A367" s="1"/>
      <c r="B367" s="1"/>
      <c r="C367" s="1"/>
      <c r="D367" s="15"/>
      <c r="E367" s="15"/>
      <c r="F367" s="15"/>
      <c r="G367" s="15"/>
      <c r="H367" s="1"/>
      <c r="I367" s="1"/>
      <c r="J367" s="1"/>
      <c r="K367" s="15"/>
      <c r="L367" s="1"/>
      <c r="M367" s="1"/>
      <c r="N367" s="1"/>
      <c r="O367" s="1"/>
      <c r="P367" s="15"/>
      <c r="Q367" s="1"/>
      <c r="R367" s="1"/>
      <c r="S367" s="1"/>
      <c r="T367" s="1"/>
      <c r="U367" s="15"/>
      <c r="V367" s="1"/>
      <c r="W367" s="1"/>
      <c r="X367" s="1"/>
      <c r="Y367" s="1"/>
      <c r="Z367" s="15"/>
      <c r="AA367" s="1"/>
      <c r="AB367" s="1"/>
      <c r="AC367" s="1"/>
      <c r="AD367" s="1"/>
      <c r="AE367" s="15"/>
      <c r="AF367" s="1"/>
      <c r="AG367" s="1"/>
      <c r="AH367" s="1"/>
      <c r="AI367" s="1"/>
      <c r="AJ367" s="15"/>
      <c r="AK367" s="1"/>
    </row>
    <row r="368" spans="1:37" ht="16.5" customHeight="1">
      <c r="A368" s="1"/>
      <c r="B368" s="1"/>
      <c r="C368" s="1"/>
      <c r="D368" s="15"/>
      <c r="E368" s="15"/>
      <c r="F368" s="15"/>
      <c r="G368" s="15"/>
      <c r="H368" s="1"/>
      <c r="I368" s="1"/>
      <c r="J368" s="1"/>
      <c r="K368" s="15"/>
      <c r="L368" s="1"/>
      <c r="M368" s="1"/>
      <c r="N368" s="1"/>
      <c r="O368" s="1"/>
      <c r="P368" s="15"/>
      <c r="Q368" s="1"/>
      <c r="R368" s="1"/>
      <c r="S368" s="1"/>
      <c r="T368" s="1"/>
      <c r="U368" s="15"/>
      <c r="V368" s="1"/>
      <c r="W368" s="1"/>
      <c r="X368" s="1"/>
      <c r="Y368" s="1"/>
      <c r="Z368" s="15"/>
      <c r="AA368" s="1"/>
      <c r="AB368" s="1"/>
      <c r="AC368" s="1"/>
      <c r="AD368" s="1"/>
      <c r="AE368" s="15"/>
      <c r="AF368" s="1"/>
      <c r="AG368" s="1"/>
      <c r="AH368" s="1"/>
      <c r="AI368" s="1"/>
      <c r="AJ368" s="15"/>
      <c r="AK368" s="1"/>
    </row>
    <row r="369" spans="1:37" ht="16.5" customHeight="1">
      <c r="A369" s="1"/>
      <c r="B369" s="1"/>
      <c r="C369" s="1"/>
      <c r="D369" s="15"/>
      <c r="E369" s="15"/>
      <c r="F369" s="15"/>
      <c r="G369" s="15"/>
      <c r="H369" s="1"/>
      <c r="I369" s="1"/>
      <c r="J369" s="1"/>
      <c r="K369" s="15"/>
      <c r="L369" s="1"/>
      <c r="M369" s="1"/>
      <c r="N369" s="1"/>
      <c r="O369" s="1"/>
      <c r="P369" s="15"/>
      <c r="Q369" s="1"/>
      <c r="R369" s="1"/>
      <c r="S369" s="1"/>
      <c r="T369" s="1"/>
      <c r="U369" s="15"/>
      <c r="V369" s="1"/>
      <c r="W369" s="1"/>
      <c r="X369" s="1"/>
      <c r="Y369" s="1"/>
      <c r="Z369" s="15"/>
      <c r="AA369" s="1"/>
      <c r="AB369" s="1"/>
      <c r="AC369" s="1"/>
      <c r="AD369" s="1"/>
      <c r="AE369" s="15"/>
      <c r="AF369" s="1"/>
      <c r="AG369" s="1"/>
      <c r="AH369" s="1"/>
      <c r="AI369" s="1"/>
      <c r="AJ369" s="15"/>
      <c r="AK369" s="1"/>
    </row>
    <row r="370" spans="1:37" ht="16.5" customHeight="1">
      <c r="A370" s="1"/>
      <c r="B370" s="1"/>
      <c r="C370" s="1"/>
      <c r="D370" s="15"/>
      <c r="E370" s="15"/>
      <c r="F370" s="15"/>
      <c r="G370" s="15"/>
      <c r="H370" s="1"/>
      <c r="I370" s="1"/>
      <c r="J370" s="1"/>
      <c r="K370" s="15"/>
      <c r="L370" s="1"/>
      <c r="M370" s="1"/>
      <c r="N370" s="1"/>
      <c r="O370" s="1"/>
      <c r="P370" s="15"/>
      <c r="Q370" s="1"/>
      <c r="R370" s="1"/>
      <c r="S370" s="1"/>
      <c r="T370" s="1"/>
      <c r="U370" s="15"/>
      <c r="V370" s="1"/>
      <c r="W370" s="1"/>
      <c r="X370" s="1"/>
      <c r="Y370" s="1"/>
      <c r="Z370" s="15"/>
      <c r="AA370" s="1"/>
      <c r="AB370" s="1"/>
      <c r="AC370" s="1"/>
      <c r="AD370" s="1"/>
      <c r="AE370" s="15"/>
      <c r="AF370" s="1"/>
      <c r="AG370" s="1"/>
      <c r="AH370" s="1"/>
      <c r="AI370" s="1"/>
      <c r="AJ370" s="15"/>
      <c r="AK370" s="1"/>
    </row>
    <row r="371" spans="1:37" ht="16.5" customHeight="1">
      <c r="A371" s="1"/>
      <c r="B371" s="1"/>
      <c r="C371" s="1"/>
      <c r="D371" s="15"/>
      <c r="E371" s="15"/>
      <c r="F371" s="15"/>
      <c r="G371" s="15"/>
      <c r="H371" s="1"/>
      <c r="I371" s="1"/>
      <c r="J371" s="1"/>
      <c r="K371" s="15"/>
      <c r="L371" s="1"/>
      <c r="M371" s="1"/>
      <c r="N371" s="1"/>
      <c r="O371" s="1"/>
      <c r="P371" s="15"/>
      <c r="Q371" s="1"/>
      <c r="R371" s="1"/>
      <c r="S371" s="1"/>
      <c r="T371" s="1"/>
      <c r="U371" s="15"/>
      <c r="V371" s="1"/>
      <c r="W371" s="1"/>
      <c r="X371" s="1"/>
      <c r="Y371" s="1"/>
      <c r="Z371" s="15"/>
      <c r="AA371" s="1"/>
      <c r="AB371" s="1"/>
      <c r="AC371" s="1"/>
      <c r="AD371" s="1"/>
      <c r="AE371" s="15"/>
      <c r="AF371" s="1"/>
      <c r="AG371" s="1"/>
      <c r="AH371" s="1"/>
      <c r="AI371" s="1"/>
      <c r="AJ371" s="15"/>
      <c r="AK371" s="1"/>
    </row>
    <row r="372" spans="1:37" ht="16.5" customHeight="1">
      <c r="A372" s="1"/>
      <c r="B372" s="1"/>
      <c r="C372" s="1"/>
      <c r="D372" s="15"/>
      <c r="E372" s="15"/>
      <c r="F372" s="15"/>
      <c r="G372" s="15"/>
      <c r="H372" s="1"/>
      <c r="I372" s="1"/>
      <c r="J372" s="1"/>
      <c r="K372" s="15"/>
      <c r="L372" s="1"/>
      <c r="M372" s="1"/>
      <c r="N372" s="1"/>
      <c r="O372" s="1"/>
      <c r="P372" s="15"/>
      <c r="Q372" s="1"/>
      <c r="R372" s="1"/>
      <c r="S372" s="1"/>
      <c r="T372" s="1"/>
      <c r="U372" s="15"/>
      <c r="V372" s="1"/>
      <c r="W372" s="1"/>
      <c r="X372" s="1"/>
      <c r="Y372" s="1"/>
      <c r="Z372" s="15"/>
      <c r="AA372" s="1"/>
      <c r="AB372" s="1"/>
      <c r="AC372" s="1"/>
      <c r="AD372" s="1"/>
      <c r="AE372" s="15"/>
      <c r="AF372" s="1"/>
      <c r="AG372" s="1"/>
      <c r="AH372" s="1"/>
      <c r="AI372" s="1"/>
      <c r="AJ372" s="15"/>
      <c r="AK372" s="1"/>
    </row>
    <row r="373" spans="1:37" ht="16.5" customHeight="1">
      <c r="A373" s="1"/>
      <c r="B373" s="1"/>
      <c r="C373" s="1"/>
      <c r="D373" s="15"/>
      <c r="E373" s="15"/>
      <c r="F373" s="15"/>
      <c r="G373" s="15"/>
      <c r="H373" s="1"/>
      <c r="I373" s="1"/>
      <c r="J373" s="1"/>
      <c r="K373" s="15"/>
      <c r="L373" s="1"/>
      <c r="M373" s="1"/>
      <c r="N373" s="1"/>
      <c r="O373" s="1"/>
      <c r="P373" s="15"/>
      <c r="Q373" s="1"/>
      <c r="R373" s="1"/>
      <c r="S373" s="1"/>
      <c r="T373" s="1"/>
      <c r="U373" s="15"/>
      <c r="V373" s="1"/>
      <c r="W373" s="1"/>
      <c r="X373" s="1"/>
      <c r="Y373" s="1"/>
      <c r="Z373" s="15"/>
      <c r="AA373" s="1"/>
      <c r="AB373" s="1"/>
      <c r="AC373" s="1"/>
      <c r="AD373" s="1"/>
      <c r="AE373" s="15"/>
      <c r="AF373" s="1"/>
      <c r="AG373" s="1"/>
      <c r="AH373" s="1"/>
      <c r="AI373" s="1"/>
      <c r="AJ373" s="15"/>
      <c r="AK373" s="1"/>
    </row>
    <row r="374" spans="1:37" ht="16.5" customHeight="1">
      <c r="A374" s="1"/>
      <c r="B374" s="1"/>
      <c r="C374" s="1"/>
      <c r="D374" s="15"/>
      <c r="E374" s="15"/>
      <c r="F374" s="15"/>
      <c r="G374" s="15"/>
      <c r="H374" s="1"/>
      <c r="I374" s="1"/>
      <c r="J374" s="1"/>
      <c r="K374" s="15"/>
      <c r="L374" s="1"/>
      <c r="M374" s="1"/>
      <c r="N374" s="1"/>
      <c r="O374" s="1"/>
      <c r="P374" s="15"/>
      <c r="Q374" s="1"/>
      <c r="R374" s="1"/>
      <c r="S374" s="1"/>
      <c r="T374" s="1"/>
      <c r="U374" s="15"/>
      <c r="V374" s="1"/>
      <c r="W374" s="1"/>
      <c r="X374" s="1"/>
      <c r="Y374" s="1"/>
      <c r="Z374" s="15"/>
      <c r="AA374" s="1"/>
      <c r="AB374" s="1"/>
      <c r="AC374" s="1"/>
      <c r="AD374" s="1"/>
      <c r="AE374" s="15"/>
      <c r="AF374" s="1"/>
      <c r="AG374" s="1"/>
      <c r="AH374" s="1"/>
      <c r="AI374" s="1"/>
      <c r="AJ374" s="15"/>
      <c r="AK374" s="1"/>
    </row>
    <row r="375" spans="1:37" ht="16.5" customHeight="1">
      <c r="A375" s="1"/>
      <c r="B375" s="1"/>
      <c r="C375" s="1"/>
      <c r="D375" s="15"/>
      <c r="E375" s="15"/>
      <c r="F375" s="15"/>
      <c r="G375" s="15"/>
      <c r="H375" s="1"/>
      <c r="I375" s="1"/>
      <c r="J375" s="1"/>
      <c r="K375" s="15"/>
      <c r="L375" s="1"/>
      <c r="M375" s="1"/>
      <c r="N375" s="1"/>
      <c r="O375" s="1"/>
      <c r="P375" s="15"/>
      <c r="Q375" s="1"/>
      <c r="R375" s="1"/>
      <c r="S375" s="1"/>
      <c r="T375" s="1"/>
      <c r="U375" s="15"/>
      <c r="V375" s="1"/>
      <c r="W375" s="1"/>
      <c r="X375" s="1"/>
      <c r="Y375" s="1"/>
      <c r="Z375" s="15"/>
      <c r="AA375" s="1"/>
      <c r="AB375" s="1"/>
      <c r="AC375" s="1"/>
      <c r="AD375" s="1"/>
      <c r="AE375" s="15"/>
      <c r="AF375" s="1"/>
      <c r="AG375" s="1"/>
      <c r="AH375" s="1"/>
      <c r="AI375" s="1"/>
      <c r="AJ375" s="15"/>
      <c r="AK375" s="1"/>
    </row>
    <row r="376" spans="1:37" ht="16.5" customHeight="1">
      <c r="A376" s="1"/>
      <c r="B376" s="1"/>
      <c r="C376" s="1"/>
      <c r="D376" s="15"/>
      <c r="E376" s="15"/>
      <c r="F376" s="15"/>
      <c r="G376" s="15"/>
      <c r="H376" s="1"/>
      <c r="I376" s="1"/>
      <c r="J376" s="1"/>
      <c r="K376" s="15"/>
      <c r="L376" s="1"/>
      <c r="M376" s="1"/>
      <c r="N376" s="1"/>
      <c r="O376" s="1"/>
      <c r="P376" s="15"/>
      <c r="Q376" s="1"/>
      <c r="R376" s="1"/>
      <c r="S376" s="1"/>
      <c r="T376" s="1"/>
      <c r="U376" s="15"/>
      <c r="V376" s="1"/>
      <c r="W376" s="1"/>
      <c r="X376" s="1"/>
      <c r="Y376" s="1"/>
      <c r="Z376" s="15"/>
      <c r="AA376" s="1"/>
      <c r="AB376" s="1"/>
      <c r="AC376" s="1"/>
      <c r="AD376" s="1"/>
      <c r="AE376" s="15"/>
      <c r="AF376" s="1"/>
      <c r="AG376" s="1"/>
      <c r="AH376" s="1"/>
      <c r="AI376" s="1"/>
      <c r="AJ376" s="15"/>
      <c r="AK376" s="1"/>
    </row>
    <row r="377" spans="1:37" ht="16.5" customHeight="1">
      <c r="A377" s="1"/>
      <c r="B377" s="1"/>
      <c r="C377" s="1"/>
      <c r="D377" s="15"/>
      <c r="E377" s="15"/>
      <c r="F377" s="15"/>
      <c r="G377" s="15"/>
      <c r="H377" s="1"/>
      <c r="I377" s="1"/>
      <c r="J377" s="1"/>
      <c r="K377" s="15"/>
      <c r="L377" s="1"/>
      <c r="M377" s="1"/>
      <c r="N377" s="1"/>
      <c r="O377" s="1"/>
      <c r="P377" s="15"/>
      <c r="Q377" s="1"/>
      <c r="R377" s="1"/>
      <c r="S377" s="1"/>
      <c r="T377" s="1"/>
      <c r="U377" s="15"/>
      <c r="V377" s="1"/>
      <c r="W377" s="1"/>
      <c r="X377" s="1"/>
      <c r="Y377" s="1"/>
      <c r="Z377" s="15"/>
      <c r="AA377" s="1"/>
      <c r="AB377" s="1"/>
      <c r="AC377" s="1"/>
      <c r="AD377" s="1"/>
      <c r="AE377" s="15"/>
      <c r="AF377" s="1"/>
      <c r="AG377" s="1"/>
      <c r="AH377" s="1"/>
      <c r="AI377" s="1"/>
      <c r="AJ377" s="15"/>
      <c r="AK377" s="1"/>
    </row>
    <row r="378" spans="1:37" ht="16.5" customHeight="1">
      <c r="A378" s="1"/>
      <c r="B378" s="1"/>
      <c r="C378" s="1"/>
      <c r="D378" s="15"/>
      <c r="E378" s="15"/>
      <c r="F378" s="15"/>
      <c r="G378" s="15"/>
      <c r="H378" s="1"/>
      <c r="I378" s="1"/>
      <c r="J378" s="1"/>
      <c r="K378" s="15"/>
      <c r="L378" s="1"/>
      <c r="M378" s="1"/>
      <c r="N378" s="1"/>
      <c r="O378" s="1"/>
      <c r="P378" s="15"/>
      <c r="Q378" s="1"/>
      <c r="R378" s="1"/>
      <c r="S378" s="1"/>
      <c r="T378" s="1"/>
      <c r="U378" s="15"/>
      <c r="V378" s="1"/>
      <c r="W378" s="1"/>
      <c r="X378" s="1"/>
      <c r="Y378" s="1"/>
      <c r="Z378" s="15"/>
      <c r="AA378" s="1"/>
      <c r="AB378" s="1"/>
      <c r="AC378" s="1"/>
      <c r="AD378" s="1"/>
      <c r="AE378" s="15"/>
      <c r="AF378" s="1"/>
      <c r="AG378" s="1"/>
      <c r="AH378" s="1"/>
      <c r="AI378" s="1"/>
      <c r="AJ378" s="15"/>
      <c r="AK378" s="1"/>
    </row>
    <row r="379" spans="1:37" ht="16.5" customHeight="1">
      <c r="A379" s="1"/>
      <c r="B379" s="1"/>
      <c r="C379" s="1"/>
      <c r="D379" s="15"/>
      <c r="E379" s="15"/>
      <c r="F379" s="15"/>
      <c r="G379" s="15"/>
      <c r="H379" s="1"/>
      <c r="I379" s="1"/>
      <c r="J379" s="1"/>
      <c r="K379" s="15"/>
      <c r="L379" s="1"/>
      <c r="M379" s="1"/>
      <c r="N379" s="1"/>
      <c r="O379" s="1"/>
      <c r="P379" s="15"/>
      <c r="Q379" s="1"/>
      <c r="R379" s="1"/>
      <c r="S379" s="1"/>
      <c r="T379" s="1"/>
      <c r="U379" s="15"/>
      <c r="V379" s="1"/>
      <c r="W379" s="1"/>
      <c r="X379" s="1"/>
      <c r="Y379" s="1"/>
      <c r="Z379" s="15"/>
      <c r="AA379" s="1"/>
      <c r="AB379" s="1"/>
      <c r="AC379" s="1"/>
      <c r="AD379" s="1"/>
      <c r="AE379" s="15"/>
      <c r="AF379" s="1"/>
      <c r="AG379" s="1"/>
      <c r="AH379" s="1"/>
      <c r="AI379" s="1"/>
      <c r="AJ379" s="15"/>
      <c r="AK379" s="1"/>
    </row>
    <row r="380" spans="1:37" ht="16.5" customHeight="1">
      <c r="A380" s="1"/>
      <c r="B380" s="1"/>
      <c r="C380" s="1"/>
      <c r="D380" s="15"/>
      <c r="E380" s="15"/>
      <c r="F380" s="15"/>
      <c r="G380" s="15"/>
      <c r="H380" s="1"/>
      <c r="I380" s="1"/>
      <c r="J380" s="1"/>
      <c r="K380" s="15"/>
      <c r="L380" s="1"/>
      <c r="M380" s="1"/>
      <c r="N380" s="1"/>
      <c r="O380" s="1"/>
      <c r="P380" s="15"/>
      <c r="Q380" s="1"/>
      <c r="R380" s="1"/>
      <c r="S380" s="1"/>
      <c r="T380" s="1"/>
      <c r="U380" s="15"/>
      <c r="V380" s="1"/>
      <c r="W380" s="1"/>
      <c r="X380" s="1"/>
      <c r="Y380" s="1"/>
      <c r="Z380" s="15"/>
      <c r="AA380" s="1"/>
      <c r="AB380" s="1"/>
      <c r="AC380" s="1"/>
      <c r="AD380" s="1"/>
      <c r="AE380" s="15"/>
      <c r="AF380" s="1"/>
      <c r="AG380" s="1"/>
      <c r="AH380" s="1"/>
      <c r="AI380" s="1"/>
      <c r="AJ380" s="15"/>
      <c r="AK380" s="1"/>
    </row>
    <row r="381" spans="1:37" ht="16.5" customHeight="1">
      <c r="A381" s="1"/>
      <c r="B381" s="1"/>
      <c r="C381" s="1"/>
      <c r="D381" s="15"/>
      <c r="E381" s="15"/>
      <c r="F381" s="15"/>
      <c r="G381" s="15"/>
      <c r="H381" s="1"/>
      <c r="I381" s="1"/>
      <c r="J381" s="1"/>
      <c r="K381" s="15"/>
      <c r="L381" s="1"/>
      <c r="M381" s="1"/>
      <c r="N381" s="1"/>
      <c r="O381" s="1"/>
      <c r="P381" s="15"/>
      <c r="Q381" s="1"/>
      <c r="R381" s="1"/>
      <c r="S381" s="1"/>
      <c r="T381" s="1"/>
      <c r="U381" s="15"/>
      <c r="V381" s="1"/>
      <c r="W381" s="1"/>
      <c r="X381" s="1"/>
      <c r="Y381" s="1"/>
      <c r="Z381" s="15"/>
      <c r="AA381" s="1"/>
      <c r="AB381" s="1"/>
      <c r="AC381" s="1"/>
      <c r="AD381" s="1"/>
      <c r="AE381" s="15"/>
      <c r="AF381" s="1"/>
      <c r="AG381" s="1"/>
      <c r="AH381" s="1"/>
      <c r="AI381" s="1"/>
      <c r="AJ381" s="15"/>
      <c r="AK381" s="1"/>
    </row>
    <row r="382" spans="1:37" ht="16.5" customHeight="1">
      <c r="A382" s="1"/>
      <c r="B382" s="1"/>
      <c r="C382" s="1"/>
      <c r="D382" s="15"/>
      <c r="E382" s="15"/>
      <c r="F382" s="15"/>
      <c r="G382" s="15"/>
      <c r="H382" s="1"/>
      <c r="I382" s="1"/>
      <c r="J382" s="1"/>
      <c r="K382" s="15"/>
      <c r="L382" s="1"/>
      <c r="M382" s="1"/>
      <c r="N382" s="1"/>
      <c r="O382" s="1"/>
      <c r="P382" s="15"/>
      <c r="Q382" s="1"/>
      <c r="R382" s="1"/>
      <c r="S382" s="1"/>
      <c r="T382" s="1"/>
      <c r="U382" s="15"/>
      <c r="V382" s="1"/>
      <c r="W382" s="1"/>
      <c r="X382" s="1"/>
      <c r="Y382" s="1"/>
      <c r="Z382" s="15"/>
      <c r="AA382" s="1"/>
      <c r="AB382" s="1"/>
      <c r="AC382" s="1"/>
      <c r="AD382" s="1"/>
      <c r="AE382" s="15"/>
      <c r="AF382" s="1"/>
      <c r="AG382" s="1"/>
      <c r="AH382" s="1"/>
      <c r="AI382" s="1"/>
      <c r="AJ382" s="15"/>
      <c r="AK382" s="1"/>
    </row>
    <row r="383" spans="1:37" ht="16.5" customHeight="1">
      <c r="A383" s="1"/>
      <c r="B383" s="1"/>
      <c r="C383" s="1"/>
      <c r="D383" s="15"/>
      <c r="E383" s="15"/>
      <c r="F383" s="15"/>
      <c r="G383" s="15"/>
      <c r="H383" s="1"/>
      <c r="I383" s="1"/>
      <c r="J383" s="1"/>
      <c r="K383" s="15"/>
      <c r="L383" s="1"/>
      <c r="M383" s="1"/>
      <c r="N383" s="1"/>
      <c r="O383" s="1"/>
      <c r="P383" s="15"/>
      <c r="Q383" s="1"/>
      <c r="R383" s="1"/>
      <c r="S383" s="1"/>
      <c r="T383" s="1"/>
      <c r="U383" s="15"/>
      <c r="V383" s="1"/>
      <c r="W383" s="1"/>
      <c r="X383" s="1"/>
      <c r="Y383" s="1"/>
      <c r="Z383" s="15"/>
      <c r="AA383" s="1"/>
      <c r="AB383" s="1"/>
      <c r="AC383" s="1"/>
      <c r="AD383" s="1"/>
      <c r="AE383" s="15"/>
      <c r="AF383" s="1"/>
      <c r="AG383" s="1"/>
      <c r="AH383" s="1"/>
      <c r="AI383" s="1"/>
      <c r="AJ383" s="15"/>
      <c r="AK383" s="1"/>
    </row>
    <row r="384" spans="1:37" ht="16.5" customHeight="1">
      <c r="A384" s="1"/>
      <c r="B384" s="1"/>
      <c r="C384" s="1"/>
      <c r="D384" s="15"/>
      <c r="E384" s="15"/>
      <c r="F384" s="15"/>
      <c r="G384" s="15"/>
      <c r="H384" s="1"/>
      <c r="I384" s="1"/>
      <c r="J384" s="1"/>
      <c r="K384" s="15"/>
      <c r="L384" s="1"/>
      <c r="M384" s="1"/>
      <c r="N384" s="1"/>
      <c r="O384" s="1"/>
      <c r="P384" s="15"/>
      <c r="Q384" s="1"/>
      <c r="R384" s="1"/>
      <c r="S384" s="1"/>
      <c r="T384" s="1"/>
      <c r="U384" s="15"/>
      <c r="V384" s="1"/>
      <c r="W384" s="1"/>
      <c r="X384" s="1"/>
      <c r="Y384" s="1"/>
      <c r="Z384" s="15"/>
      <c r="AA384" s="1"/>
      <c r="AB384" s="1"/>
      <c r="AC384" s="1"/>
      <c r="AD384" s="1"/>
      <c r="AE384" s="15"/>
      <c r="AF384" s="1"/>
      <c r="AG384" s="1"/>
      <c r="AH384" s="1"/>
      <c r="AI384" s="1"/>
      <c r="AJ384" s="15"/>
      <c r="AK384" s="1"/>
    </row>
    <row r="385" spans="1:37" ht="16.5" customHeight="1">
      <c r="A385" s="1"/>
      <c r="B385" s="1"/>
      <c r="C385" s="1"/>
      <c r="D385" s="15"/>
      <c r="E385" s="15"/>
      <c r="F385" s="15"/>
      <c r="G385" s="15"/>
      <c r="H385" s="1"/>
      <c r="I385" s="1"/>
      <c r="J385" s="1"/>
      <c r="K385" s="15"/>
      <c r="L385" s="1"/>
      <c r="M385" s="1"/>
      <c r="N385" s="1"/>
      <c r="O385" s="1"/>
      <c r="P385" s="15"/>
      <c r="Q385" s="1"/>
      <c r="R385" s="1"/>
      <c r="S385" s="1"/>
      <c r="T385" s="1"/>
      <c r="U385" s="15"/>
      <c r="V385" s="1"/>
      <c r="W385" s="1"/>
      <c r="X385" s="1"/>
      <c r="Y385" s="1"/>
      <c r="Z385" s="15"/>
      <c r="AA385" s="1"/>
      <c r="AB385" s="1"/>
      <c r="AC385" s="1"/>
      <c r="AD385" s="1"/>
      <c r="AE385" s="15"/>
      <c r="AF385" s="1"/>
      <c r="AG385" s="1"/>
      <c r="AH385" s="1"/>
      <c r="AI385" s="1"/>
      <c r="AJ385" s="15"/>
      <c r="AK385" s="1"/>
    </row>
    <row r="386" spans="1:37" ht="16.5" customHeight="1">
      <c r="A386" s="1"/>
      <c r="B386" s="1"/>
      <c r="C386" s="1"/>
      <c r="D386" s="15"/>
      <c r="E386" s="15"/>
      <c r="F386" s="15"/>
      <c r="G386" s="15"/>
      <c r="H386" s="1"/>
      <c r="I386" s="1"/>
      <c r="J386" s="1"/>
      <c r="K386" s="15"/>
      <c r="L386" s="1"/>
      <c r="M386" s="1"/>
      <c r="N386" s="1"/>
      <c r="O386" s="1"/>
      <c r="P386" s="15"/>
      <c r="Q386" s="1"/>
      <c r="R386" s="1"/>
      <c r="S386" s="1"/>
      <c r="T386" s="1"/>
      <c r="U386" s="15"/>
      <c r="V386" s="1"/>
      <c r="W386" s="1"/>
      <c r="X386" s="1"/>
      <c r="Y386" s="1"/>
      <c r="Z386" s="15"/>
      <c r="AA386" s="1"/>
      <c r="AB386" s="1"/>
      <c r="AC386" s="1"/>
      <c r="AD386" s="1"/>
      <c r="AE386" s="15"/>
      <c r="AF386" s="1"/>
      <c r="AG386" s="1"/>
      <c r="AH386" s="1"/>
      <c r="AI386" s="1"/>
      <c r="AJ386" s="15"/>
      <c r="AK386" s="1"/>
    </row>
    <row r="387" spans="1:37" ht="16.5" customHeight="1">
      <c r="A387" s="1"/>
      <c r="B387" s="1"/>
      <c r="C387" s="1"/>
      <c r="D387" s="15"/>
      <c r="E387" s="15"/>
      <c r="F387" s="15"/>
      <c r="G387" s="15"/>
      <c r="H387" s="1"/>
      <c r="I387" s="1"/>
      <c r="J387" s="1"/>
      <c r="K387" s="15"/>
      <c r="L387" s="1"/>
      <c r="M387" s="1"/>
      <c r="N387" s="1"/>
      <c r="O387" s="1"/>
      <c r="P387" s="15"/>
      <c r="Q387" s="1"/>
      <c r="R387" s="1"/>
      <c r="S387" s="1"/>
      <c r="T387" s="1"/>
      <c r="U387" s="15"/>
      <c r="V387" s="1"/>
      <c r="W387" s="1"/>
      <c r="X387" s="1"/>
      <c r="Y387" s="1"/>
      <c r="Z387" s="15"/>
      <c r="AA387" s="1"/>
      <c r="AB387" s="1"/>
      <c r="AC387" s="1"/>
      <c r="AD387" s="1"/>
      <c r="AE387" s="15"/>
      <c r="AF387" s="1"/>
      <c r="AG387" s="1"/>
      <c r="AH387" s="1"/>
      <c r="AI387" s="1"/>
      <c r="AJ387" s="15"/>
      <c r="AK387" s="1"/>
    </row>
    <row r="388" spans="1:37" ht="16.5" customHeight="1">
      <c r="A388" s="1"/>
      <c r="B388" s="1"/>
      <c r="C388" s="1"/>
      <c r="D388" s="15"/>
      <c r="E388" s="15"/>
      <c r="F388" s="15"/>
      <c r="G388" s="15"/>
      <c r="H388" s="1"/>
      <c r="I388" s="1"/>
      <c r="J388" s="1"/>
      <c r="K388" s="15"/>
      <c r="L388" s="1"/>
      <c r="M388" s="1"/>
      <c r="N388" s="1"/>
      <c r="O388" s="1"/>
      <c r="P388" s="15"/>
      <c r="Q388" s="1"/>
      <c r="R388" s="1"/>
      <c r="S388" s="1"/>
      <c r="T388" s="1"/>
      <c r="U388" s="15"/>
      <c r="V388" s="1"/>
      <c r="W388" s="1"/>
      <c r="X388" s="1"/>
      <c r="Y388" s="1"/>
      <c r="Z388" s="15"/>
      <c r="AA388" s="1"/>
      <c r="AB388" s="1"/>
      <c r="AC388" s="1"/>
      <c r="AD388" s="1"/>
      <c r="AE388" s="15"/>
      <c r="AF388" s="1"/>
      <c r="AG388" s="1"/>
      <c r="AH388" s="1"/>
      <c r="AI388" s="1"/>
      <c r="AJ388" s="15"/>
      <c r="AK388" s="1"/>
    </row>
    <row r="389" spans="1:37" ht="16.5" customHeight="1">
      <c r="A389" s="1"/>
      <c r="B389" s="1"/>
      <c r="C389" s="1"/>
      <c r="D389" s="15"/>
      <c r="E389" s="15"/>
      <c r="F389" s="15"/>
      <c r="G389" s="15"/>
      <c r="H389" s="1"/>
      <c r="I389" s="1"/>
      <c r="J389" s="1"/>
      <c r="K389" s="15"/>
      <c r="L389" s="1"/>
      <c r="M389" s="1"/>
      <c r="N389" s="1"/>
      <c r="O389" s="1"/>
      <c r="P389" s="15"/>
      <c r="Q389" s="1"/>
      <c r="R389" s="1"/>
      <c r="S389" s="1"/>
      <c r="T389" s="1"/>
      <c r="U389" s="15"/>
      <c r="V389" s="1"/>
      <c r="W389" s="1"/>
      <c r="X389" s="1"/>
      <c r="Y389" s="1"/>
      <c r="Z389" s="15"/>
      <c r="AA389" s="1"/>
      <c r="AB389" s="1"/>
      <c r="AC389" s="1"/>
      <c r="AD389" s="1"/>
      <c r="AE389" s="15"/>
      <c r="AF389" s="1"/>
      <c r="AG389" s="1"/>
      <c r="AH389" s="1"/>
      <c r="AI389" s="1"/>
      <c r="AJ389" s="15"/>
      <c r="AK389" s="1"/>
    </row>
    <row r="390" spans="1:37" ht="16.5" customHeight="1">
      <c r="A390" s="1"/>
      <c r="B390" s="1"/>
      <c r="C390" s="1"/>
      <c r="D390" s="15"/>
      <c r="E390" s="15"/>
      <c r="F390" s="15"/>
      <c r="G390" s="15"/>
      <c r="H390" s="1"/>
      <c r="I390" s="1"/>
      <c r="J390" s="1"/>
      <c r="K390" s="15"/>
      <c r="L390" s="1"/>
      <c r="M390" s="1"/>
      <c r="N390" s="1"/>
      <c r="O390" s="1"/>
      <c r="P390" s="15"/>
      <c r="Q390" s="1"/>
      <c r="R390" s="1"/>
      <c r="S390" s="1"/>
      <c r="T390" s="1"/>
      <c r="U390" s="15"/>
      <c r="V390" s="1"/>
      <c r="W390" s="1"/>
      <c r="X390" s="1"/>
      <c r="Y390" s="1"/>
      <c r="Z390" s="15"/>
      <c r="AA390" s="1"/>
      <c r="AB390" s="1"/>
      <c r="AC390" s="1"/>
      <c r="AD390" s="1"/>
      <c r="AE390" s="15"/>
      <c r="AF390" s="1"/>
      <c r="AG390" s="1"/>
      <c r="AH390" s="1"/>
      <c r="AI390" s="1"/>
      <c r="AJ390" s="15"/>
      <c r="AK390" s="1"/>
    </row>
    <row r="391" spans="1:37" ht="16.5" customHeight="1">
      <c r="A391" s="1"/>
      <c r="B391" s="1"/>
      <c r="C391" s="1"/>
      <c r="D391" s="15"/>
      <c r="E391" s="15"/>
      <c r="F391" s="15"/>
      <c r="G391" s="15"/>
      <c r="H391" s="1"/>
      <c r="I391" s="1"/>
      <c r="J391" s="1"/>
      <c r="K391" s="15"/>
      <c r="L391" s="1"/>
      <c r="M391" s="1"/>
      <c r="N391" s="1"/>
      <c r="O391" s="1"/>
      <c r="P391" s="15"/>
      <c r="Q391" s="1"/>
      <c r="R391" s="1"/>
      <c r="S391" s="1"/>
      <c r="T391" s="1"/>
      <c r="U391" s="15"/>
      <c r="V391" s="1"/>
      <c r="W391" s="1"/>
      <c r="X391" s="1"/>
      <c r="Y391" s="1"/>
      <c r="Z391" s="15"/>
      <c r="AA391" s="1"/>
      <c r="AB391" s="1"/>
      <c r="AC391" s="1"/>
      <c r="AD391" s="1"/>
      <c r="AE391" s="15"/>
      <c r="AF391" s="1"/>
      <c r="AG391" s="1"/>
      <c r="AH391" s="1"/>
      <c r="AI391" s="1"/>
      <c r="AJ391" s="15"/>
      <c r="AK391" s="1"/>
    </row>
    <row r="392" spans="1:37" ht="16.5" customHeight="1">
      <c r="A392" s="1"/>
      <c r="B392" s="1"/>
      <c r="C392" s="1"/>
      <c r="D392" s="15"/>
      <c r="E392" s="15"/>
      <c r="F392" s="15"/>
      <c r="G392" s="15"/>
      <c r="H392" s="1"/>
      <c r="I392" s="1"/>
      <c r="J392" s="1"/>
      <c r="K392" s="15"/>
      <c r="L392" s="1"/>
      <c r="M392" s="1"/>
      <c r="N392" s="1"/>
      <c r="O392" s="1"/>
      <c r="P392" s="15"/>
      <c r="Q392" s="1"/>
      <c r="R392" s="1"/>
      <c r="S392" s="1"/>
      <c r="T392" s="1"/>
      <c r="U392" s="15"/>
      <c r="V392" s="1"/>
      <c r="W392" s="1"/>
      <c r="X392" s="1"/>
      <c r="Y392" s="1"/>
      <c r="Z392" s="15"/>
      <c r="AA392" s="1"/>
      <c r="AB392" s="1"/>
      <c r="AC392" s="1"/>
      <c r="AD392" s="1"/>
      <c r="AE392" s="15"/>
      <c r="AF392" s="1"/>
      <c r="AG392" s="1"/>
      <c r="AH392" s="1"/>
      <c r="AI392" s="1"/>
      <c r="AJ392" s="15"/>
      <c r="AK392" s="1"/>
    </row>
    <row r="393" spans="1:37" ht="16.5" customHeight="1">
      <c r="A393" s="1"/>
      <c r="B393" s="1"/>
      <c r="C393" s="1"/>
      <c r="D393" s="15"/>
      <c r="E393" s="15"/>
      <c r="F393" s="15"/>
      <c r="G393" s="15"/>
      <c r="H393" s="1"/>
      <c r="I393" s="1"/>
      <c r="J393" s="1"/>
      <c r="K393" s="15"/>
      <c r="L393" s="1"/>
      <c r="M393" s="1"/>
      <c r="N393" s="1"/>
      <c r="O393" s="1"/>
      <c r="P393" s="15"/>
      <c r="Q393" s="1"/>
      <c r="R393" s="1"/>
      <c r="S393" s="1"/>
      <c r="T393" s="1"/>
      <c r="U393" s="15"/>
      <c r="V393" s="1"/>
      <c r="W393" s="1"/>
      <c r="X393" s="1"/>
      <c r="Y393" s="1"/>
      <c r="Z393" s="15"/>
      <c r="AA393" s="1"/>
      <c r="AB393" s="1"/>
      <c r="AC393" s="1"/>
      <c r="AD393" s="1"/>
      <c r="AE393" s="15"/>
      <c r="AF393" s="1"/>
      <c r="AG393" s="1"/>
      <c r="AH393" s="1"/>
      <c r="AI393" s="1"/>
      <c r="AJ393" s="15"/>
      <c r="AK393" s="1"/>
    </row>
    <row r="394" spans="1:37" ht="16.5" customHeight="1">
      <c r="A394" s="1"/>
      <c r="B394" s="1"/>
      <c r="C394" s="1"/>
      <c r="D394" s="15"/>
      <c r="E394" s="15"/>
      <c r="F394" s="15"/>
      <c r="G394" s="15"/>
      <c r="H394" s="1"/>
      <c r="I394" s="1"/>
      <c r="J394" s="1"/>
      <c r="K394" s="15"/>
      <c r="L394" s="1"/>
      <c r="M394" s="1"/>
      <c r="N394" s="1"/>
      <c r="O394" s="1"/>
      <c r="P394" s="15"/>
      <c r="Q394" s="1"/>
      <c r="R394" s="1"/>
      <c r="S394" s="1"/>
      <c r="T394" s="1"/>
      <c r="U394" s="15"/>
      <c r="V394" s="1"/>
      <c r="W394" s="1"/>
      <c r="X394" s="1"/>
      <c r="Y394" s="1"/>
      <c r="Z394" s="15"/>
      <c r="AA394" s="1"/>
      <c r="AB394" s="1"/>
      <c r="AC394" s="1"/>
      <c r="AD394" s="1"/>
      <c r="AE394" s="15"/>
      <c r="AF394" s="1"/>
      <c r="AG394" s="1"/>
      <c r="AH394" s="1"/>
      <c r="AI394" s="1"/>
      <c r="AJ394" s="15"/>
      <c r="AK394" s="1"/>
    </row>
    <row r="395" spans="1:37" ht="16.5" customHeight="1">
      <c r="A395" s="1"/>
      <c r="B395" s="1"/>
      <c r="C395" s="1"/>
      <c r="D395" s="15"/>
      <c r="E395" s="15"/>
      <c r="F395" s="15"/>
      <c r="G395" s="15"/>
      <c r="H395" s="1"/>
      <c r="I395" s="1"/>
      <c r="J395" s="1"/>
      <c r="K395" s="15"/>
      <c r="L395" s="1"/>
      <c r="M395" s="1"/>
      <c r="N395" s="1"/>
      <c r="O395" s="1"/>
      <c r="P395" s="15"/>
      <c r="Q395" s="1"/>
      <c r="R395" s="1"/>
      <c r="S395" s="1"/>
      <c r="T395" s="1"/>
      <c r="U395" s="15"/>
      <c r="V395" s="1"/>
      <c r="W395" s="1"/>
      <c r="X395" s="1"/>
      <c r="Y395" s="1"/>
      <c r="Z395" s="15"/>
      <c r="AA395" s="1"/>
      <c r="AB395" s="1"/>
      <c r="AC395" s="1"/>
      <c r="AD395" s="1"/>
      <c r="AE395" s="15"/>
      <c r="AF395" s="1"/>
      <c r="AG395" s="1"/>
      <c r="AH395" s="1"/>
      <c r="AI395" s="1"/>
      <c r="AJ395" s="15"/>
      <c r="AK395" s="1"/>
    </row>
    <row r="396" spans="1:37" ht="16.5" customHeight="1">
      <c r="A396" s="1"/>
      <c r="B396" s="1"/>
      <c r="C396" s="1"/>
      <c r="D396" s="15"/>
      <c r="E396" s="15"/>
      <c r="F396" s="15"/>
      <c r="G396" s="15"/>
      <c r="H396" s="1"/>
      <c r="I396" s="1"/>
      <c r="J396" s="1"/>
      <c r="K396" s="15"/>
      <c r="L396" s="1"/>
      <c r="M396" s="1"/>
      <c r="N396" s="1"/>
      <c r="O396" s="1"/>
      <c r="P396" s="15"/>
      <c r="Q396" s="1"/>
      <c r="R396" s="1"/>
      <c r="S396" s="1"/>
      <c r="T396" s="1"/>
      <c r="U396" s="15"/>
      <c r="V396" s="1"/>
      <c r="W396" s="1"/>
      <c r="X396" s="1"/>
      <c r="Y396" s="1"/>
      <c r="Z396" s="15"/>
      <c r="AA396" s="1"/>
      <c r="AB396" s="1"/>
      <c r="AC396" s="1"/>
      <c r="AD396" s="1"/>
      <c r="AE396" s="15"/>
      <c r="AF396" s="1"/>
      <c r="AG396" s="1"/>
      <c r="AH396" s="1"/>
      <c r="AI396" s="1"/>
      <c r="AJ396" s="15"/>
      <c r="AK396" s="1"/>
    </row>
    <row r="397" spans="1:37" ht="16.5" customHeight="1">
      <c r="A397" s="1"/>
      <c r="B397" s="1"/>
      <c r="C397" s="1"/>
      <c r="D397" s="15"/>
      <c r="E397" s="15"/>
      <c r="F397" s="15"/>
      <c r="G397" s="15"/>
      <c r="H397" s="1"/>
      <c r="I397" s="1"/>
      <c r="J397" s="1"/>
      <c r="K397" s="15"/>
      <c r="L397" s="1"/>
      <c r="M397" s="1"/>
      <c r="N397" s="1"/>
      <c r="O397" s="1"/>
      <c r="P397" s="15"/>
      <c r="Q397" s="1"/>
      <c r="R397" s="1"/>
      <c r="S397" s="1"/>
      <c r="T397" s="1"/>
      <c r="U397" s="15"/>
      <c r="V397" s="1"/>
      <c r="W397" s="1"/>
      <c r="X397" s="1"/>
      <c r="Y397" s="1"/>
      <c r="Z397" s="15"/>
      <c r="AA397" s="1"/>
      <c r="AB397" s="1"/>
      <c r="AC397" s="1"/>
      <c r="AD397" s="1"/>
      <c r="AE397" s="15"/>
      <c r="AF397" s="1"/>
      <c r="AG397" s="1"/>
      <c r="AH397" s="1"/>
      <c r="AI397" s="1"/>
      <c r="AJ397" s="15"/>
      <c r="AK397" s="1"/>
    </row>
    <row r="398" spans="1:37" ht="16.5" customHeight="1">
      <c r="A398" s="1"/>
      <c r="B398" s="1"/>
      <c r="C398" s="1"/>
      <c r="D398" s="15"/>
      <c r="E398" s="15"/>
      <c r="F398" s="15"/>
      <c r="G398" s="15"/>
      <c r="H398" s="1"/>
      <c r="I398" s="1"/>
      <c r="J398" s="1"/>
      <c r="K398" s="15"/>
      <c r="L398" s="1"/>
      <c r="M398" s="1"/>
      <c r="N398" s="1"/>
      <c r="O398" s="1"/>
      <c r="P398" s="15"/>
      <c r="Q398" s="1"/>
      <c r="R398" s="1"/>
      <c r="S398" s="1"/>
      <c r="T398" s="1"/>
      <c r="U398" s="15"/>
      <c r="V398" s="1"/>
      <c r="W398" s="1"/>
      <c r="X398" s="1"/>
      <c r="Y398" s="1"/>
      <c r="Z398" s="15"/>
      <c r="AA398" s="1"/>
      <c r="AB398" s="1"/>
      <c r="AC398" s="1"/>
      <c r="AD398" s="1"/>
      <c r="AE398" s="15"/>
      <c r="AF398" s="1"/>
      <c r="AG398" s="1"/>
      <c r="AH398" s="1"/>
      <c r="AI398" s="1"/>
      <c r="AJ398" s="15"/>
      <c r="AK398" s="1"/>
    </row>
    <row r="399" spans="1:37" ht="16.5" customHeight="1">
      <c r="A399" s="1"/>
      <c r="B399" s="1"/>
      <c r="C399" s="1"/>
      <c r="D399" s="15"/>
      <c r="E399" s="15"/>
      <c r="F399" s="15"/>
      <c r="G399" s="15"/>
      <c r="H399" s="1"/>
      <c r="I399" s="1"/>
      <c r="J399" s="1"/>
      <c r="K399" s="15"/>
      <c r="L399" s="1"/>
      <c r="M399" s="1"/>
      <c r="N399" s="1"/>
      <c r="O399" s="1"/>
      <c r="P399" s="15"/>
      <c r="Q399" s="1"/>
      <c r="R399" s="1"/>
      <c r="S399" s="1"/>
      <c r="T399" s="1"/>
      <c r="U399" s="15"/>
      <c r="V399" s="1"/>
      <c r="W399" s="1"/>
      <c r="X399" s="1"/>
      <c r="Y399" s="1"/>
      <c r="Z399" s="15"/>
      <c r="AA399" s="1"/>
      <c r="AB399" s="1"/>
      <c r="AC399" s="1"/>
      <c r="AD399" s="1"/>
      <c r="AE399" s="15"/>
      <c r="AF399" s="1"/>
      <c r="AG399" s="1"/>
      <c r="AH399" s="1"/>
      <c r="AI399" s="1"/>
      <c r="AJ399" s="15"/>
      <c r="AK399" s="1"/>
    </row>
    <row r="400" spans="1:37" ht="16.5" customHeight="1">
      <c r="A400" s="1"/>
      <c r="B400" s="1"/>
      <c r="C400" s="1"/>
      <c r="D400" s="15"/>
      <c r="E400" s="15"/>
      <c r="F400" s="15"/>
      <c r="G400" s="15"/>
      <c r="H400" s="1"/>
      <c r="I400" s="1"/>
      <c r="J400" s="1"/>
      <c r="K400" s="15"/>
      <c r="L400" s="1"/>
      <c r="M400" s="1"/>
      <c r="N400" s="1"/>
      <c r="O400" s="1"/>
      <c r="P400" s="15"/>
      <c r="Q400" s="1"/>
      <c r="R400" s="1"/>
      <c r="S400" s="1"/>
      <c r="T400" s="1"/>
      <c r="U400" s="15"/>
      <c r="V400" s="1"/>
      <c r="W400" s="1"/>
      <c r="X400" s="1"/>
      <c r="Y400" s="1"/>
      <c r="Z400" s="15"/>
      <c r="AA400" s="1"/>
      <c r="AB400" s="1"/>
      <c r="AC400" s="1"/>
      <c r="AD400" s="1"/>
      <c r="AE400" s="15"/>
      <c r="AF400" s="1"/>
      <c r="AG400" s="1"/>
      <c r="AH400" s="1"/>
      <c r="AI400" s="1"/>
      <c r="AJ400" s="15"/>
      <c r="AK400" s="1"/>
    </row>
    <row r="401" spans="1:37" ht="16.5" customHeight="1">
      <c r="A401" s="1"/>
      <c r="B401" s="1"/>
      <c r="C401" s="1"/>
      <c r="D401" s="15"/>
      <c r="E401" s="15"/>
      <c r="F401" s="15"/>
      <c r="G401" s="15"/>
      <c r="H401" s="1"/>
      <c r="I401" s="1"/>
      <c r="J401" s="1"/>
      <c r="K401" s="15"/>
      <c r="L401" s="1"/>
      <c r="M401" s="1"/>
      <c r="N401" s="1"/>
      <c r="O401" s="1"/>
      <c r="P401" s="15"/>
      <c r="Q401" s="1"/>
      <c r="R401" s="1"/>
      <c r="S401" s="1"/>
      <c r="T401" s="1"/>
      <c r="U401" s="15"/>
      <c r="V401" s="1"/>
      <c r="W401" s="1"/>
      <c r="X401" s="1"/>
      <c r="Y401" s="1"/>
      <c r="Z401" s="15"/>
      <c r="AA401" s="1"/>
      <c r="AB401" s="1"/>
      <c r="AC401" s="1"/>
      <c r="AD401" s="1"/>
      <c r="AE401" s="15"/>
      <c r="AF401" s="1"/>
      <c r="AG401" s="1"/>
      <c r="AH401" s="1"/>
      <c r="AI401" s="1"/>
      <c r="AJ401" s="15"/>
      <c r="AK401" s="1"/>
    </row>
    <row r="402" spans="1:37" ht="16.5" customHeight="1">
      <c r="A402" s="1"/>
      <c r="B402" s="1"/>
      <c r="C402" s="1"/>
      <c r="D402" s="15"/>
      <c r="E402" s="15"/>
      <c r="F402" s="15"/>
      <c r="G402" s="15"/>
      <c r="H402" s="1"/>
      <c r="I402" s="1"/>
      <c r="J402" s="1"/>
      <c r="K402" s="15"/>
      <c r="L402" s="1"/>
      <c r="M402" s="1"/>
      <c r="N402" s="1"/>
      <c r="O402" s="1"/>
      <c r="P402" s="15"/>
      <c r="Q402" s="1"/>
      <c r="R402" s="1"/>
      <c r="S402" s="1"/>
      <c r="T402" s="1"/>
      <c r="U402" s="15"/>
      <c r="V402" s="1"/>
      <c r="W402" s="1"/>
      <c r="X402" s="1"/>
      <c r="Y402" s="1"/>
      <c r="Z402" s="15"/>
      <c r="AA402" s="1"/>
      <c r="AB402" s="1"/>
      <c r="AC402" s="1"/>
      <c r="AD402" s="1"/>
      <c r="AE402" s="15"/>
      <c r="AF402" s="1"/>
      <c r="AG402" s="1"/>
      <c r="AH402" s="1"/>
      <c r="AI402" s="1"/>
      <c r="AJ402" s="15"/>
      <c r="AK402" s="1"/>
    </row>
    <row r="403" spans="1:37" ht="16.5" customHeight="1">
      <c r="A403" s="1"/>
      <c r="B403" s="1"/>
      <c r="C403" s="1"/>
      <c r="D403" s="15"/>
      <c r="E403" s="15"/>
      <c r="F403" s="15"/>
      <c r="G403" s="15"/>
      <c r="H403" s="1"/>
      <c r="I403" s="1"/>
      <c r="J403" s="1"/>
      <c r="K403" s="15"/>
      <c r="L403" s="1"/>
      <c r="M403" s="1"/>
      <c r="N403" s="1"/>
      <c r="O403" s="1"/>
      <c r="P403" s="15"/>
      <c r="Q403" s="1"/>
      <c r="R403" s="1"/>
      <c r="S403" s="1"/>
      <c r="T403" s="1"/>
      <c r="U403" s="15"/>
      <c r="V403" s="1"/>
      <c r="W403" s="1"/>
      <c r="X403" s="1"/>
      <c r="Y403" s="1"/>
      <c r="Z403" s="15"/>
      <c r="AA403" s="1"/>
      <c r="AB403" s="1"/>
      <c r="AC403" s="1"/>
      <c r="AD403" s="1"/>
      <c r="AE403" s="15"/>
      <c r="AF403" s="1"/>
      <c r="AG403" s="1"/>
      <c r="AH403" s="1"/>
      <c r="AI403" s="1"/>
      <c r="AJ403" s="15"/>
      <c r="AK403" s="1"/>
    </row>
    <row r="404" spans="1:37" ht="16.5" customHeight="1">
      <c r="A404" s="1"/>
      <c r="B404" s="1"/>
      <c r="C404" s="1"/>
      <c r="D404" s="15"/>
      <c r="E404" s="15"/>
      <c r="F404" s="15"/>
      <c r="G404" s="15"/>
      <c r="H404" s="1"/>
      <c r="I404" s="1"/>
      <c r="J404" s="1"/>
      <c r="K404" s="15"/>
      <c r="L404" s="1"/>
      <c r="M404" s="1"/>
      <c r="N404" s="1"/>
      <c r="O404" s="1"/>
      <c r="P404" s="15"/>
      <c r="Q404" s="1"/>
      <c r="R404" s="1"/>
      <c r="S404" s="1"/>
      <c r="T404" s="1"/>
      <c r="U404" s="15"/>
      <c r="V404" s="1"/>
      <c r="W404" s="1"/>
      <c r="X404" s="1"/>
      <c r="Y404" s="1"/>
      <c r="Z404" s="15"/>
      <c r="AA404" s="1"/>
      <c r="AB404" s="1"/>
      <c r="AC404" s="1"/>
      <c r="AD404" s="1"/>
      <c r="AE404" s="15"/>
      <c r="AF404" s="1"/>
      <c r="AG404" s="1"/>
      <c r="AH404" s="1"/>
      <c r="AI404" s="1"/>
      <c r="AJ404" s="15"/>
      <c r="AK404" s="1"/>
    </row>
    <row r="405" spans="1:37" ht="16.5" customHeight="1">
      <c r="A405" s="1"/>
      <c r="B405" s="1"/>
      <c r="C405" s="1"/>
      <c r="D405" s="15"/>
      <c r="E405" s="15"/>
      <c r="F405" s="15"/>
      <c r="G405" s="15"/>
      <c r="H405" s="1"/>
      <c r="I405" s="1"/>
      <c r="J405" s="1"/>
      <c r="K405" s="15"/>
      <c r="L405" s="1"/>
      <c r="M405" s="1"/>
      <c r="N405" s="1"/>
      <c r="O405" s="1"/>
      <c r="P405" s="15"/>
      <c r="Q405" s="1"/>
      <c r="R405" s="1"/>
      <c r="S405" s="1"/>
      <c r="T405" s="1"/>
      <c r="U405" s="15"/>
      <c r="V405" s="1"/>
      <c r="W405" s="1"/>
      <c r="X405" s="1"/>
      <c r="Y405" s="1"/>
      <c r="Z405" s="15"/>
      <c r="AA405" s="1"/>
      <c r="AB405" s="1"/>
      <c r="AC405" s="1"/>
      <c r="AD405" s="1"/>
      <c r="AE405" s="15"/>
      <c r="AF405" s="1"/>
      <c r="AG405" s="1"/>
      <c r="AH405" s="1"/>
      <c r="AI405" s="1"/>
      <c r="AJ405" s="15"/>
      <c r="AK405" s="1"/>
    </row>
    <row r="406" spans="1:37" ht="16.5" customHeight="1">
      <c r="A406" s="1"/>
      <c r="B406" s="1"/>
      <c r="C406" s="1"/>
      <c r="D406" s="15"/>
      <c r="E406" s="15"/>
      <c r="F406" s="15"/>
      <c r="G406" s="15"/>
      <c r="H406" s="1"/>
      <c r="I406" s="1"/>
      <c r="J406" s="1"/>
      <c r="K406" s="15"/>
      <c r="L406" s="1"/>
      <c r="M406" s="1"/>
      <c r="N406" s="1"/>
      <c r="O406" s="1"/>
      <c r="P406" s="15"/>
      <c r="Q406" s="1"/>
      <c r="R406" s="1"/>
      <c r="S406" s="1"/>
      <c r="T406" s="1"/>
      <c r="U406" s="15"/>
      <c r="V406" s="1"/>
      <c r="W406" s="1"/>
      <c r="X406" s="1"/>
      <c r="Y406" s="1"/>
      <c r="Z406" s="15"/>
      <c r="AA406" s="1"/>
      <c r="AB406" s="1"/>
      <c r="AC406" s="1"/>
      <c r="AD406" s="1"/>
      <c r="AE406" s="15"/>
      <c r="AF406" s="1"/>
      <c r="AG406" s="1"/>
      <c r="AH406" s="1"/>
      <c r="AI406" s="1"/>
      <c r="AJ406" s="15"/>
      <c r="AK406" s="1"/>
    </row>
    <row r="407" spans="1:37" ht="16.5" customHeight="1">
      <c r="A407" s="1"/>
      <c r="B407" s="1"/>
      <c r="C407" s="1"/>
      <c r="D407" s="15"/>
      <c r="E407" s="15"/>
      <c r="F407" s="15"/>
      <c r="G407" s="15"/>
      <c r="H407" s="1"/>
      <c r="I407" s="1"/>
      <c r="J407" s="1"/>
      <c r="K407" s="15"/>
      <c r="L407" s="1"/>
      <c r="M407" s="1"/>
      <c r="N407" s="1"/>
      <c r="O407" s="1"/>
      <c r="P407" s="15"/>
      <c r="Q407" s="1"/>
      <c r="R407" s="1"/>
      <c r="S407" s="1"/>
      <c r="T407" s="1"/>
      <c r="U407" s="15"/>
      <c r="V407" s="1"/>
      <c r="W407" s="1"/>
      <c r="X407" s="1"/>
      <c r="Y407" s="1"/>
      <c r="Z407" s="15"/>
      <c r="AA407" s="1"/>
      <c r="AB407" s="1"/>
      <c r="AC407" s="1"/>
      <c r="AD407" s="1"/>
      <c r="AE407" s="15"/>
      <c r="AF407" s="1"/>
      <c r="AG407" s="1"/>
      <c r="AH407" s="1"/>
      <c r="AI407" s="1"/>
      <c r="AJ407" s="15"/>
      <c r="AK407" s="1"/>
    </row>
    <row r="408" spans="1:37" ht="16.5" customHeight="1">
      <c r="A408" s="1"/>
      <c r="B408" s="1"/>
      <c r="C408" s="1"/>
      <c r="D408" s="15"/>
      <c r="E408" s="15"/>
      <c r="F408" s="15"/>
      <c r="G408" s="15"/>
      <c r="H408" s="1"/>
      <c r="I408" s="1"/>
      <c r="J408" s="1"/>
      <c r="K408" s="15"/>
      <c r="L408" s="1"/>
      <c r="M408" s="1"/>
      <c r="N408" s="1"/>
      <c r="O408" s="1"/>
      <c r="P408" s="15"/>
      <c r="Q408" s="1"/>
      <c r="R408" s="1"/>
      <c r="S408" s="1"/>
      <c r="T408" s="1"/>
      <c r="U408" s="15"/>
      <c r="V408" s="1"/>
      <c r="W408" s="1"/>
      <c r="X408" s="1"/>
      <c r="Y408" s="1"/>
      <c r="Z408" s="15"/>
      <c r="AA408" s="1"/>
      <c r="AB408" s="1"/>
      <c r="AC408" s="1"/>
      <c r="AD408" s="1"/>
      <c r="AE408" s="15"/>
      <c r="AF408" s="1"/>
      <c r="AG408" s="1"/>
      <c r="AH408" s="1"/>
      <c r="AI408" s="1"/>
      <c r="AJ408" s="15"/>
      <c r="AK408" s="1"/>
    </row>
    <row r="409" spans="1:37" ht="16.5" customHeight="1">
      <c r="A409" s="1"/>
      <c r="B409" s="1"/>
      <c r="C409" s="1"/>
      <c r="D409" s="15"/>
      <c r="E409" s="15"/>
      <c r="F409" s="15"/>
      <c r="G409" s="15"/>
      <c r="H409" s="1"/>
      <c r="I409" s="1"/>
      <c r="J409" s="1"/>
      <c r="K409" s="15"/>
      <c r="L409" s="1"/>
      <c r="M409" s="1"/>
      <c r="N409" s="1"/>
      <c r="O409" s="1"/>
      <c r="P409" s="15"/>
      <c r="Q409" s="1"/>
      <c r="R409" s="1"/>
      <c r="S409" s="1"/>
      <c r="T409" s="1"/>
      <c r="U409" s="15"/>
      <c r="V409" s="1"/>
      <c r="W409" s="1"/>
      <c r="X409" s="1"/>
      <c r="Y409" s="1"/>
      <c r="Z409" s="15"/>
      <c r="AA409" s="1"/>
      <c r="AB409" s="1"/>
      <c r="AC409" s="1"/>
      <c r="AD409" s="1"/>
      <c r="AE409" s="15"/>
      <c r="AF409" s="1"/>
      <c r="AG409" s="1"/>
      <c r="AH409" s="1"/>
      <c r="AI409" s="1"/>
      <c r="AJ409" s="15"/>
      <c r="AK409" s="1"/>
    </row>
    <row r="410" spans="1:37" ht="16.5" customHeight="1">
      <c r="A410" s="1"/>
      <c r="B410" s="1"/>
      <c r="C410" s="1"/>
      <c r="D410" s="15"/>
      <c r="E410" s="15"/>
      <c r="F410" s="15"/>
      <c r="G410" s="15"/>
      <c r="H410" s="1"/>
      <c r="I410" s="1"/>
      <c r="J410" s="1"/>
      <c r="K410" s="15"/>
      <c r="L410" s="1"/>
      <c r="M410" s="1"/>
      <c r="N410" s="1"/>
      <c r="O410" s="1"/>
      <c r="P410" s="15"/>
      <c r="Q410" s="1"/>
      <c r="R410" s="1"/>
      <c r="S410" s="1"/>
      <c r="T410" s="1"/>
      <c r="U410" s="15"/>
      <c r="V410" s="1"/>
      <c r="W410" s="1"/>
      <c r="X410" s="1"/>
      <c r="Y410" s="1"/>
      <c r="Z410" s="15"/>
      <c r="AA410" s="1"/>
      <c r="AB410" s="1"/>
      <c r="AC410" s="1"/>
      <c r="AD410" s="1"/>
      <c r="AE410" s="15"/>
      <c r="AF410" s="1"/>
      <c r="AG410" s="1"/>
      <c r="AH410" s="1"/>
      <c r="AI410" s="1"/>
      <c r="AJ410" s="15"/>
      <c r="AK410" s="1"/>
    </row>
    <row r="411" spans="1:37" ht="16.5" customHeight="1">
      <c r="A411" s="1"/>
      <c r="B411" s="1"/>
      <c r="C411" s="1"/>
      <c r="D411" s="15"/>
      <c r="E411" s="15"/>
      <c r="F411" s="15"/>
      <c r="G411" s="15"/>
      <c r="H411" s="1"/>
      <c r="I411" s="1"/>
      <c r="J411" s="1"/>
      <c r="K411" s="15"/>
      <c r="L411" s="1"/>
      <c r="M411" s="1"/>
      <c r="N411" s="1"/>
      <c r="O411" s="1"/>
      <c r="P411" s="15"/>
      <c r="Q411" s="1"/>
      <c r="R411" s="1"/>
      <c r="S411" s="1"/>
      <c r="T411" s="1"/>
      <c r="U411" s="15"/>
      <c r="V411" s="1"/>
      <c r="W411" s="1"/>
      <c r="X411" s="1"/>
      <c r="Y411" s="1"/>
      <c r="Z411" s="15"/>
      <c r="AA411" s="1"/>
      <c r="AB411" s="1"/>
      <c r="AC411" s="1"/>
      <c r="AD411" s="1"/>
      <c r="AE411" s="15"/>
      <c r="AF411" s="1"/>
      <c r="AG411" s="1"/>
      <c r="AH411" s="1"/>
      <c r="AI411" s="1"/>
      <c r="AJ411" s="15"/>
      <c r="AK411" s="1"/>
    </row>
    <row r="412" spans="1:37" ht="16.5" customHeight="1">
      <c r="A412" s="1"/>
      <c r="B412" s="1"/>
      <c r="C412" s="1"/>
      <c r="D412" s="15"/>
      <c r="E412" s="15"/>
      <c r="F412" s="15"/>
      <c r="G412" s="15"/>
      <c r="H412" s="1"/>
      <c r="I412" s="1"/>
      <c r="J412" s="1"/>
      <c r="K412" s="15"/>
      <c r="L412" s="1"/>
      <c r="M412" s="1"/>
      <c r="N412" s="1"/>
      <c r="O412" s="1"/>
      <c r="P412" s="15"/>
      <c r="Q412" s="1"/>
      <c r="R412" s="1"/>
      <c r="S412" s="1"/>
      <c r="T412" s="1"/>
      <c r="U412" s="15"/>
      <c r="V412" s="1"/>
      <c r="W412" s="1"/>
      <c r="X412" s="1"/>
      <c r="Y412" s="1"/>
      <c r="Z412" s="15"/>
      <c r="AA412" s="1"/>
      <c r="AB412" s="1"/>
      <c r="AC412" s="1"/>
      <c r="AD412" s="1"/>
      <c r="AE412" s="15"/>
      <c r="AF412" s="1"/>
      <c r="AG412" s="1"/>
      <c r="AH412" s="1"/>
      <c r="AI412" s="1"/>
      <c r="AJ412" s="15"/>
      <c r="AK412" s="1"/>
    </row>
    <row r="413" spans="1:37" ht="16.5" customHeight="1">
      <c r="A413" s="1"/>
      <c r="B413" s="1"/>
      <c r="C413" s="1"/>
      <c r="D413" s="15"/>
      <c r="E413" s="15"/>
      <c r="F413" s="15"/>
      <c r="G413" s="15"/>
      <c r="H413" s="1"/>
      <c r="I413" s="1"/>
      <c r="J413" s="1"/>
      <c r="K413" s="15"/>
      <c r="L413" s="1"/>
      <c r="M413" s="1"/>
      <c r="N413" s="1"/>
      <c r="O413" s="1"/>
      <c r="P413" s="15"/>
      <c r="Q413" s="1"/>
      <c r="R413" s="1"/>
      <c r="S413" s="1"/>
      <c r="T413" s="1"/>
      <c r="U413" s="15"/>
      <c r="V413" s="1"/>
      <c r="W413" s="1"/>
      <c r="X413" s="1"/>
      <c r="Y413" s="1"/>
      <c r="Z413" s="15"/>
      <c r="AA413" s="1"/>
      <c r="AB413" s="1"/>
      <c r="AC413" s="1"/>
      <c r="AD413" s="1"/>
      <c r="AE413" s="15"/>
      <c r="AF413" s="1"/>
      <c r="AG413" s="1"/>
      <c r="AH413" s="1"/>
      <c r="AI413" s="1"/>
      <c r="AJ413" s="15"/>
      <c r="AK413" s="1"/>
    </row>
    <row r="414" spans="1:37" ht="16.5" customHeight="1">
      <c r="A414" s="1"/>
      <c r="B414" s="1"/>
      <c r="C414" s="1"/>
      <c r="D414" s="15"/>
      <c r="E414" s="15"/>
      <c r="F414" s="15"/>
      <c r="G414" s="15"/>
      <c r="H414" s="1"/>
      <c r="I414" s="1"/>
      <c r="J414" s="1"/>
      <c r="K414" s="15"/>
      <c r="L414" s="1"/>
      <c r="M414" s="1"/>
      <c r="N414" s="1"/>
      <c r="O414" s="1"/>
      <c r="P414" s="15"/>
      <c r="Q414" s="1"/>
      <c r="R414" s="1"/>
      <c r="S414" s="1"/>
      <c r="T414" s="1"/>
      <c r="U414" s="15"/>
      <c r="V414" s="1"/>
      <c r="W414" s="1"/>
      <c r="X414" s="1"/>
      <c r="Y414" s="1"/>
      <c r="Z414" s="15"/>
      <c r="AA414" s="1"/>
      <c r="AB414" s="1"/>
      <c r="AC414" s="1"/>
      <c r="AD414" s="1"/>
      <c r="AE414" s="15"/>
      <c r="AF414" s="1"/>
      <c r="AG414" s="1"/>
      <c r="AH414" s="1"/>
      <c r="AI414" s="1"/>
      <c r="AJ414" s="15"/>
      <c r="AK414" s="1"/>
    </row>
    <row r="415" spans="1:37" ht="16.5" customHeight="1">
      <c r="A415" s="1"/>
      <c r="B415" s="1"/>
      <c r="C415" s="1"/>
      <c r="D415" s="15"/>
      <c r="E415" s="15"/>
      <c r="F415" s="15"/>
      <c r="G415" s="15"/>
      <c r="H415" s="1"/>
      <c r="I415" s="1"/>
      <c r="J415" s="1"/>
      <c r="K415" s="15"/>
      <c r="L415" s="1"/>
      <c r="M415" s="1"/>
      <c r="N415" s="1"/>
      <c r="O415" s="1"/>
      <c r="P415" s="15"/>
      <c r="Q415" s="1"/>
      <c r="R415" s="1"/>
      <c r="S415" s="1"/>
      <c r="T415" s="1"/>
      <c r="U415" s="15"/>
      <c r="V415" s="1"/>
      <c r="W415" s="1"/>
      <c r="X415" s="1"/>
      <c r="Y415" s="1"/>
      <c r="Z415" s="15"/>
      <c r="AA415" s="1"/>
      <c r="AB415" s="1"/>
      <c r="AC415" s="1"/>
      <c r="AD415" s="1"/>
      <c r="AE415" s="15"/>
      <c r="AF415" s="1"/>
      <c r="AG415" s="1"/>
      <c r="AH415" s="1"/>
      <c r="AI415" s="1"/>
      <c r="AJ415" s="15"/>
      <c r="AK415" s="1"/>
    </row>
    <row r="416" spans="1:37" ht="16.5" customHeight="1">
      <c r="A416" s="1"/>
      <c r="B416" s="1"/>
      <c r="C416" s="1"/>
      <c r="D416" s="15"/>
      <c r="E416" s="15"/>
      <c r="F416" s="15"/>
      <c r="G416" s="15"/>
      <c r="H416" s="1"/>
      <c r="I416" s="1"/>
      <c r="J416" s="1"/>
      <c r="K416" s="15"/>
      <c r="L416" s="1"/>
      <c r="M416" s="1"/>
      <c r="N416" s="1"/>
      <c r="O416" s="1"/>
      <c r="P416" s="15"/>
      <c r="Q416" s="1"/>
      <c r="R416" s="1"/>
      <c r="S416" s="1"/>
      <c r="T416" s="1"/>
      <c r="U416" s="15"/>
      <c r="V416" s="1"/>
      <c r="W416" s="1"/>
      <c r="X416" s="1"/>
      <c r="Y416" s="1"/>
      <c r="Z416" s="15"/>
      <c r="AA416" s="1"/>
      <c r="AB416" s="1"/>
      <c r="AC416" s="1"/>
      <c r="AD416" s="1"/>
      <c r="AE416" s="15"/>
      <c r="AF416" s="1"/>
      <c r="AG416" s="1"/>
      <c r="AH416" s="1"/>
      <c r="AI416" s="1"/>
      <c r="AJ416" s="15"/>
      <c r="AK416" s="1"/>
    </row>
    <row r="417" spans="1:37" ht="16.5" customHeight="1">
      <c r="A417" s="1"/>
      <c r="B417" s="1"/>
      <c r="C417" s="1"/>
      <c r="D417" s="15"/>
      <c r="E417" s="15"/>
      <c r="F417" s="15"/>
      <c r="G417" s="15"/>
      <c r="H417" s="1"/>
      <c r="I417" s="1"/>
      <c r="J417" s="1"/>
      <c r="K417" s="15"/>
      <c r="L417" s="1"/>
      <c r="M417" s="1"/>
      <c r="N417" s="1"/>
      <c r="O417" s="1"/>
      <c r="P417" s="15"/>
      <c r="Q417" s="1"/>
      <c r="R417" s="1"/>
      <c r="S417" s="1"/>
      <c r="T417" s="1"/>
      <c r="U417" s="15"/>
      <c r="V417" s="1"/>
      <c r="W417" s="1"/>
      <c r="X417" s="1"/>
      <c r="Y417" s="1"/>
      <c r="Z417" s="15"/>
      <c r="AA417" s="1"/>
      <c r="AB417" s="1"/>
      <c r="AC417" s="1"/>
      <c r="AD417" s="1"/>
      <c r="AE417" s="15"/>
      <c r="AF417" s="1"/>
      <c r="AG417" s="1"/>
      <c r="AH417" s="1"/>
      <c r="AI417" s="1"/>
      <c r="AJ417" s="15"/>
      <c r="AK417" s="1"/>
    </row>
    <row r="418" spans="1:37" ht="16.5" customHeight="1">
      <c r="A418" s="1"/>
      <c r="B418" s="1"/>
      <c r="C418" s="1"/>
      <c r="D418" s="15"/>
      <c r="E418" s="15"/>
      <c r="F418" s="15"/>
      <c r="G418" s="15"/>
      <c r="H418" s="1"/>
      <c r="I418" s="1"/>
      <c r="J418" s="1"/>
      <c r="K418" s="15"/>
      <c r="L418" s="1"/>
      <c r="M418" s="1"/>
      <c r="N418" s="1"/>
      <c r="O418" s="1"/>
      <c r="P418" s="15"/>
      <c r="Q418" s="1"/>
      <c r="R418" s="1"/>
      <c r="S418" s="1"/>
      <c r="T418" s="1"/>
      <c r="U418" s="15"/>
      <c r="V418" s="1"/>
      <c r="W418" s="1"/>
      <c r="X418" s="1"/>
      <c r="Y418" s="1"/>
      <c r="Z418" s="15"/>
      <c r="AA418" s="1"/>
      <c r="AB418" s="1"/>
      <c r="AC418" s="1"/>
      <c r="AD418" s="1"/>
      <c r="AE418" s="15"/>
      <c r="AF418" s="1"/>
      <c r="AG418" s="1"/>
      <c r="AH418" s="1"/>
      <c r="AI418" s="1"/>
      <c r="AJ418" s="15"/>
      <c r="AK418" s="1"/>
    </row>
    <row r="419" spans="1:37" ht="16.5" customHeight="1">
      <c r="A419" s="1"/>
      <c r="B419" s="1"/>
      <c r="C419" s="1"/>
      <c r="D419" s="15"/>
      <c r="E419" s="15"/>
      <c r="F419" s="15"/>
      <c r="G419" s="15"/>
      <c r="H419" s="1"/>
      <c r="I419" s="1"/>
      <c r="J419" s="1"/>
      <c r="K419" s="15"/>
      <c r="L419" s="1"/>
      <c r="M419" s="1"/>
      <c r="N419" s="1"/>
      <c r="O419" s="1"/>
      <c r="P419" s="15"/>
      <c r="Q419" s="1"/>
      <c r="R419" s="1"/>
      <c r="S419" s="1"/>
      <c r="T419" s="1"/>
      <c r="U419" s="15"/>
      <c r="V419" s="1"/>
      <c r="W419" s="1"/>
      <c r="X419" s="1"/>
      <c r="Y419" s="1"/>
      <c r="Z419" s="15"/>
      <c r="AA419" s="1"/>
      <c r="AB419" s="1"/>
      <c r="AC419" s="1"/>
      <c r="AD419" s="1"/>
      <c r="AE419" s="15"/>
      <c r="AF419" s="1"/>
      <c r="AG419" s="1"/>
      <c r="AH419" s="1"/>
      <c r="AI419" s="1"/>
      <c r="AJ419" s="15"/>
      <c r="AK419" s="1"/>
    </row>
    <row r="420" spans="1:37" ht="16.5" customHeight="1">
      <c r="A420" s="1"/>
      <c r="B420" s="1"/>
      <c r="C420" s="1"/>
      <c r="D420" s="15"/>
      <c r="E420" s="15"/>
      <c r="F420" s="15"/>
      <c r="G420" s="15"/>
      <c r="H420" s="1"/>
      <c r="I420" s="1"/>
      <c r="J420" s="1"/>
      <c r="K420" s="15"/>
      <c r="L420" s="1"/>
      <c r="M420" s="1"/>
      <c r="N420" s="1"/>
      <c r="O420" s="1"/>
      <c r="P420" s="15"/>
      <c r="Q420" s="1"/>
      <c r="R420" s="1"/>
      <c r="S420" s="1"/>
      <c r="T420" s="1"/>
      <c r="U420" s="15"/>
      <c r="V420" s="1"/>
      <c r="W420" s="1"/>
      <c r="X420" s="1"/>
      <c r="Y420" s="1"/>
      <c r="Z420" s="15"/>
      <c r="AA420" s="1"/>
      <c r="AB420" s="1"/>
      <c r="AC420" s="1"/>
      <c r="AD420" s="1"/>
      <c r="AE420" s="15"/>
      <c r="AF420" s="1"/>
      <c r="AG420" s="1"/>
      <c r="AH420" s="1"/>
      <c r="AI420" s="1"/>
      <c r="AJ420" s="15"/>
      <c r="AK420" s="1"/>
    </row>
    <row r="421" spans="1:37" ht="16.5" customHeight="1">
      <c r="A421" s="1"/>
      <c r="B421" s="1"/>
      <c r="C421" s="1"/>
      <c r="D421" s="15"/>
      <c r="E421" s="15"/>
      <c r="F421" s="15"/>
      <c r="G421" s="15"/>
      <c r="H421" s="1"/>
      <c r="I421" s="1"/>
      <c r="J421" s="1"/>
      <c r="K421" s="15"/>
      <c r="L421" s="1"/>
      <c r="M421" s="1"/>
      <c r="N421" s="1"/>
      <c r="O421" s="1"/>
      <c r="P421" s="15"/>
      <c r="Q421" s="1"/>
      <c r="R421" s="1"/>
      <c r="S421" s="1"/>
      <c r="T421" s="1"/>
      <c r="U421" s="15"/>
      <c r="V421" s="1"/>
      <c r="W421" s="1"/>
      <c r="X421" s="1"/>
      <c r="Y421" s="1"/>
      <c r="Z421" s="15"/>
      <c r="AA421" s="1"/>
      <c r="AB421" s="1"/>
      <c r="AC421" s="1"/>
      <c r="AD421" s="1"/>
      <c r="AE421" s="15"/>
      <c r="AF421" s="1"/>
      <c r="AG421" s="1"/>
      <c r="AH421" s="1"/>
      <c r="AI421" s="1"/>
      <c r="AJ421" s="15"/>
      <c r="AK421" s="1"/>
    </row>
    <row r="422" spans="1:37" ht="16.5" customHeight="1">
      <c r="A422" s="1"/>
      <c r="B422" s="1"/>
      <c r="C422" s="1"/>
      <c r="D422" s="15"/>
      <c r="E422" s="15"/>
      <c r="F422" s="15"/>
      <c r="G422" s="15"/>
      <c r="H422" s="1"/>
      <c r="I422" s="1"/>
      <c r="J422" s="1"/>
      <c r="K422" s="15"/>
      <c r="L422" s="1"/>
      <c r="M422" s="1"/>
      <c r="N422" s="1"/>
      <c r="O422" s="1"/>
      <c r="P422" s="15"/>
      <c r="Q422" s="1"/>
      <c r="R422" s="1"/>
      <c r="S422" s="1"/>
      <c r="T422" s="1"/>
      <c r="U422" s="15"/>
      <c r="V422" s="1"/>
      <c r="W422" s="1"/>
      <c r="X422" s="1"/>
      <c r="Y422" s="1"/>
      <c r="Z422" s="15"/>
      <c r="AA422" s="1"/>
      <c r="AB422" s="1"/>
      <c r="AC422" s="1"/>
      <c r="AD422" s="1"/>
      <c r="AE422" s="15"/>
      <c r="AF422" s="1"/>
      <c r="AG422" s="1"/>
      <c r="AH422" s="1"/>
      <c r="AI422" s="1"/>
      <c r="AJ422" s="15"/>
      <c r="AK422" s="1"/>
    </row>
    <row r="423" spans="1:37" ht="16.5" customHeight="1">
      <c r="A423" s="1"/>
      <c r="B423" s="1"/>
      <c r="C423" s="1"/>
      <c r="D423" s="15"/>
      <c r="E423" s="15"/>
      <c r="F423" s="15"/>
      <c r="G423" s="15"/>
      <c r="H423" s="1"/>
      <c r="I423" s="1"/>
      <c r="J423" s="1"/>
      <c r="K423" s="15"/>
      <c r="L423" s="1"/>
      <c r="M423" s="1"/>
      <c r="N423" s="1"/>
      <c r="O423" s="1"/>
      <c r="P423" s="15"/>
      <c r="Q423" s="1"/>
      <c r="R423" s="1"/>
      <c r="S423" s="1"/>
      <c r="T423" s="1"/>
      <c r="U423" s="15"/>
      <c r="V423" s="1"/>
      <c r="W423" s="1"/>
      <c r="X423" s="1"/>
      <c r="Y423" s="1"/>
      <c r="Z423" s="15"/>
      <c r="AA423" s="1"/>
      <c r="AB423" s="1"/>
      <c r="AC423" s="1"/>
      <c r="AD423" s="1"/>
      <c r="AE423" s="15"/>
      <c r="AF423" s="1"/>
      <c r="AG423" s="1"/>
      <c r="AH423" s="1"/>
      <c r="AI423" s="1"/>
      <c r="AJ423" s="15"/>
      <c r="AK423" s="1"/>
    </row>
    <row r="424" spans="1:37" ht="16.5" customHeight="1">
      <c r="A424" s="1"/>
      <c r="B424" s="1"/>
      <c r="C424" s="1"/>
      <c r="D424" s="15"/>
      <c r="E424" s="15"/>
      <c r="F424" s="15"/>
      <c r="G424" s="15"/>
      <c r="H424" s="1"/>
      <c r="I424" s="1"/>
      <c r="J424" s="1"/>
      <c r="K424" s="15"/>
      <c r="L424" s="1"/>
      <c r="M424" s="1"/>
      <c r="N424" s="1"/>
      <c r="O424" s="1"/>
      <c r="P424" s="15"/>
      <c r="Q424" s="1"/>
      <c r="R424" s="1"/>
      <c r="S424" s="1"/>
      <c r="T424" s="1"/>
      <c r="U424" s="15"/>
      <c r="V424" s="1"/>
      <c r="W424" s="1"/>
      <c r="X424" s="1"/>
      <c r="Y424" s="1"/>
      <c r="Z424" s="15"/>
      <c r="AA424" s="1"/>
      <c r="AB424" s="1"/>
      <c r="AC424" s="1"/>
      <c r="AD424" s="1"/>
      <c r="AE424" s="15"/>
      <c r="AF424" s="1"/>
      <c r="AG424" s="1"/>
      <c r="AH424" s="1"/>
      <c r="AI424" s="1"/>
      <c r="AJ424" s="15"/>
      <c r="AK424" s="1"/>
    </row>
    <row r="425" spans="1:37" ht="16.5" customHeight="1">
      <c r="A425" s="1"/>
      <c r="B425" s="1"/>
      <c r="C425" s="1"/>
      <c r="D425" s="15"/>
      <c r="E425" s="15"/>
      <c r="F425" s="15"/>
      <c r="G425" s="15"/>
      <c r="H425" s="1"/>
      <c r="I425" s="1"/>
      <c r="J425" s="1"/>
      <c r="K425" s="15"/>
      <c r="L425" s="1"/>
      <c r="M425" s="1"/>
      <c r="N425" s="1"/>
      <c r="O425" s="1"/>
      <c r="P425" s="15"/>
      <c r="Q425" s="1"/>
      <c r="R425" s="1"/>
      <c r="S425" s="1"/>
      <c r="T425" s="1"/>
      <c r="U425" s="15"/>
      <c r="V425" s="1"/>
      <c r="W425" s="1"/>
      <c r="X425" s="1"/>
      <c r="Y425" s="1"/>
      <c r="Z425" s="15"/>
      <c r="AA425" s="1"/>
      <c r="AB425" s="1"/>
      <c r="AC425" s="1"/>
      <c r="AD425" s="1"/>
      <c r="AE425" s="15"/>
      <c r="AF425" s="1"/>
      <c r="AG425" s="1"/>
      <c r="AH425" s="1"/>
      <c r="AI425" s="1"/>
      <c r="AJ425" s="15"/>
      <c r="AK425" s="1"/>
    </row>
    <row r="426" spans="1:37" ht="16.5" customHeight="1">
      <c r="A426" s="1"/>
      <c r="B426" s="1"/>
      <c r="C426" s="1"/>
      <c r="D426" s="15"/>
      <c r="E426" s="15"/>
      <c r="F426" s="15"/>
      <c r="G426" s="15"/>
      <c r="H426" s="1"/>
      <c r="I426" s="1"/>
      <c r="J426" s="1"/>
      <c r="K426" s="15"/>
      <c r="L426" s="1"/>
      <c r="M426" s="1"/>
      <c r="N426" s="1"/>
      <c r="O426" s="1"/>
      <c r="P426" s="15"/>
      <c r="Q426" s="1"/>
      <c r="R426" s="1"/>
      <c r="S426" s="1"/>
      <c r="T426" s="1"/>
      <c r="U426" s="15"/>
      <c r="V426" s="1"/>
      <c r="W426" s="1"/>
      <c r="X426" s="1"/>
      <c r="Y426" s="1"/>
      <c r="Z426" s="15"/>
      <c r="AA426" s="1"/>
      <c r="AB426" s="1"/>
      <c r="AC426" s="1"/>
      <c r="AD426" s="1"/>
      <c r="AE426" s="15"/>
      <c r="AF426" s="1"/>
      <c r="AG426" s="1"/>
      <c r="AH426" s="1"/>
      <c r="AI426" s="1"/>
      <c r="AJ426" s="15"/>
      <c r="AK426" s="1"/>
    </row>
    <row r="427" spans="1:37" ht="16.5" customHeight="1">
      <c r="A427" s="1"/>
      <c r="B427" s="1"/>
      <c r="C427" s="1"/>
      <c r="D427" s="15"/>
      <c r="E427" s="15"/>
      <c r="F427" s="15"/>
      <c r="G427" s="15"/>
      <c r="H427" s="1"/>
      <c r="I427" s="1"/>
      <c r="J427" s="1"/>
      <c r="K427" s="15"/>
      <c r="L427" s="1"/>
      <c r="M427" s="1"/>
      <c r="N427" s="1"/>
      <c r="O427" s="1"/>
      <c r="P427" s="15"/>
      <c r="Q427" s="1"/>
      <c r="R427" s="1"/>
      <c r="S427" s="1"/>
      <c r="T427" s="1"/>
      <c r="U427" s="15"/>
      <c r="V427" s="1"/>
      <c r="W427" s="1"/>
      <c r="X427" s="1"/>
      <c r="Y427" s="1"/>
      <c r="Z427" s="15"/>
      <c r="AA427" s="1"/>
      <c r="AB427" s="1"/>
      <c r="AC427" s="1"/>
      <c r="AD427" s="1"/>
      <c r="AE427" s="15"/>
      <c r="AF427" s="1"/>
      <c r="AG427" s="1"/>
      <c r="AH427" s="1"/>
      <c r="AI427" s="1"/>
      <c r="AJ427" s="15"/>
      <c r="AK427" s="1"/>
    </row>
    <row r="428" spans="1:37" ht="16.5" customHeight="1">
      <c r="A428" s="1"/>
      <c r="B428" s="1"/>
      <c r="C428" s="1"/>
      <c r="D428" s="15"/>
      <c r="E428" s="15"/>
      <c r="F428" s="15"/>
      <c r="G428" s="15"/>
      <c r="H428" s="1"/>
      <c r="I428" s="1"/>
      <c r="J428" s="1"/>
      <c r="K428" s="15"/>
      <c r="L428" s="1"/>
      <c r="M428" s="1"/>
      <c r="N428" s="1"/>
      <c r="O428" s="1"/>
      <c r="P428" s="15"/>
      <c r="Q428" s="1"/>
      <c r="R428" s="1"/>
      <c r="S428" s="1"/>
      <c r="T428" s="1"/>
      <c r="U428" s="15"/>
      <c r="V428" s="1"/>
      <c r="W428" s="1"/>
      <c r="X428" s="1"/>
      <c r="Y428" s="1"/>
      <c r="Z428" s="15"/>
      <c r="AA428" s="1"/>
      <c r="AB428" s="1"/>
      <c r="AC428" s="1"/>
      <c r="AD428" s="1"/>
      <c r="AE428" s="15"/>
      <c r="AF428" s="1"/>
      <c r="AG428" s="1"/>
      <c r="AH428" s="1"/>
      <c r="AI428" s="1"/>
      <c r="AJ428" s="15"/>
      <c r="AK428" s="1"/>
    </row>
    <row r="429" spans="1:37" ht="16.5" customHeight="1">
      <c r="A429" s="1"/>
      <c r="B429" s="1"/>
      <c r="C429" s="1"/>
      <c r="D429" s="15"/>
      <c r="E429" s="15"/>
      <c r="F429" s="15"/>
      <c r="G429" s="15"/>
      <c r="H429" s="1"/>
      <c r="I429" s="1"/>
      <c r="J429" s="1"/>
      <c r="K429" s="15"/>
      <c r="L429" s="1"/>
      <c r="M429" s="1"/>
      <c r="N429" s="1"/>
      <c r="O429" s="1"/>
      <c r="P429" s="15"/>
      <c r="Q429" s="1"/>
      <c r="R429" s="1"/>
      <c r="S429" s="1"/>
      <c r="T429" s="1"/>
      <c r="U429" s="15"/>
      <c r="V429" s="1"/>
      <c r="W429" s="1"/>
      <c r="X429" s="1"/>
      <c r="Y429" s="1"/>
      <c r="Z429" s="15"/>
      <c r="AA429" s="1"/>
      <c r="AB429" s="1"/>
      <c r="AC429" s="1"/>
      <c r="AD429" s="1"/>
      <c r="AE429" s="15"/>
      <c r="AF429" s="1"/>
      <c r="AG429" s="1"/>
      <c r="AH429" s="1"/>
      <c r="AI429" s="1"/>
      <c r="AJ429" s="15"/>
      <c r="AK429" s="1"/>
    </row>
    <row r="430" spans="1:37" ht="16.5" customHeight="1">
      <c r="A430" s="1"/>
      <c r="B430" s="1"/>
      <c r="C430" s="1"/>
      <c r="D430" s="15"/>
      <c r="E430" s="15"/>
      <c r="F430" s="15"/>
      <c r="G430" s="15"/>
      <c r="H430" s="1"/>
      <c r="I430" s="1"/>
      <c r="J430" s="1"/>
      <c r="K430" s="15"/>
      <c r="L430" s="1"/>
      <c r="M430" s="1"/>
      <c r="N430" s="1"/>
      <c r="O430" s="1"/>
      <c r="P430" s="15"/>
      <c r="Q430" s="1"/>
      <c r="R430" s="1"/>
      <c r="S430" s="1"/>
      <c r="T430" s="1"/>
      <c r="U430" s="15"/>
      <c r="V430" s="1"/>
      <c r="W430" s="1"/>
      <c r="X430" s="1"/>
      <c r="Y430" s="1"/>
      <c r="Z430" s="15"/>
      <c r="AA430" s="1"/>
      <c r="AB430" s="1"/>
      <c r="AC430" s="1"/>
      <c r="AD430" s="1"/>
      <c r="AE430" s="15"/>
      <c r="AF430" s="1"/>
      <c r="AG430" s="1"/>
      <c r="AH430" s="1"/>
      <c r="AI430" s="1"/>
      <c r="AJ430" s="15"/>
      <c r="AK430" s="1"/>
    </row>
    <row r="431" spans="1:37" ht="16.5" customHeight="1">
      <c r="A431" s="1"/>
      <c r="B431" s="1"/>
      <c r="C431" s="1"/>
      <c r="D431" s="15"/>
      <c r="E431" s="15"/>
      <c r="F431" s="15"/>
      <c r="G431" s="15"/>
      <c r="H431" s="1"/>
      <c r="I431" s="1"/>
      <c r="J431" s="1"/>
      <c r="K431" s="15"/>
      <c r="L431" s="1"/>
      <c r="M431" s="1"/>
      <c r="N431" s="1"/>
      <c r="O431" s="1"/>
      <c r="P431" s="15"/>
      <c r="Q431" s="1"/>
      <c r="R431" s="1"/>
      <c r="S431" s="1"/>
      <c r="T431" s="1"/>
      <c r="U431" s="15"/>
      <c r="V431" s="1"/>
      <c r="W431" s="1"/>
      <c r="X431" s="1"/>
      <c r="Y431" s="1"/>
      <c r="Z431" s="15"/>
      <c r="AA431" s="1"/>
      <c r="AB431" s="1"/>
      <c r="AC431" s="1"/>
      <c r="AD431" s="1"/>
      <c r="AE431" s="15"/>
      <c r="AF431" s="1"/>
      <c r="AG431" s="1"/>
      <c r="AH431" s="1"/>
      <c r="AI431" s="1"/>
      <c r="AJ431" s="15"/>
      <c r="AK431" s="1"/>
    </row>
    <row r="432" spans="1:37" ht="16.5" customHeight="1">
      <c r="A432" s="1"/>
      <c r="B432" s="1"/>
      <c r="C432" s="1"/>
      <c r="D432" s="15"/>
      <c r="E432" s="15"/>
      <c r="F432" s="15"/>
      <c r="G432" s="15"/>
      <c r="H432" s="1"/>
      <c r="I432" s="1"/>
      <c r="J432" s="1"/>
      <c r="K432" s="15"/>
      <c r="L432" s="1"/>
      <c r="M432" s="1"/>
      <c r="N432" s="1"/>
      <c r="O432" s="1"/>
      <c r="P432" s="15"/>
      <c r="Q432" s="1"/>
      <c r="R432" s="1"/>
      <c r="S432" s="1"/>
      <c r="T432" s="1"/>
      <c r="U432" s="15"/>
      <c r="V432" s="1"/>
      <c r="W432" s="1"/>
      <c r="X432" s="1"/>
      <c r="Y432" s="1"/>
      <c r="Z432" s="15"/>
      <c r="AA432" s="1"/>
      <c r="AB432" s="1"/>
      <c r="AC432" s="1"/>
      <c r="AD432" s="1"/>
      <c r="AE432" s="15"/>
      <c r="AF432" s="1"/>
      <c r="AG432" s="1"/>
      <c r="AH432" s="1"/>
      <c r="AI432" s="1"/>
      <c r="AJ432" s="15"/>
      <c r="AK432" s="1"/>
    </row>
    <row r="433" spans="1:37" ht="16.5" customHeight="1">
      <c r="A433" s="1"/>
      <c r="B433" s="1"/>
      <c r="C433" s="1"/>
      <c r="D433" s="15"/>
      <c r="E433" s="15"/>
      <c r="F433" s="15"/>
      <c r="G433" s="15"/>
      <c r="H433" s="1"/>
      <c r="I433" s="1"/>
      <c r="J433" s="1"/>
      <c r="K433" s="15"/>
      <c r="L433" s="1"/>
      <c r="M433" s="1"/>
      <c r="N433" s="1"/>
      <c r="O433" s="1"/>
      <c r="P433" s="15"/>
      <c r="Q433" s="1"/>
      <c r="R433" s="1"/>
      <c r="S433" s="1"/>
      <c r="T433" s="1"/>
      <c r="U433" s="15"/>
      <c r="V433" s="1"/>
      <c r="W433" s="1"/>
      <c r="X433" s="1"/>
      <c r="Y433" s="1"/>
      <c r="Z433" s="15"/>
      <c r="AA433" s="1"/>
      <c r="AB433" s="1"/>
      <c r="AC433" s="1"/>
      <c r="AD433" s="1"/>
      <c r="AE433" s="15"/>
      <c r="AF433" s="1"/>
      <c r="AG433" s="1"/>
      <c r="AH433" s="1"/>
      <c r="AI433" s="1"/>
      <c r="AJ433" s="15"/>
      <c r="AK433" s="1"/>
    </row>
    <row r="434" spans="1:37" ht="16.5" customHeight="1">
      <c r="A434" s="1"/>
      <c r="B434" s="1"/>
      <c r="C434" s="1"/>
      <c r="D434" s="15"/>
      <c r="E434" s="15"/>
      <c r="F434" s="15"/>
      <c r="G434" s="15"/>
      <c r="H434" s="1"/>
      <c r="I434" s="1"/>
      <c r="J434" s="1"/>
      <c r="K434" s="15"/>
      <c r="L434" s="1"/>
      <c r="M434" s="1"/>
      <c r="N434" s="1"/>
      <c r="O434" s="1"/>
      <c r="P434" s="15"/>
      <c r="Q434" s="1"/>
      <c r="R434" s="1"/>
      <c r="S434" s="1"/>
      <c r="T434" s="1"/>
      <c r="U434" s="15"/>
      <c r="V434" s="1"/>
      <c r="W434" s="1"/>
      <c r="X434" s="1"/>
      <c r="Y434" s="1"/>
      <c r="Z434" s="15"/>
      <c r="AA434" s="1"/>
      <c r="AB434" s="1"/>
      <c r="AC434" s="1"/>
      <c r="AD434" s="1"/>
      <c r="AE434" s="15"/>
      <c r="AF434" s="1"/>
      <c r="AG434" s="1"/>
      <c r="AH434" s="1"/>
      <c r="AI434" s="1"/>
      <c r="AJ434" s="15"/>
      <c r="AK434" s="1"/>
    </row>
    <row r="435" spans="1:37" ht="16.5" customHeight="1">
      <c r="A435" s="1"/>
      <c r="B435" s="1"/>
      <c r="C435" s="1"/>
      <c r="D435" s="15"/>
      <c r="E435" s="15"/>
      <c r="F435" s="15"/>
      <c r="G435" s="15"/>
      <c r="H435" s="1"/>
      <c r="I435" s="1"/>
      <c r="J435" s="1"/>
      <c r="K435" s="15"/>
      <c r="L435" s="1"/>
      <c r="M435" s="1"/>
      <c r="N435" s="1"/>
      <c r="O435" s="1"/>
      <c r="P435" s="15"/>
      <c r="Q435" s="1"/>
      <c r="R435" s="1"/>
      <c r="S435" s="1"/>
      <c r="T435" s="1"/>
      <c r="U435" s="15"/>
      <c r="V435" s="1"/>
      <c r="W435" s="1"/>
      <c r="X435" s="1"/>
      <c r="Y435" s="1"/>
      <c r="Z435" s="15"/>
      <c r="AA435" s="1"/>
      <c r="AB435" s="1"/>
      <c r="AC435" s="1"/>
      <c r="AD435" s="1"/>
      <c r="AE435" s="15"/>
      <c r="AF435" s="1"/>
      <c r="AG435" s="1"/>
      <c r="AH435" s="1"/>
      <c r="AI435" s="1"/>
      <c r="AJ435" s="15"/>
      <c r="AK435" s="1"/>
    </row>
    <row r="436" spans="1:37" ht="16.5" customHeight="1">
      <c r="A436" s="1"/>
      <c r="B436" s="1"/>
      <c r="C436" s="1"/>
      <c r="D436" s="15"/>
      <c r="E436" s="15"/>
      <c r="F436" s="15"/>
      <c r="G436" s="15"/>
      <c r="H436" s="1"/>
      <c r="I436" s="1"/>
      <c r="J436" s="1"/>
      <c r="K436" s="15"/>
      <c r="L436" s="1"/>
      <c r="M436" s="1"/>
      <c r="N436" s="1"/>
      <c r="O436" s="1"/>
      <c r="P436" s="15"/>
      <c r="Q436" s="1"/>
      <c r="R436" s="1"/>
      <c r="S436" s="1"/>
      <c r="T436" s="1"/>
      <c r="U436" s="15"/>
      <c r="V436" s="1"/>
      <c r="W436" s="1"/>
      <c r="X436" s="1"/>
      <c r="Y436" s="1"/>
      <c r="Z436" s="15"/>
      <c r="AA436" s="1"/>
      <c r="AB436" s="1"/>
      <c r="AC436" s="1"/>
      <c r="AD436" s="1"/>
      <c r="AE436" s="15"/>
      <c r="AF436" s="1"/>
      <c r="AG436" s="1"/>
      <c r="AH436" s="1"/>
      <c r="AI436" s="1"/>
      <c r="AJ436" s="15"/>
      <c r="AK436" s="1"/>
    </row>
    <row r="437" spans="1:37" ht="16.5" customHeight="1">
      <c r="A437" s="1"/>
      <c r="B437" s="1"/>
      <c r="C437" s="1"/>
      <c r="D437" s="15"/>
      <c r="E437" s="15"/>
      <c r="F437" s="15"/>
      <c r="G437" s="15"/>
      <c r="H437" s="1"/>
      <c r="I437" s="1"/>
      <c r="J437" s="1"/>
      <c r="K437" s="15"/>
      <c r="L437" s="1"/>
      <c r="M437" s="1"/>
      <c r="N437" s="1"/>
      <c r="O437" s="1"/>
      <c r="P437" s="15"/>
      <c r="Q437" s="1"/>
      <c r="R437" s="1"/>
      <c r="S437" s="1"/>
      <c r="T437" s="1"/>
      <c r="U437" s="15"/>
      <c r="V437" s="1"/>
      <c r="W437" s="1"/>
      <c r="X437" s="1"/>
      <c r="Y437" s="1"/>
      <c r="Z437" s="15"/>
      <c r="AA437" s="1"/>
      <c r="AB437" s="1"/>
      <c r="AC437" s="1"/>
      <c r="AD437" s="1"/>
      <c r="AE437" s="15"/>
      <c r="AF437" s="1"/>
      <c r="AG437" s="1"/>
      <c r="AH437" s="1"/>
      <c r="AI437" s="1"/>
      <c r="AJ437" s="15"/>
      <c r="AK437" s="1"/>
    </row>
    <row r="438" spans="1:37" ht="16.5" customHeight="1">
      <c r="A438" s="1"/>
      <c r="B438" s="1"/>
      <c r="C438" s="1"/>
      <c r="D438" s="15"/>
      <c r="E438" s="15"/>
      <c r="F438" s="15"/>
      <c r="G438" s="15"/>
      <c r="H438" s="1"/>
      <c r="I438" s="1"/>
      <c r="J438" s="1"/>
      <c r="K438" s="15"/>
      <c r="L438" s="1"/>
      <c r="M438" s="1"/>
      <c r="N438" s="1"/>
      <c r="O438" s="1"/>
      <c r="P438" s="15"/>
      <c r="Q438" s="1"/>
      <c r="R438" s="1"/>
      <c r="S438" s="1"/>
      <c r="T438" s="1"/>
      <c r="U438" s="15"/>
      <c r="V438" s="1"/>
      <c r="W438" s="1"/>
      <c r="X438" s="1"/>
      <c r="Y438" s="1"/>
      <c r="Z438" s="15"/>
      <c r="AA438" s="1"/>
      <c r="AB438" s="1"/>
      <c r="AC438" s="1"/>
      <c r="AD438" s="1"/>
      <c r="AE438" s="15"/>
      <c r="AF438" s="1"/>
      <c r="AG438" s="1"/>
      <c r="AH438" s="1"/>
      <c r="AI438" s="1"/>
      <c r="AJ438" s="15"/>
      <c r="AK438" s="1"/>
    </row>
    <row r="439" spans="1:37" ht="16.5" customHeight="1">
      <c r="A439" s="1"/>
      <c r="B439" s="1"/>
      <c r="C439" s="1"/>
      <c r="D439" s="15"/>
      <c r="E439" s="15"/>
      <c r="F439" s="15"/>
      <c r="G439" s="15"/>
      <c r="H439" s="1"/>
      <c r="I439" s="1"/>
      <c r="J439" s="1"/>
      <c r="K439" s="15"/>
      <c r="L439" s="1"/>
      <c r="M439" s="1"/>
      <c r="N439" s="1"/>
      <c r="O439" s="1"/>
      <c r="P439" s="15"/>
      <c r="Q439" s="1"/>
      <c r="R439" s="1"/>
      <c r="S439" s="1"/>
      <c r="T439" s="1"/>
      <c r="U439" s="15"/>
      <c r="V439" s="1"/>
      <c r="W439" s="1"/>
      <c r="X439" s="1"/>
      <c r="Y439" s="1"/>
      <c r="Z439" s="15"/>
      <c r="AA439" s="1"/>
      <c r="AB439" s="1"/>
      <c r="AC439" s="1"/>
      <c r="AD439" s="1"/>
      <c r="AE439" s="15"/>
      <c r="AF439" s="1"/>
      <c r="AG439" s="1"/>
      <c r="AH439" s="1"/>
      <c r="AI439" s="1"/>
      <c r="AJ439" s="15"/>
      <c r="AK439" s="1"/>
    </row>
    <row r="440" spans="1:37" ht="16.5" customHeight="1">
      <c r="A440" s="1"/>
      <c r="B440" s="1"/>
      <c r="C440" s="1"/>
      <c r="D440" s="15"/>
      <c r="E440" s="15"/>
      <c r="F440" s="15"/>
      <c r="G440" s="15"/>
      <c r="H440" s="1"/>
      <c r="I440" s="1"/>
      <c r="J440" s="1"/>
      <c r="K440" s="15"/>
      <c r="L440" s="1"/>
      <c r="M440" s="1"/>
      <c r="N440" s="1"/>
      <c r="O440" s="1"/>
      <c r="P440" s="15"/>
      <c r="Q440" s="1"/>
      <c r="R440" s="1"/>
      <c r="S440" s="1"/>
      <c r="T440" s="1"/>
      <c r="U440" s="15"/>
      <c r="V440" s="1"/>
      <c r="W440" s="1"/>
      <c r="X440" s="1"/>
      <c r="Y440" s="1"/>
      <c r="Z440" s="15"/>
      <c r="AA440" s="1"/>
      <c r="AB440" s="1"/>
      <c r="AC440" s="1"/>
      <c r="AD440" s="1"/>
      <c r="AE440" s="15"/>
      <c r="AF440" s="1"/>
      <c r="AG440" s="1"/>
      <c r="AH440" s="1"/>
      <c r="AI440" s="1"/>
      <c r="AJ440" s="15"/>
      <c r="AK440" s="1"/>
    </row>
    <row r="441" spans="1:37" ht="16.5" customHeight="1">
      <c r="A441" s="1"/>
      <c r="B441" s="1"/>
      <c r="C441" s="1"/>
      <c r="D441" s="15"/>
      <c r="E441" s="15"/>
      <c r="F441" s="15"/>
      <c r="G441" s="15"/>
      <c r="H441" s="1"/>
      <c r="I441" s="1"/>
      <c r="J441" s="1"/>
      <c r="K441" s="15"/>
      <c r="L441" s="1"/>
      <c r="M441" s="1"/>
      <c r="N441" s="1"/>
      <c r="O441" s="1"/>
      <c r="P441" s="15"/>
      <c r="Q441" s="1"/>
      <c r="R441" s="1"/>
      <c r="S441" s="1"/>
      <c r="T441" s="1"/>
      <c r="U441" s="15"/>
      <c r="V441" s="1"/>
      <c r="W441" s="1"/>
      <c r="X441" s="1"/>
      <c r="Y441" s="1"/>
      <c r="Z441" s="15"/>
      <c r="AA441" s="1"/>
      <c r="AB441" s="1"/>
      <c r="AC441" s="1"/>
      <c r="AD441" s="1"/>
      <c r="AE441" s="15"/>
      <c r="AF441" s="1"/>
      <c r="AG441" s="1"/>
      <c r="AH441" s="1"/>
      <c r="AI441" s="1"/>
      <c r="AJ441" s="15"/>
      <c r="AK441" s="1"/>
    </row>
    <row r="442" spans="1:37" ht="16.5" customHeight="1">
      <c r="A442" s="1"/>
      <c r="B442" s="1"/>
      <c r="C442" s="1"/>
      <c r="D442" s="15"/>
      <c r="E442" s="15"/>
      <c r="F442" s="15"/>
      <c r="G442" s="15"/>
      <c r="H442" s="1"/>
      <c r="I442" s="1"/>
      <c r="J442" s="1"/>
      <c r="K442" s="15"/>
      <c r="L442" s="1"/>
      <c r="M442" s="1"/>
      <c r="N442" s="1"/>
      <c r="O442" s="1"/>
      <c r="P442" s="15"/>
      <c r="Q442" s="1"/>
      <c r="R442" s="1"/>
      <c r="S442" s="1"/>
      <c r="T442" s="1"/>
      <c r="U442" s="15"/>
      <c r="V442" s="1"/>
      <c r="W442" s="1"/>
      <c r="X442" s="1"/>
      <c r="Y442" s="1"/>
      <c r="Z442" s="15"/>
      <c r="AA442" s="1"/>
      <c r="AB442" s="1"/>
      <c r="AC442" s="1"/>
      <c r="AD442" s="1"/>
      <c r="AE442" s="15"/>
      <c r="AF442" s="1"/>
      <c r="AG442" s="1"/>
      <c r="AH442" s="1"/>
      <c r="AI442" s="1"/>
      <c r="AJ442" s="15"/>
      <c r="AK442" s="1"/>
    </row>
    <row r="443" spans="1:37" ht="16.5" customHeight="1">
      <c r="A443" s="1"/>
      <c r="B443" s="1"/>
      <c r="C443" s="1"/>
      <c r="D443" s="15"/>
      <c r="E443" s="15"/>
      <c r="F443" s="15"/>
      <c r="G443" s="15"/>
      <c r="H443" s="1"/>
      <c r="I443" s="1"/>
      <c r="J443" s="1"/>
      <c r="K443" s="15"/>
      <c r="L443" s="1"/>
      <c r="M443" s="1"/>
      <c r="N443" s="1"/>
      <c r="O443" s="1"/>
      <c r="P443" s="15"/>
      <c r="Q443" s="1"/>
      <c r="R443" s="1"/>
      <c r="S443" s="1"/>
      <c r="T443" s="1"/>
      <c r="U443" s="15"/>
      <c r="V443" s="1"/>
      <c r="W443" s="1"/>
      <c r="X443" s="1"/>
      <c r="Y443" s="1"/>
      <c r="Z443" s="15"/>
      <c r="AA443" s="1"/>
      <c r="AB443" s="1"/>
      <c r="AC443" s="1"/>
      <c r="AD443" s="1"/>
      <c r="AE443" s="15"/>
      <c r="AF443" s="1"/>
      <c r="AG443" s="1"/>
      <c r="AH443" s="1"/>
      <c r="AI443" s="1"/>
      <c r="AJ443" s="15"/>
      <c r="AK443" s="1"/>
    </row>
    <row r="444" spans="1:37" ht="16.5" customHeight="1">
      <c r="A444" s="1"/>
      <c r="B444" s="1"/>
      <c r="C444" s="1"/>
      <c r="D444" s="15"/>
      <c r="E444" s="15"/>
      <c r="F444" s="15"/>
      <c r="G444" s="15"/>
      <c r="H444" s="1"/>
      <c r="I444" s="1"/>
      <c r="J444" s="1"/>
      <c r="K444" s="15"/>
      <c r="L444" s="1"/>
      <c r="M444" s="1"/>
      <c r="N444" s="1"/>
      <c r="O444" s="1"/>
      <c r="P444" s="15"/>
      <c r="Q444" s="1"/>
      <c r="R444" s="1"/>
      <c r="S444" s="1"/>
      <c r="T444" s="1"/>
      <c r="U444" s="15"/>
      <c r="V444" s="1"/>
      <c r="W444" s="1"/>
      <c r="X444" s="1"/>
      <c r="Y444" s="1"/>
      <c r="Z444" s="15"/>
      <c r="AA444" s="1"/>
      <c r="AB444" s="1"/>
      <c r="AC444" s="1"/>
      <c r="AD444" s="1"/>
      <c r="AE444" s="15"/>
      <c r="AF444" s="1"/>
      <c r="AG444" s="1"/>
      <c r="AH444" s="1"/>
      <c r="AI444" s="1"/>
      <c r="AJ444" s="15"/>
      <c r="AK444" s="1"/>
    </row>
    <row r="445" spans="1:37" ht="16.5" customHeight="1">
      <c r="A445" s="1"/>
      <c r="B445" s="1"/>
      <c r="C445" s="1"/>
      <c r="D445" s="15"/>
      <c r="E445" s="15"/>
      <c r="F445" s="15"/>
      <c r="G445" s="15"/>
      <c r="H445" s="1"/>
      <c r="I445" s="1"/>
      <c r="J445" s="1"/>
      <c r="K445" s="15"/>
      <c r="L445" s="1"/>
      <c r="M445" s="1"/>
      <c r="N445" s="1"/>
      <c r="O445" s="1"/>
      <c r="P445" s="15"/>
      <c r="Q445" s="1"/>
      <c r="R445" s="1"/>
      <c r="S445" s="1"/>
      <c r="T445" s="1"/>
      <c r="U445" s="15"/>
      <c r="V445" s="1"/>
      <c r="W445" s="1"/>
      <c r="X445" s="1"/>
      <c r="Y445" s="1"/>
      <c r="Z445" s="15"/>
      <c r="AA445" s="1"/>
      <c r="AB445" s="1"/>
      <c r="AC445" s="1"/>
      <c r="AD445" s="1"/>
      <c r="AE445" s="15"/>
      <c r="AF445" s="1"/>
      <c r="AG445" s="1"/>
      <c r="AH445" s="1"/>
      <c r="AI445" s="1"/>
      <c r="AJ445" s="15"/>
      <c r="AK445" s="1"/>
    </row>
    <row r="446" spans="1:37" ht="16.5" customHeight="1">
      <c r="A446" s="1"/>
      <c r="B446" s="1"/>
      <c r="C446" s="1"/>
      <c r="D446" s="15"/>
      <c r="E446" s="15"/>
      <c r="F446" s="15"/>
      <c r="G446" s="15"/>
      <c r="H446" s="1"/>
      <c r="I446" s="1"/>
      <c r="J446" s="1"/>
      <c r="K446" s="15"/>
      <c r="L446" s="1"/>
      <c r="M446" s="1"/>
      <c r="N446" s="1"/>
      <c r="O446" s="1"/>
      <c r="P446" s="15"/>
      <c r="Q446" s="1"/>
      <c r="R446" s="1"/>
      <c r="S446" s="1"/>
      <c r="T446" s="1"/>
      <c r="U446" s="15"/>
      <c r="V446" s="1"/>
      <c r="W446" s="1"/>
      <c r="X446" s="1"/>
      <c r="Y446" s="1"/>
      <c r="Z446" s="15"/>
      <c r="AA446" s="1"/>
      <c r="AB446" s="1"/>
      <c r="AC446" s="1"/>
      <c r="AD446" s="1"/>
      <c r="AE446" s="15"/>
      <c r="AF446" s="1"/>
      <c r="AG446" s="1"/>
      <c r="AH446" s="1"/>
      <c r="AI446" s="1"/>
      <c r="AJ446" s="15"/>
      <c r="AK446" s="1"/>
    </row>
    <row r="447" spans="1:37" ht="16.5" customHeight="1">
      <c r="A447" s="1"/>
      <c r="B447" s="1"/>
      <c r="C447" s="1"/>
      <c r="D447" s="15"/>
      <c r="E447" s="15"/>
      <c r="F447" s="15"/>
      <c r="G447" s="15"/>
      <c r="H447" s="1"/>
      <c r="I447" s="1"/>
      <c r="J447" s="1"/>
      <c r="K447" s="15"/>
      <c r="L447" s="1"/>
      <c r="M447" s="1"/>
      <c r="N447" s="1"/>
      <c r="O447" s="1"/>
      <c r="P447" s="15"/>
      <c r="Q447" s="1"/>
      <c r="R447" s="1"/>
      <c r="S447" s="1"/>
      <c r="T447" s="1"/>
      <c r="U447" s="15"/>
      <c r="V447" s="1"/>
      <c r="W447" s="1"/>
      <c r="X447" s="1"/>
      <c r="Y447" s="1"/>
      <c r="Z447" s="15"/>
      <c r="AA447" s="1"/>
      <c r="AB447" s="1"/>
      <c r="AC447" s="1"/>
      <c r="AD447" s="1"/>
      <c r="AE447" s="15"/>
      <c r="AF447" s="1"/>
      <c r="AG447" s="1"/>
      <c r="AH447" s="1"/>
      <c r="AI447" s="1"/>
      <c r="AJ447" s="15"/>
      <c r="AK447" s="1"/>
    </row>
    <row r="448" spans="1:37" ht="16.5" customHeight="1">
      <c r="A448" s="1"/>
      <c r="B448" s="1"/>
      <c r="C448" s="1"/>
      <c r="D448" s="15"/>
      <c r="E448" s="15"/>
      <c r="F448" s="15"/>
      <c r="G448" s="15"/>
      <c r="H448" s="1"/>
      <c r="I448" s="1"/>
      <c r="J448" s="1"/>
      <c r="K448" s="15"/>
      <c r="L448" s="1"/>
      <c r="M448" s="1"/>
      <c r="N448" s="1"/>
      <c r="O448" s="1"/>
      <c r="P448" s="15"/>
      <c r="Q448" s="1"/>
      <c r="R448" s="1"/>
      <c r="S448" s="1"/>
      <c r="T448" s="1"/>
      <c r="U448" s="15"/>
      <c r="V448" s="1"/>
      <c r="W448" s="1"/>
      <c r="X448" s="1"/>
      <c r="Y448" s="1"/>
      <c r="Z448" s="15"/>
      <c r="AA448" s="1"/>
      <c r="AB448" s="1"/>
      <c r="AC448" s="1"/>
      <c r="AD448" s="1"/>
      <c r="AE448" s="15"/>
      <c r="AF448" s="1"/>
      <c r="AG448" s="1"/>
      <c r="AH448" s="1"/>
      <c r="AI448" s="1"/>
      <c r="AJ448" s="15"/>
      <c r="AK448" s="1"/>
    </row>
    <row r="449" spans="1:37" ht="16.5" customHeight="1">
      <c r="A449" s="1"/>
      <c r="B449" s="1"/>
      <c r="C449" s="1"/>
      <c r="D449" s="15"/>
      <c r="E449" s="15"/>
      <c r="F449" s="15"/>
      <c r="G449" s="15"/>
      <c r="H449" s="1"/>
      <c r="I449" s="1"/>
      <c r="J449" s="1"/>
      <c r="K449" s="15"/>
      <c r="L449" s="1"/>
      <c r="M449" s="1"/>
      <c r="N449" s="1"/>
      <c r="O449" s="1"/>
      <c r="P449" s="15"/>
      <c r="Q449" s="1"/>
      <c r="R449" s="1"/>
      <c r="S449" s="1"/>
      <c r="T449" s="1"/>
      <c r="U449" s="15"/>
      <c r="V449" s="1"/>
      <c r="W449" s="1"/>
      <c r="X449" s="1"/>
      <c r="Y449" s="1"/>
      <c r="Z449" s="15"/>
      <c r="AA449" s="1"/>
      <c r="AB449" s="1"/>
      <c r="AC449" s="1"/>
      <c r="AD449" s="1"/>
      <c r="AE449" s="15"/>
      <c r="AF449" s="1"/>
      <c r="AG449" s="1"/>
      <c r="AH449" s="1"/>
      <c r="AI449" s="1"/>
      <c r="AJ449" s="15"/>
      <c r="AK449" s="1"/>
    </row>
    <row r="450" spans="1:37" ht="16.5" customHeight="1">
      <c r="A450" s="1"/>
      <c r="B450" s="1"/>
      <c r="C450" s="1"/>
      <c r="D450" s="15"/>
      <c r="E450" s="15"/>
      <c r="F450" s="15"/>
      <c r="G450" s="15"/>
      <c r="H450" s="1"/>
      <c r="I450" s="1"/>
      <c r="J450" s="1"/>
      <c r="K450" s="15"/>
      <c r="L450" s="1"/>
      <c r="M450" s="1"/>
      <c r="N450" s="1"/>
      <c r="O450" s="1"/>
      <c r="P450" s="15"/>
      <c r="Q450" s="1"/>
      <c r="R450" s="1"/>
      <c r="S450" s="1"/>
      <c r="T450" s="1"/>
      <c r="U450" s="15"/>
      <c r="V450" s="1"/>
      <c r="W450" s="1"/>
      <c r="X450" s="1"/>
      <c r="Y450" s="1"/>
      <c r="Z450" s="15"/>
      <c r="AA450" s="1"/>
      <c r="AB450" s="1"/>
      <c r="AC450" s="1"/>
      <c r="AD450" s="1"/>
      <c r="AE450" s="15"/>
      <c r="AF450" s="1"/>
      <c r="AG450" s="1"/>
      <c r="AH450" s="1"/>
      <c r="AI450" s="1"/>
      <c r="AJ450" s="15"/>
      <c r="AK450" s="1"/>
    </row>
    <row r="451" spans="1:37" ht="16.5" customHeight="1">
      <c r="A451" s="1"/>
      <c r="B451" s="1"/>
      <c r="C451" s="1"/>
      <c r="D451" s="15"/>
      <c r="E451" s="15"/>
      <c r="F451" s="15"/>
      <c r="G451" s="15"/>
      <c r="H451" s="1"/>
      <c r="I451" s="1"/>
      <c r="J451" s="1"/>
      <c r="K451" s="15"/>
      <c r="L451" s="1"/>
      <c r="M451" s="1"/>
      <c r="N451" s="1"/>
      <c r="O451" s="1"/>
      <c r="P451" s="15"/>
      <c r="Q451" s="1"/>
      <c r="R451" s="1"/>
      <c r="S451" s="1"/>
      <c r="T451" s="1"/>
      <c r="U451" s="15"/>
      <c r="V451" s="1"/>
      <c r="W451" s="1"/>
      <c r="X451" s="1"/>
      <c r="Y451" s="1"/>
      <c r="Z451" s="15"/>
      <c r="AA451" s="1"/>
      <c r="AB451" s="1"/>
      <c r="AC451" s="1"/>
      <c r="AD451" s="1"/>
      <c r="AE451" s="15"/>
      <c r="AF451" s="1"/>
      <c r="AG451" s="1"/>
      <c r="AH451" s="1"/>
      <c r="AI451" s="1"/>
      <c r="AJ451" s="15"/>
      <c r="AK451" s="1"/>
    </row>
    <row r="452" spans="1:37" ht="16.5" customHeight="1">
      <c r="A452" s="1"/>
      <c r="B452" s="1"/>
      <c r="C452" s="1"/>
      <c r="D452" s="15"/>
      <c r="E452" s="15"/>
      <c r="F452" s="15"/>
      <c r="G452" s="15"/>
      <c r="H452" s="1"/>
      <c r="I452" s="1"/>
      <c r="J452" s="1"/>
      <c r="K452" s="15"/>
      <c r="L452" s="1"/>
      <c r="M452" s="1"/>
      <c r="N452" s="1"/>
      <c r="O452" s="1"/>
      <c r="P452" s="15"/>
      <c r="Q452" s="1"/>
      <c r="R452" s="1"/>
      <c r="S452" s="1"/>
      <c r="T452" s="1"/>
      <c r="U452" s="15"/>
      <c r="V452" s="1"/>
      <c r="W452" s="1"/>
      <c r="X452" s="1"/>
      <c r="Y452" s="1"/>
      <c r="Z452" s="15"/>
      <c r="AA452" s="1"/>
      <c r="AB452" s="1"/>
      <c r="AC452" s="1"/>
      <c r="AD452" s="1"/>
      <c r="AE452" s="15"/>
      <c r="AF452" s="1"/>
      <c r="AG452" s="1"/>
      <c r="AH452" s="1"/>
      <c r="AI452" s="1"/>
      <c r="AJ452" s="15"/>
      <c r="AK452" s="1"/>
    </row>
    <row r="453" spans="1:37" ht="16.5" customHeight="1">
      <c r="A453" s="1"/>
      <c r="B453" s="1"/>
      <c r="C453" s="1"/>
      <c r="D453" s="15"/>
      <c r="E453" s="15"/>
      <c r="F453" s="15"/>
      <c r="G453" s="15"/>
      <c r="H453" s="1"/>
      <c r="I453" s="1"/>
      <c r="J453" s="1"/>
      <c r="K453" s="15"/>
      <c r="L453" s="1"/>
      <c r="M453" s="1"/>
      <c r="N453" s="1"/>
      <c r="O453" s="1"/>
      <c r="P453" s="15"/>
      <c r="Q453" s="1"/>
      <c r="R453" s="1"/>
      <c r="S453" s="1"/>
      <c r="T453" s="1"/>
      <c r="U453" s="15"/>
      <c r="V453" s="1"/>
      <c r="W453" s="1"/>
      <c r="X453" s="1"/>
      <c r="Y453" s="1"/>
      <c r="Z453" s="15"/>
      <c r="AA453" s="1"/>
      <c r="AB453" s="1"/>
      <c r="AC453" s="1"/>
      <c r="AD453" s="1"/>
      <c r="AE453" s="15"/>
      <c r="AF453" s="1"/>
      <c r="AG453" s="1"/>
      <c r="AH453" s="1"/>
      <c r="AI453" s="1"/>
      <c r="AJ453" s="15"/>
      <c r="AK453" s="1"/>
    </row>
    <row r="454" spans="1:37" ht="16.5" customHeight="1">
      <c r="A454" s="1"/>
      <c r="B454" s="1"/>
      <c r="C454" s="1"/>
      <c r="D454" s="15"/>
      <c r="E454" s="15"/>
      <c r="F454" s="15"/>
      <c r="G454" s="15"/>
      <c r="H454" s="1"/>
      <c r="I454" s="1"/>
      <c r="J454" s="1"/>
      <c r="K454" s="15"/>
      <c r="L454" s="1"/>
      <c r="M454" s="1"/>
      <c r="N454" s="1"/>
      <c r="O454" s="1"/>
      <c r="P454" s="15"/>
      <c r="Q454" s="1"/>
      <c r="R454" s="1"/>
      <c r="S454" s="1"/>
      <c r="T454" s="1"/>
      <c r="U454" s="15"/>
      <c r="V454" s="1"/>
      <c r="W454" s="1"/>
      <c r="X454" s="1"/>
      <c r="Y454" s="1"/>
      <c r="Z454" s="15"/>
      <c r="AA454" s="1"/>
      <c r="AB454" s="1"/>
      <c r="AC454" s="1"/>
      <c r="AD454" s="1"/>
      <c r="AE454" s="15"/>
      <c r="AF454" s="1"/>
      <c r="AG454" s="1"/>
      <c r="AH454" s="1"/>
      <c r="AI454" s="1"/>
      <c r="AJ454" s="15"/>
      <c r="AK454" s="1"/>
    </row>
    <row r="455" spans="1:37" ht="16.5" customHeight="1">
      <c r="A455" s="1"/>
      <c r="B455" s="1"/>
      <c r="C455" s="1"/>
      <c r="D455" s="15"/>
      <c r="E455" s="15"/>
      <c r="F455" s="15"/>
      <c r="G455" s="15"/>
      <c r="H455" s="1"/>
      <c r="I455" s="1"/>
      <c r="J455" s="1"/>
      <c r="K455" s="15"/>
      <c r="L455" s="1"/>
      <c r="M455" s="1"/>
      <c r="N455" s="1"/>
      <c r="O455" s="1"/>
      <c r="P455" s="15"/>
      <c r="Q455" s="1"/>
      <c r="R455" s="1"/>
      <c r="S455" s="1"/>
      <c r="T455" s="1"/>
      <c r="U455" s="15"/>
      <c r="V455" s="1"/>
      <c r="W455" s="1"/>
      <c r="X455" s="1"/>
      <c r="Y455" s="1"/>
      <c r="Z455" s="15"/>
      <c r="AA455" s="1"/>
      <c r="AB455" s="1"/>
      <c r="AC455" s="1"/>
      <c r="AD455" s="1"/>
      <c r="AE455" s="15"/>
      <c r="AF455" s="1"/>
      <c r="AG455" s="1"/>
      <c r="AH455" s="1"/>
      <c r="AI455" s="1"/>
      <c r="AJ455" s="15"/>
      <c r="AK455" s="1"/>
    </row>
    <row r="456" spans="1:37" ht="16.5" customHeight="1">
      <c r="A456" s="1"/>
      <c r="B456" s="1"/>
      <c r="C456" s="1"/>
      <c r="D456" s="15"/>
      <c r="E456" s="15"/>
      <c r="F456" s="15"/>
      <c r="G456" s="15"/>
      <c r="H456" s="1"/>
      <c r="I456" s="1"/>
      <c r="J456" s="1"/>
      <c r="K456" s="15"/>
      <c r="L456" s="1"/>
      <c r="M456" s="1"/>
      <c r="N456" s="1"/>
      <c r="O456" s="1"/>
      <c r="P456" s="15"/>
      <c r="Q456" s="1"/>
      <c r="R456" s="1"/>
      <c r="S456" s="1"/>
      <c r="T456" s="1"/>
      <c r="U456" s="15"/>
      <c r="V456" s="1"/>
      <c r="W456" s="1"/>
      <c r="X456" s="1"/>
      <c r="Y456" s="1"/>
      <c r="Z456" s="15"/>
      <c r="AA456" s="1"/>
      <c r="AB456" s="1"/>
      <c r="AC456" s="1"/>
      <c r="AD456" s="1"/>
      <c r="AE456" s="15"/>
      <c r="AF456" s="1"/>
      <c r="AG456" s="1"/>
      <c r="AH456" s="1"/>
      <c r="AI456" s="1"/>
      <c r="AJ456" s="15"/>
      <c r="AK456" s="1"/>
    </row>
    <row r="457" spans="1:37" ht="16.5" customHeight="1">
      <c r="A457" s="1"/>
      <c r="B457" s="1"/>
      <c r="C457" s="1"/>
      <c r="D457" s="15"/>
      <c r="E457" s="15"/>
      <c r="F457" s="15"/>
      <c r="G457" s="15"/>
      <c r="H457" s="1"/>
      <c r="I457" s="1"/>
      <c r="J457" s="1"/>
      <c r="K457" s="15"/>
      <c r="L457" s="1"/>
      <c r="M457" s="1"/>
      <c r="N457" s="1"/>
      <c r="O457" s="1"/>
      <c r="P457" s="15"/>
      <c r="Q457" s="1"/>
      <c r="R457" s="1"/>
      <c r="S457" s="1"/>
      <c r="T457" s="1"/>
      <c r="U457" s="15"/>
      <c r="V457" s="1"/>
      <c r="W457" s="1"/>
      <c r="X457" s="1"/>
      <c r="Y457" s="1"/>
      <c r="Z457" s="15"/>
      <c r="AA457" s="1"/>
      <c r="AB457" s="1"/>
      <c r="AC457" s="1"/>
      <c r="AD457" s="1"/>
      <c r="AE457" s="15"/>
      <c r="AF457" s="1"/>
      <c r="AG457" s="1"/>
      <c r="AH457" s="1"/>
      <c r="AI457" s="1"/>
      <c r="AJ457" s="15"/>
      <c r="AK457" s="1"/>
    </row>
    <row r="458" spans="1:37" ht="16.5" customHeight="1">
      <c r="A458" s="1"/>
      <c r="B458" s="1"/>
      <c r="C458" s="1"/>
      <c r="D458" s="15"/>
      <c r="E458" s="15"/>
      <c r="F458" s="15"/>
      <c r="G458" s="15"/>
      <c r="H458" s="1"/>
      <c r="I458" s="1"/>
      <c r="J458" s="1"/>
      <c r="K458" s="15"/>
      <c r="L458" s="1"/>
      <c r="M458" s="1"/>
      <c r="N458" s="1"/>
      <c r="O458" s="1"/>
      <c r="P458" s="15"/>
      <c r="Q458" s="1"/>
      <c r="R458" s="1"/>
      <c r="S458" s="1"/>
      <c r="T458" s="1"/>
      <c r="U458" s="15"/>
      <c r="V458" s="1"/>
      <c r="W458" s="1"/>
      <c r="X458" s="1"/>
      <c r="Y458" s="1"/>
      <c r="Z458" s="15"/>
      <c r="AA458" s="1"/>
      <c r="AB458" s="1"/>
      <c r="AC458" s="1"/>
      <c r="AD458" s="1"/>
      <c r="AE458" s="15"/>
      <c r="AF458" s="1"/>
      <c r="AG458" s="1"/>
      <c r="AH458" s="1"/>
      <c r="AI458" s="1"/>
      <c r="AJ458" s="15"/>
      <c r="AK458" s="1"/>
    </row>
    <row r="459" spans="1:37" ht="16.5" customHeight="1">
      <c r="A459" s="1"/>
      <c r="B459" s="1"/>
      <c r="C459" s="1"/>
      <c r="D459" s="15"/>
      <c r="E459" s="15"/>
      <c r="F459" s="15"/>
      <c r="G459" s="15"/>
      <c r="H459" s="1"/>
      <c r="I459" s="1"/>
      <c r="J459" s="1"/>
      <c r="K459" s="15"/>
      <c r="L459" s="1"/>
      <c r="M459" s="1"/>
      <c r="N459" s="1"/>
      <c r="O459" s="1"/>
      <c r="P459" s="15"/>
      <c r="Q459" s="1"/>
      <c r="R459" s="1"/>
      <c r="S459" s="1"/>
      <c r="T459" s="1"/>
      <c r="U459" s="15"/>
      <c r="V459" s="1"/>
      <c r="W459" s="1"/>
      <c r="X459" s="1"/>
      <c r="Y459" s="1"/>
      <c r="Z459" s="15"/>
      <c r="AA459" s="1"/>
      <c r="AB459" s="1"/>
      <c r="AC459" s="1"/>
      <c r="AD459" s="1"/>
      <c r="AE459" s="15"/>
      <c r="AF459" s="1"/>
      <c r="AG459" s="1"/>
      <c r="AH459" s="1"/>
      <c r="AI459" s="1"/>
      <c r="AJ459" s="15"/>
      <c r="AK459" s="1"/>
    </row>
    <row r="460" spans="1:37" ht="16.5" customHeight="1">
      <c r="A460" s="1"/>
      <c r="B460" s="1"/>
      <c r="C460" s="1"/>
      <c r="D460" s="15"/>
      <c r="E460" s="15"/>
      <c r="F460" s="15"/>
      <c r="G460" s="15"/>
      <c r="H460" s="1"/>
      <c r="I460" s="1"/>
      <c r="J460" s="1"/>
      <c r="K460" s="15"/>
      <c r="L460" s="1"/>
      <c r="M460" s="1"/>
      <c r="N460" s="1"/>
      <c r="O460" s="1"/>
      <c r="P460" s="15"/>
      <c r="Q460" s="1"/>
      <c r="R460" s="1"/>
      <c r="S460" s="1"/>
      <c r="T460" s="1"/>
      <c r="U460" s="15"/>
      <c r="V460" s="1"/>
      <c r="W460" s="1"/>
      <c r="X460" s="1"/>
      <c r="Y460" s="1"/>
      <c r="Z460" s="15"/>
      <c r="AA460" s="1"/>
      <c r="AB460" s="1"/>
      <c r="AC460" s="1"/>
      <c r="AD460" s="1"/>
      <c r="AE460" s="15"/>
      <c r="AF460" s="1"/>
      <c r="AG460" s="1"/>
      <c r="AH460" s="1"/>
      <c r="AI460" s="1"/>
      <c r="AJ460" s="15"/>
      <c r="AK460" s="1"/>
    </row>
    <row r="461" spans="1:37" ht="16.5" customHeight="1">
      <c r="A461" s="1"/>
      <c r="B461" s="1"/>
      <c r="C461" s="1"/>
      <c r="D461" s="15"/>
      <c r="E461" s="15"/>
      <c r="F461" s="15"/>
      <c r="G461" s="15"/>
      <c r="H461" s="1"/>
      <c r="I461" s="1"/>
      <c r="J461" s="1"/>
      <c r="K461" s="15"/>
      <c r="L461" s="1"/>
      <c r="M461" s="1"/>
      <c r="N461" s="1"/>
      <c r="O461" s="1"/>
      <c r="P461" s="15"/>
      <c r="Q461" s="1"/>
      <c r="R461" s="1"/>
      <c r="S461" s="1"/>
      <c r="T461" s="1"/>
      <c r="U461" s="15"/>
      <c r="V461" s="1"/>
      <c r="W461" s="1"/>
      <c r="X461" s="1"/>
      <c r="Y461" s="1"/>
      <c r="Z461" s="15"/>
      <c r="AA461" s="1"/>
      <c r="AB461" s="1"/>
      <c r="AC461" s="1"/>
      <c r="AD461" s="1"/>
      <c r="AE461" s="15"/>
      <c r="AF461" s="1"/>
      <c r="AG461" s="1"/>
      <c r="AH461" s="1"/>
      <c r="AI461" s="1"/>
      <c r="AJ461" s="15"/>
      <c r="AK461" s="1"/>
    </row>
    <row r="462" spans="1:37" ht="16.5" customHeight="1">
      <c r="A462" s="1"/>
      <c r="B462" s="1"/>
      <c r="C462" s="1"/>
      <c r="D462" s="15"/>
      <c r="E462" s="15"/>
      <c r="F462" s="15"/>
      <c r="G462" s="15"/>
      <c r="H462" s="1"/>
      <c r="I462" s="1"/>
      <c r="J462" s="1"/>
      <c r="K462" s="15"/>
      <c r="L462" s="1"/>
      <c r="M462" s="1"/>
      <c r="N462" s="1"/>
      <c r="O462" s="1"/>
      <c r="P462" s="15"/>
      <c r="Q462" s="1"/>
      <c r="R462" s="1"/>
      <c r="S462" s="1"/>
      <c r="T462" s="1"/>
      <c r="U462" s="15"/>
      <c r="V462" s="1"/>
      <c r="W462" s="1"/>
      <c r="X462" s="1"/>
      <c r="Y462" s="1"/>
      <c r="Z462" s="15"/>
      <c r="AA462" s="1"/>
      <c r="AB462" s="1"/>
      <c r="AC462" s="1"/>
      <c r="AD462" s="1"/>
      <c r="AE462" s="15"/>
      <c r="AF462" s="1"/>
      <c r="AG462" s="1"/>
      <c r="AH462" s="1"/>
      <c r="AI462" s="1"/>
      <c r="AJ462" s="15"/>
      <c r="AK462" s="1"/>
    </row>
    <row r="463" spans="1:37" ht="16.5" customHeight="1">
      <c r="A463" s="1"/>
      <c r="B463" s="1"/>
      <c r="C463" s="1"/>
      <c r="D463" s="15"/>
      <c r="E463" s="15"/>
      <c r="F463" s="15"/>
      <c r="G463" s="15"/>
      <c r="H463" s="1"/>
      <c r="I463" s="1"/>
      <c r="J463" s="1"/>
      <c r="K463" s="15"/>
      <c r="L463" s="1"/>
      <c r="M463" s="1"/>
      <c r="N463" s="1"/>
      <c r="O463" s="1"/>
      <c r="P463" s="15"/>
      <c r="Q463" s="1"/>
      <c r="R463" s="1"/>
      <c r="S463" s="1"/>
      <c r="T463" s="1"/>
      <c r="U463" s="15"/>
      <c r="V463" s="1"/>
      <c r="W463" s="1"/>
      <c r="X463" s="1"/>
      <c r="Y463" s="1"/>
      <c r="Z463" s="15"/>
      <c r="AA463" s="1"/>
      <c r="AB463" s="1"/>
      <c r="AC463" s="1"/>
      <c r="AD463" s="1"/>
      <c r="AE463" s="15"/>
      <c r="AF463" s="1"/>
      <c r="AG463" s="1"/>
      <c r="AH463" s="1"/>
      <c r="AI463" s="1"/>
      <c r="AJ463" s="15"/>
      <c r="AK463" s="1"/>
    </row>
    <row r="464" spans="1:37" ht="16.5" customHeight="1">
      <c r="A464" s="1"/>
      <c r="B464" s="1"/>
      <c r="C464" s="1"/>
      <c r="D464" s="15"/>
      <c r="E464" s="15"/>
      <c r="F464" s="15"/>
      <c r="G464" s="15"/>
      <c r="H464" s="1"/>
      <c r="I464" s="1"/>
      <c r="J464" s="1"/>
      <c r="K464" s="15"/>
      <c r="L464" s="1"/>
      <c r="M464" s="1"/>
      <c r="N464" s="1"/>
      <c r="O464" s="1"/>
      <c r="P464" s="15"/>
      <c r="Q464" s="1"/>
      <c r="R464" s="1"/>
      <c r="S464" s="1"/>
      <c r="T464" s="1"/>
      <c r="U464" s="15"/>
      <c r="V464" s="1"/>
      <c r="W464" s="1"/>
      <c r="X464" s="1"/>
      <c r="Y464" s="1"/>
      <c r="Z464" s="15"/>
      <c r="AA464" s="1"/>
      <c r="AB464" s="1"/>
      <c r="AC464" s="1"/>
      <c r="AD464" s="1"/>
      <c r="AE464" s="15"/>
      <c r="AF464" s="1"/>
      <c r="AG464" s="1"/>
      <c r="AH464" s="1"/>
      <c r="AI464" s="1"/>
      <c r="AJ464" s="15"/>
      <c r="AK464" s="1"/>
    </row>
    <row r="465" spans="1:37" ht="16.5" customHeight="1">
      <c r="A465" s="1"/>
      <c r="B465" s="1"/>
      <c r="C465" s="1"/>
      <c r="D465" s="15"/>
      <c r="E465" s="15"/>
      <c r="F465" s="15"/>
      <c r="G465" s="15"/>
      <c r="H465" s="1"/>
      <c r="I465" s="1"/>
      <c r="J465" s="1"/>
      <c r="K465" s="15"/>
      <c r="L465" s="1"/>
      <c r="M465" s="1"/>
      <c r="N465" s="1"/>
      <c r="O465" s="1"/>
      <c r="P465" s="15"/>
      <c r="Q465" s="1"/>
      <c r="R465" s="1"/>
      <c r="S465" s="1"/>
      <c r="T465" s="1"/>
      <c r="U465" s="15"/>
      <c r="V465" s="1"/>
      <c r="W465" s="1"/>
      <c r="X465" s="1"/>
      <c r="Y465" s="1"/>
      <c r="Z465" s="15"/>
      <c r="AA465" s="1"/>
      <c r="AB465" s="1"/>
      <c r="AC465" s="1"/>
      <c r="AD465" s="1"/>
      <c r="AE465" s="15"/>
      <c r="AF465" s="1"/>
      <c r="AG465" s="1"/>
      <c r="AH465" s="1"/>
      <c r="AI465" s="1"/>
      <c r="AJ465" s="15"/>
      <c r="AK465" s="1"/>
    </row>
    <row r="466" spans="1:37" ht="16.5" customHeight="1">
      <c r="A466" s="1"/>
      <c r="B466" s="1"/>
      <c r="C466" s="1"/>
      <c r="D466" s="15"/>
      <c r="E466" s="15"/>
      <c r="F466" s="15"/>
      <c r="G466" s="15"/>
      <c r="H466" s="1"/>
      <c r="I466" s="1"/>
      <c r="J466" s="1"/>
      <c r="K466" s="15"/>
      <c r="L466" s="1"/>
      <c r="M466" s="1"/>
      <c r="N466" s="1"/>
      <c r="O466" s="1"/>
      <c r="P466" s="15"/>
      <c r="Q466" s="1"/>
      <c r="R466" s="1"/>
      <c r="S466" s="1"/>
      <c r="T466" s="1"/>
      <c r="U466" s="15"/>
      <c r="V466" s="1"/>
      <c r="W466" s="1"/>
      <c r="X466" s="1"/>
      <c r="Y466" s="1"/>
      <c r="Z466" s="15"/>
      <c r="AA466" s="1"/>
      <c r="AB466" s="1"/>
      <c r="AC466" s="1"/>
      <c r="AD466" s="1"/>
      <c r="AE466" s="15"/>
      <c r="AF466" s="1"/>
      <c r="AG466" s="1"/>
      <c r="AH466" s="1"/>
      <c r="AI466" s="1"/>
      <c r="AJ466" s="15"/>
      <c r="AK466" s="1"/>
    </row>
    <row r="467" spans="1:37" ht="16.5" customHeight="1">
      <c r="A467" s="1"/>
      <c r="B467" s="1"/>
      <c r="C467" s="1"/>
      <c r="D467" s="15"/>
      <c r="E467" s="15"/>
      <c r="F467" s="15"/>
      <c r="G467" s="15"/>
      <c r="H467" s="1"/>
      <c r="I467" s="1"/>
      <c r="J467" s="1"/>
      <c r="K467" s="15"/>
      <c r="L467" s="1"/>
      <c r="M467" s="1"/>
      <c r="N467" s="1"/>
      <c r="O467" s="1"/>
      <c r="P467" s="15"/>
      <c r="Q467" s="1"/>
      <c r="R467" s="1"/>
      <c r="S467" s="1"/>
      <c r="T467" s="1"/>
      <c r="U467" s="15"/>
      <c r="V467" s="1"/>
      <c r="W467" s="1"/>
      <c r="X467" s="1"/>
      <c r="Y467" s="1"/>
      <c r="Z467" s="15"/>
      <c r="AA467" s="1"/>
      <c r="AB467" s="1"/>
      <c r="AC467" s="1"/>
      <c r="AD467" s="1"/>
      <c r="AE467" s="15"/>
      <c r="AF467" s="1"/>
      <c r="AG467" s="1"/>
      <c r="AH467" s="1"/>
      <c r="AI467" s="1"/>
      <c r="AJ467" s="15"/>
      <c r="AK467" s="1"/>
    </row>
    <row r="468" spans="1:37" ht="16.5" customHeight="1">
      <c r="A468" s="1"/>
      <c r="B468" s="1"/>
      <c r="C468" s="1"/>
      <c r="D468" s="15"/>
      <c r="E468" s="15"/>
      <c r="F468" s="15"/>
      <c r="G468" s="15"/>
      <c r="H468" s="1"/>
      <c r="I468" s="1"/>
      <c r="J468" s="1"/>
      <c r="K468" s="15"/>
      <c r="L468" s="1"/>
      <c r="M468" s="1"/>
      <c r="N468" s="1"/>
      <c r="O468" s="1"/>
      <c r="P468" s="15"/>
      <c r="Q468" s="1"/>
      <c r="R468" s="1"/>
      <c r="S468" s="1"/>
      <c r="T468" s="1"/>
      <c r="U468" s="15"/>
      <c r="V468" s="1"/>
      <c r="W468" s="1"/>
      <c r="X468" s="1"/>
      <c r="Y468" s="1"/>
      <c r="Z468" s="15"/>
      <c r="AA468" s="1"/>
      <c r="AB468" s="1"/>
      <c r="AC468" s="1"/>
      <c r="AD468" s="1"/>
      <c r="AE468" s="15"/>
      <c r="AF468" s="1"/>
      <c r="AG468" s="1"/>
      <c r="AH468" s="1"/>
      <c r="AI468" s="1"/>
      <c r="AJ468" s="15"/>
      <c r="AK468" s="1"/>
    </row>
    <row r="469" spans="1:37" ht="16.5" customHeight="1">
      <c r="A469" s="1"/>
      <c r="B469" s="1"/>
      <c r="C469" s="1"/>
      <c r="D469" s="15"/>
      <c r="E469" s="15"/>
      <c r="F469" s="15"/>
      <c r="G469" s="15"/>
      <c r="H469" s="1"/>
      <c r="I469" s="1"/>
      <c r="J469" s="1"/>
      <c r="K469" s="15"/>
      <c r="L469" s="1"/>
      <c r="M469" s="1"/>
      <c r="N469" s="1"/>
      <c r="O469" s="1"/>
      <c r="P469" s="15"/>
      <c r="Q469" s="1"/>
      <c r="R469" s="1"/>
      <c r="S469" s="1"/>
      <c r="T469" s="1"/>
      <c r="U469" s="15"/>
      <c r="V469" s="1"/>
      <c r="W469" s="1"/>
      <c r="X469" s="1"/>
      <c r="Y469" s="1"/>
      <c r="Z469" s="15"/>
      <c r="AA469" s="1"/>
      <c r="AB469" s="1"/>
      <c r="AC469" s="1"/>
      <c r="AD469" s="1"/>
      <c r="AE469" s="15"/>
      <c r="AF469" s="1"/>
      <c r="AG469" s="1"/>
      <c r="AH469" s="1"/>
      <c r="AI469" s="1"/>
      <c r="AJ469" s="15"/>
      <c r="AK469" s="1"/>
    </row>
    <row r="470" spans="1:37" ht="16.5" customHeight="1">
      <c r="A470" s="1"/>
      <c r="B470" s="1"/>
      <c r="C470" s="1"/>
      <c r="D470" s="15"/>
      <c r="E470" s="15"/>
      <c r="F470" s="15"/>
      <c r="G470" s="15"/>
      <c r="H470" s="1"/>
      <c r="I470" s="1"/>
      <c r="J470" s="1"/>
      <c r="K470" s="15"/>
      <c r="L470" s="1"/>
      <c r="M470" s="1"/>
      <c r="N470" s="1"/>
      <c r="O470" s="1"/>
      <c r="P470" s="15"/>
      <c r="Q470" s="1"/>
      <c r="R470" s="1"/>
      <c r="S470" s="1"/>
      <c r="T470" s="1"/>
      <c r="U470" s="15"/>
      <c r="V470" s="1"/>
      <c r="W470" s="1"/>
      <c r="X470" s="1"/>
      <c r="Y470" s="1"/>
      <c r="Z470" s="15"/>
      <c r="AA470" s="1"/>
      <c r="AB470" s="1"/>
      <c r="AC470" s="1"/>
      <c r="AD470" s="1"/>
      <c r="AE470" s="15"/>
      <c r="AF470" s="1"/>
      <c r="AG470" s="1"/>
      <c r="AH470" s="1"/>
      <c r="AI470" s="1"/>
      <c r="AJ470" s="15"/>
      <c r="AK470" s="1"/>
    </row>
    <row r="471" spans="1:37" ht="16.5" customHeight="1">
      <c r="A471" s="1"/>
      <c r="B471" s="1"/>
      <c r="C471" s="1"/>
      <c r="D471" s="15"/>
      <c r="E471" s="15"/>
      <c r="F471" s="15"/>
      <c r="G471" s="15"/>
      <c r="H471" s="1"/>
      <c r="I471" s="1"/>
      <c r="J471" s="1"/>
      <c r="K471" s="15"/>
      <c r="L471" s="1"/>
      <c r="M471" s="1"/>
      <c r="N471" s="1"/>
      <c r="O471" s="1"/>
      <c r="P471" s="15"/>
      <c r="Q471" s="1"/>
      <c r="R471" s="1"/>
      <c r="S471" s="1"/>
      <c r="T471" s="1"/>
      <c r="U471" s="15"/>
      <c r="V471" s="1"/>
      <c r="W471" s="1"/>
      <c r="X471" s="1"/>
      <c r="Y471" s="1"/>
      <c r="Z471" s="15"/>
      <c r="AA471" s="1"/>
      <c r="AB471" s="1"/>
      <c r="AC471" s="1"/>
      <c r="AD471" s="1"/>
      <c r="AE471" s="15"/>
      <c r="AF471" s="1"/>
      <c r="AG471" s="1"/>
      <c r="AH471" s="1"/>
      <c r="AI471" s="1"/>
      <c r="AJ471" s="15"/>
      <c r="AK471" s="1"/>
    </row>
    <row r="472" spans="1:37" ht="16.5" customHeight="1">
      <c r="A472" s="1"/>
      <c r="B472" s="1"/>
      <c r="C472" s="1"/>
      <c r="D472" s="15"/>
      <c r="E472" s="15"/>
      <c r="F472" s="15"/>
      <c r="G472" s="15"/>
      <c r="H472" s="1"/>
      <c r="I472" s="1"/>
      <c r="J472" s="1"/>
      <c r="K472" s="15"/>
      <c r="L472" s="1"/>
      <c r="M472" s="1"/>
      <c r="N472" s="1"/>
      <c r="O472" s="1"/>
      <c r="P472" s="15"/>
      <c r="Q472" s="1"/>
      <c r="R472" s="1"/>
      <c r="S472" s="1"/>
      <c r="T472" s="1"/>
      <c r="U472" s="15"/>
      <c r="V472" s="1"/>
      <c r="W472" s="1"/>
      <c r="X472" s="1"/>
      <c r="Y472" s="1"/>
      <c r="Z472" s="15"/>
      <c r="AA472" s="1"/>
      <c r="AB472" s="1"/>
      <c r="AC472" s="1"/>
      <c r="AD472" s="1"/>
      <c r="AE472" s="15"/>
      <c r="AF472" s="1"/>
      <c r="AG472" s="1"/>
      <c r="AH472" s="1"/>
      <c r="AI472" s="1"/>
      <c r="AJ472" s="15"/>
      <c r="AK472" s="1"/>
    </row>
    <row r="473" spans="1:37" ht="16.5" customHeight="1">
      <c r="A473" s="1"/>
      <c r="B473" s="1"/>
      <c r="C473" s="1"/>
      <c r="D473" s="15"/>
      <c r="E473" s="15"/>
      <c r="F473" s="15"/>
      <c r="G473" s="15"/>
      <c r="H473" s="1"/>
      <c r="I473" s="1"/>
      <c r="J473" s="1"/>
      <c r="K473" s="15"/>
      <c r="L473" s="1"/>
      <c r="M473" s="1"/>
      <c r="N473" s="1"/>
      <c r="O473" s="1"/>
      <c r="P473" s="15"/>
      <c r="Q473" s="1"/>
      <c r="R473" s="1"/>
      <c r="S473" s="1"/>
      <c r="T473" s="1"/>
      <c r="U473" s="15"/>
      <c r="V473" s="1"/>
      <c r="W473" s="1"/>
      <c r="X473" s="1"/>
      <c r="Y473" s="1"/>
      <c r="Z473" s="15"/>
      <c r="AA473" s="1"/>
      <c r="AB473" s="1"/>
      <c r="AC473" s="1"/>
      <c r="AD473" s="1"/>
      <c r="AE473" s="15"/>
      <c r="AF473" s="1"/>
      <c r="AG473" s="1"/>
      <c r="AH473" s="1"/>
      <c r="AI473" s="1"/>
      <c r="AJ473" s="15"/>
      <c r="AK473" s="1"/>
    </row>
    <row r="474" spans="1:37" ht="16.5" customHeight="1">
      <c r="A474" s="1"/>
      <c r="B474" s="1"/>
      <c r="C474" s="1"/>
      <c r="D474" s="15"/>
      <c r="E474" s="15"/>
      <c r="F474" s="15"/>
      <c r="G474" s="15"/>
      <c r="H474" s="1"/>
      <c r="I474" s="1"/>
      <c r="J474" s="1"/>
      <c r="K474" s="15"/>
      <c r="L474" s="1"/>
      <c r="M474" s="1"/>
      <c r="N474" s="1"/>
      <c r="O474" s="1"/>
      <c r="P474" s="15"/>
      <c r="Q474" s="1"/>
      <c r="R474" s="1"/>
      <c r="S474" s="1"/>
      <c r="T474" s="1"/>
      <c r="U474" s="15"/>
      <c r="V474" s="1"/>
      <c r="W474" s="1"/>
      <c r="X474" s="1"/>
      <c r="Y474" s="1"/>
      <c r="Z474" s="15"/>
      <c r="AA474" s="1"/>
      <c r="AB474" s="1"/>
      <c r="AC474" s="1"/>
      <c r="AD474" s="1"/>
      <c r="AE474" s="15"/>
      <c r="AF474" s="1"/>
      <c r="AG474" s="1"/>
      <c r="AH474" s="1"/>
      <c r="AI474" s="1"/>
      <c r="AJ474" s="15"/>
      <c r="AK474" s="1"/>
    </row>
    <row r="475" spans="1:37" ht="16.5" customHeight="1">
      <c r="A475" s="1"/>
      <c r="B475" s="1"/>
      <c r="C475" s="1"/>
      <c r="D475" s="15"/>
      <c r="E475" s="15"/>
      <c r="F475" s="15"/>
      <c r="G475" s="15"/>
      <c r="H475" s="1"/>
      <c r="I475" s="1"/>
      <c r="J475" s="1"/>
      <c r="K475" s="15"/>
      <c r="L475" s="1"/>
      <c r="M475" s="1"/>
      <c r="N475" s="1"/>
      <c r="O475" s="1"/>
      <c r="P475" s="15"/>
      <c r="Q475" s="1"/>
      <c r="R475" s="1"/>
      <c r="S475" s="1"/>
      <c r="T475" s="1"/>
      <c r="U475" s="15"/>
      <c r="V475" s="1"/>
      <c r="W475" s="1"/>
      <c r="X475" s="1"/>
      <c r="Y475" s="1"/>
      <c r="Z475" s="15"/>
      <c r="AA475" s="1"/>
      <c r="AB475" s="1"/>
      <c r="AC475" s="1"/>
      <c r="AD475" s="1"/>
      <c r="AE475" s="15"/>
      <c r="AF475" s="1"/>
      <c r="AG475" s="1"/>
      <c r="AH475" s="1"/>
      <c r="AI475" s="1"/>
      <c r="AJ475" s="15"/>
      <c r="AK475" s="1"/>
    </row>
    <row r="476" spans="1:37" ht="16.5" customHeight="1">
      <c r="A476" s="1"/>
      <c r="B476" s="1"/>
      <c r="C476" s="1"/>
      <c r="D476" s="15"/>
      <c r="E476" s="15"/>
      <c r="F476" s="15"/>
      <c r="G476" s="15"/>
      <c r="H476" s="1"/>
      <c r="I476" s="1"/>
      <c r="J476" s="1"/>
      <c r="K476" s="15"/>
      <c r="L476" s="1"/>
      <c r="M476" s="1"/>
      <c r="N476" s="1"/>
      <c r="O476" s="1"/>
      <c r="P476" s="15"/>
      <c r="Q476" s="1"/>
      <c r="R476" s="1"/>
      <c r="S476" s="1"/>
      <c r="T476" s="1"/>
      <c r="U476" s="15"/>
      <c r="V476" s="1"/>
      <c r="W476" s="1"/>
      <c r="X476" s="1"/>
      <c r="Y476" s="1"/>
      <c r="Z476" s="15"/>
      <c r="AA476" s="1"/>
      <c r="AB476" s="1"/>
      <c r="AC476" s="1"/>
      <c r="AD476" s="1"/>
      <c r="AE476" s="15"/>
      <c r="AF476" s="1"/>
      <c r="AG476" s="1"/>
      <c r="AH476" s="1"/>
      <c r="AI476" s="1"/>
      <c r="AJ476" s="15"/>
      <c r="AK476" s="1"/>
    </row>
    <row r="477" spans="1:37" ht="16.5" customHeight="1">
      <c r="A477" s="1"/>
      <c r="B477" s="1"/>
      <c r="C477" s="1"/>
      <c r="D477" s="15"/>
      <c r="E477" s="15"/>
      <c r="F477" s="15"/>
      <c r="G477" s="15"/>
      <c r="H477" s="1"/>
      <c r="I477" s="1"/>
      <c r="J477" s="1"/>
      <c r="K477" s="15"/>
      <c r="L477" s="1"/>
      <c r="M477" s="1"/>
      <c r="N477" s="1"/>
      <c r="O477" s="1"/>
      <c r="P477" s="15"/>
      <c r="Q477" s="1"/>
      <c r="R477" s="1"/>
      <c r="S477" s="1"/>
      <c r="T477" s="1"/>
      <c r="U477" s="15"/>
      <c r="V477" s="1"/>
      <c r="W477" s="1"/>
      <c r="X477" s="1"/>
      <c r="Y477" s="1"/>
      <c r="Z477" s="15"/>
      <c r="AA477" s="1"/>
      <c r="AB477" s="1"/>
      <c r="AC477" s="1"/>
      <c r="AD477" s="1"/>
      <c r="AE477" s="15"/>
      <c r="AF477" s="1"/>
      <c r="AG477" s="1"/>
      <c r="AH477" s="1"/>
      <c r="AI477" s="1"/>
      <c r="AJ477" s="15"/>
      <c r="AK477" s="1"/>
    </row>
    <row r="478" spans="1:37" ht="16.5" customHeight="1">
      <c r="A478" s="1"/>
      <c r="B478" s="1"/>
      <c r="C478" s="1"/>
      <c r="D478" s="15"/>
      <c r="E478" s="15"/>
      <c r="F478" s="15"/>
      <c r="G478" s="15"/>
      <c r="H478" s="1"/>
      <c r="I478" s="1"/>
      <c r="J478" s="1"/>
      <c r="K478" s="15"/>
      <c r="L478" s="1"/>
      <c r="M478" s="1"/>
      <c r="N478" s="1"/>
      <c r="O478" s="1"/>
      <c r="P478" s="15"/>
      <c r="Q478" s="1"/>
      <c r="R478" s="1"/>
      <c r="S478" s="1"/>
      <c r="T478" s="1"/>
      <c r="U478" s="15"/>
      <c r="V478" s="1"/>
      <c r="W478" s="1"/>
      <c r="X478" s="1"/>
      <c r="Y478" s="1"/>
      <c r="Z478" s="15"/>
      <c r="AA478" s="1"/>
      <c r="AB478" s="1"/>
      <c r="AC478" s="1"/>
      <c r="AD478" s="1"/>
      <c r="AE478" s="15"/>
      <c r="AF478" s="1"/>
      <c r="AG478" s="1"/>
      <c r="AH478" s="1"/>
      <c r="AI478" s="1"/>
      <c r="AJ478" s="15"/>
      <c r="AK478" s="1"/>
    </row>
    <row r="479" spans="1:37" ht="16.5" customHeight="1">
      <c r="A479" s="1"/>
      <c r="B479" s="1"/>
      <c r="C479" s="1"/>
      <c r="D479" s="15"/>
      <c r="E479" s="15"/>
      <c r="F479" s="15"/>
      <c r="G479" s="15"/>
      <c r="H479" s="1"/>
      <c r="I479" s="1"/>
      <c r="J479" s="1"/>
      <c r="K479" s="15"/>
      <c r="L479" s="1"/>
      <c r="M479" s="1"/>
      <c r="N479" s="1"/>
      <c r="O479" s="1"/>
      <c r="P479" s="15"/>
      <c r="Q479" s="1"/>
      <c r="R479" s="1"/>
      <c r="S479" s="1"/>
      <c r="T479" s="1"/>
      <c r="U479" s="15"/>
      <c r="V479" s="1"/>
      <c r="W479" s="1"/>
      <c r="X479" s="1"/>
      <c r="Y479" s="1"/>
      <c r="Z479" s="15"/>
      <c r="AA479" s="1"/>
      <c r="AB479" s="1"/>
      <c r="AC479" s="1"/>
      <c r="AD479" s="1"/>
      <c r="AE479" s="15"/>
      <c r="AF479" s="1"/>
      <c r="AG479" s="1"/>
      <c r="AH479" s="1"/>
      <c r="AI479" s="1"/>
      <c r="AJ479" s="15"/>
      <c r="AK479" s="1"/>
    </row>
    <row r="480" spans="1:37" ht="16.5" customHeight="1">
      <c r="A480" s="1"/>
      <c r="B480" s="1"/>
      <c r="C480" s="1"/>
      <c r="D480" s="15"/>
      <c r="E480" s="15"/>
      <c r="F480" s="15"/>
      <c r="G480" s="15"/>
      <c r="H480" s="1"/>
      <c r="I480" s="1"/>
      <c r="J480" s="1"/>
      <c r="K480" s="15"/>
      <c r="L480" s="1"/>
      <c r="M480" s="1"/>
      <c r="N480" s="1"/>
      <c r="O480" s="1"/>
      <c r="P480" s="15"/>
      <c r="Q480" s="1"/>
      <c r="R480" s="1"/>
      <c r="S480" s="1"/>
      <c r="T480" s="1"/>
      <c r="U480" s="15"/>
      <c r="V480" s="1"/>
      <c r="W480" s="1"/>
      <c r="X480" s="1"/>
      <c r="Y480" s="1"/>
      <c r="Z480" s="15"/>
      <c r="AA480" s="1"/>
      <c r="AB480" s="1"/>
      <c r="AC480" s="1"/>
      <c r="AD480" s="1"/>
      <c r="AE480" s="15"/>
      <c r="AF480" s="1"/>
      <c r="AG480" s="1"/>
      <c r="AH480" s="1"/>
      <c r="AI480" s="1"/>
      <c r="AJ480" s="15"/>
      <c r="AK480" s="1"/>
    </row>
    <row r="481" spans="1:37" ht="16.5" customHeight="1">
      <c r="A481" s="1"/>
      <c r="B481" s="1"/>
      <c r="C481" s="1"/>
      <c r="D481" s="15"/>
      <c r="E481" s="15"/>
      <c r="F481" s="15"/>
      <c r="G481" s="15"/>
      <c r="H481" s="1"/>
      <c r="I481" s="1"/>
      <c r="J481" s="1"/>
      <c r="K481" s="15"/>
      <c r="L481" s="1"/>
      <c r="M481" s="1"/>
      <c r="N481" s="1"/>
      <c r="O481" s="1"/>
      <c r="P481" s="15"/>
      <c r="Q481" s="1"/>
      <c r="R481" s="1"/>
      <c r="S481" s="1"/>
      <c r="T481" s="1"/>
      <c r="U481" s="15"/>
      <c r="V481" s="1"/>
      <c r="W481" s="1"/>
      <c r="X481" s="1"/>
      <c r="Y481" s="1"/>
      <c r="Z481" s="15"/>
      <c r="AA481" s="1"/>
      <c r="AB481" s="1"/>
      <c r="AC481" s="1"/>
      <c r="AD481" s="1"/>
      <c r="AE481" s="15"/>
      <c r="AF481" s="1"/>
      <c r="AG481" s="1"/>
      <c r="AH481" s="1"/>
      <c r="AI481" s="1"/>
      <c r="AJ481" s="15"/>
      <c r="AK481" s="1"/>
    </row>
    <row r="482" spans="1:37" ht="16.5" customHeight="1">
      <c r="A482" s="1"/>
      <c r="B482" s="1"/>
      <c r="C482" s="1"/>
      <c r="D482" s="15"/>
      <c r="E482" s="15"/>
      <c r="F482" s="15"/>
      <c r="G482" s="15"/>
      <c r="H482" s="1"/>
      <c r="I482" s="1"/>
      <c r="J482" s="1"/>
      <c r="K482" s="15"/>
      <c r="L482" s="1"/>
      <c r="M482" s="1"/>
      <c r="N482" s="1"/>
      <c r="O482" s="1"/>
      <c r="P482" s="15"/>
      <c r="Q482" s="1"/>
      <c r="R482" s="1"/>
      <c r="S482" s="1"/>
      <c r="T482" s="1"/>
      <c r="U482" s="15"/>
      <c r="V482" s="1"/>
      <c r="W482" s="1"/>
      <c r="X482" s="1"/>
      <c r="Y482" s="1"/>
      <c r="Z482" s="15"/>
      <c r="AA482" s="1"/>
      <c r="AB482" s="1"/>
      <c r="AC482" s="1"/>
      <c r="AD482" s="1"/>
      <c r="AE482" s="15"/>
      <c r="AF482" s="1"/>
      <c r="AG482" s="1"/>
      <c r="AH482" s="1"/>
      <c r="AI482" s="1"/>
      <c r="AJ482" s="15"/>
      <c r="AK482" s="1"/>
    </row>
    <row r="483" spans="1:37" ht="16.5" customHeight="1">
      <c r="A483" s="1"/>
      <c r="B483" s="1"/>
      <c r="C483" s="1"/>
      <c r="D483" s="15"/>
      <c r="E483" s="15"/>
      <c r="F483" s="15"/>
      <c r="G483" s="15"/>
      <c r="H483" s="1"/>
      <c r="I483" s="1"/>
      <c r="J483" s="1"/>
      <c r="K483" s="15"/>
      <c r="L483" s="1"/>
      <c r="M483" s="1"/>
      <c r="N483" s="1"/>
      <c r="O483" s="1"/>
      <c r="P483" s="15"/>
      <c r="Q483" s="1"/>
      <c r="R483" s="1"/>
      <c r="S483" s="1"/>
      <c r="T483" s="1"/>
      <c r="U483" s="15"/>
      <c r="V483" s="1"/>
      <c r="W483" s="1"/>
      <c r="X483" s="1"/>
      <c r="Y483" s="1"/>
      <c r="Z483" s="15"/>
      <c r="AA483" s="1"/>
      <c r="AB483" s="1"/>
      <c r="AC483" s="1"/>
      <c r="AD483" s="1"/>
      <c r="AE483" s="15"/>
      <c r="AF483" s="1"/>
      <c r="AG483" s="1"/>
      <c r="AH483" s="1"/>
      <c r="AI483" s="1"/>
      <c r="AJ483" s="15"/>
      <c r="AK483" s="1"/>
    </row>
    <row r="484" spans="1:37" ht="16.5" customHeight="1">
      <c r="A484" s="1"/>
      <c r="B484" s="1"/>
      <c r="C484" s="1"/>
      <c r="D484" s="15"/>
      <c r="E484" s="15"/>
      <c r="F484" s="15"/>
      <c r="G484" s="15"/>
      <c r="H484" s="1"/>
      <c r="I484" s="1"/>
      <c r="J484" s="1"/>
      <c r="K484" s="15"/>
      <c r="L484" s="1"/>
      <c r="M484" s="1"/>
      <c r="N484" s="1"/>
      <c r="O484" s="1"/>
      <c r="P484" s="15"/>
      <c r="Q484" s="1"/>
      <c r="R484" s="1"/>
      <c r="S484" s="1"/>
      <c r="T484" s="1"/>
      <c r="U484" s="15"/>
      <c r="V484" s="1"/>
      <c r="W484" s="1"/>
      <c r="X484" s="1"/>
      <c r="Y484" s="1"/>
      <c r="Z484" s="15"/>
      <c r="AA484" s="1"/>
      <c r="AB484" s="1"/>
      <c r="AC484" s="1"/>
      <c r="AD484" s="1"/>
      <c r="AE484" s="15"/>
      <c r="AF484" s="1"/>
      <c r="AG484" s="1"/>
      <c r="AH484" s="1"/>
      <c r="AI484" s="1"/>
      <c r="AJ484" s="15"/>
      <c r="AK484" s="1"/>
    </row>
    <row r="485" spans="1:37" ht="16.5" customHeight="1">
      <c r="A485" s="1"/>
      <c r="B485" s="1"/>
      <c r="C485" s="1"/>
      <c r="D485" s="15"/>
      <c r="E485" s="15"/>
      <c r="F485" s="15"/>
      <c r="G485" s="15"/>
      <c r="H485" s="1"/>
      <c r="I485" s="1"/>
      <c r="J485" s="1"/>
      <c r="K485" s="15"/>
      <c r="L485" s="1"/>
      <c r="M485" s="1"/>
      <c r="N485" s="1"/>
      <c r="O485" s="1"/>
      <c r="P485" s="15"/>
      <c r="Q485" s="1"/>
      <c r="R485" s="1"/>
      <c r="S485" s="1"/>
      <c r="T485" s="1"/>
      <c r="U485" s="15"/>
      <c r="V485" s="1"/>
      <c r="W485" s="1"/>
      <c r="X485" s="1"/>
      <c r="Y485" s="1"/>
      <c r="Z485" s="15"/>
      <c r="AA485" s="1"/>
      <c r="AB485" s="1"/>
      <c r="AC485" s="1"/>
      <c r="AD485" s="1"/>
      <c r="AE485" s="15"/>
      <c r="AF485" s="1"/>
      <c r="AG485" s="1"/>
      <c r="AH485" s="1"/>
      <c r="AI485" s="1"/>
      <c r="AJ485" s="15"/>
      <c r="AK485" s="1"/>
    </row>
    <row r="486" spans="1:37" ht="16.5" customHeight="1">
      <c r="A486" s="1"/>
      <c r="B486" s="1"/>
      <c r="C486" s="1"/>
      <c r="D486" s="15"/>
      <c r="E486" s="15"/>
      <c r="F486" s="15"/>
      <c r="G486" s="15"/>
      <c r="H486" s="1"/>
      <c r="I486" s="1"/>
      <c r="J486" s="1"/>
      <c r="K486" s="15"/>
      <c r="L486" s="1"/>
      <c r="M486" s="1"/>
      <c r="N486" s="1"/>
      <c r="O486" s="1"/>
      <c r="P486" s="15"/>
      <c r="Q486" s="1"/>
      <c r="R486" s="1"/>
      <c r="S486" s="1"/>
      <c r="T486" s="1"/>
      <c r="U486" s="15"/>
      <c r="V486" s="1"/>
      <c r="W486" s="1"/>
      <c r="X486" s="1"/>
      <c r="Y486" s="1"/>
      <c r="Z486" s="15"/>
      <c r="AA486" s="1"/>
      <c r="AB486" s="1"/>
      <c r="AC486" s="1"/>
      <c r="AD486" s="1"/>
      <c r="AE486" s="15"/>
      <c r="AF486" s="1"/>
      <c r="AG486" s="1"/>
      <c r="AH486" s="1"/>
      <c r="AI486" s="1"/>
      <c r="AJ486" s="15"/>
      <c r="AK486" s="1"/>
    </row>
    <row r="487" spans="1:37" ht="16.5" customHeight="1">
      <c r="A487" s="1"/>
      <c r="B487" s="1"/>
      <c r="C487" s="1"/>
      <c r="D487" s="15"/>
      <c r="E487" s="15"/>
      <c r="F487" s="15"/>
      <c r="G487" s="15"/>
      <c r="H487" s="1"/>
      <c r="I487" s="1"/>
      <c r="J487" s="1"/>
      <c r="K487" s="15"/>
      <c r="L487" s="1"/>
      <c r="M487" s="1"/>
      <c r="N487" s="1"/>
      <c r="O487" s="1"/>
      <c r="P487" s="15"/>
      <c r="Q487" s="1"/>
      <c r="R487" s="1"/>
      <c r="S487" s="1"/>
      <c r="T487" s="1"/>
      <c r="U487" s="15"/>
      <c r="V487" s="1"/>
      <c r="W487" s="1"/>
      <c r="X487" s="1"/>
      <c r="Y487" s="1"/>
      <c r="Z487" s="15"/>
      <c r="AA487" s="1"/>
      <c r="AB487" s="1"/>
      <c r="AC487" s="1"/>
      <c r="AD487" s="1"/>
      <c r="AE487" s="15"/>
      <c r="AF487" s="1"/>
      <c r="AG487" s="1"/>
      <c r="AH487" s="1"/>
      <c r="AI487" s="1"/>
      <c r="AJ487" s="15"/>
      <c r="AK487" s="1"/>
    </row>
    <row r="488" spans="1:37" ht="16.5" customHeight="1">
      <c r="A488" s="1"/>
      <c r="B488" s="1"/>
      <c r="C488" s="1"/>
      <c r="D488" s="15"/>
      <c r="E488" s="15"/>
      <c r="F488" s="15"/>
      <c r="G488" s="15"/>
      <c r="H488" s="1"/>
      <c r="I488" s="1"/>
      <c r="J488" s="1"/>
      <c r="K488" s="15"/>
      <c r="L488" s="1"/>
      <c r="M488" s="1"/>
      <c r="N488" s="1"/>
      <c r="O488" s="1"/>
      <c r="P488" s="15"/>
      <c r="Q488" s="1"/>
      <c r="R488" s="1"/>
      <c r="S488" s="1"/>
      <c r="T488" s="1"/>
      <c r="U488" s="15"/>
      <c r="V488" s="1"/>
      <c r="W488" s="1"/>
      <c r="X488" s="1"/>
      <c r="Y488" s="1"/>
      <c r="Z488" s="15"/>
      <c r="AA488" s="1"/>
      <c r="AB488" s="1"/>
      <c r="AC488" s="1"/>
      <c r="AD488" s="1"/>
      <c r="AE488" s="15"/>
      <c r="AF488" s="1"/>
      <c r="AG488" s="1"/>
      <c r="AH488" s="1"/>
      <c r="AI488" s="1"/>
      <c r="AJ488" s="15"/>
      <c r="AK488" s="1"/>
    </row>
    <row r="489" spans="1:37" ht="16.5" customHeight="1">
      <c r="A489" s="1"/>
      <c r="B489" s="1"/>
      <c r="C489" s="1"/>
      <c r="D489" s="15"/>
      <c r="E489" s="15"/>
      <c r="F489" s="15"/>
      <c r="G489" s="15"/>
      <c r="H489" s="1"/>
      <c r="I489" s="1"/>
      <c r="J489" s="1"/>
      <c r="K489" s="15"/>
      <c r="L489" s="1"/>
      <c r="M489" s="1"/>
      <c r="N489" s="1"/>
      <c r="O489" s="1"/>
      <c r="P489" s="15"/>
      <c r="Q489" s="1"/>
      <c r="R489" s="1"/>
      <c r="S489" s="1"/>
      <c r="T489" s="1"/>
      <c r="U489" s="15"/>
      <c r="V489" s="1"/>
      <c r="W489" s="1"/>
      <c r="X489" s="1"/>
      <c r="Y489" s="1"/>
      <c r="Z489" s="15"/>
      <c r="AA489" s="1"/>
      <c r="AB489" s="1"/>
      <c r="AC489" s="1"/>
      <c r="AD489" s="1"/>
      <c r="AE489" s="15"/>
      <c r="AF489" s="1"/>
      <c r="AG489" s="1"/>
      <c r="AH489" s="1"/>
      <c r="AI489" s="1"/>
      <c r="AJ489" s="15"/>
      <c r="AK489" s="1"/>
    </row>
    <row r="490" spans="1:37" ht="16.5" customHeight="1">
      <c r="A490" s="1"/>
      <c r="B490" s="1"/>
      <c r="C490" s="1"/>
      <c r="D490" s="15"/>
      <c r="E490" s="15"/>
      <c r="F490" s="15"/>
      <c r="G490" s="15"/>
      <c r="H490" s="1"/>
      <c r="I490" s="1"/>
      <c r="J490" s="1"/>
      <c r="K490" s="15"/>
      <c r="L490" s="1"/>
      <c r="M490" s="1"/>
      <c r="N490" s="1"/>
      <c r="O490" s="1"/>
      <c r="P490" s="15"/>
      <c r="Q490" s="1"/>
      <c r="R490" s="1"/>
      <c r="S490" s="1"/>
      <c r="T490" s="1"/>
      <c r="U490" s="15"/>
      <c r="V490" s="1"/>
      <c r="W490" s="1"/>
      <c r="X490" s="1"/>
      <c r="Y490" s="1"/>
      <c r="Z490" s="15"/>
      <c r="AA490" s="1"/>
      <c r="AB490" s="1"/>
      <c r="AC490" s="1"/>
      <c r="AD490" s="1"/>
      <c r="AE490" s="15"/>
      <c r="AF490" s="1"/>
      <c r="AG490" s="1"/>
      <c r="AH490" s="1"/>
      <c r="AI490" s="1"/>
      <c r="AJ490" s="15"/>
      <c r="AK490" s="1"/>
    </row>
    <row r="491" spans="1:37" ht="16.5" customHeight="1">
      <c r="A491" s="1"/>
      <c r="B491" s="1"/>
      <c r="C491" s="1"/>
      <c r="D491" s="15"/>
      <c r="E491" s="15"/>
      <c r="F491" s="15"/>
      <c r="G491" s="15"/>
      <c r="H491" s="1"/>
      <c r="I491" s="1"/>
      <c r="J491" s="1"/>
      <c r="K491" s="15"/>
      <c r="L491" s="1"/>
      <c r="M491" s="1"/>
      <c r="N491" s="1"/>
      <c r="O491" s="1"/>
      <c r="P491" s="15"/>
      <c r="Q491" s="1"/>
      <c r="R491" s="1"/>
      <c r="S491" s="1"/>
      <c r="T491" s="1"/>
      <c r="U491" s="15"/>
      <c r="V491" s="1"/>
      <c r="W491" s="1"/>
      <c r="X491" s="1"/>
      <c r="Y491" s="1"/>
      <c r="Z491" s="15"/>
      <c r="AA491" s="1"/>
      <c r="AB491" s="1"/>
      <c r="AC491" s="1"/>
      <c r="AD491" s="1"/>
      <c r="AE491" s="15"/>
      <c r="AF491" s="1"/>
      <c r="AG491" s="1"/>
      <c r="AH491" s="1"/>
      <c r="AI491" s="1"/>
      <c r="AJ491" s="15"/>
      <c r="AK491" s="1"/>
    </row>
    <row r="492" spans="1:37" ht="16.5" customHeight="1">
      <c r="A492" s="1"/>
      <c r="B492" s="1"/>
      <c r="C492" s="1"/>
      <c r="D492" s="15"/>
      <c r="E492" s="15"/>
      <c r="F492" s="15"/>
      <c r="G492" s="15"/>
      <c r="H492" s="1"/>
      <c r="I492" s="1"/>
      <c r="J492" s="1"/>
      <c r="K492" s="15"/>
      <c r="L492" s="1"/>
      <c r="M492" s="1"/>
      <c r="N492" s="1"/>
      <c r="O492" s="1"/>
      <c r="P492" s="15"/>
      <c r="Q492" s="1"/>
      <c r="R492" s="1"/>
      <c r="S492" s="1"/>
      <c r="T492" s="1"/>
      <c r="U492" s="15"/>
      <c r="V492" s="1"/>
      <c r="W492" s="1"/>
      <c r="X492" s="1"/>
      <c r="Y492" s="1"/>
      <c r="Z492" s="15"/>
      <c r="AA492" s="1"/>
      <c r="AB492" s="1"/>
      <c r="AC492" s="1"/>
      <c r="AD492" s="1"/>
      <c r="AE492" s="15"/>
      <c r="AF492" s="1"/>
      <c r="AG492" s="1"/>
      <c r="AH492" s="1"/>
      <c r="AI492" s="1"/>
      <c r="AJ492" s="15"/>
      <c r="AK492" s="1"/>
    </row>
    <row r="493" spans="1:37" ht="16.5" customHeight="1">
      <c r="A493" s="1"/>
      <c r="B493" s="1"/>
      <c r="C493" s="1"/>
      <c r="D493" s="15"/>
      <c r="E493" s="15"/>
      <c r="F493" s="15"/>
      <c r="G493" s="15"/>
      <c r="H493" s="1"/>
      <c r="I493" s="1"/>
      <c r="J493" s="1"/>
      <c r="K493" s="15"/>
      <c r="L493" s="1"/>
      <c r="M493" s="1"/>
      <c r="N493" s="1"/>
      <c r="O493" s="1"/>
      <c r="P493" s="15"/>
      <c r="Q493" s="1"/>
      <c r="R493" s="1"/>
      <c r="S493" s="1"/>
      <c r="T493" s="1"/>
      <c r="U493" s="15"/>
      <c r="V493" s="1"/>
      <c r="W493" s="1"/>
      <c r="X493" s="1"/>
      <c r="Y493" s="1"/>
      <c r="Z493" s="15"/>
      <c r="AA493" s="1"/>
      <c r="AB493" s="1"/>
      <c r="AC493" s="1"/>
      <c r="AD493" s="1"/>
      <c r="AE493" s="15"/>
      <c r="AF493" s="1"/>
      <c r="AG493" s="1"/>
      <c r="AH493" s="1"/>
      <c r="AI493" s="1"/>
      <c r="AJ493" s="15"/>
      <c r="AK493" s="1"/>
    </row>
    <row r="494" spans="1:37" ht="16.5" customHeight="1">
      <c r="A494" s="1"/>
      <c r="B494" s="1"/>
      <c r="C494" s="1"/>
      <c r="D494" s="15"/>
      <c r="E494" s="15"/>
      <c r="F494" s="15"/>
      <c r="G494" s="15"/>
      <c r="H494" s="1"/>
      <c r="I494" s="1"/>
      <c r="J494" s="1"/>
      <c r="K494" s="15"/>
      <c r="L494" s="1"/>
      <c r="M494" s="1"/>
      <c r="N494" s="1"/>
      <c r="O494" s="1"/>
      <c r="P494" s="15"/>
      <c r="Q494" s="1"/>
      <c r="R494" s="1"/>
      <c r="S494" s="1"/>
      <c r="T494" s="1"/>
      <c r="U494" s="15"/>
      <c r="V494" s="1"/>
      <c r="W494" s="1"/>
      <c r="X494" s="1"/>
      <c r="Y494" s="1"/>
      <c r="Z494" s="15"/>
      <c r="AA494" s="1"/>
      <c r="AB494" s="1"/>
      <c r="AC494" s="1"/>
      <c r="AD494" s="1"/>
      <c r="AE494" s="15"/>
      <c r="AF494" s="1"/>
      <c r="AG494" s="1"/>
      <c r="AH494" s="1"/>
      <c r="AI494" s="1"/>
      <c r="AJ494" s="15"/>
      <c r="AK494" s="1"/>
    </row>
    <row r="495" spans="1:37" ht="16.5" customHeight="1">
      <c r="A495" s="1"/>
      <c r="B495" s="1"/>
      <c r="C495" s="1"/>
      <c r="D495" s="15"/>
      <c r="E495" s="15"/>
      <c r="F495" s="15"/>
      <c r="G495" s="15"/>
      <c r="H495" s="1"/>
      <c r="I495" s="1"/>
      <c r="J495" s="1"/>
      <c r="K495" s="15"/>
      <c r="L495" s="1"/>
      <c r="M495" s="1"/>
      <c r="N495" s="1"/>
      <c r="O495" s="1"/>
      <c r="P495" s="15"/>
      <c r="Q495" s="1"/>
      <c r="R495" s="1"/>
      <c r="S495" s="1"/>
      <c r="T495" s="1"/>
      <c r="U495" s="15"/>
      <c r="V495" s="1"/>
      <c r="W495" s="1"/>
      <c r="X495" s="1"/>
      <c r="Y495" s="1"/>
      <c r="Z495" s="15"/>
      <c r="AA495" s="1"/>
      <c r="AB495" s="1"/>
      <c r="AC495" s="1"/>
      <c r="AD495" s="1"/>
      <c r="AE495" s="15"/>
      <c r="AF495" s="1"/>
      <c r="AG495" s="1"/>
      <c r="AH495" s="1"/>
      <c r="AI495" s="1"/>
      <c r="AJ495" s="15"/>
      <c r="AK495" s="1"/>
    </row>
    <row r="496" spans="1:37" ht="16.5" customHeight="1">
      <c r="A496" s="1"/>
      <c r="B496" s="1"/>
      <c r="C496" s="1"/>
      <c r="D496" s="15"/>
      <c r="E496" s="15"/>
      <c r="F496" s="15"/>
      <c r="G496" s="15"/>
      <c r="H496" s="1"/>
      <c r="I496" s="1"/>
      <c r="J496" s="1"/>
      <c r="K496" s="15"/>
      <c r="L496" s="1"/>
      <c r="M496" s="1"/>
      <c r="N496" s="1"/>
      <c r="O496" s="1"/>
      <c r="P496" s="15"/>
      <c r="Q496" s="1"/>
      <c r="R496" s="1"/>
      <c r="S496" s="1"/>
      <c r="T496" s="1"/>
      <c r="U496" s="15"/>
      <c r="V496" s="1"/>
      <c r="W496" s="1"/>
      <c r="X496" s="1"/>
      <c r="Y496" s="1"/>
      <c r="Z496" s="15"/>
      <c r="AA496" s="1"/>
      <c r="AB496" s="1"/>
      <c r="AC496" s="1"/>
      <c r="AD496" s="1"/>
      <c r="AE496" s="15"/>
      <c r="AF496" s="1"/>
      <c r="AG496" s="1"/>
      <c r="AH496" s="1"/>
      <c r="AI496" s="1"/>
      <c r="AJ496" s="15"/>
      <c r="AK496" s="1"/>
    </row>
    <row r="497" spans="1:37" ht="16.5" customHeight="1">
      <c r="A497" s="1"/>
      <c r="B497" s="1"/>
      <c r="C497" s="1"/>
      <c r="D497" s="15"/>
      <c r="E497" s="15"/>
      <c r="F497" s="15"/>
      <c r="G497" s="15"/>
      <c r="H497" s="1"/>
      <c r="I497" s="1"/>
      <c r="J497" s="1"/>
      <c r="K497" s="15"/>
      <c r="L497" s="1"/>
      <c r="M497" s="1"/>
      <c r="N497" s="1"/>
      <c r="O497" s="1"/>
      <c r="P497" s="15"/>
      <c r="Q497" s="1"/>
      <c r="R497" s="1"/>
      <c r="S497" s="1"/>
      <c r="T497" s="1"/>
      <c r="U497" s="15"/>
      <c r="V497" s="1"/>
      <c r="W497" s="1"/>
      <c r="X497" s="1"/>
      <c r="Y497" s="1"/>
      <c r="Z497" s="15"/>
      <c r="AA497" s="1"/>
      <c r="AB497" s="1"/>
      <c r="AC497" s="1"/>
      <c r="AD497" s="1"/>
      <c r="AE497" s="15"/>
      <c r="AF497" s="1"/>
      <c r="AG497" s="1"/>
      <c r="AH497" s="1"/>
      <c r="AI497" s="1"/>
      <c r="AJ497" s="15"/>
      <c r="AK497" s="1"/>
    </row>
    <row r="498" spans="1:37" ht="16.5" customHeight="1">
      <c r="A498" s="1"/>
      <c r="B498" s="1"/>
      <c r="C498" s="1"/>
      <c r="D498" s="15"/>
      <c r="E498" s="15"/>
      <c r="F498" s="15"/>
      <c r="G498" s="15"/>
      <c r="H498" s="1"/>
      <c r="I498" s="1"/>
      <c r="J498" s="1"/>
      <c r="K498" s="15"/>
      <c r="L498" s="1"/>
      <c r="M498" s="1"/>
      <c r="N498" s="1"/>
      <c r="O498" s="1"/>
      <c r="P498" s="15"/>
      <c r="Q498" s="1"/>
      <c r="R498" s="1"/>
      <c r="S498" s="1"/>
      <c r="T498" s="1"/>
      <c r="U498" s="15"/>
      <c r="V498" s="1"/>
      <c r="W498" s="1"/>
      <c r="X498" s="1"/>
      <c r="Y498" s="1"/>
      <c r="Z498" s="15"/>
      <c r="AA498" s="1"/>
      <c r="AB498" s="1"/>
      <c r="AC498" s="1"/>
      <c r="AD498" s="1"/>
      <c r="AE498" s="15"/>
      <c r="AF498" s="1"/>
      <c r="AG498" s="1"/>
      <c r="AH498" s="1"/>
      <c r="AI498" s="1"/>
      <c r="AJ498" s="15"/>
      <c r="AK498" s="1"/>
    </row>
    <row r="499" spans="1:37" ht="16.5" customHeight="1">
      <c r="A499" s="1"/>
      <c r="B499" s="1"/>
      <c r="C499" s="1"/>
      <c r="D499" s="15"/>
      <c r="E499" s="15"/>
      <c r="F499" s="15"/>
      <c r="G499" s="15"/>
      <c r="H499" s="1"/>
      <c r="I499" s="1"/>
      <c r="J499" s="1"/>
      <c r="K499" s="15"/>
      <c r="L499" s="1"/>
      <c r="M499" s="1"/>
      <c r="N499" s="1"/>
      <c r="O499" s="1"/>
      <c r="P499" s="15"/>
      <c r="Q499" s="1"/>
      <c r="R499" s="1"/>
      <c r="S499" s="1"/>
      <c r="T499" s="1"/>
      <c r="U499" s="15"/>
      <c r="V499" s="1"/>
      <c r="W499" s="1"/>
      <c r="X499" s="1"/>
      <c r="Y499" s="1"/>
      <c r="Z499" s="15"/>
      <c r="AA499" s="1"/>
      <c r="AB499" s="1"/>
      <c r="AC499" s="1"/>
      <c r="AD499" s="1"/>
      <c r="AE499" s="15"/>
      <c r="AF499" s="1"/>
      <c r="AG499" s="1"/>
      <c r="AH499" s="1"/>
      <c r="AI499" s="1"/>
      <c r="AJ499" s="15"/>
      <c r="AK499" s="1"/>
    </row>
    <row r="500" spans="1:37" ht="16.5" customHeight="1">
      <c r="A500" s="1"/>
      <c r="B500" s="1"/>
      <c r="C500" s="1"/>
      <c r="D500" s="15"/>
      <c r="E500" s="15"/>
      <c r="F500" s="15"/>
      <c r="G500" s="15"/>
      <c r="H500" s="1"/>
      <c r="I500" s="1"/>
      <c r="J500" s="1"/>
      <c r="K500" s="15"/>
      <c r="L500" s="1"/>
      <c r="M500" s="1"/>
      <c r="N500" s="1"/>
      <c r="O500" s="1"/>
      <c r="P500" s="15"/>
      <c r="Q500" s="1"/>
      <c r="R500" s="1"/>
      <c r="S500" s="1"/>
      <c r="T500" s="1"/>
      <c r="U500" s="15"/>
      <c r="V500" s="1"/>
      <c r="W500" s="1"/>
      <c r="X500" s="1"/>
      <c r="Y500" s="1"/>
      <c r="Z500" s="15"/>
      <c r="AA500" s="1"/>
      <c r="AB500" s="1"/>
      <c r="AC500" s="1"/>
      <c r="AD500" s="1"/>
      <c r="AE500" s="15"/>
      <c r="AF500" s="1"/>
      <c r="AG500" s="1"/>
      <c r="AH500" s="1"/>
      <c r="AI500" s="1"/>
      <c r="AJ500" s="15"/>
      <c r="AK500" s="1"/>
    </row>
    <row r="501" spans="1:37" ht="16.5" customHeight="1">
      <c r="A501" s="1"/>
      <c r="B501" s="1"/>
      <c r="C501" s="1"/>
      <c r="D501" s="15"/>
      <c r="E501" s="15"/>
      <c r="F501" s="15"/>
      <c r="G501" s="15"/>
      <c r="H501" s="1"/>
      <c r="I501" s="1"/>
      <c r="J501" s="1"/>
      <c r="K501" s="15"/>
      <c r="L501" s="1"/>
      <c r="M501" s="1"/>
      <c r="N501" s="1"/>
      <c r="O501" s="1"/>
      <c r="P501" s="15"/>
      <c r="Q501" s="1"/>
      <c r="R501" s="1"/>
      <c r="S501" s="1"/>
      <c r="T501" s="1"/>
      <c r="U501" s="15"/>
      <c r="V501" s="1"/>
      <c r="W501" s="1"/>
      <c r="X501" s="1"/>
      <c r="Y501" s="1"/>
      <c r="Z501" s="15"/>
      <c r="AA501" s="1"/>
      <c r="AB501" s="1"/>
      <c r="AC501" s="1"/>
      <c r="AD501" s="1"/>
      <c r="AE501" s="15"/>
      <c r="AF501" s="1"/>
      <c r="AG501" s="1"/>
      <c r="AH501" s="1"/>
      <c r="AI501" s="1"/>
      <c r="AJ501" s="15"/>
      <c r="AK501" s="1"/>
    </row>
    <row r="502" spans="1:37" ht="16.5" customHeight="1">
      <c r="A502" s="1"/>
      <c r="B502" s="1"/>
      <c r="C502" s="1"/>
      <c r="D502" s="15"/>
      <c r="E502" s="15"/>
      <c r="F502" s="15"/>
      <c r="G502" s="15"/>
      <c r="H502" s="1"/>
      <c r="I502" s="1"/>
      <c r="J502" s="1"/>
      <c r="K502" s="15"/>
      <c r="L502" s="1"/>
      <c r="M502" s="1"/>
      <c r="N502" s="1"/>
      <c r="O502" s="1"/>
      <c r="P502" s="15"/>
      <c r="Q502" s="1"/>
      <c r="R502" s="1"/>
      <c r="S502" s="1"/>
      <c r="T502" s="1"/>
      <c r="U502" s="15"/>
      <c r="V502" s="1"/>
      <c r="W502" s="1"/>
      <c r="X502" s="1"/>
      <c r="Y502" s="1"/>
      <c r="Z502" s="15"/>
      <c r="AA502" s="1"/>
      <c r="AB502" s="1"/>
      <c r="AC502" s="1"/>
      <c r="AD502" s="1"/>
      <c r="AE502" s="15"/>
      <c r="AF502" s="1"/>
      <c r="AG502" s="1"/>
      <c r="AH502" s="1"/>
      <c r="AI502" s="1"/>
      <c r="AJ502" s="15"/>
      <c r="AK502" s="1"/>
    </row>
    <row r="503" spans="1:37" ht="16.5" customHeight="1">
      <c r="A503" s="1"/>
      <c r="B503" s="1"/>
      <c r="C503" s="1"/>
      <c r="D503" s="15"/>
      <c r="E503" s="15"/>
      <c r="F503" s="15"/>
      <c r="G503" s="15"/>
      <c r="H503" s="1"/>
      <c r="I503" s="1"/>
      <c r="J503" s="1"/>
      <c r="K503" s="15"/>
      <c r="L503" s="1"/>
      <c r="M503" s="1"/>
      <c r="N503" s="1"/>
      <c r="O503" s="1"/>
      <c r="P503" s="15"/>
      <c r="Q503" s="1"/>
      <c r="R503" s="1"/>
      <c r="S503" s="1"/>
      <c r="T503" s="1"/>
      <c r="U503" s="15"/>
      <c r="V503" s="1"/>
      <c r="W503" s="1"/>
      <c r="X503" s="1"/>
      <c r="Y503" s="1"/>
      <c r="Z503" s="15"/>
      <c r="AA503" s="1"/>
      <c r="AB503" s="1"/>
      <c r="AC503" s="1"/>
      <c r="AD503" s="1"/>
      <c r="AE503" s="15"/>
      <c r="AF503" s="1"/>
      <c r="AG503" s="1"/>
      <c r="AH503" s="1"/>
      <c r="AI503" s="1"/>
      <c r="AJ503" s="15"/>
      <c r="AK503" s="1"/>
    </row>
    <row r="504" spans="1:37" ht="16.5" customHeight="1">
      <c r="A504" s="1"/>
      <c r="B504" s="1"/>
      <c r="C504" s="1"/>
      <c r="D504" s="15"/>
      <c r="E504" s="15"/>
      <c r="F504" s="15"/>
      <c r="G504" s="15"/>
      <c r="H504" s="1"/>
      <c r="I504" s="1"/>
      <c r="J504" s="1"/>
      <c r="K504" s="15"/>
      <c r="L504" s="1"/>
      <c r="M504" s="1"/>
      <c r="N504" s="1"/>
      <c r="O504" s="1"/>
      <c r="P504" s="15"/>
      <c r="Q504" s="1"/>
      <c r="R504" s="1"/>
      <c r="S504" s="1"/>
      <c r="T504" s="1"/>
      <c r="U504" s="15"/>
      <c r="V504" s="1"/>
      <c r="W504" s="1"/>
      <c r="X504" s="1"/>
      <c r="Y504" s="1"/>
      <c r="Z504" s="15"/>
      <c r="AA504" s="1"/>
      <c r="AB504" s="1"/>
      <c r="AC504" s="1"/>
      <c r="AD504" s="1"/>
      <c r="AE504" s="15"/>
      <c r="AF504" s="1"/>
      <c r="AG504" s="1"/>
      <c r="AH504" s="1"/>
      <c r="AI504" s="1"/>
      <c r="AJ504" s="15"/>
      <c r="AK504" s="1"/>
    </row>
    <row r="505" spans="1:37" ht="16.5" customHeight="1">
      <c r="A505" s="1"/>
      <c r="B505" s="1"/>
      <c r="C505" s="1"/>
      <c r="D505" s="15"/>
      <c r="E505" s="15"/>
      <c r="F505" s="15"/>
      <c r="G505" s="15"/>
      <c r="H505" s="1"/>
      <c r="I505" s="1"/>
      <c r="J505" s="1"/>
      <c r="K505" s="15"/>
      <c r="L505" s="1"/>
      <c r="M505" s="1"/>
      <c r="N505" s="1"/>
      <c r="O505" s="1"/>
      <c r="P505" s="15"/>
      <c r="Q505" s="1"/>
      <c r="R505" s="1"/>
      <c r="S505" s="1"/>
      <c r="T505" s="1"/>
      <c r="U505" s="15"/>
      <c r="V505" s="1"/>
      <c r="W505" s="1"/>
      <c r="X505" s="1"/>
      <c r="Y505" s="1"/>
      <c r="Z505" s="15"/>
      <c r="AA505" s="1"/>
      <c r="AB505" s="1"/>
      <c r="AC505" s="1"/>
      <c r="AD505" s="1"/>
      <c r="AE505" s="15"/>
      <c r="AF505" s="1"/>
      <c r="AG505" s="1"/>
      <c r="AH505" s="1"/>
      <c r="AI505" s="1"/>
      <c r="AJ505" s="15"/>
      <c r="AK505" s="1"/>
    </row>
    <row r="506" spans="1:37" ht="16.5" customHeight="1">
      <c r="A506" s="1"/>
      <c r="B506" s="1"/>
      <c r="C506" s="1"/>
      <c r="D506" s="15"/>
      <c r="E506" s="15"/>
      <c r="F506" s="15"/>
      <c r="G506" s="15"/>
      <c r="H506" s="1"/>
      <c r="I506" s="1"/>
      <c r="J506" s="1"/>
      <c r="K506" s="15"/>
      <c r="L506" s="1"/>
      <c r="M506" s="1"/>
      <c r="N506" s="1"/>
      <c r="O506" s="1"/>
      <c r="P506" s="15"/>
      <c r="Q506" s="1"/>
      <c r="R506" s="1"/>
      <c r="S506" s="1"/>
      <c r="T506" s="1"/>
      <c r="U506" s="15"/>
      <c r="V506" s="1"/>
      <c r="W506" s="1"/>
      <c r="X506" s="1"/>
      <c r="Y506" s="1"/>
      <c r="Z506" s="15"/>
      <c r="AA506" s="1"/>
      <c r="AB506" s="1"/>
      <c r="AC506" s="1"/>
      <c r="AD506" s="1"/>
      <c r="AE506" s="15"/>
      <c r="AF506" s="1"/>
      <c r="AG506" s="1"/>
      <c r="AH506" s="1"/>
      <c r="AI506" s="1"/>
      <c r="AJ506" s="15"/>
      <c r="AK506" s="1"/>
    </row>
    <row r="507" spans="1:37" ht="16.5" customHeight="1">
      <c r="A507" s="1"/>
      <c r="B507" s="1"/>
      <c r="C507" s="1"/>
      <c r="D507" s="15"/>
      <c r="E507" s="15"/>
      <c r="F507" s="15"/>
      <c r="G507" s="15"/>
      <c r="H507" s="1"/>
      <c r="I507" s="1"/>
      <c r="J507" s="1"/>
      <c r="K507" s="15"/>
      <c r="L507" s="1"/>
      <c r="M507" s="1"/>
      <c r="N507" s="1"/>
      <c r="O507" s="1"/>
      <c r="P507" s="15"/>
      <c r="Q507" s="1"/>
      <c r="R507" s="1"/>
      <c r="S507" s="1"/>
      <c r="T507" s="1"/>
      <c r="U507" s="15"/>
      <c r="V507" s="1"/>
      <c r="W507" s="1"/>
      <c r="X507" s="1"/>
      <c r="Y507" s="1"/>
      <c r="Z507" s="15"/>
      <c r="AA507" s="1"/>
      <c r="AB507" s="1"/>
      <c r="AC507" s="1"/>
      <c r="AD507" s="1"/>
      <c r="AE507" s="15"/>
      <c r="AF507" s="1"/>
      <c r="AG507" s="1"/>
      <c r="AH507" s="1"/>
      <c r="AI507" s="1"/>
      <c r="AJ507" s="15"/>
      <c r="AK507" s="1"/>
    </row>
    <row r="508" spans="1:37" ht="16.5" customHeight="1">
      <c r="A508" s="1"/>
      <c r="B508" s="1"/>
      <c r="C508" s="1"/>
      <c r="D508" s="15"/>
      <c r="E508" s="15"/>
      <c r="F508" s="15"/>
      <c r="G508" s="15"/>
      <c r="H508" s="1"/>
      <c r="I508" s="1"/>
      <c r="J508" s="1"/>
      <c r="K508" s="15"/>
      <c r="L508" s="1"/>
      <c r="M508" s="1"/>
      <c r="N508" s="1"/>
      <c r="O508" s="1"/>
      <c r="P508" s="15"/>
      <c r="Q508" s="1"/>
      <c r="R508" s="1"/>
      <c r="S508" s="1"/>
      <c r="T508" s="1"/>
      <c r="U508" s="15"/>
      <c r="V508" s="1"/>
      <c r="W508" s="1"/>
      <c r="X508" s="1"/>
      <c r="Y508" s="1"/>
      <c r="Z508" s="15"/>
      <c r="AA508" s="1"/>
      <c r="AB508" s="1"/>
      <c r="AC508" s="1"/>
      <c r="AD508" s="1"/>
      <c r="AE508" s="15"/>
      <c r="AF508" s="1"/>
      <c r="AG508" s="1"/>
      <c r="AH508" s="1"/>
      <c r="AI508" s="1"/>
      <c r="AJ508" s="15"/>
      <c r="AK508" s="1"/>
    </row>
    <row r="509" spans="1:37" ht="16.5" customHeight="1">
      <c r="A509" s="1"/>
      <c r="B509" s="1"/>
      <c r="C509" s="1"/>
      <c r="D509" s="15"/>
      <c r="E509" s="15"/>
      <c r="F509" s="15"/>
      <c r="G509" s="15"/>
      <c r="H509" s="1"/>
      <c r="I509" s="1"/>
      <c r="J509" s="1"/>
      <c r="K509" s="15"/>
      <c r="L509" s="1"/>
      <c r="M509" s="1"/>
      <c r="N509" s="1"/>
      <c r="O509" s="1"/>
      <c r="P509" s="15"/>
      <c r="Q509" s="1"/>
      <c r="R509" s="1"/>
      <c r="S509" s="1"/>
      <c r="T509" s="1"/>
      <c r="U509" s="15"/>
      <c r="V509" s="1"/>
      <c r="W509" s="1"/>
      <c r="X509" s="1"/>
      <c r="Y509" s="1"/>
      <c r="Z509" s="15"/>
      <c r="AA509" s="1"/>
      <c r="AB509" s="1"/>
      <c r="AC509" s="1"/>
      <c r="AD509" s="1"/>
      <c r="AE509" s="15"/>
      <c r="AF509" s="1"/>
      <c r="AG509" s="1"/>
      <c r="AH509" s="1"/>
      <c r="AI509" s="1"/>
      <c r="AJ509" s="15"/>
      <c r="AK509" s="1"/>
    </row>
    <row r="510" spans="1:37" ht="16.5" customHeight="1">
      <c r="A510" s="1"/>
      <c r="B510" s="1"/>
      <c r="C510" s="1"/>
      <c r="D510" s="15"/>
      <c r="E510" s="15"/>
      <c r="F510" s="15"/>
      <c r="G510" s="15"/>
      <c r="H510" s="1"/>
      <c r="I510" s="1"/>
      <c r="J510" s="1"/>
      <c r="K510" s="15"/>
      <c r="L510" s="1"/>
      <c r="M510" s="1"/>
      <c r="N510" s="1"/>
      <c r="O510" s="1"/>
      <c r="P510" s="15"/>
      <c r="Q510" s="1"/>
      <c r="R510" s="1"/>
      <c r="S510" s="1"/>
      <c r="T510" s="1"/>
      <c r="U510" s="15"/>
      <c r="V510" s="1"/>
      <c r="W510" s="1"/>
      <c r="X510" s="1"/>
      <c r="Y510" s="1"/>
      <c r="Z510" s="15"/>
      <c r="AA510" s="1"/>
      <c r="AB510" s="1"/>
      <c r="AC510" s="1"/>
      <c r="AD510" s="1"/>
      <c r="AE510" s="15"/>
      <c r="AF510" s="1"/>
      <c r="AG510" s="1"/>
      <c r="AH510" s="1"/>
      <c r="AI510" s="1"/>
      <c r="AJ510" s="15"/>
      <c r="AK510" s="1"/>
    </row>
    <row r="511" spans="1:37" ht="16.5" customHeight="1">
      <c r="A511" s="1"/>
      <c r="B511" s="1"/>
      <c r="C511" s="1"/>
      <c r="D511" s="15"/>
      <c r="E511" s="15"/>
      <c r="F511" s="15"/>
      <c r="G511" s="15"/>
      <c r="H511" s="1"/>
      <c r="I511" s="1"/>
      <c r="J511" s="1"/>
      <c r="K511" s="15"/>
      <c r="L511" s="1"/>
      <c r="M511" s="1"/>
      <c r="N511" s="1"/>
      <c r="O511" s="1"/>
      <c r="P511" s="15"/>
      <c r="Q511" s="1"/>
      <c r="R511" s="1"/>
      <c r="S511" s="1"/>
      <c r="T511" s="1"/>
      <c r="U511" s="15"/>
      <c r="V511" s="1"/>
      <c r="W511" s="1"/>
      <c r="X511" s="1"/>
      <c r="Y511" s="1"/>
      <c r="Z511" s="15"/>
      <c r="AA511" s="1"/>
      <c r="AB511" s="1"/>
      <c r="AC511" s="1"/>
      <c r="AD511" s="1"/>
      <c r="AE511" s="15"/>
      <c r="AF511" s="1"/>
      <c r="AG511" s="1"/>
      <c r="AH511" s="1"/>
      <c r="AI511" s="1"/>
      <c r="AJ511" s="15"/>
      <c r="AK511" s="1"/>
    </row>
    <row r="512" spans="1:37" ht="16.5" customHeight="1">
      <c r="A512" s="1"/>
      <c r="B512" s="1"/>
      <c r="C512" s="1"/>
      <c r="D512" s="15"/>
      <c r="E512" s="15"/>
      <c r="F512" s="15"/>
      <c r="G512" s="15"/>
      <c r="H512" s="1"/>
      <c r="I512" s="1"/>
      <c r="J512" s="1"/>
      <c r="K512" s="15"/>
      <c r="L512" s="1"/>
      <c r="M512" s="1"/>
      <c r="N512" s="1"/>
      <c r="O512" s="1"/>
      <c r="P512" s="15"/>
      <c r="Q512" s="1"/>
      <c r="R512" s="1"/>
      <c r="S512" s="1"/>
      <c r="T512" s="1"/>
      <c r="U512" s="15"/>
      <c r="V512" s="1"/>
      <c r="W512" s="1"/>
      <c r="X512" s="1"/>
      <c r="Y512" s="1"/>
      <c r="Z512" s="15"/>
      <c r="AA512" s="1"/>
      <c r="AB512" s="1"/>
      <c r="AC512" s="1"/>
      <c r="AD512" s="1"/>
      <c r="AE512" s="15"/>
      <c r="AF512" s="1"/>
      <c r="AG512" s="1"/>
      <c r="AH512" s="1"/>
      <c r="AI512" s="1"/>
      <c r="AJ512" s="15"/>
      <c r="AK512" s="1"/>
    </row>
    <row r="513" spans="1:37" ht="16.5" customHeight="1">
      <c r="A513" s="1"/>
      <c r="B513" s="1"/>
      <c r="C513" s="1"/>
      <c r="D513" s="15"/>
      <c r="E513" s="15"/>
      <c r="F513" s="15"/>
      <c r="G513" s="15"/>
      <c r="H513" s="1"/>
      <c r="I513" s="1"/>
      <c r="J513" s="1"/>
      <c r="K513" s="15"/>
      <c r="L513" s="1"/>
      <c r="M513" s="1"/>
      <c r="N513" s="1"/>
      <c r="O513" s="1"/>
      <c r="P513" s="15"/>
      <c r="Q513" s="1"/>
      <c r="R513" s="1"/>
      <c r="S513" s="1"/>
      <c r="T513" s="1"/>
      <c r="U513" s="15"/>
      <c r="V513" s="1"/>
      <c r="W513" s="1"/>
      <c r="X513" s="1"/>
      <c r="Y513" s="1"/>
      <c r="Z513" s="15"/>
      <c r="AA513" s="1"/>
      <c r="AB513" s="1"/>
      <c r="AC513" s="1"/>
      <c r="AD513" s="1"/>
      <c r="AE513" s="15"/>
      <c r="AF513" s="1"/>
      <c r="AG513" s="1"/>
      <c r="AH513" s="1"/>
      <c r="AI513" s="1"/>
      <c r="AJ513" s="15"/>
      <c r="AK513" s="1"/>
    </row>
    <row r="514" spans="1:37" ht="16.5" customHeight="1">
      <c r="A514" s="1"/>
      <c r="B514" s="1"/>
      <c r="C514" s="1"/>
      <c r="D514" s="15"/>
      <c r="E514" s="15"/>
      <c r="F514" s="15"/>
      <c r="G514" s="15"/>
      <c r="H514" s="1"/>
      <c r="I514" s="1"/>
      <c r="J514" s="1"/>
      <c r="K514" s="15"/>
      <c r="L514" s="1"/>
      <c r="M514" s="1"/>
      <c r="N514" s="1"/>
      <c r="O514" s="1"/>
      <c r="P514" s="15"/>
      <c r="Q514" s="1"/>
      <c r="R514" s="1"/>
      <c r="S514" s="1"/>
      <c r="T514" s="1"/>
      <c r="U514" s="15"/>
      <c r="V514" s="1"/>
      <c r="W514" s="1"/>
      <c r="X514" s="1"/>
      <c r="Y514" s="1"/>
      <c r="Z514" s="15"/>
      <c r="AA514" s="1"/>
      <c r="AB514" s="1"/>
      <c r="AC514" s="1"/>
      <c r="AD514" s="1"/>
      <c r="AE514" s="15"/>
      <c r="AF514" s="1"/>
      <c r="AG514" s="1"/>
      <c r="AH514" s="1"/>
      <c r="AI514" s="1"/>
      <c r="AJ514" s="15"/>
      <c r="AK514" s="1"/>
    </row>
    <row r="515" spans="1:37" ht="16.5" customHeight="1">
      <c r="A515" s="1"/>
      <c r="B515" s="1"/>
      <c r="C515" s="1"/>
      <c r="D515" s="15"/>
      <c r="E515" s="15"/>
      <c r="F515" s="15"/>
      <c r="G515" s="15"/>
      <c r="H515" s="1"/>
      <c r="I515" s="1"/>
      <c r="J515" s="1"/>
      <c r="K515" s="15"/>
      <c r="L515" s="1"/>
      <c r="M515" s="1"/>
      <c r="N515" s="1"/>
      <c r="O515" s="1"/>
      <c r="P515" s="15"/>
      <c r="Q515" s="1"/>
      <c r="R515" s="1"/>
      <c r="S515" s="1"/>
      <c r="T515" s="1"/>
      <c r="U515" s="15"/>
      <c r="V515" s="1"/>
      <c r="W515" s="1"/>
      <c r="X515" s="1"/>
      <c r="Y515" s="1"/>
      <c r="Z515" s="15"/>
      <c r="AA515" s="1"/>
      <c r="AB515" s="1"/>
      <c r="AC515" s="1"/>
      <c r="AD515" s="1"/>
      <c r="AE515" s="15"/>
      <c r="AF515" s="1"/>
      <c r="AG515" s="1"/>
      <c r="AH515" s="1"/>
      <c r="AI515" s="1"/>
      <c r="AJ515" s="15"/>
      <c r="AK515" s="1"/>
    </row>
    <row r="516" spans="1:37" ht="16.5" customHeight="1">
      <c r="A516" s="1"/>
      <c r="B516" s="1"/>
      <c r="C516" s="1"/>
      <c r="D516" s="15"/>
      <c r="E516" s="15"/>
      <c r="F516" s="15"/>
      <c r="G516" s="15"/>
      <c r="H516" s="1"/>
      <c r="I516" s="1"/>
      <c r="J516" s="1"/>
      <c r="K516" s="15"/>
      <c r="L516" s="1"/>
      <c r="M516" s="1"/>
      <c r="N516" s="1"/>
      <c r="O516" s="1"/>
      <c r="P516" s="15"/>
      <c r="Q516" s="1"/>
      <c r="R516" s="1"/>
      <c r="S516" s="1"/>
      <c r="T516" s="1"/>
      <c r="U516" s="15"/>
      <c r="V516" s="1"/>
      <c r="W516" s="1"/>
      <c r="X516" s="1"/>
      <c r="Y516" s="1"/>
      <c r="Z516" s="15"/>
      <c r="AA516" s="1"/>
      <c r="AB516" s="1"/>
      <c r="AC516" s="1"/>
      <c r="AD516" s="1"/>
      <c r="AE516" s="15"/>
      <c r="AF516" s="1"/>
      <c r="AG516" s="1"/>
      <c r="AH516" s="1"/>
      <c r="AI516" s="1"/>
      <c r="AJ516" s="15"/>
      <c r="AK516" s="1"/>
    </row>
    <row r="517" spans="1:37" ht="16.5" customHeight="1">
      <c r="A517" s="1"/>
      <c r="B517" s="1"/>
      <c r="C517" s="1"/>
      <c r="D517" s="15"/>
      <c r="E517" s="15"/>
      <c r="F517" s="15"/>
      <c r="G517" s="15"/>
      <c r="H517" s="1"/>
      <c r="I517" s="1"/>
      <c r="J517" s="1"/>
      <c r="K517" s="15"/>
      <c r="L517" s="1"/>
      <c r="M517" s="1"/>
      <c r="N517" s="1"/>
      <c r="O517" s="1"/>
      <c r="P517" s="15"/>
      <c r="Q517" s="1"/>
      <c r="R517" s="1"/>
      <c r="S517" s="1"/>
      <c r="T517" s="1"/>
      <c r="U517" s="15"/>
      <c r="V517" s="1"/>
      <c r="W517" s="1"/>
      <c r="X517" s="1"/>
      <c r="Y517" s="1"/>
      <c r="Z517" s="15"/>
      <c r="AA517" s="1"/>
      <c r="AB517" s="1"/>
      <c r="AC517" s="1"/>
      <c r="AD517" s="1"/>
      <c r="AE517" s="15"/>
      <c r="AF517" s="1"/>
      <c r="AG517" s="1"/>
      <c r="AH517" s="1"/>
      <c r="AI517" s="1"/>
      <c r="AJ517" s="15"/>
      <c r="AK517" s="1"/>
    </row>
    <row r="518" spans="1:37" ht="16.5" customHeight="1">
      <c r="A518" s="1"/>
      <c r="B518" s="1"/>
      <c r="C518" s="1"/>
      <c r="D518" s="15"/>
      <c r="E518" s="15"/>
      <c r="F518" s="15"/>
      <c r="G518" s="15"/>
      <c r="H518" s="1"/>
      <c r="I518" s="1"/>
      <c r="J518" s="1"/>
      <c r="K518" s="15"/>
      <c r="L518" s="1"/>
      <c r="M518" s="1"/>
      <c r="N518" s="1"/>
      <c r="O518" s="1"/>
      <c r="P518" s="15"/>
      <c r="Q518" s="1"/>
      <c r="R518" s="1"/>
      <c r="S518" s="1"/>
      <c r="T518" s="1"/>
      <c r="U518" s="15"/>
      <c r="V518" s="1"/>
      <c r="W518" s="1"/>
      <c r="X518" s="1"/>
      <c r="Y518" s="1"/>
      <c r="Z518" s="15"/>
      <c r="AA518" s="1"/>
      <c r="AB518" s="1"/>
      <c r="AC518" s="1"/>
      <c r="AD518" s="1"/>
      <c r="AE518" s="15"/>
      <c r="AF518" s="1"/>
      <c r="AG518" s="1"/>
      <c r="AH518" s="1"/>
      <c r="AI518" s="1"/>
      <c r="AJ518" s="15"/>
      <c r="AK518" s="1"/>
    </row>
    <row r="519" spans="1:37" ht="16.5" customHeight="1">
      <c r="A519" s="1"/>
      <c r="B519" s="1"/>
      <c r="C519" s="1"/>
      <c r="D519" s="15"/>
      <c r="E519" s="15"/>
      <c r="F519" s="15"/>
      <c r="G519" s="15"/>
      <c r="H519" s="1"/>
      <c r="I519" s="1"/>
      <c r="J519" s="1"/>
      <c r="K519" s="15"/>
      <c r="L519" s="1"/>
      <c r="M519" s="1"/>
      <c r="N519" s="1"/>
      <c r="O519" s="1"/>
      <c r="P519" s="15"/>
      <c r="Q519" s="1"/>
      <c r="R519" s="1"/>
      <c r="S519" s="1"/>
      <c r="T519" s="1"/>
      <c r="U519" s="15"/>
      <c r="V519" s="1"/>
      <c r="W519" s="1"/>
      <c r="X519" s="1"/>
      <c r="Y519" s="1"/>
      <c r="Z519" s="15"/>
      <c r="AA519" s="1"/>
      <c r="AB519" s="1"/>
      <c r="AC519" s="1"/>
      <c r="AD519" s="1"/>
      <c r="AE519" s="15"/>
      <c r="AF519" s="1"/>
      <c r="AG519" s="1"/>
      <c r="AH519" s="1"/>
      <c r="AI519" s="1"/>
      <c r="AJ519" s="15"/>
      <c r="AK519" s="1"/>
    </row>
    <row r="520" spans="1:37" ht="16.5" customHeight="1">
      <c r="A520" s="1"/>
      <c r="B520" s="1"/>
      <c r="C520" s="1"/>
      <c r="D520" s="15"/>
      <c r="E520" s="15"/>
      <c r="F520" s="15"/>
      <c r="G520" s="15"/>
      <c r="H520" s="1"/>
      <c r="I520" s="1"/>
      <c r="J520" s="1"/>
      <c r="K520" s="15"/>
      <c r="L520" s="1"/>
      <c r="M520" s="1"/>
      <c r="N520" s="1"/>
      <c r="O520" s="1"/>
      <c r="P520" s="15"/>
      <c r="Q520" s="1"/>
      <c r="R520" s="1"/>
      <c r="S520" s="1"/>
      <c r="T520" s="1"/>
      <c r="U520" s="15"/>
      <c r="V520" s="1"/>
      <c r="W520" s="1"/>
      <c r="X520" s="1"/>
      <c r="Y520" s="1"/>
      <c r="Z520" s="15"/>
      <c r="AA520" s="1"/>
      <c r="AB520" s="1"/>
      <c r="AC520" s="1"/>
      <c r="AD520" s="1"/>
      <c r="AE520" s="15"/>
      <c r="AF520" s="1"/>
      <c r="AG520" s="1"/>
      <c r="AH520" s="1"/>
      <c r="AI520" s="1"/>
      <c r="AJ520" s="15"/>
      <c r="AK520" s="1"/>
    </row>
    <row r="521" spans="1:37" ht="16.5" customHeight="1">
      <c r="A521" s="1"/>
      <c r="B521" s="1"/>
      <c r="C521" s="1"/>
      <c r="D521" s="15"/>
      <c r="E521" s="15"/>
      <c r="F521" s="15"/>
      <c r="G521" s="15"/>
      <c r="H521" s="1"/>
      <c r="I521" s="1"/>
      <c r="J521" s="1"/>
      <c r="K521" s="15"/>
      <c r="L521" s="1"/>
      <c r="M521" s="1"/>
      <c r="N521" s="1"/>
      <c r="O521" s="1"/>
      <c r="P521" s="15"/>
      <c r="Q521" s="1"/>
      <c r="R521" s="1"/>
      <c r="S521" s="1"/>
      <c r="T521" s="1"/>
      <c r="U521" s="15"/>
      <c r="V521" s="1"/>
      <c r="W521" s="1"/>
      <c r="X521" s="1"/>
      <c r="Y521" s="1"/>
      <c r="Z521" s="15"/>
      <c r="AA521" s="1"/>
      <c r="AB521" s="1"/>
      <c r="AC521" s="1"/>
      <c r="AD521" s="1"/>
      <c r="AE521" s="15"/>
      <c r="AF521" s="1"/>
      <c r="AG521" s="1"/>
      <c r="AH521" s="1"/>
      <c r="AI521" s="1"/>
      <c r="AJ521" s="15"/>
      <c r="AK521" s="1"/>
    </row>
    <row r="522" spans="1:37" ht="16.5" customHeight="1">
      <c r="A522" s="1"/>
      <c r="B522" s="1"/>
      <c r="C522" s="1"/>
      <c r="D522" s="15"/>
      <c r="E522" s="15"/>
      <c r="F522" s="15"/>
      <c r="G522" s="15"/>
      <c r="H522" s="1"/>
      <c r="I522" s="1"/>
      <c r="J522" s="1"/>
      <c r="K522" s="15"/>
      <c r="L522" s="1"/>
      <c r="M522" s="1"/>
      <c r="N522" s="1"/>
      <c r="O522" s="1"/>
      <c r="P522" s="15"/>
      <c r="Q522" s="1"/>
      <c r="R522" s="1"/>
      <c r="S522" s="1"/>
      <c r="T522" s="1"/>
      <c r="U522" s="15"/>
      <c r="V522" s="1"/>
      <c r="W522" s="1"/>
      <c r="X522" s="1"/>
      <c r="Y522" s="1"/>
      <c r="Z522" s="15"/>
      <c r="AA522" s="1"/>
      <c r="AB522" s="1"/>
      <c r="AC522" s="1"/>
      <c r="AD522" s="1"/>
      <c r="AE522" s="15"/>
      <c r="AF522" s="1"/>
      <c r="AG522" s="1"/>
      <c r="AH522" s="1"/>
      <c r="AI522" s="1"/>
      <c r="AJ522" s="15"/>
      <c r="AK522" s="1"/>
    </row>
    <row r="523" spans="1:37" ht="16.5" customHeight="1">
      <c r="A523" s="1"/>
      <c r="B523" s="1"/>
      <c r="C523" s="1"/>
      <c r="D523" s="15"/>
      <c r="E523" s="15"/>
      <c r="F523" s="15"/>
      <c r="G523" s="15"/>
      <c r="H523" s="1"/>
      <c r="I523" s="1"/>
      <c r="J523" s="1"/>
      <c r="K523" s="15"/>
      <c r="L523" s="1"/>
      <c r="M523" s="1"/>
      <c r="N523" s="1"/>
      <c r="O523" s="1"/>
      <c r="P523" s="15"/>
      <c r="Q523" s="1"/>
      <c r="R523" s="1"/>
      <c r="S523" s="1"/>
      <c r="T523" s="1"/>
      <c r="U523" s="15"/>
      <c r="V523" s="1"/>
      <c r="W523" s="1"/>
      <c r="X523" s="1"/>
      <c r="Y523" s="1"/>
      <c r="Z523" s="15"/>
      <c r="AA523" s="1"/>
      <c r="AB523" s="1"/>
      <c r="AC523" s="1"/>
      <c r="AD523" s="1"/>
      <c r="AE523" s="15"/>
      <c r="AF523" s="1"/>
      <c r="AG523" s="1"/>
      <c r="AH523" s="1"/>
      <c r="AI523" s="1"/>
      <c r="AJ523" s="15"/>
      <c r="AK523" s="1"/>
    </row>
    <row r="524" spans="1:37" ht="16.5" customHeight="1">
      <c r="A524" s="1"/>
      <c r="B524" s="1"/>
      <c r="C524" s="1"/>
      <c r="D524" s="15"/>
      <c r="E524" s="15"/>
      <c r="F524" s="15"/>
      <c r="G524" s="15"/>
      <c r="H524" s="1"/>
      <c r="I524" s="1"/>
      <c r="J524" s="1"/>
      <c r="K524" s="15"/>
      <c r="L524" s="1"/>
      <c r="M524" s="1"/>
      <c r="N524" s="1"/>
      <c r="O524" s="1"/>
      <c r="P524" s="15"/>
      <c r="Q524" s="1"/>
      <c r="R524" s="1"/>
      <c r="S524" s="1"/>
      <c r="T524" s="1"/>
      <c r="U524" s="15"/>
      <c r="V524" s="1"/>
      <c r="W524" s="1"/>
      <c r="X524" s="1"/>
      <c r="Y524" s="1"/>
      <c r="Z524" s="15"/>
      <c r="AA524" s="1"/>
      <c r="AB524" s="1"/>
      <c r="AC524" s="1"/>
      <c r="AD524" s="1"/>
      <c r="AE524" s="15"/>
      <c r="AF524" s="1"/>
      <c r="AG524" s="1"/>
      <c r="AH524" s="1"/>
      <c r="AI524" s="1"/>
      <c r="AJ524" s="15"/>
      <c r="AK524" s="1"/>
    </row>
    <row r="525" spans="1:37" ht="16.5" customHeight="1">
      <c r="A525" s="1"/>
      <c r="B525" s="1"/>
      <c r="C525" s="1"/>
      <c r="D525" s="15"/>
      <c r="E525" s="15"/>
      <c r="F525" s="15"/>
      <c r="G525" s="15"/>
      <c r="H525" s="1"/>
      <c r="I525" s="1"/>
      <c r="J525" s="1"/>
      <c r="K525" s="15"/>
      <c r="L525" s="1"/>
      <c r="M525" s="1"/>
      <c r="N525" s="1"/>
      <c r="O525" s="1"/>
      <c r="P525" s="15"/>
      <c r="Q525" s="1"/>
      <c r="R525" s="1"/>
      <c r="S525" s="1"/>
      <c r="T525" s="1"/>
      <c r="U525" s="15"/>
      <c r="V525" s="1"/>
      <c r="W525" s="1"/>
      <c r="X525" s="1"/>
      <c r="Y525" s="1"/>
      <c r="Z525" s="15"/>
      <c r="AA525" s="1"/>
      <c r="AB525" s="1"/>
      <c r="AC525" s="1"/>
      <c r="AD525" s="1"/>
      <c r="AE525" s="15"/>
      <c r="AF525" s="1"/>
      <c r="AG525" s="1"/>
      <c r="AH525" s="1"/>
      <c r="AI525" s="1"/>
      <c r="AJ525" s="15"/>
      <c r="AK525" s="1"/>
    </row>
    <row r="526" spans="1:37" ht="16.5" customHeight="1">
      <c r="A526" s="1"/>
      <c r="B526" s="1"/>
      <c r="C526" s="1"/>
      <c r="D526" s="15"/>
      <c r="E526" s="15"/>
      <c r="F526" s="15"/>
      <c r="G526" s="15"/>
      <c r="H526" s="1"/>
      <c r="I526" s="1"/>
      <c r="J526" s="1"/>
      <c r="K526" s="15"/>
      <c r="L526" s="1"/>
      <c r="M526" s="1"/>
      <c r="N526" s="1"/>
      <c r="O526" s="1"/>
      <c r="P526" s="15"/>
      <c r="Q526" s="1"/>
      <c r="R526" s="1"/>
      <c r="S526" s="1"/>
      <c r="T526" s="1"/>
      <c r="U526" s="15"/>
      <c r="V526" s="1"/>
      <c r="W526" s="1"/>
      <c r="X526" s="1"/>
      <c r="Y526" s="1"/>
      <c r="Z526" s="15"/>
      <c r="AA526" s="1"/>
      <c r="AB526" s="1"/>
      <c r="AC526" s="1"/>
      <c r="AD526" s="1"/>
      <c r="AE526" s="15"/>
      <c r="AF526" s="1"/>
      <c r="AG526" s="1"/>
      <c r="AH526" s="1"/>
      <c r="AI526" s="1"/>
      <c r="AJ526" s="15"/>
      <c r="AK526" s="1"/>
    </row>
    <row r="527" spans="1:37" ht="16.5" customHeight="1">
      <c r="A527" s="1"/>
      <c r="B527" s="1"/>
      <c r="C527" s="1"/>
      <c r="D527" s="15"/>
      <c r="E527" s="15"/>
      <c r="F527" s="15"/>
      <c r="G527" s="15"/>
      <c r="H527" s="1"/>
      <c r="I527" s="1"/>
      <c r="J527" s="1"/>
      <c r="K527" s="15"/>
      <c r="L527" s="1"/>
      <c r="M527" s="1"/>
      <c r="N527" s="1"/>
      <c r="O527" s="1"/>
      <c r="P527" s="15"/>
      <c r="Q527" s="1"/>
      <c r="R527" s="1"/>
      <c r="S527" s="1"/>
      <c r="T527" s="1"/>
      <c r="U527" s="15"/>
      <c r="V527" s="1"/>
      <c r="W527" s="1"/>
      <c r="X527" s="1"/>
      <c r="Y527" s="1"/>
      <c r="Z527" s="15"/>
      <c r="AA527" s="1"/>
      <c r="AB527" s="1"/>
      <c r="AC527" s="1"/>
      <c r="AD527" s="1"/>
      <c r="AE527" s="15"/>
      <c r="AF527" s="1"/>
      <c r="AG527" s="1"/>
      <c r="AH527" s="1"/>
      <c r="AI527" s="1"/>
      <c r="AJ527" s="15"/>
      <c r="AK527" s="1"/>
    </row>
    <row r="528" spans="1:37" ht="16.5" customHeight="1">
      <c r="A528" s="1"/>
      <c r="B528" s="1"/>
      <c r="C528" s="1"/>
      <c r="D528" s="15"/>
      <c r="E528" s="15"/>
      <c r="F528" s="15"/>
      <c r="G528" s="15"/>
      <c r="H528" s="1"/>
      <c r="I528" s="1"/>
      <c r="J528" s="1"/>
      <c r="K528" s="15"/>
      <c r="L528" s="1"/>
      <c r="M528" s="1"/>
      <c r="N528" s="1"/>
      <c r="O528" s="1"/>
      <c r="P528" s="15"/>
      <c r="Q528" s="1"/>
      <c r="R528" s="1"/>
      <c r="S528" s="1"/>
      <c r="T528" s="1"/>
      <c r="U528" s="15"/>
      <c r="V528" s="1"/>
      <c r="W528" s="1"/>
      <c r="X528" s="1"/>
      <c r="Y528" s="1"/>
      <c r="Z528" s="15"/>
      <c r="AA528" s="1"/>
      <c r="AB528" s="1"/>
      <c r="AC528" s="1"/>
      <c r="AD528" s="1"/>
      <c r="AE528" s="15"/>
      <c r="AF528" s="1"/>
      <c r="AG528" s="1"/>
      <c r="AH528" s="1"/>
      <c r="AI528" s="1"/>
      <c r="AJ528" s="15"/>
      <c r="AK528" s="1"/>
    </row>
    <row r="529" spans="1:37" ht="16.5" customHeight="1">
      <c r="A529" s="1"/>
      <c r="B529" s="1"/>
      <c r="C529" s="1"/>
      <c r="D529" s="15"/>
      <c r="E529" s="15"/>
      <c r="F529" s="15"/>
      <c r="G529" s="15"/>
      <c r="H529" s="1"/>
      <c r="I529" s="1"/>
      <c r="J529" s="1"/>
      <c r="K529" s="15"/>
      <c r="L529" s="1"/>
      <c r="M529" s="1"/>
      <c r="N529" s="1"/>
      <c r="O529" s="1"/>
      <c r="P529" s="15"/>
      <c r="Q529" s="1"/>
      <c r="R529" s="1"/>
      <c r="S529" s="1"/>
      <c r="T529" s="1"/>
      <c r="U529" s="15"/>
      <c r="V529" s="1"/>
      <c r="W529" s="1"/>
      <c r="X529" s="1"/>
      <c r="Y529" s="1"/>
      <c r="Z529" s="15"/>
      <c r="AA529" s="1"/>
      <c r="AB529" s="1"/>
      <c r="AC529" s="1"/>
      <c r="AD529" s="1"/>
      <c r="AE529" s="15"/>
      <c r="AF529" s="1"/>
      <c r="AG529" s="1"/>
      <c r="AH529" s="1"/>
      <c r="AI529" s="1"/>
      <c r="AJ529" s="15"/>
      <c r="AK529" s="1"/>
    </row>
    <row r="530" spans="1:37" ht="16.5" customHeight="1">
      <c r="A530" s="1"/>
      <c r="B530" s="1"/>
      <c r="C530" s="1"/>
      <c r="D530" s="15"/>
      <c r="E530" s="15"/>
      <c r="F530" s="15"/>
      <c r="G530" s="15"/>
      <c r="H530" s="1"/>
      <c r="I530" s="1"/>
      <c r="J530" s="1"/>
      <c r="K530" s="15"/>
      <c r="L530" s="1"/>
      <c r="M530" s="1"/>
      <c r="N530" s="1"/>
      <c r="O530" s="1"/>
      <c r="P530" s="15"/>
      <c r="Q530" s="1"/>
      <c r="R530" s="1"/>
      <c r="S530" s="1"/>
      <c r="T530" s="1"/>
      <c r="U530" s="15"/>
      <c r="V530" s="1"/>
      <c r="W530" s="1"/>
      <c r="X530" s="1"/>
      <c r="Y530" s="1"/>
      <c r="Z530" s="15"/>
      <c r="AA530" s="1"/>
      <c r="AB530" s="1"/>
      <c r="AC530" s="1"/>
      <c r="AD530" s="1"/>
      <c r="AE530" s="15"/>
      <c r="AF530" s="1"/>
      <c r="AG530" s="1"/>
      <c r="AH530" s="1"/>
      <c r="AI530" s="1"/>
      <c r="AJ530" s="15"/>
      <c r="AK530" s="1"/>
    </row>
    <row r="531" spans="1:37" ht="16.5" customHeight="1">
      <c r="A531" s="1"/>
      <c r="B531" s="1"/>
      <c r="C531" s="1"/>
      <c r="D531" s="15"/>
      <c r="E531" s="15"/>
      <c r="F531" s="15"/>
      <c r="G531" s="15"/>
      <c r="H531" s="1"/>
      <c r="I531" s="1"/>
      <c r="J531" s="1"/>
      <c r="K531" s="15"/>
      <c r="L531" s="1"/>
      <c r="M531" s="1"/>
      <c r="N531" s="1"/>
      <c r="O531" s="1"/>
      <c r="P531" s="15"/>
      <c r="Q531" s="1"/>
      <c r="R531" s="1"/>
      <c r="S531" s="1"/>
      <c r="T531" s="1"/>
      <c r="U531" s="15"/>
      <c r="V531" s="1"/>
      <c r="W531" s="1"/>
      <c r="X531" s="1"/>
      <c r="Y531" s="1"/>
      <c r="Z531" s="15"/>
      <c r="AA531" s="1"/>
      <c r="AB531" s="1"/>
      <c r="AC531" s="1"/>
      <c r="AD531" s="1"/>
      <c r="AE531" s="15"/>
      <c r="AF531" s="1"/>
      <c r="AG531" s="1"/>
      <c r="AH531" s="1"/>
      <c r="AI531" s="1"/>
      <c r="AJ531" s="15"/>
      <c r="AK531" s="1"/>
    </row>
    <row r="532" spans="1:37" ht="16.5" customHeight="1">
      <c r="A532" s="1"/>
      <c r="B532" s="1"/>
      <c r="C532" s="1"/>
      <c r="D532" s="15"/>
      <c r="E532" s="15"/>
      <c r="F532" s="15"/>
      <c r="G532" s="15"/>
      <c r="H532" s="1"/>
      <c r="I532" s="1"/>
      <c r="J532" s="1"/>
      <c r="K532" s="15"/>
      <c r="L532" s="1"/>
      <c r="M532" s="1"/>
      <c r="N532" s="1"/>
      <c r="O532" s="1"/>
      <c r="P532" s="15"/>
      <c r="Q532" s="1"/>
      <c r="R532" s="1"/>
      <c r="S532" s="1"/>
      <c r="T532" s="1"/>
      <c r="U532" s="15"/>
      <c r="V532" s="1"/>
      <c r="W532" s="1"/>
      <c r="X532" s="1"/>
      <c r="Y532" s="1"/>
      <c r="Z532" s="15"/>
      <c r="AA532" s="1"/>
      <c r="AB532" s="1"/>
      <c r="AC532" s="1"/>
      <c r="AD532" s="1"/>
      <c r="AE532" s="15"/>
      <c r="AF532" s="1"/>
      <c r="AG532" s="1"/>
      <c r="AH532" s="1"/>
      <c r="AI532" s="1"/>
      <c r="AJ532" s="15"/>
      <c r="AK532" s="1"/>
    </row>
    <row r="533" spans="1:37" ht="16.5" customHeight="1">
      <c r="A533" s="1"/>
      <c r="B533" s="1"/>
      <c r="C533" s="1"/>
      <c r="D533" s="15"/>
      <c r="E533" s="15"/>
      <c r="F533" s="15"/>
      <c r="G533" s="15"/>
      <c r="H533" s="1"/>
      <c r="I533" s="1"/>
      <c r="J533" s="1"/>
      <c r="K533" s="15"/>
      <c r="L533" s="1"/>
      <c r="M533" s="1"/>
      <c r="N533" s="1"/>
      <c r="O533" s="1"/>
      <c r="P533" s="15"/>
      <c r="Q533" s="1"/>
      <c r="R533" s="1"/>
      <c r="S533" s="1"/>
      <c r="T533" s="1"/>
      <c r="U533" s="15"/>
      <c r="V533" s="1"/>
      <c r="W533" s="1"/>
      <c r="X533" s="1"/>
      <c r="Y533" s="1"/>
      <c r="Z533" s="15"/>
      <c r="AA533" s="1"/>
      <c r="AB533" s="1"/>
      <c r="AC533" s="1"/>
      <c r="AD533" s="1"/>
      <c r="AE533" s="15"/>
      <c r="AF533" s="1"/>
      <c r="AG533" s="1"/>
      <c r="AH533" s="1"/>
      <c r="AI533" s="1"/>
      <c r="AJ533" s="15"/>
      <c r="AK533" s="1"/>
    </row>
    <row r="534" spans="1:37" ht="16.5" customHeight="1">
      <c r="A534" s="1"/>
      <c r="B534" s="1"/>
      <c r="C534" s="1"/>
      <c r="D534" s="15"/>
      <c r="E534" s="15"/>
      <c r="F534" s="15"/>
      <c r="G534" s="15"/>
      <c r="H534" s="1"/>
      <c r="I534" s="1"/>
      <c r="J534" s="1"/>
      <c r="K534" s="15"/>
      <c r="L534" s="1"/>
      <c r="M534" s="1"/>
      <c r="N534" s="1"/>
      <c r="O534" s="1"/>
      <c r="P534" s="15"/>
      <c r="Q534" s="1"/>
      <c r="R534" s="1"/>
      <c r="S534" s="1"/>
      <c r="T534" s="1"/>
      <c r="U534" s="15"/>
      <c r="V534" s="1"/>
      <c r="W534" s="1"/>
      <c r="X534" s="1"/>
      <c r="Y534" s="1"/>
      <c r="Z534" s="15"/>
      <c r="AA534" s="1"/>
      <c r="AB534" s="1"/>
      <c r="AC534" s="1"/>
      <c r="AD534" s="1"/>
      <c r="AE534" s="15"/>
      <c r="AF534" s="1"/>
      <c r="AG534" s="1"/>
      <c r="AH534" s="1"/>
      <c r="AI534" s="1"/>
      <c r="AJ534" s="15"/>
      <c r="AK534" s="1"/>
    </row>
    <row r="535" spans="1:37" ht="16.5" customHeight="1">
      <c r="A535" s="1"/>
      <c r="B535" s="1"/>
      <c r="C535" s="1"/>
      <c r="D535" s="15"/>
      <c r="E535" s="15"/>
      <c r="F535" s="15"/>
      <c r="G535" s="15"/>
      <c r="H535" s="1"/>
      <c r="I535" s="1"/>
      <c r="J535" s="1"/>
      <c r="K535" s="15"/>
      <c r="L535" s="1"/>
      <c r="M535" s="1"/>
      <c r="N535" s="1"/>
      <c r="O535" s="1"/>
      <c r="P535" s="15"/>
      <c r="Q535" s="1"/>
      <c r="R535" s="1"/>
      <c r="S535" s="1"/>
      <c r="T535" s="1"/>
      <c r="U535" s="15"/>
      <c r="V535" s="1"/>
      <c r="W535" s="1"/>
      <c r="X535" s="1"/>
      <c r="Y535" s="1"/>
      <c r="Z535" s="15"/>
      <c r="AA535" s="1"/>
      <c r="AB535" s="1"/>
      <c r="AC535" s="1"/>
      <c r="AD535" s="1"/>
      <c r="AE535" s="15"/>
      <c r="AF535" s="1"/>
      <c r="AG535" s="1"/>
      <c r="AH535" s="1"/>
      <c r="AI535" s="1"/>
      <c r="AJ535" s="15"/>
      <c r="AK535" s="1"/>
    </row>
    <row r="536" spans="1:37" ht="16.5" customHeight="1">
      <c r="A536" s="1"/>
      <c r="B536" s="1"/>
      <c r="C536" s="1"/>
      <c r="D536" s="15"/>
      <c r="E536" s="15"/>
      <c r="F536" s="15"/>
      <c r="G536" s="15"/>
      <c r="H536" s="1"/>
      <c r="I536" s="1"/>
      <c r="J536" s="1"/>
      <c r="K536" s="15"/>
      <c r="L536" s="1"/>
      <c r="M536" s="1"/>
      <c r="N536" s="1"/>
      <c r="O536" s="1"/>
      <c r="P536" s="15"/>
      <c r="Q536" s="1"/>
      <c r="R536" s="1"/>
      <c r="S536" s="1"/>
      <c r="T536" s="1"/>
      <c r="U536" s="15"/>
      <c r="V536" s="1"/>
      <c r="W536" s="1"/>
      <c r="X536" s="1"/>
      <c r="Y536" s="1"/>
      <c r="Z536" s="15"/>
      <c r="AA536" s="1"/>
      <c r="AB536" s="1"/>
      <c r="AC536" s="1"/>
      <c r="AD536" s="1"/>
      <c r="AE536" s="15"/>
      <c r="AF536" s="1"/>
      <c r="AG536" s="1"/>
      <c r="AH536" s="1"/>
      <c r="AI536" s="1"/>
      <c r="AJ536" s="15"/>
      <c r="AK536" s="1"/>
    </row>
    <row r="537" spans="1:37" ht="16.5" customHeight="1">
      <c r="A537" s="1"/>
      <c r="B537" s="1"/>
      <c r="C537" s="1"/>
      <c r="D537" s="15"/>
      <c r="E537" s="15"/>
      <c r="F537" s="15"/>
      <c r="G537" s="15"/>
      <c r="H537" s="1"/>
      <c r="I537" s="1"/>
      <c r="J537" s="1"/>
      <c r="K537" s="15"/>
      <c r="L537" s="1"/>
      <c r="M537" s="1"/>
      <c r="N537" s="1"/>
      <c r="O537" s="1"/>
      <c r="P537" s="15"/>
      <c r="Q537" s="1"/>
      <c r="R537" s="1"/>
      <c r="S537" s="1"/>
      <c r="T537" s="1"/>
      <c r="U537" s="15"/>
      <c r="V537" s="1"/>
      <c r="W537" s="1"/>
      <c r="X537" s="1"/>
      <c r="Y537" s="1"/>
      <c r="Z537" s="15"/>
      <c r="AA537" s="1"/>
      <c r="AB537" s="1"/>
      <c r="AC537" s="1"/>
      <c r="AD537" s="1"/>
      <c r="AE537" s="15"/>
      <c r="AF537" s="1"/>
      <c r="AG537" s="1"/>
      <c r="AH537" s="1"/>
      <c r="AI537" s="1"/>
      <c r="AJ537" s="15"/>
      <c r="AK537" s="1"/>
    </row>
    <row r="538" spans="1:37" ht="16.5" customHeight="1">
      <c r="A538" s="1"/>
      <c r="B538" s="1"/>
      <c r="C538" s="1"/>
      <c r="D538" s="15"/>
      <c r="E538" s="15"/>
      <c r="F538" s="15"/>
      <c r="G538" s="15"/>
      <c r="H538" s="1"/>
      <c r="I538" s="1"/>
      <c r="J538" s="1"/>
      <c r="K538" s="15"/>
      <c r="L538" s="1"/>
      <c r="M538" s="1"/>
      <c r="N538" s="1"/>
      <c r="O538" s="1"/>
      <c r="P538" s="15"/>
      <c r="Q538" s="1"/>
      <c r="R538" s="1"/>
      <c r="S538" s="1"/>
      <c r="T538" s="1"/>
      <c r="U538" s="15"/>
      <c r="V538" s="1"/>
      <c r="W538" s="1"/>
      <c r="X538" s="1"/>
      <c r="Y538" s="1"/>
      <c r="Z538" s="15"/>
      <c r="AA538" s="1"/>
      <c r="AB538" s="1"/>
      <c r="AC538" s="1"/>
      <c r="AD538" s="1"/>
      <c r="AE538" s="15"/>
      <c r="AF538" s="1"/>
      <c r="AG538" s="1"/>
      <c r="AH538" s="1"/>
      <c r="AI538" s="1"/>
      <c r="AJ538" s="15"/>
      <c r="AK538" s="1"/>
    </row>
    <row r="539" spans="1:37" ht="16.5" customHeight="1">
      <c r="A539" s="1"/>
      <c r="B539" s="1"/>
      <c r="C539" s="1"/>
      <c r="D539" s="15"/>
      <c r="E539" s="15"/>
      <c r="F539" s="15"/>
      <c r="G539" s="15"/>
      <c r="H539" s="1"/>
      <c r="I539" s="1"/>
      <c r="J539" s="1"/>
      <c r="K539" s="15"/>
      <c r="L539" s="1"/>
      <c r="M539" s="1"/>
      <c r="N539" s="1"/>
      <c r="O539" s="1"/>
      <c r="P539" s="15"/>
      <c r="Q539" s="1"/>
      <c r="R539" s="1"/>
      <c r="S539" s="1"/>
      <c r="T539" s="1"/>
      <c r="U539" s="15"/>
      <c r="V539" s="1"/>
      <c r="W539" s="1"/>
      <c r="X539" s="1"/>
      <c r="Y539" s="1"/>
      <c r="Z539" s="15"/>
      <c r="AA539" s="1"/>
      <c r="AB539" s="1"/>
      <c r="AC539" s="1"/>
      <c r="AD539" s="1"/>
      <c r="AE539" s="15"/>
      <c r="AF539" s="1"/>
      <c r="AG539" s="1"/>
      <c r="AH539" s="1"/>
      <c r="AI539" s="1"/>
      <c r="AJ539" s="15"/>
      <c r="AK539" s="1"/>
    </row>
    <row r="540" spans="1:37" ht="16.5" customHeight="1">
      <c r="A540" s="1"/>
      <c r="B540" s="1"/>
      <c r="C540" s="1"/>
      <c r="D540" s="15"/>
      <c r="E540" s="15"/>
      <c r="F540" s="15"/>
      <c r="G540" s="15"/>
      <c r="H540" s="1"/>
      <c r="I540" s="1"/>
      <c r="J540" s="1"/>
      <c r="K540" s="15"/>
      <c r="L540" s="1"/>
      <c r="M540" s="1"/>
      <c r="N540" s="1"/>
      <c r="O540" s="1"/>
      <c r="P540" s="15"/>
      <c r="Q540" s="1"/>
      <c r="R540" s="1"/>
      <c r="S540" s="1"/>
      <c r="T540" s="1"/>
      <c r="U540" s="15"/>
      <c r="V540" s="1"/>
      <c r="W540" s="1"/>
      <c r="X540" s="1"/>
      <c r="Y540" s="1"/>
      <c r="Z540" s="15"/>
      <c r="AA540" s="1"/>
      <c r="AB540" s="1"/>
      <c r="AC540" s="1"/>
      <c r="AD540" s="1"/>
      <c r="AE540" s="15"/>
      <c r="AF540" s="1"/>
      <c r="AG540" s="1"/>
      <c r="AH540" s="1"/>
      <c r="AI540" s="1"/>
      <c r="AJ540" s="15"/>
      <c r="AK540" s="1"/>
    </row>
    <row r="541" spans="1:37" ht="16.5" customHeight="1">
      <c r="A541" s="1"/>
      <c r="B541" s="1"/>
      <c r="C541" s="1"/>
      <c r="D541" s="15"/>
      <c r="E541" s="15"/>
      <c r="F541" s="15"/>
      <c r="G541" s="15"/>
      <c r="H541" s="1"/>
      <c r="I541" s="1"/>
      <c r="J541" s="1"/>
      <c r="K541" s="15"/>
      <c r="L541" s="1"/>
      <c r="M541" s="1"/>
      <c r="N541" s="1"/>
      <c r="O541" s="1"/>
      <c r="P541" s="15"/>
      <c r="Q541" s="1"/>
      <c r="R541" s="1"/>
      <c r="S541" s="1"/>
      <c r="T541" s="1"/>
      <c r="U541" s="15"/>
      <c r="V541" s="1"/>
      <c r="W541" s="1"/>
      <c r="X541" s="1"/>
      <c r="Y541" s="1"/>
      <c r="Z541" s="15"/>
      <c r="AA541" s="1"/>
      <c r="AB541" s="1"/>
      <c r="AC541" s="1"/>
      <c r="AD541" s="1"/>
      <c r="AE541" s="15"/>
      <c r="AF541" s="1"/>
      <c r="AG541" s="1"/>
      <c r="AH541" s="1"/>
      <c r="AI541" s="1"/>
      <c r="AJ541" s="15"/>
      <c r="AK541" s="1"/>
    </row>
    <row r="542" spans="1:37" ht="16.5" customHeight="1">
      <c r="A542" s="1"/>
      <c r="B542" s="1"/>
      <c r="C542" s="1"/>
      <c r="D542" s="15"/>
      <c r="E542" s="15"/>
      <c r="F542" s="15"/>
      <c r="G542" s="15"/>
      <c r="H542" s="1"/>
      <c r="I542" s="1"/>
      <c r="J542" s="1"/>
      <c r="K542" s="15"/>
      <c r="L542" s="1"/>
      <c r="M542" s="1"/>
      <c r="N542" s="1"/>
      <c r="O542" s="1"/>
      <c r="P542" s="15"/>
      <c r="Q542" s="1"/>
      <c r="R542" s="1"/>
      <c r="S542" s="1"/>
      <c r="T542" s="1"/>
      <c r="U542" s="15"/>
      <c r="V542" s="1"/>
      <c r="W542" s="1"/>
      <c r="X542" s="1"/>
      <c r="Y542" s="1"/>
      <c r="Z542" s="15"/>
      <c r="AA542" s="1"/>
      <c r="AB542" s="1"/>
      <c r="AC542" s="1"/>
      <c r="AD542" s="1"/>
      <c r="AE542" s="15"/>
      <c r="AF542" s="1"/>
      <c r="AG542" s="1"/>
      <c r="AH542" s="1"/>
      <c r="AI542" s="1"/>
      <c r="AJ542" s="15"/>
      <c r="AK542" s="1"/>
    </row>
    <row r="543" spans="1:37" ht="16.5" customHeight="1">
      <c r="A543" s="1"/>
      <c r="B543" s="1"/>
      <c r="C543" s="1"/>
      <c r="D543" s="15"/>
      <c r="E543" s="15"/>
      <c r="F543" s="15"/>
      <c r="G543" s="15"/>
      <c r="H543" s="1"/>
      <c r="I543" s="1"/>
      <c r="J543" s="1"/>
      <c r="K543" s="15"/>
      <c r="L543" s="1"/>
      <c r="M543" s="1"/>
      <c r="N543" s="1"/>
      <c r="O543" s="1"/>
      <c r="P543" s="15"/>
      <c r="Q543" s="1"/>
      <c r="R543" s="1"/>
      <c r="S543" s="1"/>
      <c r="T543" s="1"/>
      <c r="U543" s="15"/>
      <c r="V543" s="1"/>
      <c r="W543" s="1"/>
      <c r="X543" s="1"/>
      <c r="Y543" s="1"/>
      <c r="Z543" s="15"/>
      <c r="AA543" s="1"/>
      <c r="AB543" s="1"/>
      <c r="AC543" s="1"/>
      <c r="AD543" s="1"/>
      <c r="AE543" s="15"/>
      <c r="AF543" s="1"/>
      <c r="AG543" s="1"/>
      <c r="AH543" s="1"/>
      <c r="AI543" s="1"/>
      <c r="AJ543" s="15"/>
      <c r="AK543" s="1"/>
    </row>
    <row r="544" spans="1:37" ht="16.5" customHeight="1">
      <c r="A544" s="1"/>
      <c r="B544" s="1"/>
      <c r="C544" s="1"/>
      <c r="D544" s="15"/>
      <c r="E544" s="15"/>
      <c r="F544" s="15"/>
      <c r="G544" s="15"/>
      <c r="H544" s="1"/>
      <c r="I544" s="1"/>
      <c r="J544" s="1"/>
      <c r="K544" s="15"/>
      <c r="L544" s="1"/>
      <c r="M544" s="1"/>
      <c r="N544" s="1"/>
      <c r="O544" s="1"/>
      <c r="P544" s="15"/>
      <c r="Q544" s="1"/>
      <c r="R544" s="1"/>
      <c r="S544" s="1"/>
      <c r="T544" s="1"/>
      <c r="U544" s="15"/>
      <c r="V544" s="1"/>
      <c r="W544" s="1"/>
      <c r="X544" s="1"/>
      <c r="Y544" s="1"/>
      <c r="Z544" s="15"/>
      <c r="AA544" s="1"/>
      <c r="AB544" s="1"/>
      <c r="AC544" s="1"/>
      <c r="AD544" s="1"/>
      <c r="AE544" s="15"/>
      <c r="AF544" s="1"/>
      <c r="AG544" s="1"/>
      <c r="AH544" s="1"/>
      <c r="AI544" s="1"/>
      <c r="AJ544" s="15"/>
      <c r="AK544" s="1"/>
    </row>
    <row r="545" spans="1:37" ht="16.5" customHeight="1">
      <c r="A545" s="1"/>
      <c r="B545" s="1"/>
      <c r="C545" s="1"/>
      <c r="D545" s="15"/>
      <c r="E545" s="15"/>
      <c r="F545" s="15"/>
      <c r="G545" s="15"/>
      <c r="H545" s="1"/>
      <c r="I545" s="1"/>
      <c r="J545" s="1"/>
      <c r="K545" s="15"/>
      <c r="L545" s="1"/>
      <c r="M545" s="1"/>
      <c r="N545" s="1"/>
      <c r="O545" s="1"/>
      <c r="P545" s="15"/>
      <c r="Q545" s="1"/>
      <c r="R545" s="1"/>
      <c r="S545" s="1"/>
      <c r="T545" s="1"/>
      <c r="U545" s="15"/>
      <c r="V545" s="1"/>
      <c r="W545" s="1"/>
      <c r="X545" s="1"/>
      <c r="Y545" s="1"/>
      <c r="Z545" s="15"/>
      <c r="AA545" s="1"/>
      <c r="AB545" s="1"/>
      <c r="AC545" s="1"/>
      <c r="AD545" s="1"/>
      <c r="AE545" s="15"/>
      <c r="AF545" s="1"/>
      <c r="AG545" s="1"/>
      <c r="AH545" s="1"/>
      <c r="AI545" s="1"/>
      <c r="AJ545" s="15"/>
      <c r="AK545" s="1"/>
    </row>
    <row r="546" spans="1:37" ht="16.5" customHeight="1">
      <c r="A546" s="1"/>
      <c r="B546" s="1"/>
      <c r="C546" s="1"/>
      <c r="D546" s="15"/>
      <c r="E546" s="15"/>
      <c r="F546" s="15"/>
      <c r="G546" s="15"/>
      <c r="H546" s="1"/>
      <c r="I546" s="1"/>
      <c r="J546" s="1"/>
      <c r="K546" s="15"/>
      <c r="L546" s="1"/>
      <c r="M546" s="1"/>
      <c r="N546" s="1"/>
      <c r="O546" s="1"/>
      <c r="P546" s="15"/>
      <c r="Q546" s="1"/>
      <c r="R546" s="1"/>
      <c r="S546" s="1"/>
      <c r="T546" s="1"/>
      <c r="U546" s="15"/>
      <c r="V546" s="1"/>
      <c r="W546" s="1"/>
      <c r="X546" s="1"/>
      <c r="Y546" s="1"/>
      <c r="Z546" s="15"/>
      <c r="AA546" s="1"/>
      <c r="AB546" s="1"/>
      <c r="AC546" s="1"/>
      <c r="AD546" s="1"/>
      <c r="AE546" s="15"/>
      <c r="AF546" s="1"/>
      <c r="AG546" s="1"/>
      <c r="AH546" s="1"/>
      <c r="AI546" s="1"/>
      <c r="AJ546" s="15"/>
      <c r="AK546" s="1"/>
    </row>
    <row r="547" spans="1:37" ht="16.5" customHeight="1">
      <c r="A547" s="1"/>
      <c r="B547" s="1"/>
      <c r="C547" s="1"/>
      <c r="D547" s="15"/>
      <c r="E547" s="15"/>
      <c r="F547" s="15"/>
      <c r="G547" s="15"/>
      <c r="H547" s="1"/>
      <c r="I547" s="1"/>
      <c r="J547" s="1"/>
      <c r="K547" s="15"/>
      <c r="L547" s="1"/>
      <c r="M547" s="1"/>
      <c r="N547" s="1"/>
      <c r="O547" s="1"/>
      <c r="P547" s="15"/>
      <c r="Q547" s="1"/>
      <c r="R547" s="1"/>
      <c r="S547" s="1"/>
      <c r="T547" s="1"/>
      <c r="U547" s="15"/>
      <c r="V547" s="1"/>
      <c r="W547" s="1"/>
      <c r="X547" s="1"/>
      <c r="Y547" s="1"/>
      <c r="Z547" s="15"/>
      <c r="AA547" s="1"/>
      <c r="AB547" s="1"/>
      <c r="AC547" s="1"/>
      <c r="AD547" s="1"/>
      <c r="AE547" s="15"/>
      <c r="AF547" s="1"/>
      <c r="AG547" s="1"/>
      <c r="AH547" s="1"/>
      <c r="AI547" s="1"/>
      <c r="AJ547" s="15"/>
      <c r="AK547" s="1"/>
    </row>
    <row r="548" spans="1:37" ht="16.5" customHeight="1">
      <c r="A548" s="1"/>
      <c r="B548" s="1"/>
      <c r="C548" s="1"/>
      <c r="D548" s="15"/>
      <c r="E548" s="15"/>
      <c r="F548" s="15"/>
      <c r="G548" s="15"/>
      <c r="H548" s="1"/>
      <c r="I548" s="1"/>
      <c r="J548" s="1"/>
      <c r="K548" s="15"/>
      <c r="L548" s="1"/>
      <c r="M548" s="1"/>
      <c r="N548" s="1"/>
      <c r="O548" s="1"/>
      <c r="P548" s="15"/>
      <c r="Q548" s="1"/>
      <c r="R548" s="1"/>
      <c r="S548" s="1"/>
      <c r="T548" s="1"/>
      <c r="U548" s="15"/>
      <c r="V548" s="1"/>
      <c r="W548" s="1"/>
      <c r="X548" s="1"/>
      <c r="Y548" s="1"/>
      <c r="Z548" s="15"/>
      <c r="AA548" s="1"/>
      <c r="AB548" s="1"/>
      <c r="AC548" s="1"/>
      <c r="AD548" s="1"/>
      <c r="AE548" s="15"/>
      <c r="AF548" s="1"/>
      <c r="AG548" s="1"/>
      <c r="AH548" s="1"/>
      <c r="AI548" s="1"/>
      <c r="AJ548" s="15"/>
      <c r="AK548" s="1"/>
    </row>
    <row r="549" spans="1:37" ht="16.5" customHeight="1">
      <c r="A549" s="1"/>
      <c r="B549" s="1"/>
      <c r="C549" s="1"/>
      <c r="D549" s="15"/>
      <c r="E549" s="15"/>
      <c r="F549" s="15"/>
      <c r="G549" s="15"/>
      <c r="H549" s="1"/>
      <c r="I549" s="1"/>
      <c r="J549" s="1"/>
      <c r="K549" s="15"/>
      <c r="L549" s="1"/>
      <c r="M549" s="1"/>
      <c r="N549" s="1"/>
      <c r="O549" s="1"/>
      <c r="P549" s="15"/>
      <c r="Q549" s="1"/>
      <c r="R549" s="1"/>
      <c r="S549" s="1"/>
      <c r="T549" s="1"/>
      <c r="U549" s="15"/>
      <c r="V549" s="1"/>
      <c r="W549" s="1"/>
      <c r="X549" s="1"/>
      <c r="Y549" s="1"/>
      <c r="Z549" s="15"/>
      <c r="AA549" s="1"/>
      <c r="AB549" s="1"/>
      <c r="AC549" s="1"/>
      <c r="AD549" s="1"/>
      <c r="AE549" s="15"/>
      <c r="AF549" s="1"/>
      <c r="AG549" s="1"/>
      <c r="AH549" s="1"/>
      <c r="AI549" s="1"/>
      <c r="AJ549" s="15"/>
      <c r="AK549" s="1"/>
    </row>
    <row r="550" spans="1:37" ht="16.5" customHeight="1">
      <c r="A550" s="1"/>
      <c r="B550" s="1"/>
      <c r="C550" s="1"/>
      <c r="D550" s="15"/>
      <c r="E550" s="15"/>
      <c r="F550" s="15"/>
      <c r="G550" s="15"/>
      <c r="H550" s="1"/>
      <c r="I550" s="1"/>
      <c r="J550" s="1"/>
      <c r="K550" s="15"/>
      <c r="L550" s="1"/>
      <c r="M550" s="1"/>
      <c r="N550" s="1"/>
      <c r="O550" s="1"/>
      <c r="P550" s="15"/>
      <c r="Q550" s="1"/>
      <c r="R550" s="1"/>
      <c r="S550" s="1"/>
      <c r="T550" s="1"/>
      <c r="U550" s="15"/>
      <c r="V550" s="1"/>
      <c r="W550" s="1"/>
      <c r="X550" s="1"/>
      <c r="Y550" s="1"/>
      <c r="Z550" s="15"/>
      <c r="AA550" s="1"/>
      <c r="AB550" s="1"/>
      <c r="AC550" s="1"/>
      <c r="AD550" s="1"/>
      <c r="AE550" s="15"/>
      <c r="AF550" s="1"/>
      <c r="AG550" s="1"/>
      <c r="AH550" s="1"/>
      <c r="AI550" s="1"/>
      <c r="AJ550" s="15"/>
      <c r="AK550" s="1"/>
    </row>
    <row r="551" spans="1:37" ht="16.5" customHeight="1">
      <c r="A551" s="1"/>
      <c r="B551" s="1"/>
      <c r="C551" s="1"/>
      <c r="D551" s="15"/>
      <c r="E551" s="15"/>
      <c r="F551" s="15"/>
      <c r="G551" s="15"/>
      <c r="H551" s="1"/>
      <c r="I551" s="1"/>
      <c r="J551" s="1"/>
      <c r="K551" s="15"/>
      <c r="L551" s="1"/>
      <c r="M551" s="1"/>
      <c r="N551" s="1"/>
      <c r="O551" s="1"/>
      <c r="P551" s="15"/>
      <c r="Q551" s="1"/>
      <c r="R551" s="1"/>
      <c r="S551" s="1"/>
      <c r="T551" s="1"/>
      <c r="U551" s="15"/>
      <c r="V551" s="1"/>
      <c r="W551" s="1"/>
      <c r="X551" s="1"/>
      <c r="Y551" s="1"/>
      <c r="Z551" s="15"/>
      <c r="AA551" s="1"/>
      <c r="AB551" s="1"/>
      <c r="AC551" s="1"/>
      <c r="AD551" s="1"/>
      <c r="AE551" s="15"/>
      <c r="AF551" s="1"/>
      <c r="AG551" s="1"/>
      <c r="AH551" s="1"/>
      <c r="AI551" s="1"/>
      <c r="AJ551" s="15"/>
      <c r="AK551" s="1"/>
    </row>
    <row r="552" spans="1:37" ht="16.5" customHeight="1">
      <c r="A552" s="1"/>
      <c r="B552" s="1"/>
      <c r="C552" s="1"/>
      <c r="D552" s="15"/>
      <c r="E552" s="15"/>
      <c r="F552" s="15"/>
      <c r="G552" s="15"/>
      <c r="H552" s="1"/>
      <c r="I552" s="1"/>
      <c r="J552" s="1"/>
      <c r="K552" s="15"/>
      <c r="L552" s="1"/>
      <c r="M552" s="1"/>
      <c r="N552" s="1"/>
      <c r="O552" s="1"/>
      <c r="P552" s="15"/>
      <c r="Q552" s="1"/>
      <c r="R552" s="1"/>
      <c r="S552" s="1"/>
      <c r="T552" s="1"/>
      <c r="U552" s="15"/>
      <c r="V552" s="1"/>
      <c r="W552" s="1"/>
      <c r="X552" s="1"/>
      <c r="Y552" s="1"/>
      <c r="Z552" s="15"/>
      <c r="AA552" s="1"/>
      <c r="AB552" s="1"/>
      <c r="AC552" s="1"/>
      <c r="AD552" s="1"/>
      <c r="AE552" s="15"/>
      <c r="AF552" s="1"/>
      <c r="AG552" s="1"/>
      <c r="AH552" s="1"/>
      <c r="AI552" s="1"/>
      <c r="AJ552" s="15"/>
      <c r="AK552" s="1"/>
    </row>
    <row r="553" spans="1:37" ht="16.5" customHeight="1">
      <c r="A553" s="1"/>
      <c r="B553" s="1"/>
      <c r="C553" s="1"/>
      <c r="D553" s="15"/>
      <c r="E553" s="15"/>
      <c r="F553" s="15"/>
      <c r="G553" s="15"/>
      <c r="H553" s="1"/>
      <c r="I553" s="1"/>
      <c r="J553" s="1"/>
      <c r="K553" s="15"/>
      <c r="L553" s="1"/>
      <c r="M553" s="1"/>
      <c r="N553" s="1"/>
      <c r="O553" s="1"/>
      <c r="P553" s="15"/>
      <c r="Q553" s="1"/>
      <c r="R553" s="1"/>
      <c r="S553" s="1"/>
      <c r="T553" s="1"/>
      <c r="U553" s="15"/>
      <c r="V553" s="1"/>
      <c r="W553" s="1"/>
      <c r="X553" s="1"/>
      <c r="Y553" s="1"/>
      <c r="Z553" s="15"/>
      <c r="AA553" s="1"/>
      <c r="AB553" s="1"/>
      <c r="AC553" s="1"/>
      <c r="AD553" s="1"/>
      <c r="AE553" s="15"/>
      <c r="AF553" s="1"/>
      <c r="AG553" s="1"/>
      <c r="AH553" s="1"/>
      <c r="AI553" s="1"/>
      <c r="AJ553" s="15"/>
      <c r="AK553" s="1"/>
    </row>
    <row r="554" spans="1:37" ht="16.5" customHeight="1">
      <c r="A554" s="1"/>
      <c r="B554" s="1"/>
      <c r="C554" s="1"/>
      <c r="D554" s="15"/>
      <c r="E554" s="15"/>
      <c r="F554" s="15"/>
      <c r="G554" s="15"/>
      <c r="H554" s="1"/>
      <c r="I554" s="1"/>
      <c r="J554" s="1"/>
      <c r="K554" s="15"/>
      <c r="L554" s="1"/>
      <c r="M554" s="1"/>
      <c r="N554" s="1"/>
      <c r="O554" s="1"/>
      <c r="P554" s="15"/>
      <c r="Q554" s="1"/>
      <c r="R554" s="1"/>
      <c r="S554" s="1"/>
      <c r="T554" s="1"/>
      <c r="U554" s="15"/>
      <c r="V554" s="1"/>
      <c r="W554" s="1"/>
      <c r="X554" s="1"/>
      <c r="Y554" s="1"/>
      <c r="Z554" s="15"/>
      <c r="AA554" s="1"/>
      <c r="AB554" s="1"/>
      <c r="AC554" s="1"/>
      <c r="AD554" s="1"/>
      <c r="AE554" s="15"/>
      <c r="AF554" s="1"/>
      <c r="AG554" s="1"/>
      <c r="AH554" s="1"/>
      <c r="AI554" s="1"/>
      <c r="AJ554" s="15"/>
      <c r="AK554" s="1"/>
    </row>
    <row r="555" spans="1:37" ht="16.5" customHeight="1">
      <c r="A555" s="1"/>
      <c r="B555" s="1"/>
      <c r="C555" s="1"/>
      <c r="D555" s="15"/>
      <c r="E555" s="15"/>
      <c r="F555" s="15"/>
      <c r="G555" s="15"/>
      <c r="H555" s="1"/>
      <c r="I555" s="1"/>
      <c r="J555" s="1"/>
      <c r="K555" s="15"/>
      <c r="L555" s="1"/>
      <c r="M555" s="1"/>
      <c r="N555" s="1"/>
      <c r="O555" s="1"/>
      <c r="P555" s="15"/>
      <c r="Q555" s="1"/>
      <c r="R555" s="1"/>
      <c r="S555" s="1"/>
      <c r="T555" s="1"/>
      <c r="U555" s="15"/>
      <c r="V555" s="1"/>
      <c r="W555" s="1"/>
      <c r="X555" s="1"/>
      <c r="Y555" s="1"/>
      <c r="Z555" s="15"/>
      <c r="AA555" s="1"/>
      <c r="AB555" s="1"/>
      <c r="AC555" s="1"/>
      <c r="AD555" s="1"/>
      <c r="AE555" s="15"/>
      <c r="AF555" s="1"/>
      <c r="AG555" s="1"/>
      <c r="AH555" s="1"/>
      <c r="AI555" s="1"/>
      <c r="AJ555" s="15"/>
      <c r="AK555" s="1"/>
    </row>
    <row r="556" spans="1:37" ht="16.5" customHeight="1">
      <c r="A556" s="1"/>
      <c r="B556" s="1"/>
      <c r="C556" s="1"/>
      <c r="D556" s="15"/>
      <c r="E556" s="15"/>
      <c r="F556" s="15"/>
      <c r="G556" s="15"/>
      <c r="H556" s="1"/>
      <c r="I556" s="1"/>
      <c r="J556" s="1"/>
      <c r="K556" s="15"/>
      <c r="L556" s="1"/>
      <c r="M556" s="1"/>
      <c r="N556" s="1"/>
      <c r="O556" s="1"/>
      <c r="P556" s="15"/>
      <c r="Q556" s="1"/>
      <c r="R556" s="1"/>
      <c r="S556" s="1"/>
      <c r="T556" s="1"/>
      <c r="U556" s="15"/>
      <c r="V556" s="1"/>
      <c r="W556" s="1"/>
      <c r="X556" s="1"/>
      <c r="Y556" s="1"/>
      <c r="Z556" s="15"/>
      <c r="AA556" s="1"/>
      <c r="AB556" s="1"/>
      <c r="AC556" s="1"/>
      <c r="AD556" s="1"/>
      <c r="AE556" s="15"/>
      <c r="AF556" s="1"/>
      <c r="AG556" s="1"/>
      <c r="AH556" s="1"/>
      <c r="AI556" s="1"/>
      <c r="AJ556" s="15"/>
      <c r="AK556" s="1"/>
    </row>
    <row r="557" spans="1:37" ht="16.5" customHeight="1">
      <c r="A557" s="1"/>
      <c r="B557" s="1"/>
      <c r="C557" s="1"/>
      <c r="D557" s="15"/>
      <c r="E557" s="15"/>
      <c r="F557" s="15"/>
      <c r="G557" s="15"/>
      <c r="H557" s="1"/>
      <c r="I557" s="1"/>
      <c r="J557" s="1"/>
      <c r="K557" s="15"/>
      <c r="L557" s="1"/>
      <c r="M557" s="1"/>
      <c r="N557" s="1"/>
      <c r="O557" s="1"/>
      <c r="P557" s="15"/>
      <c r="Q557" s="1"/>
      <c r="R557" s="1"/>
      <c r="S557" s="1"/>
      <c r="T557" s="1"/>
      <c r="U557" s="15"/>
      <c r="V557" s="1"/>
      <c r="W557" s="1"/>
      <c r="X557" s="1"/>
      <c r="Y557" s="1"/>
      <c r="Z557" s="15"/>
      <c r="AA557" s="1"/>
      <c r="AB557" s="1"/>
      <c r="AC557" s="1"/>
      <c r="AD557" s="1"/>
      <c r="AE557" s="15"/>
      <c r="AF557" s="1"/>
      <c r="AG557" s="1"/>
      <c r="AH557" s="1"/>
      <c r="AI557" s="1"/>
      <c r="AJ557" s="15"/>
      <c r="AK557" s="1"/>
    </row>
    <row r="558" spans="1:37" ht="16.5" customHeight="1">
      <c r="A558" s="1"/>
      <c r="B558" s="1"/>
      <c r="C558" s="1"/>
      <c r="D558" s="15"/>
      <c r="E558" s="15"/>
      <c r="F558" s="15"/>
      <c r="G558" s="15"/>
      <c r="H558" s="1"/>
      <c r="I558" s="1"/>
      <c r="J558" s="1"/>
      <c r="K558" s="15"/>
      <c r="L558" s="1"/>
      <c r="M558" s="1"/>
      <c r="N558" s="1"/>
      <c r="O558" s="1"/>
      <c r="P558" s="15"/>
      <c r="Q558" s="1"/>
      <c r="R558" s="1"/>
      <c r="S558" s="1"/>
      <c r="T558" s="1"/>
      <c r="U558" s="15"/>
      <c r="V558" s="1"/>
      <c r="W558" s="1"/>
      <c r="X558" s="1"/>
      <c r="Y558" s="1"/>
      <c r="Z558" s="15"/>
      <c r="AA558" s="1"/>
      <c r="AB558" s="1"/>
      <c r="AC558" s="1"/>
      <c r="AD558" s="1"/>
      <c r="AE558" s="15"/>
      <c r="AF558" s="1"/>
      <c r="AG558" s="1"/>
      <c r="AH558" s="1"/>
      <c r="AI558" s="1"/>
      <c r="AJ558" s="15"/>
      <c r="AK558" s="1"/>
    </row>
    <row r="559" spans="1:37" ht="16.5" customHeight="1">
      <c r="A559" s="1"/>
      <c r="B559" s="1"/>
      <c r="C559" s="1"/>
      <c r="D559" s="15"/>
      <c r="E559" s="15"/>
      <c r="F559" s="15"/>
      <c r="G559" s="15"/>
      <c r="H559" s="1"/>
      <c r="I559" s="1"/>
      <c r="J559" s="1"/>
      <c r="K559" s="15"/>
      <c r="L559" s="1"/>
      <c r="M559" s="1"/>
      <c r="N559" s="1"/>
      <c r="O559" s="1"/>
      <c r="P559" s="15"/>
      <c r="Q559" s="1"/>
      <c r="R559" s="1"/>
      <c r="S559" s="1"/>
      <c r="T559" s="1"/>
      <c r="U559" s="15"/>
      <c r="V559" s="1"/>
      <c r="W559" s="1"/>
      <c r="X559" s="1"/>
      <c r="Y559" s="1"/>
      <c r="Z559" s="15"/>
      <c r="AA559" s="1"/>
      <c r="AB559" s="1"/>
      <c r="AC559" s="1"/>
      <c r="AD559" s="1"/>
      <c r="AE559" s="15"/>
      <c r="AF559" s="1"/>
      <c r="AG559" s="1"/>
      <c r="AH559" s="1"/>
      <c r="AI559" s="1"/>
      <c r="AJ559" s="15"/>
      <c r="AK559" s="1"/>
    </row>
    <row r="560" spans="1:37" ht="16.5" customHeight="1">
      <c r="A560" s="1"/>
      <c r="B560" s="1"/>
      <c r="C560" s="1"/>
      <c r="D560" s="15"/>
      <c r="E560" s="15"/>
      <c r="F560" s="15"/>
      <c r="G560" s="15"/>
      <c r="H560" s="1"/>
      <c r="I560" s="1"/>
      <c r="J560" s="1"/>
      <c r="K560" s="15"/>
      <c r="L560" s="1"/>
      <c r="M560" s="1"/>
      <c r="N560" s="1"/>
      <c r="O560" s="1"/>
      <c r="P560" s="15"/>
      <c r="Q560" s="1"/>
      <c r="R560" s="1"/>
      <c r="S560" s="1"/>
      <c r="T560" s="1"/>
      <c r="U560" s="15"/>
      <c r="V560" s="1"/>
      <c r="W560" s="1"/>
      <c r="X560" s="1"/>
      <c r="Y560" s="1"/>
      <c r="Z560" s="15"/>
      <c r="AA560" s="1"/>
      <c r="AB560" s="1"/>
      <c r="AC560" s="1"/>
      <c r="AD560" s="1"/>
      <c r="AE560" s="15"/>
      <c r="AF560" s="1"/>
      <c r="AG560" s="1"/>
      <c r="AH560" s="1"/>
      <c r="AI560" s="1"/>
      <c r="AJ560" s="15"/>
      <c r="AK560" s="1"/>
    </row>
    <row r="561" spans="1:37" ht="16.5" customHeight="1">
      <c r="A561" s="1"/>
      <c r="B561" s="1"/>
      <c r="C561" s="1"/>
      <c r="D561" s="15"/>
      <c r="E561" s="15"/>
      <c r="F561" s="15"/>
      <c r="G561" s="15"/>
      <c r="H561" s="1"/>
      <c r="I561" s="1"/>
      <c r="J561" s="1"/>
      <c r="K561" s="15"/>
      <c r="L561" s="1"/>
      <c r="M561" s="1"/>
      <c r="N561" s="1"/>
      <c r="O561" s="1"/>
      <c r="P561" s="15"/>
      <c r="Q561" s="1"/>
      <c r="R561" s="1"/>
      <c r="S561" s="1"/>
      <c r="T561" s="1"/>
      <c r="U561" s="15"/>
      <c r="V561" s="1"/>
      <c r="W561" s="1"/>
      <c r="X561" s="1"/>
      <c r="Y561" s="1"/>
      <c r="Z561" s="15"/>
      <c r="AA561" s="1"/>
      <c r="AB561" s="1"/>
      <c r="AC561" s="1"/>
      <c r="AD561" s="1"/>
      <c r="AE561" s="15"/>
      <c r="AF561" s="1"/>
      <c r="AG561" s="1"/>
      <c r="AH561" s="1"/>
      <c r="AI561" s="1"/>
      <c r="AJ561" s="15"/>
      <c r="AK561" s="1"/>
    </row>
    <row r="562" spans="1:37" ht="16.5" customHeight="1">
      <c r="A562" s="1"/>
      <c r="B562" s="1"/>
      <c r="C562" s="1"/>
      <c r="D562" s="15"/>
      <c r="E562" s="15"/>
      <c r="F562" s="15"/>
      <c r="G562" s="15"/>
      <c r="H562" s="1"/>
      <c r="I562" s="1"/>
      <c r="J562" s="1"/>
      <c r="K562" s="15"/>
      <c r="L562" s="1"/>
      <c r="M562" s="1"/>
      <c r="N562" s="1"/>
      <c r="O562" s="1"/>
      <c r="P562" s="15"/>
      <c r="Q562" s="1"/>
      <c r="R562" s="1"/>
      <c r="S562" s="1"/>
      <c r="T562" s="1"/>
      <c r="U562" s="15"/>
      <c r="V562" s="1"/>
      <c r="W562" s="1"/>
      <c r="X562" s="1"/>
      <c r="Y562" s="1"/>
      <c r="Z562" s="15"/>
      <c r="AA562" s="1"/>
      <c r="AB562" s="1"/>
      <c r="AC562" s="1"/>
      <c r="AD562" s="1"/>
      <c r="AE562" s="15"/>
      <c r="AF562" s="1"/>
      <c r="AG562" s="1"/>
      <c r="AH562" s="1"/>
      <c r="AI562" s="1"/>
      <c r="AJ562" s="15"/>
      <c r="AK562" s="1"/>
    </row>
    <row r="563" spans="1:37" ht="16.5" customHeight="1">
      <c r="A563" s="1"/>
      <c r="B563" s="1"/>
      <c r="C563" s="1"/>
      <c r="D563" s="15"/>
      <c r="E563" s="15"/>
      <c r="F563" s="15"/>
      <c r="G563" s="15"/>
      <c r="H563" s="1"/>
      <c r="I563" s="1"/>
      <c r="J563" s="1"/>
      <c r="K563" s="15"/>
      <c r="L563" s="1"/>
      <c r="M563" s="1"/>
      <c r="N563" s="1"/>
      <c r="O563" s="1"/>
      <c r="P563" s="15"/>
      <c r="Q563" s="1"/>
      <c r="R563" s="1"/>
      <c r="S563" s="1"/>
      <c r="T563" s="1"/>
      <c r="U563" s="15"/>
      <c r="V563" s="1"/>
      <c r="W563" s="1"/>
      <c r="X563" s="1"/>
      <c r="Y563" s="1"/>
      <c r="Z563" s="15"/>
      <c r="AA563" s="1"/>
      <c r="AB563" s="1"/>
      <c r="AC563" s="1"/>
      <c r="AD563" s="1"/>
      <c r="AE563" s="15"/>
      <c r="AF563" s="1"/>
      <c r="AG563" s="1"/>
      <c r="AH563" s="1"/>
      <c r="AI563" s="1"/>
      <c r="AJ563" s="15"/>
      <c r="AK563" s="1"/>
    </row>
    <row r="564" spans="1:37" ht="16.5" customHeight="1">
      <c r="A564" s="1"/>
      <c r="B564" s="1"/>
      <c r="C564" s="1"/>
      <c r="D564" s="15"/>
      <c r="E564" s="15"/>
      <c r="F564" s="15"/>
      <c r="G564" s="15"/>
      <c r="H564" s="1"/>
      <c r="I564" s="1"/>
      <c r="J564" s="1"/>
      <c r="K564" s="15"/>
      <c r="L564" s="1"/>
      <c r="M564" s="1"/>
      <c r="N564" s="1"/>
      <c r="O564" s="1"/>
      <c r="P564" s="15"/>
      <c r="Q564" s="1"/>
      <c r="R564" s="1"/>
      <c r="S564" s="1"/>
      <c r="T564" s="1"/>
      <c r="U564" s="15"/>
      <c r="V564" s="1"/>
      <c r="W564" s="1"/>
      <c r="X564" s="1"/>
      <c r="Y564" s="1"/>
      <c r="Z564" s="15"/>
      <c r="AA564" s="1"/>
      <c r="AB564" s="1"/>
      <c r="AC564" s="1"/>
      <c r="AD564" s="1"/>
      <c r="AE564" s="15"/>
      <c r="AF564" s="1"/>
      <c r="AG564" s="1"/>
      <c r="AH564" s="1"/>
      <c r="AI564" s="1"/>
      <c r="AJ564" s="15"/>
      <c r="AK564" s="1"/>
    </row>
    <row r="565" spans="1:37" ht="16.5" customHeight="1">
      <c r="A565" s="1"/>
      <c r="B565" s="1"/>
      <c r="C565" s="1"/>
      <c r="D565" s="15"/>
      <c r="E565" s="15"/>
      <c r="F565" s="15"/>
      <c r="G565" s="15"/>
      <c r="H565" s="1"/>
      <c r="I565" s="1"/>
      <c r="J565" s="1"/>
      <c r="K565" s="15"/>
      <c r="L565" s="1"/>
      <c r="M565" s="1"/>
      <c r="N565" s="1"/>
      <c r="O565" s="1"/>
      <c r="P565" s="15"/>
      <c r="Q565" s="1"/>
      <c r="R565" s="1"/>
      <c r="S565" s="1"/>
      <c r="T565" s="1"/>
      <c r="U565" s="15"/>
      <c r="V565" s="1"/>
      <c r="W565" s="1"/>
      <c r="X565" s="1"/>
      <c r="Y565" s="1"/>
      <c r="Z565" s="15"/>
      <c r="AA565" s="1"/>
      <c r="AB565" s="1"/>
      <c r="AC565" s="1"/>
      <c r="AD565" s="1"/>
      <c r="AE565" s="15"/>
      <c r="AF565" s="1"/>
      <c r="AG565" s="1"/>
      <c r="AH565" s="1"/>
      <c r="AI565" s="1"/>
      <c r="AJ565" s="15"/>
      <c r="AK565" s="1"/>
    </row>
    <row r="566" spans="1:37" ht="16.5" customHeight="1">
      <c r="A566" s="1"/>
      <c r="B566" s="1"/>
      <c r="C566" s="1"/>
      <c r="D566" s="15"/>
      <c r="E566" s="15"/>
      <c r="F566" s="15"/>
      <c r="G566" s="15"/>
      <c r="H566" s="1"/>
      <c r="I566" s="1"/>
      <c r="J566" s="1"/>
      <c r="K566" s="15"/>
      <c r="L566" s="1"/>
      <c r="M566" s="1"/>
      <c r="N566" s="1"/>
      <c r="O566" s="1"/>
      <c r="P566" s="15"/>
      <c r="Q566" s="1"/>
      <c r="R566" s="1"/>
      <c r="S566" s="1"/>
      <c r="T566" s="1"/>
      <c r="U566" s="15"/>
      <c r="V566" s="1"/>
      <c r="W566" s="1"/>
      <c r="X566" s="1"/>
      <c r="Y566" s="1"/>
      <c r="Z566" s="15"/>
      <c r="AA566" s="1"/>
      <c r="AB566" s="1"/>
      <c r="AC566" s="1"/>
      <c r="AD566" s="1"/>
      <c r="AE566" s="15"/>
      <c r="AF566" s="1"/>
      <c r="AG566" s="1"/>
      <c r="AH566" s="1"/>
      <c r="AI566" s="1"/>
      <c r="AJ566" s="15"/>
      <c r="AK566" s="1"/>
    </row>
    <row r="567" spans="1:37" ht="16.5" customHeight="1">
      <c r="A567" s="1"/>
      <c r="B567" s="1"/>
      <c r="C567" s="1"/>
      <c r="D567" s="15"/>
      <c r="E567" s="15"/>
      <c r="F567" s="15"/>
      <c r="G567" s="15"/>
      <c r="H567" s="1"/>
      <c r="I567" s="1"/>
      <c r="J567" s="1"/>
      <c r="K567" s="15"/>
      <c r="L567" s="1"/>
      <c r="M567" s="1"/>
      <c r="N567" s="1"/>
      <c r="O567" s="1"/>
      <c r="P567" s="15"/>
      <c r="Q567" s="1"/>
      <c r="R567" s="1"/>
      <c r="S567" s="1"/>
      <c r="T567" s="1"/>
      <c r="U567" s="15"/>
      <c r="V567" s="1"/>
      <c r="W567" s="1"/>
      <c r="X567" s="1"/>
      <c r="Y567" s="1"/>
      <c r="Z567" s="15"/>
      <c r="AA567" s="1"/>
      <c r="AB567" s="1"/>
      <c r="AC567" s="1"/>
      <c r="AD567" s="1"/>
      <c r="AE567" s="15"/>
      <c r="AF567" s="1"/>
      <c r="AG567" s="1"/>
      <c r="AH567" s="1"/>
      <c r="AI567" s="1"/>
      <c r="AJ567" s="15"/>
      <c r="AK567" s="1"/>
    </row>
    <row r="568" spans="1:37" ht="16.5" customHeight="1">
      <c r="A568" s="1"/>
      <c r="B568" s="1"/>
      <c r="C568" s="1"/>
      <c r="D568" s="15"/>
      <c r="E568" s="15"/>
      <c r="F568" s="15"/>
      <c r="G568" s="15"/>
      <c r="H568" s="1"/>
      <c r="I568" s="1"/>
      <c r="J568" s="1"/>
      <c r="K568" s="15"/>
      <c r="L568" s="1"/>
      <c r="M568" s="1"/>
      <c r="N568" s="1"/>
      <c r="O568" s="1"/>
      <c r="P568" s="15"/>
      <c r="Q568" s="1"/>
      <c r="R568" s="1"/>
      <c r="S568" s="1"/>
      <c r="T568" s="1"/>
      <c r="U568" s="15"/>
      <c r="V568" s="1"/>
      <c r="W568" s="1"/>
      <c r="X568" s="1"/>
      <c r="Y568" s="1"/>
      <c r="Z568" s="15"/>
      <c r="AA568" s="1"/>
      <c r="AB568" s="1"/>
      <c r="AC568" s="1"/>
      <c r="AD568" s="1"/>
      <c r="AE568" s="15"/>
      <c r="AF568" s="1"/>
      <c r="AG568" s="1"/>
      <c r="AH568" s="1"/>
      <c r="AI568" s="1"/>
      <c r="AJ568" s="15"/>
      <c r="AK568" s="1"/>
    </row>
    <row r="569" spans="1:37" ht="16.5" customHeight="1">
      <c r="A569" s="1"/>
      <c r="B569" s="1"/>
      <c r="C569" s="1"/>
      <c r="D569" s="15"/>
      <c r="E569" s="15"/>
      <c r="F569" s="15"/>
      <c r="G569" s="15"/>
      <c r="H569" s="1"/>
      <c r="I569" s="1"/>
      <c r="J569" s="1"/>
      <c r="K569" s="15"/>
      <c r="L569" s="1"/>
      <c r="M569" s="1"/>
      <c r="N569" s="1"/>
      <c r="O569" s="1"/>
      <c r="P569" s="15"/>
      <c r="Q569" s="1"/>
      <c r="R569" s="1"/>
      <c r="S569" s="1"/>
      <c r="T569" s="1"/>
      <c r="U569" s="15"/>
      <c r="V569" s="1"/>
      <c r="W569" s="1"/>
      <c r="X569" s="1"/>
      <c r="Y569" s="1"/>
      <c r="Z569" s="15"/>
      <c r="AA569" s="1"/>
      <c r="AB569" s="1"/>
      <c r="AC569" s="1"/>
      <c r="AD569" s="1"/>
      <c r="AE569" s="15"/>
      <c r="AF569" s="1"/>
      <c r="AG569" s="1"/>
      <c r="AH569" s="1"/>
      <c r="AI569" s="1"/>
      <c r="AJ569" s="15"/>
      <c r="AK569" s="1"/>
    </row>
    <row r="570" spans="1:37" ht="16.5" customHeight="1">
      <c r="A570" s="1"/>
      <c r="B570" s="1"/>
      <c r="C570" s="1"/>
      <c r="D570" s="15"/>
      <c r="E570" s="15"/>
      <c r="F570" s="15"/>
      <c r="G570" s="15"/>
      <c r="H570" s="1"/>
      <c r="I570" s="1"/>
      <c r="J570" s="1"/>
      <c r="K570" s="15"/>
      <c r="L570" s="1"/>
      <c r="M570" s="1"/>
      <c r="N570" s="1"/>
      <c r="O570" s="1"/>
      <c r="P570" s="15"/>
      <c r="Q570" s="1"/>
      <c r="R570" s="1"/>
      <c r="S570" s="1"/>
      <c r="T570" s="1"/>
      <c r="U570" s="15"/>
      <c r="V570" s="1"/>
      <c r="W570" s="1"/>
      <c r="X570" s="1"/>
      <c r="Y570" s="1"/>
      <c r="Z570" s="15"/>
      <c r="AA570" s="1"/>
      <c r="AB570" s="1"/>
      <c r="AC570" s="1"/>
      <c r="AD570" s="1"/>
      <c r="AE570" s="15"/>
      <c r="AF570" s="1"/>
      <c r="AG570" s="1"/>
      <c r="AH570" s="1"/>
      <c r="AI570" s="1"/>
      <c r="AJ570" s="15"/>
      <c r="AK570" s="1"/>
    </row>
    <row r="571" spans="1:37" ht="16.5" customHeight="1">
      <c r="A571" s="1"/>
      <c r="B571" s="1"/>
      <c r="C571" s="1"/>
      <c r="D571" s="15"/>
      <c r="E571" s="15"/>
      <c r="F571" s="15"/>
      <c r="G571" s="15"/>
      <c r="H571" s="1"/>
      <c r="I571" s="1"/>
      <c r="J571" s="1"/>
      <c r="K571" s="15"/>
      <c r="L571" s="1"/>
      <c r="M571" s="1"/>
      <c r="N571" s="1"/>
      <c r="O571" s="1"/>
      <c r="P571" s="15"/>
      <c r="Q571" s="1"/>
      <c r="R571" s="1"/>
      <c r="S571" s="1"/>
      <c r="T571" s="1"/>
      <c r="U571" s="15"/>
      <c r="V571" s="1"/>
      <c r="W571" s="1"/>
      <c r="X571" s="1"/>
      <c r="Y571" s="1"/>
      <c r="Z571" s="15"/>
      <c r="AA571" s="1"/>
      <c r="AB571" s="1"/>
      <c r="AC571" s="1"/>
      <c r="AD571" s="1"/>
      <c r="AE571" s="15"/>
      <c r="AF571" s="1"/>
      <c r="AG571" s="1"/>
      <c r="AH571" s="1"/>
      <c r="AI571" s="1"/>
      <c r="AJ571" s="15"/>
      <c r="AK571" s="1"/>
    </row>
    <row r="572" spans="1:37" ht="16.5" customHeight="1">
      <c r="A572" s="1"/>
      <c r="B572" s="1"/>
      <c r="C572" s="1"/>
      <c r="D572" s="15"/>
      <c r="E572" s="15"/>
      <c r="F572" s="15"/>
      <c r="G572" s="15"/>
      <c r="H572" s="1"/>
      <c r="I572" s="1"/>
      <c r="J572" s="1"/>
      <c r="K572" s="15"/>
      <c r="L572" s="1"/>
      <c r="M572" s="1"/>
      <c r="N572" s="1"/>
      <c r="O572" s="1"/>
      <c r="P572" s="15"/>
      <c r="Q572" s="1"/>
      <c r="R572" s="1"/>
      <c r="S572" s="1"/>
      <c r="T572" s="1"/>
      <c r="U572" s="15"/>
      <c r="V572" s="1"/>
      <c r="W572" s="1"/>
      <c r="X572" s="1"/>
      <c r="Y572" s="1"/>
      <c r="Z572" s="15"/>
      <c r="AA572" s="1"/>
      <c r="AB572" s="1"/>
      <c r="AC572" s="1"/>
      <c r="AD572" s="1"/>
      <c r="AE572" s="15"/>
      <c r="AF572" s="1"/>
      <c r="AG572" s="1"/>
      <c r="AH572" s="1"/>
      <c r="AI572" s="1"/>
      <c r="AJ572" s="15"/>
      <c r="AK572" s="1"/>
    </row>
    <row r="573" spans="1:37" ht="16.5" customHeight="1">
      <c r="A573" s="1"/>
      <c r="B573" s="1"/>
      <c r="C573" s="1"/>
      <c r="D573" s="15"/>
      <c r="E573" s="15"/>
      <c r="F573" s="15"/>
      <c r="G573" s="15"/>
      <c r="H573" s="1"/>
      <c r="I573" s="1"/>
      <c r="J573" s="1"/>
      <c r="K573" s="15"/>
      <c r="L573" s="1"/>
      <c r="M573" s="1"/>
      <c r="N573" s="1"/>
      <c r="O573" s="1"/>
      <c r="P573" s="15"/>
      <c r="Q573" s="1"/>
      <c r="R573" s="1"/>
      <c r="S573" s="1"/>
      <c r="T573" s="1"/>
      <c r="U573" s="15"/>
      <c r="V573" s="1"/>
      <c r="W573" s="1"/>
      <c r="X573" s="1"/>
      <c r="Y573" s="1"/>
      <c r="Z573" s="15"/>
      <c r="AA573" s="1"/>
      <c r="AB573" s="1"/>
      <c r="AC573" s="1"/>
      <c r="AD573" s="1"/>
      <c r="AE573" s="15"/>
      <c r="AF573" s="1"/>
      <c r="AG573" s="1"/>
      <c r="AH573" s="1"/>
      <c r="AI573" s="1"/>
      <c r="AJ573" s="15"/>
      <c r="AK573" s="1"/>
    </row>
    <row r="574" spans="1:37" ht="16.5" customHeight="1">
      <c r="A574" s="1"/>
      <c r="B574" s="1"/>
      <c r="C574" s="1"/>
      <c r="D574" s="15"/>
      <c r="E574" s="15"/>
      <c r="F574" s="15"/>
      <c r="G574" s="15"/>
      <c r="H574" s="1"/>
      <c r="I574" s="1"/>
      <c r="J574" s="1"/>
      <c r="K574" s="15"/>
      <c r="L574" s="1"/>
      <c r="M574" s="1"/>
      <c r="N574" s="1"/>
      <c r="O574" s="1"/>
      <c r="P574" s="15"/>
      <c r="Q574" s="1"/>
      <c r="R574" s="1"/>
      <c r="S574" s="1"/>
      <c r="T574" s="1"/>
      <c r="U574" s="15"/>
      <c r="V574" s="1"/>
      <c r="W574" s="1"/>
      <c r="X574" s="1"/>
      <c r="Y574" s="1"/>
      <c r="Z574" s="15"/>
      <c r="AA574" s="1"/>
      <c r="AB574" s="1"/>
      <c r="AC574" s="1"/>
      <c r="AD574" s="1"/>
      <c r="AE574" s="15"/>
      <c r="AF574" s="1"/>
      <c r="AG574" s="1"/>
      <c r="AH574" s="1"/>
      <c r="AI574" s="1"/>
      <c r="AJ574" s="15"/>
      <c r="AK574" s="1"/>
    </row>
    <row r="575" spans="1:37" ht="16.5" customHeight="1">
      <c r="A575" s="1"/>
      <c r="B575" s="1"/>
      <c r="C575" s="1"/>
      <c r="D575" s="15"/>
      <c r="E575" s="15"/>
      <c r="F575" s="15"/>
      <c r="G575" s="15"/>
      <c r="H575" s="1"/>
      <c r="I575" s="1"/>
      <c r="J575" s="1"/>
      <c r="K575" s="15"/>
      <c r="L575" s="1"/>
      <c r="M575" s="1"/>
      <c r="N575" s="1"/>
      <c r="O575" s="1"/>
      <c r="P575" s="15"/>
      <c r="Q575" s="1"/>
      <c r="R575" s="1"/>
      <c r="S575" s="1"/>
      <c r="T575" s="1"/>
      <c r="U575" s="15"/>
      <c r="V575" s="1"/>
      <c r="W575" s="1"/>
      <c r="X575" s="1"/>
      <c r="Y575" s="1"/>
      <c r="Z575" s="15"/>
      <c r="AA575" s="1"/>
      <c r="AB575" s="1"/>
      <c r="AC575" s="1"/>
      <c r="AD575" s="1"/>
      <c r="AE575" s="15"/>
      <c r="AF575" s="1"/>
      <c r="AG575" s="1"/>
      <c r="AH575" s="1"/>
      <c r="AI575" s="1"/>
      <c r="AJ575" s="15"/>
      <c r="AK575" s="1"/>
    </row>
    <row r="576" spans="1:37" ht="16.5" customHeight="1">
      <c r="A576" s="1"/>
      <c r="B576" s="1"/>
      <c r="C576" s="1"/>
      <c r="D576" s="15"/>
      <c r="E576" s="15"/>
      <c r="F576" s="15"/>
      <c r="G576" s="15"/>
      <c r="H576" s="1"/>
      <c r="I576" s="1"/>
      <c r="J576" s="1"/>
      <c r="K576" s="15"/>
      <c r="L576" s="1"/>
      <c r="M576" s="1"/>
      <c r="N576" s="1"/>
      <c r="O576" s="1"/>
      <c r="P576" s="15"/>
      <c r="Q576" s="1"/>
      <c r="R576" s="1"/>
      <c r="S576" s="1"/>
      <c r="T576" s="1"/>
      <c r="U576" s="15"/>
      <c r="V576" s="1"/>
      <c r="W576" s="1"/>
      <c r="X576" s="1"/>
      <c r="Y576" s="1"/>
      <c r="Z576" s="15"/>
      <c r="AA576" s="1"/>
      <c r="AB576" s="1"/>
      <c r="AC576" s="1"/>
      <c r="AD576" s="1"/>
      <c r="AE576" s="15"/>
      <c r="AF576" s="1"/>
      <c r="AG576" s="1"/>
      <c r="AH576" s="1"/>
      <c r="AI576" s="1"/>
      <c r="AJ576" s="15"/>
      <c r="AK576" s="1"/>
    </row>
    <row r="577" spans="1:37" ht="16.5" customHeight="1">
      <c r="A577" s="1"/>
      <c r="B577" s="1"/>
      <c r="C577" s="1"/>
      <c r="D577" s="15"/>
      <c r="E577" s="15"/>
      <c r="F577" s="15"/>
      <c r="G577" s="15"/>
      <c r="H577" s="1"/>
      <c r="I577" s="1"/>
      <c r="J577" s="1"/>
      <c r="K577" s="15"/>
      <c r="L577" s="1"/>
      <c r="M577" s="1"/>
      <c r="N577" s="1"/>
      <c r="O577" s="1"/>
      <c r="P577" s="15"/>
      <c r="Q577" s="1"/>
      <c r="R577" s="1"/>
      <c r="S577" s="1"/>
      <c r="T577" s="1"/>
      <c r="U577" s="15"/>
      <c r="V577" s="1"/>
      <c r="W577" s="1"/>
      <c r="X577" s="1"/>
      <c r="Y577" s="1"/>
      <c r="Z577" s="15"/>
      <c r="AA577" s="1"/>
      <c r="AB577" s="1"/>
      <c r="AC577" s="1"/>
      <c r="AD577" s="1"/>
      <c r="AE577" s="15"/>
      <c r="AF577" s="1"/>
      <c r="AG577" s="1"/>
      <c r="AH577" s="1"/>
      <c r="AI577" s="1"/>
      <c r="AJ577" s="15"/>
      <c r="AK577" s="1"/>
    </row>
    <row r="578" spans="1:37" ht="16.5" customHeight="1">
      <c r="A578" s="1"/>
      <c r="B578" s="1"/>
      <c r="C578" s="1"/>
      <c r="D578" s="15"/>
      <c r="E578" s="15"/>
      <c r="F578" s="15"/>
      <c r="G578" s="15"/>
      <c r="H578" s="1"/>
      <c r="I578" s="1"/>
      <c r="J578" s="1"/>
      <c r="K578" s="15"/>
      <c r="L578" s="1"/>
      <c r="M578" s="1"/>
      <c r="N578" s="1"/>
      <c r="O578" s="1"/>
      <c r="P578" s="15"/>
      <c r="Q578" s="1"/>
      <c r="R578" s="1"/>
      <c r="S578" s="1"/>
      <c r="T578" s="1"/>
      <c r="U578" s="15"/>
      <c r="V578" s="1"/>
      <c r="W578" s="1"/>
      <c r="X578" s="1"/>
      <c r="Y578" s="1"/>
      <c r="Z578" s="15"/>
      <c r="AA578" s="1"/>
      <c r="AB578" s="1"/>
      <c r="AC578" s="1"/>
      <c r="AD578" s="1"/>
      <c r="AE578" s="15"/>
      <c r="AF578" s="1"/>
      <c r="AG578" s="1"/>
      <c r="AH578" s="1"/>
      <c r="AI578" s="1"/>
      <c r="AJ578" s="15"/>
      <c r="AK578" s="1"/>
    </row>
    <row r="579" spans="1:37" ht="16.5" customHeight="1">
      <c r="A579" s="1"/>
      <c r="B579" s="1"/>
      <c r="C579" s="1"/>
      <c r="D579" s="15"/>
      <c r="E579" s="15"/>
      <c r="F579" s="15"/>
      <c r="G579" s="15"/>
      <c r="H579" s="1"/>
      <c r="I579" s="1"/>
      <c r="J579" s="1"/>
      <c r="K579" s="15"/>
      <c r="L579" s="1"/>
      <c r="M579" s="1"/>
      <c r="N579" s="1"/>
      <c r="O579" s="1"/>
      <c r="P579" s="15"/>
      <c r="Q579" s="1"/>
      <c r="R579" s="1"/>
      <c r="S579" s="1"/>
      <c r="T579" s="1"/>
      <c r="U579" s="15"/>
      <c r="V579" s="1"/>
      <c r="W579" s="1"/>
      <c r="X579" s="1"/>
      <c r="Y579" s="1"/>
      <c r="Z579" s="15"/>
      <c r="AA579" s="1"/>
      <c r="AB579" s="1"/>
      <c r="AC579" s="1"/>
      <c r="AD579" s="1"/>
      <c r="AE579" s="15"/>
      <c r="AF579" s="1"/>
      <c r="AG579" s="1"/>
      <c r="AH579" s="1"/>
      <c r="AI579" s="1"/>
      <c r="AJ579" s="15"/>
      <c r="AK579" s="1"/>
    </row>
    <row r="580" spans="1:37" ht="16.5" customHeight="1">
      <c r="A580" s="1"/>
      <c r="B580" s="1"/>
      <c r="C580" s="1"/>
      <c r="D580" s="15"/>
      <c r="E580" s="15"/>
      <c r="F580" s="15"/>
      <c r="G580" s="15"/>
      <c r="H580" s="1"/>
      <c r="I580" s="1"/>
      <c r="J580" s="1"/>
      <c r="K580" s="15"/>
      <c r="L580" s="1"/>
      <c r="M580" s="1"/>
      <c r="N580" s="1"/>
      <c r="O580" s="1"/>
      <c r="P580" s="15"/>
      <c r="Q580" s="1"/>
      <c r="R580" s="1"/>
      <c r="S580" s="1"/>
      <c r="T580" s="1"/>
      <c r="U580" s="15"/>
      <c r="V580" s="1"/>
      <c r="W580" s="1"/>
      <c r="X580" s="1"/>
      <c r="Y580" s="1"/>
      <c r="Z580" s="15"/>
      <c r="AA580" s="1"/>
      <c r="AB580" s="1"/>
      <c r="AC580" s="1"/>
      <c r="AD580" s="1"/>
      <c r="AE580" s="15"/>
      <c r="AF580" s="1"/>
      <c r="AG580" s="1"/>
      <c r="AH580" s="1"/>
      <c r="AI580" s="1"/>
      <c r="AJ580" s="15"/>
      <c r="AK580" s="1"/>
    </row>
    <row r="581" spans="1:37" ht="16.5" customHeight="1">
      <c r="A581" s="1"/>
      <c r="B581" s="1"/>
      <c r="C581" s="1"/>
      <c r="D581" s="15"/>
      <c r="E581" s="15"/>
      <c r="F581" s="15"/>
      <c r="G581" s="15"/>
      <c r="H581" s="1"/>
      <c r="I581" s="1"/>
      <c r="J581" s="1"/>
      <c r="K581" s="15"/>
      <c r="L581" s="1"/>
      <c r="M581" s="1"/>
      <c r="N581" s="1"/>
      <c r="O581" s="1"/>
      <c r="P581" s="15"/>
      <c r="Q581" s="1"/>
      <c r="R581" s="1"/>
      <c r="S581" s="1"/>
      <c r="T581" s="1"/>
      <c r="U581" s="15"/>
      <c r="V581" s="1"/>
      <c r="W581" s="1"/>
      <c r="X581" s="1"/>
      <c r="Y581" s="1"/>
      <c r="Z581" s="15"/>
      <c r="AA581" s="1"/>
      <c r="AB581" s="1"/>
      <c r="AC581" s="1"/>
      <c r="AD581" s="1"/>
      <c r="AE581" s="15"/>
      <c r="AF581" s="1"/>
      <c r="AG581" s="1"/>
      <c r="AH581" s="1"/>
      <c r="AI581" s="1"/>
      <c r="AJ581" s="15"/>
      <c r="AK581" s="1"/>
    </row>
    <row r="582" spans="1:37" ht="16.5" customHeight="1">
      <c r="A582" s="1"/>
      <c r="B582" s="1"/>
      <c r="C582" s="1"/>
      <c r="D582" s="15"/>
      <c r="E582" s="15"/>
      <c r="F582" s="15"/>
      <c r="G582" s="15"/>
      <c r="H582" s="1"/>
      <c r="I582" s="1"/>
      <c r="J582" s="1"/>
      <c r="K582" s="15"/>
      <c r="L582" s="1"/>
      <c r="M582" s="1"/>
      <c r="N582" s="1"/>
      <c r="O582" s="1"/>
      <c r="P582" s="15"/>
      <c r="Q582" s="1"/>
      <c r="R582" s="1"/>
      <c r="S582" s="1"/>
      <c r="T582" s="1"/>
      <c r="U582" s="15"/>
      <c r="V582" s="1"/>
      <c r="W582" s="1"/>
      <c r="X582" s="1"/>
      <c r="Y582" s="1"/>
      <c r="Z582" s="15"/>
      <c r="AA582" s="1"/>
      <c r="AB582" s="1"/>
      <c r="AC582" s="1"/>
      <c r="AD582" s="1"/>
      <c r="AE582" s="15"/>
      <c r="AF582" s="1"/>
      <c r="AG582" s="1"/>
      <c r="AH582" s="1"/>
      <c r="AI582" s="1"/>
      <c r="AJ582" s="15"/>
      <c r="AK582" s="1"/>
    </row>
    <row r="583" spans="1:37" ht="16.5" customHeight="1">
      <c r="A583" s="1"/>
      <c r="B583" s="1"/>
      <c r="C583" s="1"/>
      <c r="D583" s="15"/>
      <c r="E583" s="15"/>
      <c r="F583" s="15"/>
      <c r="G583" s="15"/>
      <c r="H583" s="1"/>
      <c r="I583" s="1"/>
      <c r="J583" s="1"/>
      <c r="K583" s="15"/>
      <c r="L583" s="1"/>
      <c r="M583" s="1"/>
      <c r="N583" s="1"/>
      <c r="O583" s="1"/>
      <c r="P583" s="15"/>
      <c r="Q583" s="1"/>
      <c r="R583" s="1"/>
      <c r="S583" s="1"/>
      <c r="T583" s="1"/>
      <c r="U583" s="15"/>
      <c r="V583" s="1"/>
      <c r="W583" s="1"/>
      <c r="X583" s="1"/>
      <c r="Y583" s="1"/>
      <c r="Z583" s="15"/>
      <c r="AA583" s="1"/>
      <c r="AB583" s="1"/>
      <c r="AC583" s="1"/>
      <c r="AD583" s="1"/>
      <c r="AE583" s="15"/>
      <c r="AF583" s="1"/>
      <c r="AG583" s="1"/>
      <c r="AH583" s="1"/>
      <c r="AI583" s="1"/>
      <c r="AJ583" s="15"/>
      <c r="AK583" s="1"/>
    </row>
    <row r="584" spans="1:37" ht="16.5" customHeight="1">
      <c r="A584" s="1"/>
      <c r="B584" s="1"/>
      <c r="C584" s="1"/>
      <c r="D584" s="15"/>
      <c r="E584" s="15"/>
      <c r="F584" s="15"/>
      <c r="G584" s="15"/>
      <c r="H584" s="1"/>
      <c r="I584" s="1"/>
      <c r="J584" s="1"/>
      <c r="K584" s="15"/>
      <c r="L584" s="1"/>
      <c r="M584" s="1"/>
      <c r="N584" s="1"/>
      <c r="O584" s="1"/>
      <c r="P584" s="15"/>
      <c r="Q584" s="1"/>
      <c r="R584" s="1"/>
      <c r="S584" s="1"/>
      <c r="T584" s="1"/>
      <c r="U584" s="15"/>
      <c r="V584" s="1"/>
      <c r="W584" s="1"/>
      <c r="X584" s="1"/>
      <c r="Y584" s="1"/>
      <c r="Z584" s="15"/>
      <c r="AA584" s="1"/>
      <c r="AB584" s="1"/>
      <c r="AC584" s="1"/>
      <c r="AD584" s="1"/>
      <c r="AE584" s="15"/>
      <c r="AF584" s="1"/>
      <c r="AG584" s="1"/>
      <c r="AH584" s="1"/>
      <c r="AI584" s="1"/>
      <c r="AJ584" s="15"/>
      <c r="AK584" s="1"/>
    </row>
    <row r="585" spans="1:37" ht="16.5" customHeight="1">
      <c r="A585" s="1"/>
      <c r="B585" s="1"/>
      <c r="C585" s="1"/>
      <c r="D585" s="15"/>
      <c r="E585" s="15"/>
      <c r="F585" s="15"/>
      <c r="G585" s="15"/>
      <c r="H585" s="1"/>
      <c r="I585" s="1"/>
      <c r="J585" s="1"/>
      <c r="K585" s="15"/>
      <c r="L585" s="1"/>
      <c r="M585" s="1"/>
      <c r="N585" s="1"/>
      <c r="O585" s="1"/>
      <c r="P585" s="15"/>
      <c r="Q585" s="1"/>
      <c r="R585" s="1"/>
      <c r="S585" s="1"/>
      <c r="T585" s="1"/>
      <c r="U585" s="15"/>
      <c r="V585" s="1"/>
      <c r="W585" s="1"/>
      <c r="X585" s="1"/>
      <c r="Y585" s="1"/>
      <c r="Z585" s="15"/>
      <c r="AA585" s="1"/>
      <c r="AB585" s="1"/>
      <c r="AC585" s="1"/>
      <c r="AD585" s="1"/>
      <c r="AE585" s="15"/>
      <c r="AF585" s="1"/>
      <c r="AG585" s="1"/>
      <c r="AH585" s="1"/>
      <c r="AI585" s="1"/>
      <c r="AJ585" s="15"/>
      <c r="AK585" s="1"/>
    </row>
    <row r="586" spans="1:37" ht="16.5" customHeight="1">
      <c r="A586" s="1"/>
      <c r="B586" s="1"/>
      <c r="C586" s="1"/>
      <c r="D586" s="15"/>
      <c r="E586" s="15"/>
      <c r="F586" s="15"/>
      <c r="G586" s="15"/>
      <c r="H586" s="1"/>
      <c r="I586" s="1"/>
      <c r="J586" s="1"/>
      <c r="K586" s="15"/>
      <c r="L586" s="1"/>
      <c r="M586" s="1"/>
      <c r="N586" s="1"/>
      <c r="O586" s="1"/>
      <c r="P586" s="15"/>
      <c r="Q586" s="1"/>
      <c r="R586" s="1"/>
      <c r="S586" s="1"/>
      <c r="T586" s="1"/>
      <c r="U586" s="15"/>
      <c r="V586" s="1"/>
      <c r="W586" s="1"/>
      <c r="X586" s="1"/>
      <c r="Y586" s="1"/>
      <c r="Z586" s="15"/>
      <c r="AA586" s="1"/>
      <c r="AB586" s="1"/>
      <c r="AC586" s="1"/>
      <c r="AD586" s="1"/>
      <c r="AE586" s="15"/>
      <c r="AF586" s="1"/>
      <c r="AG586" s="1"/>
      <c r="AH586" s="1"/>
      <c r="AI586" s="1"/>
      <c r="AJ586" s="15"/>
      <c r="AK586" s="1"/>
    </row>
    <row r="587" spans="1:37" ht="16.5" customHeight="1">
      <c r="A587" s="1"/>
      <c r="B587" s="1"/>
      <c r="C587" s="1"/>
      <c r="D587" s="15"/>
      <c r="E587" s="15"/>
      <c r="F587" s="15"/>
      <c r="G587" s="15"/>
      <c r="H587" s="1"/>
      <c r="I587" s="1"/>
      <c r="J587" s="1"/>
      <c r="K587" s="15"/>
      <c r="L587" s="1"/>
      <c r="M587" s="1"/>
      <c r="N587" s="1"/>
      <c r="O587" s="1"/>
      <c r="P587" s="15"/>
      <c r="Q587" s="1"/>
      <c r="R587" s="1"/>
      <c r="S587" s="1"/>
      <c r="T587" s="1"/>
      <c r="U587" s="15"/>
      <c r="V587" s="1"/>
      <c r="W587" s="1"/>
      <c r="X587" s="1"/>
      <c r="Y587" s="1"/>
      <c r="Z587" s="15"/>
      <c r="AA587" s="1"/>
      <c r="AB587" s="1"/>
      <c r="AC587" s="1"/>
      <c r="AD587" s="1"/>
      <c r="AE587" s="15"/>
      <c r="AF587" s="1"/>
      <c r="AG587" s="1"/>
      <c r="AH587" s="1"/>
      <c r="AI587" s="1"/>
      <c r="AJ587" s="15"/>
      <c r="AK587" s="1"/>
    </row>
    <row r="588" spans="1:37" ht="16.5" customHeight="1">
      <c r="A588" s="1"/>
      <c r="B588" s="1"/>
      <c r="C588" s="1"/>
      <c r="D588" s="15"/>
      <c r="E588" s="15"/>
      <c r="F588" s="15"/>
      <c r="G588" s="15"/>
      <c r="H588" s="1"/>
      <c r="I588" s="1"/>
      <c r="J588" s="1"/>
      <c r="K588" s="15"/>
      <c r="L588" s="1"/>
      <c r="M588" s="1"/>
      <c r="N588" s="1"/>
      <c r="O588" s="1"/>
      <c r="P588" s="15"/>
      <c r="Q588" s="1"/>
      <c r="R588" s="1"/>
      <c r="S588" s="1"/>
      <c r="T588" s="1"/>
      <c r="U588" s="15"/>
      <c r="V588" s="1"/>
      <c r="W588" s="1"/>
      <c r="X588" s="1"/>
      <c r="Y588" s="1"/>
      <c r="Z588" s="15"/>
      <c r="AA588" s="1"/>
      <c r="AB588" s="1"/>
      <c r="AC588" s="1"/>
      <c r="AD588" s="1"/>
      <c r="AE588" s="15"/>
      <c r="AF588" s="1"/>
      <c r="AG588" s="1"/>
      <c r="AH588" s="1"/>
      <c r="AI588" s="1"/>
      <c r="AJ588" s="15"/>
      <c r="AK588" s="1"/>
    </row>
    <row r="589" spans="1:37" ht="16.5" customHeight="1">
      <c r="A589" s="1"/>
      <c r="B589" s="1"/>
      <c r="C589" s="1"/>
      <c r="D589" s="15"/>
      <c r="E589" s="15"/>
      <c r="F589" s="15"/>
      <c r="G589" s="15"/>
      <c r="H589" s="1"/>
      <c r="I589" s="1"/>
      <c r="J589" s="1"/>
      <c r="K589" s="15"/>
      <c r="L589" s="1"/>
      <c r="M589" s="1"/>
      <c r="N589" s="1"/>
      <c r="O589" s="1"/>
      <c r="P589" s="15"/>
      <c r="Q589" s="1"/>
      <c r="R589" s="1"/>
      <c r="S589" s="1"/>
      <c r="T589" s="1"/>
      <c r="U589" s="15"/>
      <c r="V589" s="1"/>
      <c r="W589" s="1"/>
      <c r="X589" s="1"/>
      <c r="Y589" s="1"/>
      <c r="Z589" s="15"/>
      <c r="AA589" s="1"/>
      <c r="AB589" s="1"/>
      <c r="AC589" s="1"/>
      <c r="AD589" s="1"/>
      <c r="AE589" s="15"/>
      <c r="AF589" s="1"/>
      <c r="AG589" s="1"/>
      <c r="AH589" s="1"/>
      <c r="AI589" s="1"/>
      <c r="AJ589" s="15"/>
      <c r="AK589" s="1"/>
    </row>
    <row r="590" spans="1:37" ht="16.5" customHeight="1">
      <c r="A590" s="1"/>
      <c r="B590" s="1"/>
      <c r="C590" s="1"/>
      <c r="D590" s="15"/>
      <c r="E590" s="15"/>
      <c r="F590" s="15"/>
      <c r="G590" s="15"/>
      <c r="H590" s="1"/>
      <c r="I590" s="1"/>
      <c r="J590" s="1"/>
      <c r="K590" s="15"/>
      <c r="L590" s="1"/>
      <c r="M590" s="1"/>
      <c r="N590" s="1"/>
      <c r="O590" s="1"/>
      <c r="P590" s="15"/>
      <c r="Q590" s="1"/>
      <c r="R590" s="1"/>
      <c r="S590" s="1"/>
      <c r="T590" s="1"/>
      <c r="U590" s="15"/>
      <c r="V590" s="1"/>
      <c r="W590" s="1"/>
      <c r="X590" s="1"/>
      <c r="Y590" s="1"/>
      <c r="Z590" s="15"/>
      <c r="AA590" s="1"/>
      <c r="AB590" s="1"/>
      <c r="AC590" s="1"/>
      <c r="AD590" s="1"/>
      <c r="AE590" s="15"/>
      <c r="AF590" s="1"/>
      <c r="AG590" s="1"/>
      <c r="AH590" s="1"/>
      <c r="AI590" s="1"/>
      <c r="AJ590" s="15"/>
      <c r="AK590" s="1"/>
    </row>
    <row r="591" spans="1:37" ht="16.5" customHeight="1">
      <c r="A591" s="1"/>
      <c r="B591" s="1"/>
      <c r="C591" s="1"/>
      <c r="D591" s="15"/>
      <c r="E591" s="15"/>
      <c r="F591" s="15"/>
      <c r="G591" s="15"/>
      <c r="H591" s="1"/>
      <c r="I591" s="1"/>
      <c r="J591" s="1"/>
      <c r="K591" s="15"/>
      <c r="L591" s="1"/>
      <c r="M591" s="1"/>
      <c r="N591" s="1"/>
      <c r="O591" s="1"/>
      <c r="P591" s="15"/>
      <c r="Q591" s="1"/>
      <c r="R591" s="1"/>
      <c r="S591" s="1"/>
      <c r="T591" s="1"/>
      <c r="U591" s="15"/>
      <c r="V591" s="1"/>
      <c r="W591" s="1"/>
      <c r="X591" s="1"/>
      <c r="Y591" s="1"/>
      <c r="Z591" s="15"/>
      <c r="AA591" s="1"/>
      <c r="AB591" s="1"/>
      <c r="AC591" s="1"/>
      <c r="AD591" s="1"/>
      <c r="AE591" s="15"/>
      <c r="AF591" s="1"/>
      <c r="AG591" s="1"/>
      <c r="AH591" s="1"/>
      <c r="AI591" s="1"/>
      <c r="AJ591" s="15"/>
      <c r="AK591" s="1"/>
    </row>
    <row r="592" spans="1:37" ht="16.5" customHeight="1">
      <c r="A592" s="1"/>
      <c r="B592" s="1"/>
      <c r="C592" s="1"/>
      <c r="D592" s="15"/>
      <c r="E592" s="15"/>
      <c r="F592" s="15"/>
      <c r="G592" s="15"/>
      <c r="H592" s="1"/>
      <c r="I592" s="1"/>
      <c r="J592" s="1"/>
      <c r="K592" s="15"/>
      <c r="L592" s="1"/>
      <c r="M592" s="1"/>
      <c r="N592" s="1"/>
      <c r="O592" s="1"/>
      <c r="P592" s="15"/>
      <c r="Q592" s="1"/>
      <c r="R592" s="1"/>
      <c r="S592" s="1"/>
      <c r="T592" s="1"/>
      <c r="U592" s="15"/>
      <c r="V592" s="1"/>
      <c r="W592" s="1"/>
      <c r="X592" s="1"/>
      <c r="Y592" s="1"/>
      <c r="Z592" s="15"/>
      <c r="AA592" s="1"/>
      <c r="AB592" s="1"/>
      <c r="AC592" s="1"/>
      <c r="AD592" s="1"/>
      <c r="AE592" s="15"/>
      <c r="AF592" s="1"/>
      <c r="AG592" s="1"/>
      <c r="AH592" s="1"/>
      <c r="AI592" s="1"/>
      <c r="AJ592" s="15"/>
      <c r="AK592" s="1"/>
    </row>
    <row r="593" spans="1:37" ht="16.5" customHeight="1">
      <c r="A593" s="1"/>
      <c r="B593" s="1"/>
      <c r="C593" s="1"/>
      <c r="D593" s="15"/>
      <c r="E593" s="15"/>
      <c r="F593" s="15"/>
      <c r="G593" s="15"/>
      <c r="H593" s="1"/>
      <c r="I593" s="1"/>
      <c r="J593" s="1"/>
      <c r="K593" s="15"/>
      <c r="L593" s="1"/>
      <c r="M593" s="1"/>
      <c r="N593" s="1"/>
      <c r="O593" s="1"/>
      <c r="P593" s="15"/>
      <c r="Q593" s="1"/>
      <c r="R593" s="1"/>
      <c r="S593" s="1"/>
      <c r="T593" s="1"/>
      <c r="U593" s="15"/>
      <c r="V593" s="1"/>
      <c r="W593" s="1"/>
      <c r="X593" s="1"/>
      <c r="Y593" s="1"/>
      <c r="Z593" s="15"/>
      <c r="AA593" s="1"/>
      <c r="AB593" s="1"/>
      <c r="AC593" s="1"/>
      <c r="AD593" s="1"/>
      <c r="AE593" s="15"/>
      <c r="AF593" s="1"/>
      <c r="AG593" s="1"/>
      <c r="AH593" s="1"/>
      <c r="AI593" s="1"/>
      <c r="AJ593" s="15"/>
      <c r="AK593" s="1"/>
    </row>
    <row r="594" spans="1:37" ht="16.5" customHeight="1">
      <c r="A594" s="1"/>
      <c r="B594" s="1"/>
      <c r="C594" s="1"/>
      <c r="D594" s="15"/>
      <c r="E594" s="15"/>
      <c r="F594" s="15"/>
      <c r="G594" s="15"/>
      <c r="H594" s="1"/>
      <c r="I594" s="1"/>
      <c r="J594" s="1"/>
      <c r="K594" s="15"/>
      <c r="L594" s="1"/>
      <c r="M594" s="1"/>
      <c r="N594" s="1"/>
      <c r="O594" s="1"/>
      <c r="P594" s="15"/>
      <c r="Q594" s="1"/>
      <c r="R594" s="1"/>
      <c r="S594" s="1"/>
      <c r="T594" s="1"/>
      <c r="U594" s="15"/>
      <c r="V594" s="1"/>
      <c r="W594" s="1"/>
      <c r="X594" s="1"/>
      <c r="Y594" s="1"/>
      <c r="Z594" s="15"/>
      <c r="AA594" s="1"/>
      <c r="AB594" s="1"/>
      <c r="AC594" s="1"/>
      <c r="AD594" s="1"/>
      <c r="AE594" s="15"/>
      <c r="AF594" s="1"/>
      <c r="AG594" s="1"/>
      <c r="AH594" s="1"/>
      <c r="AI594" s="1"/>
      <c r="AJ594" s="15"/>
      <c r="AK594" s="1"/>
    </row>
    <row r="595" spans="1:37" ht="16.5" customHeight="1">
      <c r="A595" s="1"/>
      <c r="B595" s="1"/>
      <c r="C595" s="1"/>
      <c r="D595" s="15"/>
      <c r="E595" s="15"/>
      <c r="F595" s="15"/>
      <c r="G595" s="15"/>
      <c r="H595" s="1"/>
      <c r="I595" s="1"/>
      <c r="J595" s="1"/>
      <c r="K595" s="15"/>
      <c r="L595" s="1"/>
      <c r="M595" s="1"/>
      <c r="N595" s="1"/>
      <c r="O595" s="1"/>
      <c r="P595" s="15"/>
      <c r="Q595" s="1"/>
      <c r="R595" s="1"/>
      <c r="S595" s="1"/>
      <c r="T595" s="1"/>
      <c r="U595" s="15"/>
      <c r="V595" s="1"/>
      <c r="W595" s="1"/>
      <c r="X595" s="1"/>
      <c r="Y595" s="1"/>
      <c r="Z595" s="15"/>
      <c r="AA595" s="1"/>
      <c r="AB595" s="1"/>
      <c r="AC595" s="1"/>
      <c r="AD595" s="1"/>
      <c r="AE595" s="15"/>
      <c r="AF595" s="1"/>
      <c r="AG595" s="1"/>
      <c r="AH595" s="1"/>
      <c r="AI595" s="1"/>
      <c r="AJ595" s="15"/>
      <c r="AK595" s="1"/>
    </row>
    <row r="596" spans="1:37" ht="16.5" customHeight="1">
      <c r="A596" s="1"/>
      <c r="B596" s="1"/>
      <c r="C596" s="1"/>
      <c r="D596" s="15"/>
      <c r="E596" s="15"/>
      <c r="F596" s="15"/>
      <c r="G596" s="15"/>
      <c r="H596" s="1"/>
      <c r="I596" s="1"/>
      <c r="J596" s="1"/>
      <c r="K596" s="15"/>
      <c r="L596" s="1"/>
      <c r="M596" s="1"/>
      <c r="N596" s="1"/>
      <c r="O596" s="1"/>
      <c r="P596" s="15"/>
      <c r="Q596" s="1"/>
      <c r="R596" s="1"/>
      <c r="S596" s="1"/>
      <c r="T596" s="1"/>
      <c r="U596" s="15"/>
      <c r="V596" s="1"/>
      <c r="W596" s="1"/>
      <c r="X596" s="1"/>
      <c r="Y596" s="1"/>
      <c r="Z596" s="15"/>
      <c r="AA596" s="1"/>
      <c r="AB596" s="1"/>
      <c r="AC596" s="1"/>
      <c r="AD596" s="1"/>
      <c r="AE596" s="15"/>
      <c r="AF596" s="1"/>
      <c r="AG596" s="1"/>
      <c r="AH596" s="1"/>
      <c r="AI596" s="1"/>
      <c r="AJ596" s="15"/>
      <c r="AK596" s="1"/>
    </row>
    <row r="597" spans="1:37" ht="16.5" customHeight="1">
      <c r="A597" s="1"/>
      <c r="B597" s="1"/>
      <c r="C597" s="1"/>
      <c r="D597" s="15"/>
      <c r="E597" s="15"/>
      <c r="F597" s="15"/>
      <c r="G597" s="15"/>
      <c r="H597" s="1"/>
      <c r="I597" s="1"/>
      <c r="J597" s="1"/>
      <c r="K597" s="15"/>
      <c r="L597" s="1"/>
      <c r="M597" s="1"/>
      <c r="N597" s="1"/>
      <c r="O597" s="1"/>
      <c r="P597" s="15"/>
      <c r="Q597" s="1"/>
      <c r="R597" s="1"/>
      <c r="S597" s="1"/>
      <c r="T597" s="1"/>
      <c r="U597" s="15"/>
      <c r="V597" s="1"/>
      <c r="W597" s="1"/>
      <c r="X597" s="1"/>
      <c r="Y597" s="1"/>
      <c r="Z597" s="15"/>
      <c r="AA597" s="1"/>
      <c r="AB597" s="1"/>
      <c r="AC597" s="1"/>
      <c r="AD597" s="1"/>
      <c r="AE597" s="15"/>
      <c r="AF597" s="1"/>
      <c r="AG597" s="1"/>
      <c r="AH597" s="1"/>
      <c r="AI597" s="1"/>
      <c r="AJ597" s="15"/>
      <c r="AK597" s="1"/>
    </row>
    <row r="598" spans="1:37" ht="16.5" customHeight="1">
      <c r="A598" s="1"/>
      <c r="B598" s="1"/>
      <c r="C598" s="1"/>
      <c r="D598" s="15"/>
      <c r="E598" s="15"/>
      <c r="F598" s="15"/>
      <c r="G598" s="15"/>
      <c r="H598" s="1"/>
      <c r="I598" s="1"/>
      <c r="J598" s="1"/>
      <c r="K598" s="15"/>
      <c r="L598" s="1"/>
      <c r="M598" s="1"/>
      <c r="N598" s="1"/>
      <c r="O598" s="1"/>
      <c r="P598" s="15"/>
      <c r="Q598" s="1"/>
      <c r="R598" s="1"/>
      <c r="S598" s="1"/>
      <c r="T598" s="1"/>
      <c r="U598" s="15"/>
      <c r="V598" s="1"/>
      <c r="W598" s="1"/>
      <c r="X598" s="1"/>
      <c r="Y598" s="1"/>
      <c r="Z598" s="15"/>
      <c r="AA598" s="1"/>
      <c r="AB598" s="1"/>
      <c r="AC598" s="1"/>
      <c r="AD598" s="1"/>
      <c r="AE598" s="15"/>
      <c r="AF598" s="1"/>
      <c r="AG598" s="1"/>
      <c r="AH598" s="1"/>
      <c r="AI598" s="1"/>
      <c r="AJ598" s="15"/>
      <c r="AK598" s="1"/>
    </row>
    <row r="599" spans="1:37" ht="16.5" customHeight="1">
      <c r="A599" s="1"/>
      <c r="B599" s="1"/>
      <c r="C599" s="1"/>
      <c r="D599" s="15"/>
      <c r="E599" s="15"/>
      <c r="F599" s="15"/>
      <c r="G599" s="15"/>
      <c r="H599" s="1"/>
      <c r="I599" s="1"/>
      <c r="J599" s="1"/>
      <c r="K599" s="15"/>
      <c r="L599" s="1"/>
      <c r="M599" s="1"/>
      <c r="N599" s="1"/>
      <c r="O599" s="1"/>
      <c r="P599" s="15"/>
      <c r="Q599" s="1"/>
      <c r="R599" s="1"/>
      <c r="S599" s="1"/>
      <c r="T599" s="1"/>
      <c r="U599" s="15"/>
      <c r="V599" s="1"/>
      <c r="W599" s="1"/>
      <c r="X599" s="1"/>
      <c r="Y599" s="1"/>
      <c r="Z599" s="15"/>
      <c r="AA599" s="1"/>
      <c r="AB599" s="1"/>
      <c r="AC599" s="1"/>
      <c r="AD599" s="1"/>
      <c r="AE599" s="15"/>
      <c r="AF599" s="1"/>
      <c r="AG599" s="1"/>
      <c r="AH599" s="1"/>
      <c r="AI599" s="1"/>
      <c r="AJ599" s="15"/>
      <c r="AK599" s="1"/>
    </row>
    <row r="600" spans="1:37" ht="16.5" customHeight="1">
      <c r="A600" s="1"/>
      <c r="B600" s="1"/>
      <c r="C600" s="1"/>
      <c r="D600" s="15"/>
      <c r="E600" s="15"/>
      <c r="F600" s="15"/>
      <c r="G600" s="15"/>
      <c r="H600" s="1"/>
      <c r="I600" s="1"/>
      <c r="J600" s="1"/>
      <c r="K600" s="15"/>
      <c r="L600" s="1"/>
      <c r="M600" s="1"/>
      <c r="N600" s="1"/>
      <c r="O600" s="1"/>
      <c r="P600" s="15"/>
      <c r="Q600" s="1"/>
      <c r="R600" s="1"/>
      <c r="S600" s="1"/>
      <c r="T600" s="1"/>
      <c r="U600" s="15"/>
      <c r="V600" s="1"/>
      <c r="W600" s="1"/>
      <c r="X600" s="1"/>
      <c r="Y600" s="1"/>
      <c r="Z600" s="15"/>
      <c r="AA600" s="1"/>
      <c r="AB600" s="1"/>
      <c r="AC600" s="1"/>
      <c r="AD600" s="1"/>
      <c r="AE600" s="15"/>
      <c r="AF600" s="1"/>
      <c r="AG600" s="1"/>
      <c r="AH600" s="1"/>
      <c r="AI600" s="1"/>
      <c r="AJ600" s="15"/>
      <c r="AK600" s="1"/>
    </row>
    <row r="601" spans="1:37" ht="16.5" customHeight="1">
      <c r="A601" s="1"/>
      <c r="B601" s="1"/>
      <c r="C601" s="1"/>
      <c r="D601" s="15"/>
      <c r="E601" s="15"/>
      <c r="F601" s="15"/>
      <c r="G601" s="15"/>
      <c r="H601" s="1"/>
      <c r="I601" s="1"/>
      <c r="J601" s="1"/>
      <c r="K601" s="15"/>
      <c r="L601" s="1"/>
      <c r="M601" s="1"/>
      <c r="N601" s="1"/>
      <c r="O601" s="1"/>
      <c r="P601" s="15"/>
      <c r="Q601" s="1"/>
      <c r="R601" s="1"/>
      <c r="S601" s="1"/>
      <c r="T601" s="1"/>
      <c r="U601" s="15"/>
      <c r="V601" s="1"/>
      <c r="W601" s="1"/>
      <c r="X601" s="1"/>
      <c r="Y601" s="1"/>
      <c r="Z601" s="15"/>
      <c r="AA601" s="1"/>
      <c r="AB601" s="1"/>
      <c r="AC601" s="1"/>
      <c r="AD601" s="1"/>
      <c r="AE601" s="15"/>
      <c r="AF601" s="1"/>
      <c r="AG601" s="1"/>
      <c r="AH601" s="1"/>
      <c r="AI601" s="1"/>
      <c r="AJ601" s="15"/>
      <c r="AK601" s="1"/>
    </row>
    <row r="602" spans="1:37" ht="16.5" customHeight="1">
      <c r="A602" s="1"/>
      <c r="B602" s="1"/>
      <c r="C602" s="1"/>
      <c r="D602" s="15"/>
      <c r="E602" s="15"/>
      <c r="F602" s="15"/>
      <c r="G602" s="15"/>
      <c r="H602" s="1"/>
      <c r="I602" s="1"/>
      <c r="J602" s="1"/>
      <c r="K602" s="15"/>
      <c r="L602" s="1"/>
      <c r="M602" s="1"/>
      <c r="N602" s="1"/>
      <c r="O602" s="1"/>
      <c r="P602" s="15"/>
      <c r="Q602" s="1"/>
      <c r="R602" s="1"/>
      <c r="S602" s="1"/>
      <c r="T602" s="1"/>
      <c r="U602" s="15"/>
      <c r="V602" s="1"/>
      <c r="W602" s="1"/>
      <c r="X602" s="1"/>
      <c r="Y602" s="1"/>
      <c r="Z602" s="15"/>
      <c r="AA602" s="1"/>
      <c r="AB602" s="1"/>
      <c r="AC602" s="1"/>
      <c r="AD602" s="1"/>
      <c r="AE602" s="15"/>
      <c r="AF602" s="1"/>
      <c r="AG602" s="1"/>
      <c r="AH602" s="1"/>
      <c r="AI602" s="1"/>
      <c r="AJ602" s="15"/>
      <c r="AK602" s="1"/>
    </row>
    <row r="603" spans="1:37" ht="16.5" customHeight="1">
      <c r="A603" s="1"/>
      <c r="B603" s="1"/>
      <c r="C603" s="1"/>
      <c r="D603" s="15"/>
      <c r="E603" s="15"/>
      <c r="F603" s="15"/>
      <c r="G603" s="15"/>
      <c r="H603" s="1"/>
      <c r="I603" s="1"/>
      <c r="J603" s="1"/>
      <c r="K603" s="15"/>
      <c r="L603" s="1"/>
      <c r="M603" s="1"/>
      <c r="N603" s="1"/>
      <c r="O603" s="1"/>
      <c r="P603" s="15"/>
      <c r="Q603" s="1"/>
      <c r="R603" s="1"/>
      <c r="S603" s="1"/>
      <c r="T603" s="1"/>
      <c r="U603" s="15"/>
      <c r="V603" s="1"/>
      <c r="W603" s="1"/>
      <c r="X603" s="1"/>
      <c r="Y603" s="1"/>
      <c r="Z603" s="15"/>
      <c r="AA603" s="1"/>
      <c r="AB603" s="1"/>
      <c r="AC603" s="1"/>
      <c r="AD603" s="1"/>
      <c r="AE603" s="15"/>
      <c r="AF603" s="1"/>
      <c r="AG603" s="1"/>
      <c r="AH603" s="1"/>
      <c r="AI603" s="1"/>
      <c r="AJ603" s="15"/>
      <c r="AK603" s="1"/>
    </row>
    <row r="604" spans="1:37" ht="16.5" customHeight="1">
      <c r="A604" s="1"/>
      <c r="B604" s="1"/>
      <c r="C604" s="1"/>
      <c r="D604" s="15"/>
      <c r="E604" s="15"/>
      <c r="F604" s="15"/>
      <c r="G604" s="15"/>
      <c r="H604" s="1"/>
      <c r="I604" s="1"/>
      <c r="J604" s="1"/>
      <c r="K604" s="15"/>
      <c r="L604" s="1"/>
      <c r="M604" s="1"/>
      <c r="N604" s="1"/>
      <c r="O604" s="1"/>
      <c r="P604" s="15"/>
      <c r="Q604" s="1"/>
      <c r="R604" s="1"/>
      <c r="S604" s="1"/>
      <c r="T604" s="1"/>
      <c r="U604" s="15"/>
      <c r="V604" s="1"/>
      <c r="W604" s="1"/>
      <c r="X604" s="1"/>
      <c r="Y604" s="1"/>
      <c r="Z604" s="15"/>
      <c r="AA604" s="1"/>
      <c r="AB604" s="1"/>
      <c r="AC604" s="1"/>
      <c r="AD604" s="1"/>
      <c r="AE604" s="15"/>
      <c r="AF604" s="1"/>
      <c r="AG604" s="1"/>
      <c r="AH604" s="1"/>
      <c r="AI604" s="1"/>
      <c r="AJ604" s="15"/>
      <c r="AK604" s="1"/>
    </row>
    <row r="605" spans="1:37" ht="16.5" customHeight="1">
      <c r="A605" s="1"/>
      <c r="B605" s="1"/>
      <c r="C605" s="1"/>
      <c r="D605" s="15"/>
      <c r="E605" s="15"/>
      <c r="F605" s="15"/>
      <c r="G605" s="15"/>
      <c r="H605" s="1"/>
      <c r="I605" s="1"/>
      <c r="J605" s="1"/>
      <c r="K605" s="15"/>
      <c r="L605" s="1"/>
      <c r="M605" s="1"/>
      <c r="N605" s="1"/>
      <c r="O605" s="1"/>
      <c r="P605" s="15"/>
      <c r="Q605" s="1"/>
      <c r="R605" s="1"/>
      <c r="S605" s="1"/>
      <c r="T605" s="1"/>
      <c r="U605" s="15"/>
      <c r="V605" s="1"/>
      <c r="W605" s="1"/>
      <c r="X605" s="1"/>
      <c r="Y605" s="1"/>
      <c r="Z605" s="15"/>
      <c r="AA605" s="1"/>
      <c r="AB605" s="1"/>
      <c r="AC605" s="1"/>
      <c r="AD605" s="1"/>
      <c r="AE605" s="15"/>
      <c r="AF605" s="1"/>
      <c r="AG605" s="1"/>
      <c r="AH605" s="1"/>
      <c r="AI605" s="1"/>
      <c r="AJ605" s="15"/>
      <c r="AK605" s="1"/>
    </row>
    <row r="606" spans="1:37" ht="16.5" customHeight="1">
      <c r="A606" s="1"/>
      <c r="B606" s="1"/>
      <c r="C606" s="1"/>
      <c r="D606" s="15"/>
      <c r="E606" s="15"/>
      <c r="F606" s="15"/>
      <c r="G606" s="15"/>
      <c r="H606" s="1"/>
      <c r="I606" s="1"/>
      <c r="J606" s="1"/>
      <c r="K606" s="15"/>
      <c r="L606" s="1"/>
      <c r="M606" s="1"/>
      <c r="N606" s="1"/>
      <c r="O606" s="1"/>
      <c r="P606" s="15"/>
      <c r="Q606" s="1"/>
      <c r="R606" s="1"/>
      <c r="S606" s="1"/>
      <c r="T606" s="1"/>
      <c r="U606" s="15"/>
      <c r="V606" s="1"/>
      <c r="W606" s="1"/>
      <c r="X606" s="1"/>
      <c r="Y606" s="1"/>
      <c r="Z606" s="15"/>
      <c r="AA606" s="1"/>
      <c r="AB606" s="1"/>
      <c r="AC606" s="1"/>
      <c r="AD606" s="1"/>
      <c r="AE606" s="15"/>
      <c r="AF606" s="1"/>
      <c r="AG606" s="1"/>
      <c r="AH606" s="1"/>
      <c r="AI606" s="1"/>
      <c r="AJ606" s="15"/>
      <c r="AK606" s="1"/>
    </row>
    <row r="607" spans="1:37" ht="16.5" customHeight="1">
      <c r="A607" s="1"/>
      <c r="B607" s="1"/>
      <c r="C607" s="1"/>
      <c r="D607" s="15"/>
      <c r="E607" s="15"/>
      <c r="F607" s="15"/>
      <c r="G607" s="15"/>
      <c r="H607" s="1"/>
      <c r="I607" s="1"/>
      <c r="J607" s="1"/>
      <c r="K607" s="15"/>
      <c r="L607" s="1"/>
      <c r="M607" s="1"/>
      <c r="N607" s="1"/>
      <c r="O607" s="1"/>
      <c r="P607" s="15"/>
      <c r="Q607" s="1"/>
      <c r="R607" s="1"/>
      <c r="S607" s="1"/>
      <c r="T607" s="1"/>
      <c r="U607" s="15"/>
      <c r="V607" s="1"/>
      <c r="W607" s="1"/>
      <c r="X607" s="1"/>
      <c r="Y607" s="1"/>
      <c r="Z607" s="15"/>
      <c r="AA607" s="1"/>
      <c r="AB607" s="1"/>
      <c r="AC607" s="1"/>
      <c r="AD607" s="1"/>
      <c r="AE607" s="15"/>
      <c r="AF607" s="1"/>
      <c r="AG607" s="1"/>
      <c r="AH607" s="1"/>
      <c r="AI607" s="1"/>
      <c r="AJ607" s="15"/>
      <c r="AK607" s="1"/>
    </row>
    <row r="608" spans="1:37" ht="16.5" customHeight="1">
      <c r="A608" s="1"/>
      <c r="B608" s="1"/>
      <c r="C608" s="1"/>
      <c r="D608" s="15"/>
      <c r="E608" s="15"/>
      <c r="F608" s="15"/>
      <c r="G608" s="15"/>
      <c r="H608" s="1"/>
      <c r="I608" s="1"/>
      <c r="J608" s="1"/>
      <c r="K608" s="15"/>
      <c r="L608" s="1"/>
      <c r="M608" s="1"/>
      <c r="N608" s="1"/>
      <c r="O608" s="1"/>
      <c r="P608" s="15"/>
      <c r="Q608" s="1"/>
      <c r="R608" s="1"/>
      <c r="S608" s="1"/>
      <c r="T608" s="1"/>
      <c r="U608" s="15"/>
      <c r="V608" s="1"/>
      <c r="W608" s="1"/>
      <c r="X608" s="1"/>
      <c r="Y608" s="1"/>
      <c r="Z608" s="15"/>
      <c r="AA608" s="1"/>
      <c r="AB608" s="1"/>
      <c r="AC608" s="1"/>
      <c r="AD608" s="1"/>
      <c r="AE608" s="15"/>
      <c r="AF608" s="1"/>
      <c r="AG608" s="1"/>
      <c r="AH608" s="1"/>
      <c r="AI608" s="1"/>
      <c r="AJ608" s="15"/>
      <c r="AK608" s="1"/>
    </row>
    <row r="609" spans="1:37" ht="16.5" customHeight="1">
      <c r="A609" s="1"/>
      <c r="B609" s="1"/>
      <c r="C609" s="1"/>
      <c r="D609" s="15"/>
      <c r="E609" s="15"/>
      <c r="F609" s="15"/>
      <c r="G609" s="15"/>
      <c r="H609" s="1"/>
      <c r="I609" s="1"/>
      <c r="J609" s="1"/>
      <c r="K609" s="15"/>
      <c r="L609" s="1"/>
      <c r="M609" s="1"/>
      <c r="N609" s="1"/>
      <c r="O609" s="1"/>
      <c r="P609" s="15"/>
      <c r="Q609" s="1"/>
      <c r="R609" s="1"/>
      <c r="S609" s="1"/>
      <c r="T609" s="1"/>
      <c r="U609" s="15"/>
      <c r="V609" s="1"/>
      <c r="W609" s="1"/>
      <c r="X609" s="1"/>
      <c r="Y609" s="1"/>
      <c r="Z609" s="15"/>
      <c r="AA609" s="1"/>
      <c r="AB609" s="1"/>
      <c r="AC609" s="1"/>
      <c r="AD609" s="1"/>
      <c r="AE609" s="15"/>
      <c r="AF609" s="1"/>
      <c r="AG609" s="1"/>
      <c r="AH609" s="1"/>
      <c r="AI609" s="1"/>
      <c r="AJ609" s="15"/>
      <c r="AK609" s="1"/>
    </row>
    <row r="610" spans="1:37" ht="16.5" customHeight="1">
      <c r="A610" s="1"/>
      <c r="B610" s="1"/>
      <c r="C610" s="1"/>
      <c r="D610" s="15"/>
      <c r="E610" s="15"/>
      <c r="F610" s="15"/>
      <c r="G610" s="15"/>
      <c r="H610" s="1"/>
      <c r="I610" s="1"/>
      <c r="J610" s="1"/>
      <c r="K610" s="15"/>
      <c r="L610" s="1"/>
      <c r="M610" s="1"/>
      <c r="N610" s="1"/>
      <c r="O610" s="1"/>
      <c r="P610" s="15"/>
      <c r="Q610" s="1"/>
      <c r="R610" s="1"/>
      <c r="S610" s="1"/>
      <c r="T610" s="1"/>
      <c r="U610" s="15"/>
      <c r="V610" s="1"/>
      <c r="W610" s="1"/>
      <c r="X610" s="1"/>
      <c r="Y610" s="1"/>
      <c r="Z610" s="15"/>
      <c r="AA610" s="1"/>
      <c r="AB610" s="1"/>
      <c r="AC610" s="1"/>
      <c r="AD610" s="1"/>
      <c r="AE610" s="15"/>
      <c r="AF610" s="1"/>
      <c r="AG610" s="1"/>
      <c r="AH610" s="1"/>
      <c r="AI610" s="1"/>
      <c r="AJ610" s="15"/>
      <c r="AK610" s="1"/>
    </row>
    <row r="611" spans="1:37" ht="16.5" customHeight="1">
      <c r="A611" s="1"/>
      <c r="B611" s="1"/>
      <c r="C611" s="1"/>
      <c r="D611" s="15"/>
      <c r="E611" s="15"/>
      <c r="F611" s="15"/>
      <c r="G611" s="15"/>
      <c r="H611" s="1"/>
      <c r="I611" s="1"/>
      <c r="J611" s="1"/>
      <c r="K611" s="15"/>
      <c r="L611" s="1"/>
      <c r="M611" s="1"/>
      <c r="N611" s="1"/>
      <c r="O611" s="1"/>
      <c r="P611" s="15"/>
      <c r="Q611" s="1"/>
      <c r="R611" s="1"/>
      <c r="S611" s="1"/>
      <c r="T611" s="1"/>
      <c r="U611" s="15"/>
      <c r="V611" s="1"/>
      <c r="W611" s="1"/>
      <c r="X611" s="1"/>
      <c r="Y611" s="1"/>
      <c r="Z611" s="15"/>
      <c r="AA611" s="1"/>
      <c r="AB611" s="1"/>
      <c r="AC611" s="1"/>
      <c r="AD611" s="1"/>
      <c r="AE611" s="15"/>
      <c r="AF611" s="1"/>
      <c r="AG611" s="1"/>
      <c r="AH611" s="1"/>
      <c r="AI611" s="1"/>
      <c r="AJ611" s="15"/>
      <c r="AK611" s="1"/>
    </row>
    <row r="612" spans="1:37" ht="16.5" customHeight="1">
      <c r="A612" s="1"/>
      <c r="B612" s="1"/>
      <c r="C612" s="1"/>
      <c r="D612" s="15"/>
      <c r="E612" s="15"/>
      <c r="F612" s="15"/>
      <c r="G612" s="15"/>
      <c r="H612" s="1"/>
      <c r="I612" s="1"/>
      <c r="J612" s="1"/>
      <c r="K612" s="15"/>
      <c r="L612" s="1"/>
      <c r="M612" s="1"/>
      <c r="N612" s="1"/>
      <c r="O612" s="1"/>
      <c r="P612" s="15"/>
      <c r="Q612" s="1"/>
      <c r="R612" s="1"/>
      <c r="S612" s="1"/>
      <c r="T612" s="1"/>
      <c r="U612" s="15"/>
      <c r="V612" s="1"/>
      <c r="W612" s="1"/>
      <c r="X612" s="1"/>
      <c r="Y612" s="1"/>
      <c r="Z612" s="15"/>
      <c r="AA612" s="1"/>
      <c r="AB612" s="1"/>
      <c r="AC612" s="1"/>
      <c r="AD612" s="1"/>
      <c r="AE612" s="15"/>
      <c r="AF612" s="1"/>
      <c r="AG612" s="1"/>
      <c r="AH612" s="1"/>
      <c r="AI612" s="1"/>
      <c r="AJ612" s="15"/>
      <c r="AK612" s="1"/>
    </row>
    <row r="613" spans="1:37" ht="16.5" customHeight="1">
      <c r="A613" s="1"/>
      <c r="B613" s="1"/>
      <c r="C613" s="1"/>
      <c r="D613" s="15"/>
      <c r="E613" s="15"/>
      <c r="F613" s="15"/>
      <c r="G613" s="15"/>
      <c r="H613" s="1"/>
      <c r="I613" s="1"/>
      <c r="J613" s="1"/>
      <c r="K613" s="15"/>
      <c r="L613" s="1"/>
      <c r="M613" s="1"/>
      <c r="N613" s="1"/>
      <c r="O613" s="1"/>
      <c r="P613" s="15"/>
      <c r="Q613" s="1"/>
      <c r="R613" s="1"/>
      <c r="S613" s="1"/>
      <c r="T613" s="1"/>
      <c r="U613" s="15"/>
      <c r="V613" s="1"/>
      <c r="W613" s="1"/>
      <c r="X613" s="1"/>
      <c r="Y613" s="1"/>
      <c r="Z613" s="15"/>
      <c r="AA613" s="1"/>
      <c r="AB613" s="1"/>
      <c r="AC613" s="1"/>
      <c r="AD613" s="1"/>
      <c r="AE613" s="15"/>
      <c r="AF613" s="1"/>
      <c r="AG613" s="1"/>
      <c r="AH613" s="1"/>
      <c r="AI613" s="1"/>
      <c r="AJ613" s="15"/>
      <c r="AK613" s="1"/>
    </row>
    <row r="614" spans="1:37" ht="16.5" customHeight="1">
      <c r="A614" s="1"/>
      <c r="B614" s="1"/>
      <c r="C614" s="1"/>
      <c r="D614" s="15"/>
      <c r="E614" s="15"/>
      <c r="F614" s="15"/>
      <c r="G614" s="15"/>
      <c r="H614" s="1"/>
      <c r="I614" s="1"/>
      <c r="J614" s="1"/>
      <c r="K614" s="15"/>
      <c r="L614" s="1"/>
      <c r="M614" s="1"/>
      <c r="N614" s="1"/>
      <c r="O614" s="1"/>
      <c r="P614" s="15"/>
      <c r="Q614" s="1"/>
      <c r="R614" s="1"/>
      <c r="S614" s="1"/>
      <c r="T614" s="1"/>
      <c r="U614" s="15"/>
      <c r="V614" s="1"/>
      <c r="W614" s="1"/>
      <c r="X614" s="1"/>
      <c r="Y614" s="1"/>
      <c r="Z614" s="15"/>
      <c r="AA614" s="1"/>
      <c r="AB614" s="1"/>
      <c r="AC614" s="1"/>
      <c r="AD614" s="1"/>
      <c r="AE614" s="15"/>
      <c r="AF614" s="1"/>
      <c r="AG614" s="1"/>
      <c r="AH614" s="1"/>
      <c r="AI614" s="1"/>
      <c r="AJ614" s="15"/>
      <c r="AK614" s="1"/>
    </row>
    <row r="615" spans="1:37" ht="16.5" customHeight="1">
      <c r="A615" s="1"/>
      <c r="B615" s="1"/>
      <c r="C615" s="1"/>
      <c r="D615" s="15"/>
      <c r="E615" s="15"/>
      <c r="F615" s="15"/>
      <c r="G615" s="15"/>
      <c r="H615" s="1"/>
      <c r="I615" s="1"/>
      <c r="J615" s="1"/>
      <c r="K615" s="15"/>
      <c r="L615" s="1"/>
      <c r="M615" s="1"/>
      <c r="N615" s="1"/>
      <c r="O615" s="1"/>
      <c r="P615" s="15"/>
      <c r="Q615" s="1"/>
      <c r="R615" s="1"/>
      <c r="S615" s="1"/>
      <c r="T615" s="1"/>
      <c r="U615" s="15"/>
      <c r="V615" s="1"/>
      <c r="W615" s="1"/>
      <c r="X615" s="1"/>
      <c r="Y615" s="1"/>
      <c r="Z615" s="15"/>
      <c r="AA615" s="1"/>
      <c r="AB615" s="1"/>
      <c r="AC615" s="1"/>
      <c r="AD615" s="1"/>
      <c r="AE615" s="15"/>
      <c r="AF615" s="1"/>
      <c r="AG615" s="1"/>
      <c r="AH615" s="1"/>
      <c r="AI615" s="1"/>
      <c r="AJ615" s="15"/>
      <c r="AK615" s="1"/>
    </row>
    <row r="616" spans="1:37" ht="16.5" customHeight="1">
      <c r="A616" s="1"/>
      <c r="B616" s="1"/>
      <c r="C616" s="1"/>
      <c r="D616" s="15"/>
      <c r="E616" s="15"/>
      <c r="F616" s="15"/>
      <c r="G616" s="15"/>
      <c r="H616" s="1"/>
      <c r="I616" s="1"/>
      <c r="J616" s="1"/>
      <c r="K616" s="15"/>
      <c r="L616" s="1"/>
      <c r="M616" s="1"/>
      <c r="N616" s="1"/>
      <c r="O616" s="1"/>
      <c r="P616" s="15"/>
      <c r="Q616" s="1"/>
      <c r="R616" s="1"/>
      <c r="S616" s="1"/>
      <c r="T616" s="1"/>
      <c r="U616" s="15"/>
      <c r="V616" s="1"/>
      <c r="W616" s="1"/>
      <c r="X616" s="1"/>
      <c r="Y616" s="1"/>
      <c r="Z616" s="15"/>
      <c r="AA616" s="1"/>
      <c r="AB616" s="1"/>
      <c r="AC616" s="1"/>
      <c r="AD616" s="1"/>
      <c r="AE616" s="15"/>
      <c r="AF616" s="1"/>
      <c r="AG616" s="1"/>
      <c r="AH616" s="1"/>
      <c r="AI616" s="1"/>
      <c r="AJ616" s="15"/>
      <c r="AK616" s="1"/>
    </row>
    <row r="617" spans="1:37" ht="16.5" customHeight="1">
      <c r="A617" s="1"/>
      <c r="B617" s="1"/>
      <c r="C617" s="1"/>
      <c r="D617" s="15"/>
      <c r="E617" s="15"/>
      <c r="F617" s="15"/>
      <c r="G617" s="15"/>
      <c r="H617" s="1"/>
      <c r="I617" s="1"/>
      <c r="J617" s="1"/>
      <c r="K617" s="15"/>
      <c r="L617" s="1"/>
      <c r="M617" s="1"/>
      <c r="N617" s="1"/>
      <c r="O617" s="1"/>
      <c r="P617" s="15"/>
      <c r="Q617" s="1"/>
      <c r="R617" s="1"/>
      <c r="S617" s="1"/>
      <c r="T617" s="1"/>
      <c r="U617" s="15"/>
      <c r="V617" s="1"/>
      <c r="W617" s="1"/>
      <c r="X617" s="1"/>
      <c r="Y617" s="1"/>
      <c r="Z617" s="15"/>
      <c r="AA617" s="1"/>
      <c r="AB617" s="1"/>
      <c r="AC617" s="1"/>
      <c r="AD617" s="1"/>
      <c r="AE617" s="15"/>
      <c r="AF617" s="1"/>
      <c r="AG617" s="1"/>
      <c r="AH617" s="1"/>
      <c r="AI617" s="1"/>
      <c r="AJ617" s="15"/>
      <c r="AK617" s="1"/>
    </row>
    <row r="618" spans="1:37" ht="16.5" customHeight="1">
      <c r="A618" s="1"/>
      <c r="B618" s="1"/>
      <c r="C618" s="1"/>
      <c r="D618" s="15"/>
      <c r="E618" s="15"/>
      <c r="F618" s="15"/>
      <c r="G618" s="15"/>
      <c r="H618" s="1"/>
      <c r="I618" s="1"/>
      <c r="J618" s="1"/>
      <c r="K618" s="15"/>
      <c r="L618" s="1"/>
      <c r="M618" s="1"/>
      <c r="N618" s="1"/>
      <c r="O618" s="1"/>
      <c r="P618" s="15"/>
      <c r="Q618" s="1"/>
      <c r="R618" s="1"/>
      <c r="S618" s="1"/>
      <c r="T618" s="1"/>
      <c r="U618" s="15"/>
      <c r="V618" s="1"/>
      <c r="W618" s="1"/>
      <c r="X618" s="1"/>
      <c r="Y618" s="1"/>
      <c r="Z618" s="15"/>
      <c r="AA618" s="1"/>
      <c r="AB618" s="1"/>
      <c r="AC618" s="1"/>
      <c r="AD618" s="1"/>
      <c r="AE618" s="15"/>
      <c r="AF618" s="1"/>
      <c r="AG618" s="1"/>
      <c r="AH618" s="1"/>
      <c r="AI618" s="1"/>
      <c r="AJ618" s="15"/>
      <c r="AK618" s="1"/>
    </row>
    <row r="619" spans="1:37" ht="16.5" customHeight="1">
      <c r="A619" s="1"/>
      <c r="B619" s="1"/>
      <c r="C619" s="1"/>
      <c r="D619" s="15"/>
      <c r="E619" s="15"/>
      <c r="F619" s="15"/>
      <c r="G619" s="15"/>
      <c r="H619" s="1"/>
      <c r="I619" s="1"/>
      <c r="J619" s="1"/>
      <c r="K619" s="15"/>
      <c r="L619" s="1"/>
      <c r="M619" s="1"/>
      <c r="N619" s="1"/>
      <c r="O619" s="1"/>
      <c r="P619" s="15"/>
      <c r="Q619" s="1"/>
      <c r="R619" s="1"/>
      <c r="S619" s="1"/>
      <c r="T619" s="1"/>
      <c r="U619" s="15"/>
      <c r="V619" s="1"/>
      <c r="W619" s="1"/>
      <c r="X619" s="1"/>
      <c r="Y619" s="1"/>
      <c r="Z619" s="15"/>
      <c r="AA619" s="1"/>
      <c r="AB619" s="1"/>
      <c r="AC619" s="1"/>
      <c r="AD619" s="1"/>
      <c r="AE619" s="15"/>
      <c r="AF619" s="1"/>
      <c r="AG619" s="1"/>
      <c r="AH619" s="1"/>
      <c r="AI619" s="1"/>
      <c r="AJ619" s="15"/>
      <c r="AK619" s="1"/>
    </row>
    <row r="620" spans="1:37" ht="16.5" customHeight="1">
      <c r="A620" s="1"/>
      <c r="B620" s="1"/>
      <c r="C620" s="1"/>
      <c r="D620" s="15"/>
      <c r="E620" s="15"/>
      <c r="F620" s="15"/>
      <c r="G620" s="15"/>
      <c r="H620" s="1"/>
      <c r="I620" s="1"/>
      <c r="J620" s="1"/>
      <c r="K620" s="15"/>
      <c r="L620" s="1"/>
      <c r="M620" s="1"/>
      <c r="N620" s="1"/>
      <c r="O620" s="1"/>
      <c r="P620" s="15"/>
      <c r="Q620" s="1"/>
      <c r="R620" s="1"/>
      <c r="S620" s="1"/>
      <c r="T620" s="1"/>
      <c r="U620" s="15"/>
      <c r="V620" s="1"/>
      <c r="W620" s="1"/>
      <c r="X620" s="1"/>
      <c r="Y620" s="1"/>
      <c r="Z620" s="15"/>
      <c r="AA620" s="1"/>
      <c r="AB620" s="1"/>
      <c r="AC620" s="1"/>
      <c r="AD620" s="1"/>
      <c r="AE620" s="15"/>
      <c r="AF620" s="1"/>
      <c r="AG620" s="1"/>
      <c r="AH620" s="1"/>
      <c r="AI620" s="1"/>
      <c r="AJ620" s="15"/>
      <c r="AK620" s="1"/>
    </row>
    <row r="621" spans="1:37" ht="16.5" customHeight="1">
      <c r="A621" s="1"/>
      <c r="B621" s="1"/>
      <c r="C621" s="1"/>
      <c r="D621" s="15"/>
      <c r="E621" s="15"/>
      <c r="F621" s="15"/>
      <c r="G621" s="15"/>
      <c r="H621" s="1"/>
      <c r="I621" s="1"/>
      <c r="J621" s="1"/>
      <c r="K621" s="15"/>
      <c r="L621" s="1"/>
      <c r="M621" s="1"/>
      <c r="N621" s="1"/>
      <c r="O621" s="1"/>
      <c r="P621" s="15"/>
      <c r="Q621" s="1"/>
      <c r="R621" s="1"/>
      <c r="S621" s="1"/>
      <c r="T621" s="1"/>
      <c r="U621" s="15"/>
      <c r="V621" s="1"/>
      <c r="W621" s="1"/>
      <c r="X621" s="1"/>
      <c r="Y621" s="1"/>
      <c r="Z621" s="15"/>
      <c r="AA621" s="1"/>
      <c r="AB621" s="1"/>
      <c r="AC621" s="1"/>
      <c r="AD621" s="1"/>
      <c r="AE621" s="15"/>
      <c r="AF621" s="1"/>
      <c r="AG621" s="1"/>
      <c r="AH621" s="1"/>
      <c r="AI621" s="1"/>
      <c r="AJ621" s="15"/>
      <c r="AK621" s="1"/>
    </row>
    <row r="622" spans="1:37" ht="16.5" customHeight="1">
      <c r="A622" s="1"/>
      <c r="B622" s="1"/>
      <c r="C622" s="1"/>
      <c r="D622" s="15"/>
      <c r="E622" s="15"/>
      <c r="F622" s="15"/>
      <c r="G622" s="15"/>
      <c r="H622" s="1"/>
      <c r="I622" s="1"/>
      <c r="J622" s="1"/>
      <c r="K622" s="15"/>
      <c r="L622" s="1"/>
      <c r="M622" s="1"/>
      <c r="N622" s="1"/>
      <c r="O622" s="1"/>
      <c r="P622" s="15"/>
      <c r="Q622" s="1"/>
      <c r="R622" s="1"/>
      <c r="S622" s="1"/>
      <c r="T622" s="1"/>
      <c r="U622" s="15"/>
      <c r="V622" s="1"/>
      <c r="W622" s="1"/>
      <c r="X622" s="1"/>
      <c r="Y622" s="1"/>
      <c r="Z622" s="15"/>
      <c r="AA622" s="1"/>
      <c r="AB622" s="1"/>
      <c r="AC622" s="1"/>
      <c r="AD622" s="1"/>
      <c r="AE622" s="15"/>
      <c r="AF622" s="1"/>
      <c r="AG622" s="1"/>
      <c r="AH622" s="1"/>
      <c r="AI622" s="1"/>
      <c r="AJ622" s="15"/>
      <c r="AK622" s="1"/>
    </row>
    <row r="623" spans="1:37" ht="16.5" customHeight="1">
      <c r="A623" s="1"/>
      <c r="B623" s="1"/>
      <c r="C623" s="1"/>
      <c r="D623" s="15"/>
      <c r="E623" s="15"/>
      <c r="F623" s="15"/>
      <c r="G623" s="15"/>
      <c r="H623" s="1"/>
      <c r="I623" s="1"/>
      <c r="J623" s="1"/>
      <c r="K623" s="15"/>
      <c r="L623" s="1"/>
      <c r="M623" s="1"/>
      <c r="N623" s="1"/>
      <c r="O623" s="1"/>
      <c r="P623" s="15"/>
      <c r="Q623" s="1"/>
      <c r="R623" s="1"/>
      <c r="S623" s="1"/>
      <c r="T623" s="1"/>
      <c r="U623" s="15"/>
      <c r="V623" s="1"/>
      <c r="W623" s="1"/>
      <c r="X623" s="1"/>
      <c r="Y623" s="1"/>
      <c r="Z623" s="15"/>
      <c r="AA623" s="1"/>
      <c r="AB623" s="1"/>
      <c r="AC623" s="1"/>
      <c r="AD623" s="1"/>
      <c r="AE623" s="15"/>
      <c r="AF623" s="1"/>
      <c r="AG623" s="1"/>
      <c r="AH623" s="1"/>
      <c r="AI623" s="1"/>
      <c r="AJ623" s="15"/>
      <c r="AK623" s="1"/>
    </row>
    <row r="624" spans="1:37" ht="16.5" customHeight="1">
      <c r="A624" s="1"/>
      <c r="B624" s="1"/>
      <c r="C624" s="1"/>
      <c r="D624" s="15"/>
      <c r="E624" s="15"/>
      <c r="F624" s="15"/>
      <c r="G624" s="15"/>
      <c r="H624" s="1"/>
      <c r="I624" s="1"/>
      <c r="J624" s="1"/>
      <c r="K624" s="15"/>
      <c r="L624" s="1"/>
      <c r="M624" s="1"/>
      <c r="N624" s="1"/>
      <c r="O624" s="1"/>
      <c r="P624" s="15"/>
      <c r="Q624" s="1"/>
      <c r="R624" s="1"/>
      <c r="S624" s="1"/>
      <c r="T624" s="1"/>
      <c r="U624" s="15"/>
      <c r="V624" s="1"/>
      <c r="W624" s="1"/>
      <c r="X624" s="1"/>
      <c r="Y624" s="1"/>
      <c r="Z624" s="15"/>
      <c r="AA624" s="1"/>
      <c r="AB624" s="1"/>
      <c r="AC624" s="1"/>
      <c r="AD624" s="1"/>
      <c r="AE624" s="15"/>
      <c r="AF624" s="1"/>
      <c r="AG624" s="1"/>
      <c r="AH624" s="1"/>
      <c r="AI624" s="1"/>
      <c r="AJ624" s="15"/>
      <c r="AK624" s="1"/>
    </row>
    <row r="625" spans="1:37" ht="16.5" customHeight="1">
      <c r="A625" s="1"/>
      <c r="B625" s="1"/>
      <c r="C625" s="1"/>
      <c r="D625" s="15"/>
      <c r="E625" s="15"/>
      <c r="F625" s="15"/>
      <c r="G625" s="15"/>
      <c r="H625" s="1"/>
      <c r="I625" s="1"/>
      <c r="J625" s="1"/>
      <c r="K625" s="15"/>
      <c r="L625" s="1"/>
      <c r="M625" s="1"/>
      <c r="N625" s="1"/>
      <c r="O625" s="1"/>
      <c r="P625" s="15"/>
      <c r="Q625" s="1"/>
      <c r="R625" s="1"/>
      <c r="S625" s="1"/>
      <c r="T625" s="1"/>
      <c r="U625" s="15"/>
      <c r="V625" s="1"/>
      <c r="W625" s="1"/>
      <c r="X625" s="1"/>
      <c r="Y625" s="1"/>
      <c r="Z625" s="15"/>
      <c r="AA625" s="1"/>
      <c r="AB625" s="1"/>
      <c r="AC625" s="1"/>
      <c r="AD625" s="1"/>
      <c r="AE625" s="15"/>
      <c r="AF625" s="1"/>
      <c r="AG625" s="1"/>
      <c r="AH625" s="1"/>
      <c r="AI625" s="1"/>
      <c r="AJ625" s="15"/>
      <c r="AK625" s="1"/>
    </row>
    <row r="626" spans="1:37" ht="16.5" customHeight="1">
      <c r="A626" s="1"/>
      <c r="B626" s="1"/>
      <c r="C626" s="1"/>
      <c r="D626" s="15"/>
      <c r="E626" s="15"/>
      <c r="F626" s="15"/>
      <c r="G626" s="15"/>
      <c r="H626" s="1"/>
      <c r="I626" s="1"/>
      <c r="J626" s="1"/>
      <c r="K626" s="15"/>
      <c r="L626" s="1"/>
      <c r="M626" s="1"/>
      <c r="N626" s="1"/>
      <c r="O626" s="1"/>
      <c r="P626" s="15"/>
      <c r="Q626" s="1"/>
      <c r="R626" s="1"/>
      <c r="S626" s="1"/>
      <c r="T626" s="1"/>
      <c r="U626" s="15"/>
      <c r="V626" s="1"/>
      <c r="W626" s="1"/>
      <c r="X626" s="1"/>
      <c r="Y626" s="1"/>
      <c r="Z626" s="15"/>
      <c r="AA626" s="1"/>
      <c r="AB626" s="1"/>
      <c r="AC626" s="1"/>
      <c r="AD626" s="1"/>
      <c r="AE626" s="15"/>
      <c r="AF626" s="1"/>
      <c r="AG626" s="1"/>
      <c r="AH626" s="1"/>
      <c r="AI626" s="1"/>
      <c r="AJ626" s="15"/>
      <c r="AK626" s="1"/>
    </row>
    <row r="627" spans="1:37" ht="16.5" customHeight="1">
      <c r="A627" s="1"/>
      <c r="B627" s="1"/>
      <c r="C627" s="1"/>
      <c r="D627" s="15"/>
      <c r="E627" s="15"/>
      <c r="F627" s="15"/>
      <c r="G627" s="15"/>
      <c r="H627" s="1"/>
      <c r="I627" s="1"/>
      <c r="J627" s="1"/>
      <c r="K627" s="15"/>
      <c r="L627" s="1"/>
      <c r="M627" s="1"/>
      <c r="N627" s="1"/>
      <c r="O627" s="1"/>
      <c r="P627" s="15"/>
      <c r="Q627" s="1"/>
      <c r="R627" s="1"/>
      <c r="S627" s="1"/>
      <c r="T627" s="1"/>
      <c r="U627" s="15"/>
      <c r="V627" s="1"/>
      <c r="W627" s="1"/>
      <c r="X627" s="1"/>
      <c r="Y627" s="1"/>
      <c r="Z627" s="15"/>
      <c r="AA627" s="1"/>
      <c r="AB627" s="1"/>
      <c r="AC627" s="1"/>
      <c r="AD627" s="1"/>
      <c r="AE627" s="15"/>
      <c r="AF627" s="1"/>
      <c r="AG627" s="1"/>
      <c r="AH627" s="1"/>
      <c r="AI627" s="1"/>
      <c r="AJ627" s="15"/>
      <c r="AK627" s="1"/>
    </row>
    <row r="628" spans="1:37" ht="16.5" customHeight="1">
      <c r="A628" s="1"/>
      <c r="B628" s="1"/>
      <c r="C628" s="1"/>
      <c r="D628" s="15"/>
      <c r="E628" s="15"/>
      <c r="F628" s="15"/>
      <c r="G628" s="15"/>
      <c r="H628" s="1"/>
      <c r="I628" s="1"/>
      <c r="J628" s="1"/>
      <c r="K628" s="15"/>
      <c r="L628" s="1"/>
      <c r="M628" s="1"/>
      <c r="N628" s="1"/>
      <c r="O628" s="1"/>
      <c r="P628" s="15"/>
      <c r="Q628" s="1"/>
      <c r="R628" s="1"/>
      <c r="S628" s="1"/>
      <c r="T628" s="1"/>
      <c r="U628" s="15"/>
      <c r="V628" s="1"/>
      <c r="W628" s="1"/>
      <c r="X628" s="1"/>
      <c r="Y628" s="1"/>
      <c r="Z628" s="15"/>
      <c r="AA628" s="1"/>
      <c r="AB628" s="1"/>
      <c r="AC628" s="1"/>
      <c r="AD628" s="1"/>
      <c r="AE628" s="15"/>
      <c r="AF628" s="1"/>
      <c r="AG628" s="1"/>
      <c r="AH628" s="1"/>
      <c r="AI628" s="1"/>
      <c r="AJ628" s="15"/>
      <c r="AK628" s="1"/>
    </row>
    <row r="629" spans="1:37" ht="16.5" customHeight="1">
      <c r="A629" s="1"/>
      <c r="B629" s="1"/>
      <c r="C629" s="1"/>
      <c r="D629" s="15"/>
      <c r="E629" s="15"/>
      <c r="F629" s="15"/>
      <c r="G629" s="15"/>
      <c r="H629" s="1"/>
      <c r="I629" s="1"/>
      <c r="J629" s="1"/>
      <c r="K629" s="15"/>
      <c r="L629" s="1"/>
      <c r="M629" s="1"/>
      <c r="N629" s="1"/>
      <c r="O629" s="1"/>
      <c r="P629" s="15"/>
      <c r="Q629" s="1"/>
      <c r="R629" s="1"/>
      <c r="S629" s="1"/>
      <c r="T629" s="1"/>
      <c r="U629" s="15"/>
      <c r="V629" s="1"/>
      <c r="W629" s="1"/>
      <c r="X629" s="1"/>
      <c r="Y629" s="1"/>
      <c r="Z629" s="15"/>
      <c r="AA629" s="1"/>
      <c r="AB629" s="1"/>
      <c r="AC629" s="1"/>
      <c r="AD629" s="1"/>
      <c r="AE629" s="15"/>
      <c r="AF629" s="1"/>
      <c r="AG629" s="1"/>
      <c r="AH629" s="1"/>
      <c r="AI629" s="1"/>
      <c r="AJ629" s="15"/>
      <c r="AK629" s="1"/>
    </row>
    <row r="630" spans="1:37" ht="16.5" customHeight="1">
      <c r="A630" s="1"/>
      <c r="B630" s="1"/>
      <c r="C630" s="1"/>
      <c r="D630" s="15"/>
      <c r="E630" s="15"/>
      <c r="F630" s="15"/>
      <c r="G630" s="15"/>
      <c r="H630" s="1"/>
      <c r="I630" s="1"/>
      <c r="J630" s="1"/>
      <c r="K630" s="15"/>
      <c r="L630" s="1"/>
      <c r="M630" s="1"/>
      <c r="N630" s="1"/>
      <c r="O630" s="1"/>
      <c r="P630" s="15"/>
      <c r="Q630" s="1"/>
      <c r="R630" s="1"/>
      <c r="S630" s="1"/>
      <c r="T630" s="1"/>
      <c r="U630" s="15"/>
      <c r="V630" s="1"/>
      <c r="W630" s="1"/>
      <c r="X630" s="1"/>
      <c r="Y630" s="1"/>
      <c r="Z630" s="15"/>
      <c r="AA630" s="1"/>
      <c r="AB630" s="1"/>
      <c r="AC630" s="1"/>
      <c r="AD630" s="1"/>
      <c r="AE630" s="15"/>
      <c r="AF630" s="1"/>
      <c r="AG630" s="1"/>
      <c r="AH630" s="1"/>
      <c r="AI630" s="1"/>
      <c r="AJ630" s="15"/>
      <c r="AK630" s="1"/>
    </row>
    <row r="631" spans="1:37" ht="16.5" customHeight="1">
      <c r="A631" s="1"/>
      <c r="B631" s="1"/>
      <c r="C631" s="1"/>
      <c r="D631" s="15"/>
      <c r="E631" s="15"/>
      <c r="F631" s="15"/>
      <c r="G631" s="15"/>
      <c r="H631" s="1"/>
      <c r="I631" s="1"/>
      <c r="J631" s="1"/>
      <c r="K631" s="15"/>
      <c r="L631" s="1"/>
      <c r="M631" s="1"/>
      <c r="N631" s="1"/>
      <c r="O631" s="1"/>
      <c r="P631" s="15"/>
      <c r="Q631" s="1"/>
      <c r="R631" s="1"/>
      <c r="S631" s="1"/>
      <c r="T631" s="1"/>
      <c r="U631" s="15"/>
      <c r="V631" s="1"/>
      <c r="W631" s="1"/>
      <c r="X631" s="1"/>
      <c r="Y631" s="1"/>
      <c r="Z631" s="15"/>
      <c r="AA631" s="1"/>
      <c r="AB631" s="1"/>
      <c r="AC631" s="1"/>
      <c r="AD631" s="1"/>
      <c r="AE631" s="15"/>
      <c r="AF631" s="1"/>
      <c r="AG631" s="1"/>
      <c r="AH631" s="1"/>
      <c r="AI631" s="1"/>
      <c r="AJ631" s="15"/>
      <c r="AK631" s="1"/>
    </row>
    <row r="632" spans="1:37" ht="16.5" customHeight="1">
      <c r="A632" s="1"/>
      <c r="B632" s="1"/>
      <c r="C632" s="1"/>
      <c r="D632" s="15"/>
      <c r="E632" s="15"/>
      <c r="F632" s="15"/>
      <c r="G632" s="15"/>
      <c r="H632" s="1"/>
      <c r="I632" s="1"/>
      <c r="J632" s="1"/>
      <c r="K632" s="15"/>
      <c r="L632" s="1"/>
      <c r="M632" s="1"/>
      <c r="N632" s="1"/>
      <c r="O632" s="1"/>
      <c r="P632" s="15"/>
      <c r="Q632" s="1"/>
      <c r="R632" s="1"/>
      <c r="S632" s="1"/>
      <c r="T632" s="1"/>
      <c r="U632" s="15"/>
      <c r="V632" s="1"/>
      <c r="W632" s="1"/>
      <c r="X632" s="1"/>
      <c r="Y632" s="1"/>
      <c r="Z632" s="15"/>
      <c r="AA632" s="1"/>
      <c r="AB632" s="1"/>
      <c r="AC632" s="1"/>
      <c r="AD632" s="1"/>
      <c r="AE632" s="15"/>
      <c r="AF632" s="1"/>
      <c r="AG632" s="1"/>
      <c r="AH632" s="1"/>
      <c r="AI632" s="1"/>
      <c r="AJ632" s="15"/>
      <c r="AK632" s="1"/>
    </row>
    <row r="633" spans="1:37" ht="16.5" customHeight="1">
      <c r="A633" s="1"/>
      <c r="B633" s="1"/>
      <c r="C633" s="1"/>
      <c r="D633" s="15"/>
      <c r="E633" s="15"/>
      <c r="F633" s="15"/>
      <c r="G633" s="15"/>
      <c r="H633" s="1"/>
      <c r="I633" s="1"/>
      <c r="J633" s="1"/>
      <c r="K633" s="15"/>
      <c r="L633" s="1"/>
      <c r="M633" s="1"/>
      <c r="N633" s="1"/>
      <c r="O633" s="1"/>
      <c r="P633" s="15"/>
      <c r="Q633" s="1"/>
      <c r="R633" s="1"/>
      <c r="S633" s="1"/>
      <c r="T633" s="1"/>
      <c r="U633" s="15"/>
      <c r="V633" s="1"/>
      <c r="W633" s="1"/>
      <c r="X633" s="1"/>
      <c r="Y633" s="1"/>
      <c r="Z633" s="15"/>
      <c r="AA633" s="1"/>
      <c r="AB633" s="1"/>
      <c r="AC633" s="1"/>
      <c r="AD633" s="1"/>
      <c r="AE633" s="15"/>
      <c r="AF633" s="1"/>
      <c r="AG633" s="1"/>
      <c r="AH633" s="1"/>
      <c r="AI633" s="1"/>
      <c r="AJ633" s="15"/>
      <c r="AK633" s="1"/>
    </row>
    <row r="634" spans="1:37" ht="16.5" customHeight="1">
      <c r="A634" s="1"/>
      <c r="B634" s="1"/>
      <c r="C634" s="1"/>
      <c r="D634" s="15"/>
      <c r="E634" s="15"/>
      <c r="F634" s="15"/>
      <c r="G634" s="15"/>
      <c r="H634" s="1"/>
      <c r="I634" s="1"/>
      <c r="J634" s="1"/>
      <c r="K634" s="15"/>
      <c r="L634" s="1"/>
      <c r="M634" s="1"/>
      <c r="N634" s="1"/>
      <c r="O634" s="1"/>
      <c r="P634" s="15"/>
      <c r="Q634" s="1"/>
      <c r="R634" s="1"/>
      <c r="S634" s="1"/>
      <c r="T634" s="1"/>
      <c r="U634" s="15"/>
      <c r="V634" s="1"/>
      <c r="W634" s="1"/>
      <c r="X634" s="1"/>
      <c r="Y634" s="1"/>
      <c r="Z634" s="15"/>
      <c r="AA634" s="1"/>
      <c r="AB634" s="1"/>
      <c r="AC634" s="1"/>
      <c r="AD634" s="1"/>
      <c r="AE634" s="15"/>
      <c r="AF634" s="1"/>
      <c r="AG634" s="1"/>
      <c r="AH634" s="1"/>
      <c r="AI634" s="1"/>
      <c r="AJ634" s="15"/>
      <c r="AK634" s="1"/>
    </row>
    <row r="635" spans="1:37" ht="16.5" customHeight="1">
      <c r="A635" s="1"/>
      <c r="B635" s="1"/>
      <c r="C635" s="1"/>
      <c r="D635" s="15"/>
      <c r="E635" s="15"/>
      <c r="F635" s="15"/>
      <c r="G635" s="15"/>
      <c r="H635" s="1"/>
      <c r="I635" s="1"/>
      <c r="J635" s="1"/>
      <c r="K635" s="15"/>
      <c r="L635" s="1"/>
      <c r="M635" s="1"/>
      <c r="N635" s="1"/>
      <c r="O635" s="1"/>
      <c r="P635" s="15"/>
      <c r="Q635" s="1"/>
      <c r="R635" s="1"/>
      <c r="S635" s="1"/>
      <c r="T635" s="1"/>
      <c r="U635" s="15"/>
      <c r="V635" s="1"/>
      <c r="W635" s="1"/>
      <c r="X635" s="1"/>
      <c r="Y635" s="1"/>
      <c r="Z635" s="15"/>
      <c r="AA635" s="1"/>
      <c r="AB635" s="1"/>
      <c r="AC635" s="1"/>
      <c r="AD635" s="1"/>
      <c r="AE635" s="15"/>
      <c r="AF635" s="1"/>
      <c r="AG635" s="1"/>
      <c r="AH635" s="1"/>
      <c r="AI635" s="1"/>
      <c r="AJ635" s="15"/>
      <c r="AK635" s="1"/>
    </row>
    <row r="636" spans="1:37" ht="16.5" customHeight="1">
      <c r="A636" s="1"/>
      <c r="B636" s="1"/>
      <c r="C636" s="1"/>
      <c r="D636" s="15"/>
      <c r="E636" s="15"/>
      <c r="F636" s="15"/>
      <c r="G636" s="15"/>
      <c r="H636" s="1"/>
      <c r="I636" s="1"/>
      <c r="J636" s="1"/>
      <c r="K636" s="15"/>
      <c r="L636" s="1"/>
      <c r="M636" s="1"/>
      <c r="N636" s="1"/>
      <c r="O636" s="1"/>
      <c r="P636" s="15"/>
      <c r="Q636" s="1"/>
      <c r="R636" s="1"/>
      <c r="S636" s="1"/>
      <c r="T636" s="1"/>
      <c r="U636" s="15"/>
      <c r="V636" s="1"/>
      <c r="W636" s="1"/>
      <c r="X636" s="1"/>
      <c r="Y636" s="1"/>
      <c r="Z636" s="15"/>
      <c r="AA636" s="1"/>
      <c r="AB636" s="1"/>
      <c r="AC636" s="1"/>
      <c r="AD636" s="1"/>
      <c r="AE636" s="15"/>
      <c r="AF636" s="1"/>
      <c r="AG636" s="1"/>
      <c r="AH636" s="1"/>
      <c r="AI636" s="1"/>
      <c r="AJ636" s="15"/>
      <c r="AK636" s="1"/>
    </row>
    <row r="637" spans="1:37" ht="16.5" customHeight="1">
      <c r="A637" s="1"/>
      <c r="B637" s="1"/>
      <c r="C637" s="1"/>
      <c r="D637" s="15"/>
      <c r="E637" s="15"/>
      <c r="F637" s="15"/>
      <c r="G637" s="15"/>
      <c r="H637" s="1"/>
      <c r="I637" s="1"/>
      <c r="J637" s="1"/>
      <c r="K637" s="15"/>
      <c r="L637" s="1"/>
      <c r="M637" s="1"/>
      <c r="N637" s="1"/>
      <c r="O637" s="1"/>
      <c r="P637" s="15"/>
      <c r="Q637" s="1"/>
      <c r="R637" s="1"/>
      <c r="S637" s="1"/>
      <c r="T637" s="1"/>
      <c r="U637" s="15"/>
      <c r="V637" s="1"/>
      <c r="W637" s="1"/>
      <c r="X637" s="1"/>
      <c r="Y637" s="1"/>
      <c r="Z637" s="15"/>
      <c r="AA637" s="1"/>
      <c r="AB637" s="1"/>
      <c r="AC637" s="1"/>
      <c r="AD637" s="1"/>
      <c r="AE637" s="15"/>
      <c r="AF637" s="1"/>
      <c r="AG637" s="1"/>
      <c r="AH637" s="1"/>
      <c r="AI637" s="1"/>
      <c r="AJ637" s="15"/>
      <c r="AK637" s="1"/>
    </row>
    <row r="638" spans="1:37" ht="16.5" customHeight="1">
      <c r="A638" s="1"/>
      <c r="B638" s="1"/>
      <c r="C638" s="1"/>
      <c r="D638" s="15"/>
      <c r="E638" s="15"/>
      <c r="F638" s="15"/>
      <c r="G638" s="15"/>
      <c r="H638" s="1"/>
      <c r="I638" s="1"/>
      <c r="J638" s="1"/>
      <c r="K638" s="15"/>
      <c r="L638" s="1"/>
      <c r="M638" s="1"/>
      <c r="N638" s="1"/>
      <c r="O638" s="1"/>
      <c r="P638" s="15"/>
      <c r="Q638" s="1"/>
      <c r="R638" s="1"/>
      <c r="S638" s="1"/>
      <c r="T638" s="1"/>
      <c r="U638" s="15"/>
      <c r="V638" s="1"/>
      <c r="W638" s="1"/>
      <c r="X638" s="1"/>
      <c r="Y638" s="1"/>
      <c r="Z638" s="15"/>
      <c r="AA638" s="1"/>
      <c r="AB638" s="1"/>
      <c r="AC638" s="1"/>
      <c r="AD638" s="1"/>
      <c r="AE638" s="15"/>
      <c r="AF638" s="1"/>
      <c r="AG638" s="1"/>
      <c r="AH638" s="1"/>
      <c r="AI638" s="1"/>
      <c r="AJ638" s="15"/>
      <c r="AK638" s="1"/>
    </row>
    <row r="639" spans="1:37" ht="16.5" customHeight="1">
      <c r="A639" s="1"/>
      <c r="B639" s="1"/>
      <c r="C639" s="1"/>
      <c r="D639" s="15"/>
      <c r="E639" s="15"/>
      <c r="F639" s="15"/>
      <c r="G639" s="15"/>
      <c r="H639" s="1"/>
      <c r="I639" s="1"/>
      <c r="J639" s="1"/>
      <c r="K639" s="15"/>
      <c r="L639" s="1"/>
      <c r="M639" s="1"/>
      <c r="N639" s="1"/>
      <c r="O639" s="1"/>
      <c r="P639" s="15"/>
      <c r="Q639" s="1"/>
      <c r="R639" s="1"/>
      <c r="S639" s="1"/>
      <c r="T639" s="1"/>
      <c r="U639" s="15"/>
      <c r="V639" s="1"/>
      <c r="W639" s="1"/>
      <c r="X639" s="1"/>
      <c r="Y639" s="1"/>
      <c r="Z639" s="15"/>
      <c r="AA639" s="1"/>
      <c r="AB639" s="1"/>
      <c r="AC639" s="1"/>
      <c r="AD639" s="1"/>
      <c r="AE639" s="15"/>
      <c r="AF639" s="1"/>
      <c r="AG639" s="1"/>
      <c r="AH639" s="1"/>
      <c r="AI639" s="1"/>
      <c r="AJ639" s="15"/>
      <c r="AK639" s="1"/>
    </row>
    <row r="640" spans="1:37" ht="16.5" customHeight="1">
      <c r="A640" s="1"/>
      <c r="B640" s="1"/>
      <c r="C640" s="1"/>
      <c r="D640" s="15"/>
      <c r="E640" s="15"/>
      <c r="F640" s="15"/>
      <c r="G640" s="15"/>
      <c r="H640" s="1"/>
      <c r="I640" s="1"/>
      <c r="J640" s="1"/>
      <c r="K640" s="15"/>
      <c r="L640" s="1"/>
      <c r="M640" s="1"/>
      <c r="N640" s="1"/>
      <c r="O640" s="1"/>
      <c r="P640" s="15"/>
      <c r="Q640" s="1"/>
      <c r="R640" s="1"/>
      <c r="S640" s="1"/>
      <c r="T640" s="1"/>
      <c r="U640" s="15"/>
      <c r="V640" s="1"/>
      <c r="W640" s="1"/>
      <c r="X640" s="1"/>
      <c r="Y640" s="1"/>
      <c r="Z640" s="15"/>
      <c r="AA640" s="1"/>
      <c r="AB640" s="1"/>
      <c r="AC640" s="1"/>
      <c r="AD640" s="1"/>
      <c r="AE640" s="15"/>
      <c r="AF640" s="1"/>
      <c r="AG640" s="1"/>
      <c r="AH640" s="1"/>
      <c r="AI640" s="1"/>
      <c r="AJ640" s="15"/>
      <c r="AK640" s="1"/>
    </row>
    <row r="641" spans="1:37" ht="16.5" customHeight="1">
      <c r="A641" s="1"/>
      <c r="B641" s="1"/>
      <c r="C641" s="1"/>
      <c r="D641" s="15"/>
      <c r="E641" s="15"/>
      <c r="F641" s="15"/>
      <c r="G641" s="15"/>
      <c r="H641" s="1"/>
      <c r="I641" s="1"/>
      <c r="J641" s="1"/>
      <c r="K641" s="15"/>
      <c r="L641" s="1"/>
      <c r="M641" s="1"/>
      <c r="N641" s="1"/>
      <c r="O641" s="1"/>
      <c r="P641" s="15"/>
      <c r="Q641" s="1"/>
      <c r="R641" s="1"/>
      <c r="S641" s="1"/>
      <c r="T641" s="1"/>
      <c r="U641" s="15"/>
      <c r="V641" s="1"/>
      <c r="W641" s="1"/>
      <c r="X641" s="1"/>
      <c r="Y641" s="1"/>
      <c r="Z641" s="15"/>
      <c r="AA641" s="1"/>
      <c r="AB641" s="1"/>
      <c r="AC641" s="1"/>
      <c r="AD641" s="1"/>
      <c r="AE641" s="15"/>
      <c r="AF641" s="1"/>
      <c r="AG641" s="1"/>
      <c r="AH641" s="1"/>
      <c r="AI641" s="1"/>
      <c r="AJ641" s="15"/>
      <c r="AK641" s="1"/>
    </row>
    <row r="642" spans="1:37" ht="16.5" customHeight="1">
      <c r="A642" s="1"/>
      <c r="B642" s="1"/>
      <c r="C642" s="1"/>
      <c r="D642" s="15"/>
      <c r="E642" s="15"/>
      <c r="F642" s="15"/>
      <c r="G642" s="15"/>
      <c r="H642" s="1"/>
      <c r="I642" s="1"/>
      <c r="J642" s="1"/>
      <c r="K642" s="15"/>
      <c r="L642" s="1"/>
      <c r="M642" s="1"/>
      <c r="N642" s="1"/>
      <c r="O642" s="1"/>
      <c r="P642" s="15"/>
      <c r="Q642" s="1"/>
      <c r="R642" s="1"/>
      <c r="S642" s="1"/>
      <c r="T642" s="1"/>
      <c r="U642" s="15"/>
      <c r="V642" s="1"/>
      <c r="W642" s="1"/>
      <c r="X642" s="1"/>
      <c r="Y642" s="1"/>
      <c r="Z642" s="15"/>
      <c r="AA642" s="1"/>
      <c r="AB642" s="1"/>
      <c r="AC642" s="1"/>
      <c r="AD642" s="1"/>
      <c r="AE642" s="15"/>
      <c r="AF642" s="1"/>
      <c r="AG642" s="1"/>
      <c r="AH642" s="1"/>
      <c r="AI642" s="1"/>
      <c r="AJ642" s="15"/>
      <c r="AK642" s="1"/>
    </row>
    <row r="643" spans="1:37" ht="16.5" customHeight="1">
      <c r="A643" s="1"/>
      <c r="B643" s="1"/>
      <c r="C643" s="1"/>
      <c r="D643" s="15"/>
      <c r="E643" s="15"/>
      <c r="F643" s="15"/>
      <c r="G643" s="15"/>
      <c r="H643" s="1"/>
      <c r="I643" s="1"/>
      <c r="J643" s="1"/>
      <c r="K643" s="15"/>
      <c r="L643" s="1"/>
      <c r="M643" s="1"/>
      <c r="N643" s="1"/>
      <c r="O643" s="1"/>
      <c r="P643" s="15"/>
      <c r="Q643" s="1"/>
      <c r="R643" s="1"/>
      <c r="S643" s="1"/>
      <c r="T643" s="1"/>
      <c r="U643" s="15"/>
      <c r="V643" s="1"/>
      <c r="W643" s="1"/>
      <c r="X643" s="1"/>
      <c r="Y643" s="1"/>
      <c r="Z643" s="15"/>
      <c r="AA643" s="1"/>
      <c r="AB643" s="1"/>
      <c r="AC643" s="1"/>
      <c r="AD643" s="1"/>
      <c r="AE643" s="15"/>
      <c r="AF643" s="1"/>
      <c r="AG643" s="1"/>
      <c r="AH643" s="1"/>
      <c r="AI643" s="1"/>
      <c r="AJ643" s="15"/>
      <c r="AK643" s="1"/>
    </row>
    <row r="644" spans="1:37" ht="16.5" customHeight="1">
      <c r="A644" s="1"/>
      <c r="B644" s="1"/>
      <c r="C644" s="1"/>
      <c r="D644" s="15"/>
      <c r="E644" s="15"/>
      <c r="F644" s="15"/>
      <c r="G644" s="15"/>
      <c r="H644" s="1"/>
      <c r="I644" s="1"/>
      <c r="J644" s="1"/>
      <c r="K644" s="15"/>
      <c r="L644" s="1"/>
      <c r="M644" s="1"/>
      <c r="N644" s="1"/>
      <c r="O644" s="1"/>
      <c r="P644" s="15"/>
      <c r="Q644" s="1"/>
      <c r="R644" s="1"/>
      <c r="S644" s="1"/>
      <c r="T644" s="1"/>
      <c r="U644" s="15"/>
      <c r="V644" s="1"/>
      <c r="W644" s="1"/>
      <c r="X644" s="1"/>
      <c r="Y644" s="1"/>
      <c r="Z644" s="15"/>
      <c r="AA644" s="1"/>
      <c r="AB644" s="1"/>
      <c r="AC644" s="1"/>
      <c r="AD644" s="1"/>
      <c r="AE644" s="15"/>
      <c r="AF644" s="1"/>
      <c r="AG644" s="1"/>
      <c r="AH644" s="1"/>
      <c r="AI644" s="1"/>
      <c r="AJ644" s="15"/>
      <c r="AK644" s="1"/>
    </row>
    <row r="645" spans="1:37" ht="16.5" customHeight="1">
      <c r="A645" s="1"/>
      <c r="B645" s="1"/>
      <c r="C645" s="1"/>
      <c r="D645" s="15"/>
      <c r="E645" s="15"/>
      <c r="F645" s="15"/>
      <c r="G645" s="15"/>
      <c r="H645" s="1"/>
      <c r="I645" s="1"/>
      <c r="J645" s="1"/>
      <c r="K645" s="15"/>
      <c r="L645" s="1"/>
      <c r="M645" s="1"/>
      <c r="N645" s="1"/>
      <c r="O645" s="1"/>
      <c r="P645" s="15"/>
      <c r="Q645" s="1"/>
      <c r="R645" s="1"/>
      <c r="S645" s="1"/>
      <c r="T645" s="1"/>
      <c r="U645" s="15"/>
      <c r="V645" s="1"/>
      <c r="W645" s="1"/>
      <c r="X645" s="1"/>
      <c r="Y645" s="1"/>
      <c r="Z645" s="15"/>
      <c r="AA645" s="1"/>
      <c r="AB645" s="1"/>
      <c r="AC645" s="1"/>
      <c r="AD645" s="1"/>
      <c r="AE645" s="15"/>
      <c r="AF645" s="1"/>
      <c r="AG645" s="1"/>
      <c r="AH645" s="1"/>
      <c r="AI645" s="1"/>
      <c r="AJ645" s="15"/>
      <c r="AK645" s="1"/>
    </row>
    <row r="646" spans="1:37" ht="16.5" customHeight="1">
      <c r="A646" s="1"/>
      <c r="B646" s="1"/>
      <c r="C646" s="1"/>
      <c r="D646" s="15"/>
      <c r="E646" s="15"/>
      <c r="F646" s="15"/>
      <c r="G646" s="15"/>
      <c r="H646" s="1"/>
      <c r="I646" s="1"/>
      <c r="J646" s="1"/>
      <c r="K646" s="15"/>
      <c r="L646" s="1"/>
      <c r="M646" s="1"/>
      <c r="N646" s="1"/>
      <c r="O646" s="1"/>
      <c r="P646" s="15"/>
      <c r="Q646" s="1"/>
      <c r="R646" s="1"/>
      <c r="S646" s="1"/>
      <c r="T646" s="1"/>
      <c r="U646" s="15"/>
      <c r="V646" s="1"/>
      <c r="W646" s="1"/>
      <c r="X646" s="1"/>
      <c r="Y646" s="1"/>
      <c r="Z646" s="15"/>
      <c r="AA646" s="1"/>
      <c r="AB646" s="1"/>
      <c r="AC646" s="1"/>
      <c r="AD646" s="1"/>
      <c r="AE646" s="15"/>
      <c r="AF646" s="1"/>
      <c r="AG646" s="1"/>
      <c r="AH646" s="1"/>
      <c r="AI646" s="1"/>
      <c r="AJ646" s="15"/>
      <c r="AK646" s="1"/>
    </row>
    <row r="647" spans="1:37" ht="16.5" customHeight="1">
      <c r="A647" s="1"/>
      <c r="B647" s="1"/>
      <c r="C647" s="1"/>
      <c r="D647" s="15"/>
      <c r="E647" s="15"/>
      <c r="F647" s="15"/>
      <c r="G647" s="15"/>
      <c r="H647" s="1"/>
      <c r="I647" s="1"/>
      <c r="J647" s="1"/>
      <c r="K647" s="15"/>
      <c r="L647" s="1"/>
      <c r="M647" s="1"/>
      <c r="N647" s="1"/>
      <c r="O647" s="1"/>
      <c r="P647" s="15"/>
      <c r="Q647" s="1"/>
      <c r="R647" s="1"/>
      <c r="S647" s="1"/>
      <c r="T647" s="1"/>
      <c r="U647" s="15"/>
      <c r="V647" s="1"/>
      <c r="W647" s="1"/>
      <c r="X647" s="1"/>
      <c r="Y647" s="1"/>
      <c r="Z647" s="15"/>
      <c r="AA647" s="1"/>
      <c r="AB647" s="1"/>
      <c r="AC647" s="1"/>
      <c r="AD647" s="1"/>
      <c r="AE647" s="15"/>
      <c r="AF647" s="1"/>
      <c r="AG647" s="1"/>
      <c r="AH647" s="1"/>
      <c r="AI647" s="1"/>
      <c r="AJ647" s="15"/>
      <c r="AK647" s="1"/>
    </row>
    <row r="648" spans="1:37" ht="16.5" customHeight="1">
      <c r="A648" s="1"/>
      <c r="B648" s="1"/>
      <c r="C648" s="1"/>
      <c r="D648" s="15"/>
      <c r="E648" s="15"/>
      <c r="F648" s="15"/>
      <c r="G648" s="15"/>
      <c r="H648" s="1"/>
      <c r="I648" s="1"/>
      <c r="J648" s="1"/>
      <c r="K648" s="15"/>
      <c r="L648" s="1"/>
      <c r="M648" s="1"/>
      <c r="N648" s="1"/>
      <c r="O648" s="1"/>
      <c r="P648" s="15"/>
      <c r="Q648" s="1"/>
      <c r="R648" s="1"/>
      <c r="S648" s="1"/>
      <c r="T648" s="1"/>
      <c r="U648" s="15"/>
      <c r="V648" s="1"/>
      <c r="W648" s="1"/>
      <c r="X648" s="1"/>
      <c r="Y648" s="1"/>
      <c r="Z648" s="15"/>
      <c r="AA648" s="1"/>
      <c r="AB648" s="1"/>
      <c r="AC648" s="1"/>
      <c r="AD648" s="1"/>
      <c r="AE648" s="15"/>
      <c r="AF648" s="1"/>
      <c r="AG648" s="1"/>
      <c r="AH648" s="1"/>
      <c r="AI648" s="1"/>
      <c r="AJ648" s="15"/>
      <c r="AK648" s="1"/>
    </row>
    <row r="649" spans="1:37" ht="16.5" customHeight="1">
      <c r="A649" s="1"/>
      <c r="B649" s="1"/>
      <c r="C649" s="1"/>
      <c r="D649" s="15"/>
      <c r="E649" s="15"/>
      <c r="F649" s="15"/>
      <c r="G649" s="15"/>
      <c r="H649" s="1"/>
      <c r="I649" s="1"/>
      <c r="J649" s="1"/>
      <c r="K649" s="15"/>
      <c r="L649" s="1"/>
      <c r="M649" s="1"/>
      <c r="N649" s="1"/>
      <c r="O649" s="1"/>
      <c r="P649" s="15"/>
      <c r="Q649" s="1"/>
      <c r="R649" s="1"/>
      <c r="S649" s="1"/>
      <c r="T649" s="1"/>
      <c r="U649" s="15"/>
      <c r="V649" s="1"/>
      <c r="W649" s="1"/>
      <c r="X649" s="1"/>
      <c r="Y649" s="1"/>
      <c r="Z649" s="15"/>
      <c r="AA649" s="1"/>
      <c r="AB649" s="1"/>
      <c r="AC649" s="1"/>
      <c r="AD649" s="1"/>
      <c r="AE649" s="15"/>
      <c r="AF649" s="1"/>
      <c r="AG649" s="1"/>
      <c r="AH649" s="1"/>
      <c r="AI649" s="1"/>
      <c r="AJ649" s="15"/>
      <c r="AK649" s="1"/>
    </row>
    <row r="650" spans="1:37" ht="16.5" customHeight="1">
      <c r="A650" s="1"/>
      <c r="B650" s="1"/>
      <c r="C650" s="1"/>
      <c r="D650" s="15"/>
      <c r="E650" s="15"/>
      <c r="F650" s="15"/>
      <c r="G650" s="15"/>
      <c r="H650" s="1"/>
      <c r="I650" s="1"/>
      <c r="J650" s="1"/>
      <c r="K650" s="15"/>
      <c r="L650" s="1"/>
      <c r="M650" s="1"/>
      <c r="N650" s="1"/>
      <c r="O650" s="1"/>
      <c r="P650" s="15"/>
      <c r="Q650" s="1"/>
      <c r="R650" s="1"/>
      <c r="S650" s="1"/>
      <c r="T650" s="1"/>
      <c r="U650" s="15"/>
      <c r="V650" s="1"/>
      <c r="W650" s="1"/>
      <c r="X650" s="1"/>
      <c r="Y650" s="1"/>
      <c r="Z650" s="15"/>
      <c r="AA650" s="1"/>
      <c r="AB650" s="1"/>
      <c r="AC650" s="1"/>
      <c r="AD650" s="1"/>
      <c r="AE650" s="15"/>
      <c r="AF650" s="1"/>
      <c r="AG650" s="1"/>
      <c r="AH650" s="1"/>
      <c r="AI650" s="1"/>
      <c r="AJ650" s="15"/>
      <c r="AK650" s="1"/>
    </row>
    <row r="651" spans="1:37" ht="16.5" customHeight="1">
      <c r="A651" s="1"/>
      <c r="B651" s="1"/>
      <c r="C651" s="1"/>
      <c r="D651" s="15"/>
      <c r="E651" s="15"/>
      <c r="F651" s="15"/>
      <c r="G651" s="15"/>
      <c r="H651" s="1"/>
      <c r="I651" s="1"/>
      <c r="J651" s="1"/>
      <c r="K651" s="15"/>
      <c r="L651" s="1"/>
      <c r="M651" s="1"/>
      <c r="N651" s="1"/>
      <c r="O651" s="1"/>
      <c r="P651" s="15"/>
      <c r="Q651" s="1"/>
      <c r="R651" s="1"/>
      <c r="S651" s="1"/>
      <c r="T651" s="1"/>
      <c r="U651" s="15"/>
      <c r="V651" s="1"/>
      <c r="W651" s="1"/>
      <c r="X651" s="1"/>
      <c r="Y651" s="1"/>
      <c r="Z651" s="15"/>
      <c r="AA651" s="1"/>
      <c r="AB651" s="1"/>
      <c r="AC651" s="1"/>
      <c r="AD651" s="1"/>
      <c r="AE651" s="15"/>
      <c r="AF651" s="1"/>
      <c r="AG651" s="1"/>
      <c r="AH651" s="1"/>
      <c r="AI651" s="1"/>
      <c r="AJ651" s="15"/>
      <c r="AK651" s="1"/>
    </row>
    <row r="652" spans="1:37" ht="16.5" customHeight="1">
      <c r="A652" s="1"/>
      <c r="B652" s="1"/>
      <c r="C652" s="1"/>
      <c r="D652" s="15"/>
      <c r="E652" s="15"/>
      <c r="F652" s="15"/>
      <c r="G652" s="15"/>
      <c r="H652" s="1"/>
      <c r="I652" s="1"/>
      <c r="J652" s="1"/>
      <c r="K652" s="15"/>
      <c r="L652" s="1"/>
      <c r="M652" s="1"/>
      <c r="N652" s="1"/>
      <c r="O652" s="1"/>
      <c r="P652" s="15"/>
      <c r="Q652" s="1"/>
      <c r="R652" s="1"/>
      <c r="S652" s="1"/>
      <c r="T652" s="1"/>
      <c r="U652" s="15"/>
      <c r="V652" s="1"/>
      <c r="W652" s="1"/>
      <c r="X652" s="1"/>
      <c r="Y652" s="1"/>
      <c r="Z652" s="15"/>
      <c r="AA652" s="1"/>
      <c r="AB652" s="1"/>
      <c r="AC652" s="1"/>
      <c r="AD652" s="1"/>
      <c r="AE652" s="15"/>
      <c r="AF652" s="1"/>
      <c r="AG652" s="1"/>
      <c r="AH652" s="1"/>
      <c r="AI652" s="1"/>
      <c r="AJ652" s="15"/>
      <c r="AK652" s="1"/>
    </row>
    <row r="653" spans="1:37" ht="16.5" customHeight="1">
      <c r="A653" s="1"/>
      <c r="B653" s="1"/>
      <c r="C653" s="1"/>
      <c r="D653" s="15"/>
      <c r="E653" s="15"/>
      <c r="F653" s="15"/>
      <c r="G653" s="15"/>
      <c r="H653" s="1"/>
      <c r="I653" s="1"/>
      <c r="J653" s="1"/>
      <c r="K653" s="15"/>
      <c r="L653" s="1"/>
      <c r="M653" s="1"/>
      <c r="N653" s="1"/>
      <c r="O653" s="1"/>
      <c r="P653" s="15"/>
      <c r="Q653" s="1"/>
      <c r="R653" s="1"/>
      <c r="S653" s="1"/>
      <c r="T653" s="1"/>
      <c r="U653" s="15"/>
      <c r="V653" s="1"/>
      <c r="W653" s="1"/>
      <c r="X653" s="1"/>
      <c r="Y653" s="1"/>
      <c r="Z653" s="15"/>
      <c r="AA653" s="1"/>
      <c r="AB653" s="1"/>
      <c r="AC653" s="1"/>
      <c r="AD653" s="1"/>
      <c r="AE653" s="15"/>
      <c r="AF653" s="1"/>
      <c r="AG653" s="1"/>
      <c r="AH653" s="1"/>
      <c r="AI653" s="1"/>
      <c r="AJ653" s="15"/>
      <c r="AK653" s="1"/>
    </row>
    <row r="654" spans="1:37" ht="16.5" customHeight="1">
      <c r="A654" s="1"/>
      <c r="B654" s="1"/>
      <c r="C654" s="1"/>
      <c r="D654" s="15"/>
      <c r="E654" s="15"/>
      <c r="F654" s="15"/>
      <c r="G654" s="15"/>
      <c r="H654" s="1"/>
      <c r="I654" s="1"/>
      <c r="J654" s="1"/>
      <c r="K654" s="15"/>
      <c r="L654" s="1"/>
      <c r="M654" s="1"/>
      <c r="N654" s="1"/>
      <c r="O654" s="1"/>
      <c r="P654" s="15"/>
      <c r="Q654" s="1"/>
      <c r="R654" s="1"/>
      <c r="S654" s="1"/>
      <c r="T654" s="1"/>
      <c r="U654" s="15"/>
      <c r="V654" s="1"/>
      <c r="W654" s="1"/>
      <c r="X654" s="1"/>
      <c r="Y654" s="1"/>
      <c r="Z654" s="15"/>
      <c r="AA654" s="1"/>
      <c r="AB654" s="1"/>
      <c r="AC654" s="1"/>
      <c r="AD654" s="1"/>
      <c r="AE654" s="15"/>
      <c r="AF654" s="1"/>
      <c r="AG654" s="1"/>
      <c r="AH654" s="1"/>
      <c r="AI654" s="1"/>
      <c r="AJ654" s="15"/>
      <c r="AK654" s="1"/>
    </row>
    <row r="655" spans="1:37" ht="16.5" customHeight="1">
      <c r="A655" s="1"/>
      <c r="B655" s="1"/>
      <c r="C655" s="1"/>
      <c r="D655" s="15"/>
      <c r="E655" s="15"/>
      <c r="F655" s="15"/>
      <c r="G655" s="15"/>
      <c r="H655" s="1"/>
      <c r="I655" s="1"/>
      <c r="J655" s="1"/>
      <c r="K655" s="15"/>
      <c r="L655" s="1"/>
      <c r="M655" s="1"/>
      <c r="N655" s="1"/>
      <c r="O655" s="1"/>
      <c r="P655" s="15"/>
      <c r="Q655" s="1"/>
      <c r="R655" s="1"/>
      <c r="S655" s="1"/>
      <c r="T655" s="1"/>
      <c r="U655" s="15"/>
      <c r="V655" s="1"/>
      <c r="W655" s="1"/>
      <c r="X655" s="1"/>
      <c r="Y655" s="1"/>
      <c r="Z655" s="15"/>
      <c r="AA655" s="1"/>
      <c r="AB655" s="1"/>
      <c r="AC655" s="1"/>
      <c r="AD655" s="1"/>
      <c r="AE655" s="15"/>
      <c r="AF655" s="1"/>
      <c r="AG655" s="1"/>
      <c r="AH655" s="1"/>
      <c r="AI655" s="1"/>
      <c r="AJ655" s="15"/>
      <c r="AK655" s="1"/>
    </row>
    <row r="656" spans="1:37" ht="16.5" customHeight="1">
      <c r="A656" s="1"/>
      <c r="B656" s="1"/>
      <c r="C656" s="1"/>
      <c r="D656" s="15"/>
      <c r="E656" s="15"/>
      <c r="F656" s="15"/>
      <c r="G656" s="15"/>
      <c r="H656" s="1"/>
      <c r="I656" s="1"/>
      <c r="J656" s="1"/>
      <c r="K656" s="15"/>
      <c r="L656" s="1"/>
      <c r="M656" s="1"/>
      <c r="N656" s="1"/>
      <c r="O656" s="1"/>
      <c r="P656" s="15"/>
      <c r="Q656" s="1"/>
      <c r="R656" s="1"/>
      <c r="S656" s="1"/>
      <c r="T656" s="1"/>
      <c r="U656" s="15"/>
      <c r="V656" s="1"/>
      <c r="W656" s="1"/>
      <c r="X656" s="1"/>
      <c r="Y656" s="1"/>
      <c r="Z656" s="15"/>
      <c r="AA656" s="1"/>
      <c r="AB656" s="1"/>
      <c r="AC656" s="1"/>
      <c r="AD656" s="1"/>
      <c r="AE656" s="15"/>
      <c r="AF656" s="1"/>
      <c r="AG656" s="1"/>
      <c r="AH656" s="1"/>
      <c r="AI656" s="1"/>
      <c r="AJ656" s="15"/>
      <c r="AK656" s="1"/>
    </row>
    <row r="657" spans="1:37" ht="16.5" customHeight="1">
      <c r="A657" s="1"/>
      <c r="B657" s="1"/>
      <c r="C657" s="1"/>
      <c r="D657" s="15"/>
      <c r="E657" s="15"/>
      <c r="F657" s="15"/>
      <c r="G657" s="15"/>
      <c r="H657" s="1"/>
      <c r="I657" s="1"/>
      <c r="J657" s="1"/>
      <c r="K657" s="15"/>
      <c r="L657" s="1"/>
      <c r="M657" s="1"/>
      <c r="N657" s="1"/>
      <c r="O657" s="1"/>
      <c r="P657" s="15"/>
      <c r="Q657" s="1"/>
      <c r="R657" s="1"/>
      <c r="S657" s="1"/>
      <c r="T657" s="1"/>
      <c r="U657" s="15"/>
      <c r="V657" s="1"/>
      <c r="W657" s="1"/>
      <c r="X657" s="1"/>
      <c r="Y657" s="1"/>
      <c r="Z657" s="15"/>
      <c r="AA657" s="1"/>
      <c r="AB657" s="1"/>
      <c r="AC657" s="1"/>
      <c r="AD657" s="1"/>
      <c r="AE657" s="15"/>
      <c r="AF657" s="1"/>
      <c r="AG657" s="1"/>
      <c r="AH657" s="1"/>
      <c r="AI657" s="1"/>
      <c r="AJ657" s="15"/>
      <c r="AK657" s="1"/>
    </row>
    <row r="658" spans="1:37" ht="16.5" customHeight="1">
      <c r="A658" s="1"/>
      <c r="B658" s="1"/>
      <c r="C658" s="1"/>
      <c r="D658" s="15"/>
      <c r="E658" s="15"/>
      <c r="F658" s="15"/>
      <c r="G658" s="15"/>
      <c r="H658" s="1"/>
      <c r="I658" s="1"/>
      <c r="J658" s="1"/>
      <c r="K658" s="15"/>
      <c r="L658" s="1"/>
      <c r="M658" s="1"/>
      <c r="N658" s="1"/>
      <c r="O658" s="1"/>
      <c r="P658" s="15"/>
      <c r="Q658" s="1"/>
      <c r="R658" s="1"/>
      <c r="S658" s="1"/>
      <c r="T658" s="1"/>
      <c r="U658" s="15"/>
      <c r="V658" s="1"/>
      <c r="W658" s="1"/>
      <c r="X658" s="1"/>
      <c r="Y658" s="1"/>
      <c r="Z658" s="15"/>
      <c r="AA658" s="1"/>
      <c r="AB658" s="1"/>
      <c r="AC658" s="1"/>
      <c r="AD658" s="1"/>
      <c r="AE658" s="15"/>
      <c r="AF658" s="1"/>
      <c r="AG658" s="1"/>
      <c r="AH658" s="1"/>
      <c r="AI658" s="1"/>
      <c r="AJ658" s="15"/>
      <c r="AK658" s="1"/>
    </row>
    <row r="659" spans="1:37" ht="16.5" customHeight="1">
      <c r="A659" s="1"/>
      <c r="B659" s="1"/>
      <c r="C659" s="1"/>
      <c r="D659" s="15"/>
      <c r="E659" s="15"/>
      <c r="F659" s="15"/>
      <c r="G659" s="15"/>
      <c r="H659" s="1"/>
      <c r="I659" s="1"/>
      <c r="J659" s="1"/>
      <c r="K659" s="15"/>
      <c r="L659" s="1"/>
      <c r="M659" s="1"/>
      <c r="N659" s="1"/>
      <c r="O659" s="1"/>
      <c r="P659" s="15"/>
      <c r="Q659" s="1"/>
      <c r="R659" s="1"/>
      <c r="S659" s="1"/>
      <c r="T659" s="1"/>
      <c r="U659" s="15"/>
      <c r="V659" s="1"/>
      <c r="W659" s="1"/>
      <c r="X659" s="1"/>
      <c r="Y659" s="1"/>
      <c r="Z659" s="15"/>
      <c r="AA659" s="1"/>
      <c r="AB659" s="1"/>
      <c r="AC659" s="1"/>
      <c r="AD659" s="1"/>
      <c r="AE659" s="15"/>
      <c r="AF659" s="1"/>
      <c r="AG659" s="1"/>
      <c r="AH659" s="1"/>
      <c r="AI659" s="1"/>
      <c r="AJ659" s="15"/>
      <c r="AK659" s="1"/>
    </row>
    <row r="660" spans="1:37" ht="16.5" customHeight="1">
      <c r="A660" s="1"/>
      <c r="B660" s="1"/>
      <c r="C660" s="1"/>
      <c r="D660" s="15"/>
      <c r="E660" s="15"/>
      <c r="F660" s="15"/>
      <c r="G660" s="15"/>
      <c r="H660" s="1"/>
      <c r="I660" s="1"/>
      <c r="J660" s="1"/>
      <c r="K660" s="15"/>
      <c r="L660" s="1"/>
      <c r="M660" s="1"/>
      <c r="N660" s="1"/>
      <c r="O660" s="1"/>
      <c r="P660" s="15"/>
      <c r="Q660" s="1"/>
      <c r="R660" s="1"/>
      <c r="S660" s="1"/>
      <c r="T660" s="1"/>
      <c r="U660" s="15"/>
      <c r="V660" s="1"/>
      <c r="W660" s="1"/>
      <c r="X660" s="1"/>
      <c r="Y660" s="1"/>
      <c r="Z660" s="15"/>
      <c r="AA660" s="1"/>
      <c r="AB660" s="1"/>
      <c r="AC660" s="1"/>
      <c r="AD660" s="1"/>
      <c r="AE660" s="15"/>
      <c r="AF660" s="1"/>
      <c r="AG660" s="1"/>
      <c r="AH660" s="1"/>
      <c r="AI660" s="1"/>
      <c r="AJ660" s="15"/>
      <c r="AK660" s="1"/>
    </row>
    <row r="661" spans="1:37" ht="16.5" customHeight="1">
      <c r="A661" s="1"/>
      <c r="B661" s="1"/>
      <c r="C661" s="1"/>
      <c r="D661" s="15"/>
      <c r="E661" s="15"/>
      <c r="F661" s="15"/>
      <c r="G661" s="15"/>
      <c r="H661" s="1"/>
      <c r="I661" s="1"/>
      <c r="J661" s="1"/>
      <c r="K661" s="15"/>
      <c r="L661" s="1"/>
      <c r="M661" s="1"/>
      <c r="N661" s="1"/>
      <c r="O661" s="1"/>
      <c r="P661" s="15"/>
      <c r="Q661" s="1"/>
      <c r="R661" s="1"/>
      <c r="S661" s="1"/>
      <c r="T661" s="1"/>
      <c r="U661" s="15"/>
      <c r="V661" s="1"/>
      <c r="W661" s="1"/>
      <c r="X661" s="1"/>
      <c r="Y661" s="1"/>
      <c r="Z661" s="15"/>
      <c r="AA661" s="1"/>
      <c r="AB661" s="1"/>
      <c r="AC661" s="1"/>
      <c r="AD661" s="1"/>
      <c r="AE661" s="15"/>
      <c r="AF661" s="1"/>
      <c r="AG661" s="1"/>
      <c r="AH661" s="1"/>
      <c r="AI661" s="1"/>
      <c r="AJ661" s="15"/>
      <c r="AK661" s="1"/>
    </row>
    <row r="662" spans="1:37" ht="16.5" customHeight="1">
      <c r="A662" s="1"/>
      <c r="B662" s="1"/>
      <c r="C662" s="1"/>
      <c r="D662" s="15"/>
      <c r="E662" s="15"/>
      <c r="F662" s="15"/>
      <c r="G662" s="15"/>
      <c r="H662" s="1"/>
      <c r="I662" s="1"/>
      <c r="J662" s="1"/>
      <c r="K662" s="15"/>
      <c r="L662" s="1"/>
      <c r="M662" s="1"/>
      <c r="N662" s="1"/>
      <c r="O662" s="1"/>
      <c r="P662" s="15"/>
      <c r="Q662" s="1"/>
      <c r="R662" s="1"/>
      <c r="S662" s="1"/>
      <c r="T662" s="1"/>
      <c r="U662" s="15"/>
      <c r="V662" s="1"/>
      <c r="W662" s="1"/>
      <c r="X662" s="1"/>
      <c r="Y662" s="1"/>
      <c r="Z662" s="15"/>
      <c r="AA662" s="1"/>
      <c r="AB662" s="1"/>
      <c r="AC662" s="1"/>
      <c r="AD662" s="1"/>
      <c r="AE662" s="15"/>
      <c r="AF662" s="1"/>
      <c r="AG662" s="1"/>
      <c r="AH662" s="1"/>
      <c r="AI662" s="1"/>
      <c r="AJ662" s="15"/>
      <c r="AK662" s="1"/>
    </row>
    <row r="663" spans="1:37" ht="16.5" customHeight="1">
      <c r="A663" s="1"/>
      <c r="B663" s="1"/>
      <c r="C663" s="1"/>
      <c r="D663" s="15"/>
      <c r="E663" s="15"/>
      <c r="F663" s="15"/>
      <c r="G663" s="15"/>
      <c r="H663" s="1"/>
      <c r="I663" s="1"/>
      <c r="J663" s="1"/>
      <c r="K663" s="15"/>
      <c r="L663" s="1"/>
      <c r="M663" s="1"/>
      <c r="N663" s="1"/>
      <c r="O663" s="1"/>
      <c r="P663" s="15"/>
      <c r="Q663" s="1"/>
      <c r="R663" s="1"/>
      <c r="S663" s="1"/>
      <c r="T663" s="1"/>
      <c r="U663" s="15"/>
      <c r="V663" s="1"/>
      <c r="W663" s="1"/>
      <c r="X663" s="1"/>
      <c r="Y663" s="1"/>
      <c r="Z663" s="15"/>
      <c r="AA663" s="1"/>
      <c r="AB663" s="1"/>
      <c r="AC663" s="1"/>
      <c r="AD663" s="1"/>
      <c r="AE663" s="15"/>
      <c r="AF663" s="1"/>
      <c r="AG663" s="1"/>
      <c r="AH663" s="1"/>
      <c r="AI663" s="1"/>
      <c r="AJ663" s="15"/>
      <c r="AK663" s="1"/>
    </row>
    <row r="664" spans="1:37" ht="16.5" customHeight="1">
      <c r="A664" s="1"/>
      <c r="B664" s="1"/>
      <c r="C664" s="1"/>
      <c r="D664" s="15"/>
      <c r="E664" s="15"/>
      <c r="F664" s="15"/>
      <c r="G664" s="15"/>
      <c r="H664" s="1"/>
      <c r="I664" s="1"/>
      <c r="J664" s="1"/>
      <c r="K664" s="15"/>
      <c r="L664" s="1"/>
      <c r="M664" s="1"/>
      <c r="N664" s="1"/>
      <c r="O664" s="1"/>
      <c r="P664" s="15"/>
      <c r="Q664" s="1"/>
      <c r="R664" s="1"/>
      <c r="S664" s="1"/>
      <c r="T664" s="1"/>
      <c r="U664" s="15"/>
      <c r="V664" s="1"/>
      <c r="W664" s="1"/>
      <c r="X664" s="1"/>
      <c r="Y664" s="1"/>
      <c r="Z664" s="15"/>
      <c r="AA664" s="1"/>
      <c r="AB664" s="1"/>
      <c r="AC664" s="1"/>
      <c r="AD664" s="1"/>
      <c r="AE664" s="15"/>
      <c r="AF664" s="1"/>
      <c r="AG664" s="1"/>
      <c r="AH664" s="1"/>
      <c r="AI664" s="1"/>
      <c r="AJ664" s="15"/>
      <c r="AK664" s="1"/>
    </row>
    <row r="665" spans="1:37" ht="16.5" customHeight="1">
      <c r="A665" s="1"/>
      <c r="B665" s="1"/>
      <c r="C665" s="1"/>
      <c r="D665" s="15"/>
      <c r="E665" s="15"/>
      <c r="F665" s="15"/>
      <c r="G665" s="15"/>
      <c r="H665" s="1"/>
      <c r="I665" s="1"/>
      <c r="J665" s="1"/>
      <c r="K665" s="15"/>
      <c r="L665" s="1"/>
      <c r="M665" s="1"/>
      <c r="N665" s="1"/>
      <c r="O665" s="1"/>
      <c r="P665" s="15"/>
      <c r="Q665" s="1"/>
      <c r="R665" s="1"/>
      <c r="S665" s="1"/>
      <c r="T665" s="1"/>
      <c r="U665" s="15"/>
      <c r="V665" s="1"/>
      <c r="W665" s="1"/>
      <c r="X665" s="1"/>
      <c r="Y665" s="1"/>
      <c r="Z665" s="15"/>
      <c r="AA665" s="1"/>
      <c r="AB665" s="1"/>
      <c r="AC665" s="1"/>
      <c r="AD665" s="1"/>
      <c r="AE665" s="15"/>
      <c r="AF665" s="1"/>
      <c r="AG665" s="1"/>
      <c r="AH665" s="1"/>
      <c r="AI665" s="1"/>
      <c r="AJ665" s="15"/>
      <c r="AK665" s="1"/>
    </row>
    <row r="666" spans="1:37" ht="16.5" customHeight="1">
      <c r="A666" s="1"/>
      <c r="B666" s="1"/>
      <c r="C666" s="1"/>
      <c r="D666" s="15"/>
      <c r="E666" s="15"/>
      <c r="F666" s="15"/>
      <c r="G666" s="15"/>
      <c r="H666" s="1"/>
      <c r="I666" s="1"/>
      <c r="J666" s="1"/>
      <c r="K666" s="15"/>
      <c r="L666" s="1"/>
      <c r="M666" s="1"/>
      <c r="N666" s="1"/>
      <c r="O666" s="1"/>
      <c r="P666" s="15"/>
      <c r="Q666" s="1"/>
      <c r="R666" s="1"/>
      <c r="S666" s="1"/>
      <c r="T666" s="1"/>
      <c r="U666" s="15"/>
      <c r="V666" s="1"/>
      <c r="W666" s="1"/>
      <c r="X666" s="1"/>
      <c r="Y666" s="1"/>
      <c r="Z666" s="15"/>
      <c r="AA666" s="1"/>
      <c r="AB666" s="1"/>
      <c r="AC666" s="1"/>
      <c r="AD666" s="1"/>
      <c r="AE666" s="15"/>
      <c r="AF666" s="1"/>
      <c r="AG666" s="1"/>
      <c r="AH666" s="1"/>
      <c r="AI666" s="1"/>
      <c r="AJ666" s="15"/>
      <c r="AK666" s="1"/>
    </row>
    <row r="667" spans="1:37" ht="16.5" customHeight="1">
      <c r="A667" s="1"/>
      <c r="B667" s="1"/>
      <c r="C667" s="1"/>
      <c r="D667" s="15"/>
      <c r="E667" s="15"/>
      <c r="F667" s="15"/>
      <c r="G667" s="15"/>
      <c r="H667" s="1"/>
      <c r="I667" s="1"/>
      <c r="J667" s="1"/>
      <c r="K667" s="15"/>
      <c r="L667" s="1"/>
      <c r="M667" s="1"/>
      <c r="N667" s="1"/>
      <c r="O667" s="1"/>
      <c r="P667" s="15"/>
      <c r="Q667" s="1"/>
      <c r="R667" s="1"/>
      <c r="S667" s="1"/>
      <c r="T667" s="1"/>
      <c r="U667" s="15"/>
      <c r="V667" s="1"/>
      <c r="W667" s="1"/>
      <c r="X667" s="1"/>
      <c r="Y667" s="1"/>
      <c r="Z667" s="15"/>
      <c r="AA667" s="1"/>
      <c r="AB667" s="1"/>
      <c r="AC667" s="1"/>
      <c r="AD667" s="1"/>
      <c r="AE667" s="15"/>
      <c r="AF667" s="1"/>
      <c r="AG667" s="1"/>
      <c r="AH667" s="1"/>
      <c r="AI667" s="1"/>
      <c r="AJ667" s="15"/>
      <c r="AK667" s="1"/>
    </row>
    <row r="668" spans="1:37" ht="16.5" customHeight="1">
      <c r="A668" s="1"/>
      <c r="B668" s="1"/>
      <c r="C668" s="1"/>
      <c r="D668" s="15"/>
      <c r="E668" s="15"/>
      <c r="F668" s="15"/>
      <c r="G668" s="15"/>
      <c r="H668" s="1"/>
      <c r="I668" s="1"/>
      <c r="J668" s="1"/>
      <c r="K668" s="15"/>
      <c r="L668" s="1"/>
      <c r="M668" s="1"/>
      <c r="N668" s="1"/>
      <c r="O668" s="1"/>
      <c r="P668" s="15"/>
      <c r="Q668" s="1"/>
      <c r="R668" s="1"/>
      <c r="S668" s="1"/>
      <c r="T668" s="1"/>
      <c r="U668" s="15"/>
      <c r="V668" s="1"/>
      <c r="W668" s="1"/>
      <c r="X668" s="1"/>
      <c r="Y668" s="1"/>
      <c r="Z668" s="15"/>
      <c r="AA668" s="1"/>
      <c r="AB668" s="1"/>
      <c r="AC668" s="1"/>
      <c r="AD668" s="1"/>
      <c r="AE668" s="15"/>
      <c r="AF668" s="1"/>
      <c r="AG668" s="1"/>
      <c r="AH668" s="1"/>
      <c r="AI668" s="1"/>
      <c r="AJ668" s="15"/>
      <c r="AK668" s="1"/>
    </row>
    <row r="669" spans="1:37" ht="16.5" customHeight="1">
      <c r="A669" s="1"/>
      <c r="B669" s="1"/>
      <c r="C669" s="1"/>
      <c r="D669" s="15"/>
      <c r="E669" s="15"/>
      <c r="F669" s="15"/>
      <c r="G669" s="15"/>
      <c r="H669" s="1"/>
      <c r="I669" s="1"/>
      <c r="J669" s="1"/>
      <c r="K669" s="15"/>
      <c r="L669" s="1"/>
      <c r="M669" s="1"/>
      <c r="N669" s="1"/>
      <c r="O669" s="1"/>
      <c r="P669" s="15"/>
      <c r="Q669" s="1"/>
      <c r="R669" s="1"/>
      <c r="S669" s="1"/>
      <c r="T669" s="1"/>
      <c r="U669" s="15"/>
      <c r="V669" s="1"/>
      <c r="W669" s="1"/>
      <c r="X669" s="1"/>
      <c r="Y669" s="1"/>
      <c r="Z669" s="15"/>
      <c r="AA669" s="1"/>
      <c r="AB669" s="1"/>
      <c r="AC669" s="1"/>
      <c r="AD669" s="1"/>
      <c r="AE669" s="15"/>
      <c r="AF669" s="1"/>
      <c r="AG669" s="1"/>
      <c r="AH669" s="1"/>
      <c r="AI669" s="1"/>
      <c r="AJ669" s="15"/>
      <c r="AK669" s="1"/>
    </row>
    <row r="670" spans="1:37" ht="16.5" customHeight="1">
      <c r="A670" s="1"/>
      <c r="B670" s="1"/>
      <c r="C670" s="1"/>
      <c r="D670" s="15"/>
      <c r="E670" s="15"/>
      <c r="F670" s="15"/>
      <c r="G670" s="15"/>
      <c r="H670" s="1"/>
      <c r="I670" s="1"/>
      <c r="J670" s="1"/>
      <c r="K670" s="15"/>
      <c r="L670" s="1"/>
      <c r="M670" s="1"/>
      <c r="N670" s="1"/>
      <c r="O670" s="1"/>
      <c r="P670" s="15"/>
      <c r="Q670" s="1"/>
      <c r="R670" s="1"/>
      <c r="S670" s="1"/>
      <c r="T670" s="1"/>
      <c r="U670" s="15"/>
      <c r="V670" s="1"/>
      <c r="W670" s="1"/>
      <c r="X670" s="1"/>
      <c r="Y670" s="1"/>
      <c r="Z670" s="15"/>
      <c r="AA670" s="1"/>
      <c r="AB670" s="1"/>
      <c r="AC670" s="1"/>
      <c r="AD670" s="1"/>
      <c r="AE670" s="15"/>
      <c r="AF670" s="1"/>
      <c r="AG670" s="1"/>
      <c r="AH670" s="1"/>
      <c r="AI670" s="1"/>
      <c r="AJ670" s="15"/>
      <c r="AK670" s="1"/>
    </row>
    <row r="671" spans="1:37" ht="16.5" customHeight="1">
      <c r="A671" s="1"/>
      <c r="B671" s="1"/>
      <c r="C671" s="1"/>
      <c r="D671" s="15"/>
      <c r="E671" s="15"/>
      <c r="F671" s="15"/>
      <c r="G671" s="15"/>
      <c r="H671" s="1"/>
      <c r="I671" s="1"/>
      <c r="J671" s="1"/>
      <c r="K671" s="15"/>
      <c r="L671" s="1"/>
      <c r="M671" s="1"/>
      <c r="N671" s="1"/>
      <c r="O671" s="1"/>
      <c r="P671" s="15"/>
      <c r="Q671" s="1"/>
      <c r="R671" s="1"/>
      <c r="S671" s="1"/>
      <c r="T671" s="1"/>
      <c r="U671" s="15"/>
      <c r="V671" s="1"/>
      <c r="W671" s="1"/>
      <c r="X671" s="1"/>
      <c r="Y671" s="1"/>
      <c r="Z671" s="15"/>
      <c r="AA671" s="1"/>
      <c r="AB671" s="1"/>
      <c r="AC671" s="1"/>
      <c r="AD671" s="1"/>
      <c r="AE671" s="15"/>
      <c r="AF671" s="1"/>
      <c r="AG671" s="1"/>
      <c r="AH671" s="1"/>
      <c r="AI671" s="1"/>
      <c r="AJ671" s="15"/>
      <c r="AK671" s="1"/>
    </row>
    <row r="672" spans="1:37" ht="16.5" customHeight="1">
      <c r="A672" s="1"/>
      <c r="B672" s="1"/>
      <c r="C672" s="1"/>
      <c r="D672" s="15"/>
      <c r="E672" s="15"/>
      <c r="F672" s="15"/>
      <c r="G672" s="15"/>
      <c r="H672" s="1"/>
      <c r="I672" s="1"/>
      <c r="J672" s="1"/>
      <c r="K672" s="15"/>
      <c r="L672" s="1"/>
      <c r="M672" s="1"/>
      <c r="N672" s="1"/>
      <c r="O672" s="1"/>
      <c r="P672" s="15"/>
      <c r="Q672" s="1"/>
      <c r="R672" s="1"/>
      <c r="S672" s="1"/>
      <c r="T672" s="1"/>
      <c r="U672" s="15"/>
      <c r="V672" s="1"/>
      <c r="W672" s="1"/>
      <c r="X672" s="1"/>
      <c r="Y672" s="1"/>
      <c r="Z672" s="15"/>
      <c r="AA672" s="1"/>
      <c r="AB672" s="1"/>
      <c r="AC672" s="1"/>
      <c r="AD672" s="1"/>
      <c r="AE672" s="15"/>
      <c r="AF672" s="1"/>
      <c r="AG672" s="1"/>
      <c r="AH672" s="1"/>
      <c r="AI672" s="1"/>
      <c r="AJ672" s="15"/>
      <c r="AK672" s="1"/>
    </row>
    <row r="673" spans="1:37" ht="16.5" customHeight="1">
      <c r="A673" s="1"/>
      <c r="B673" s="1"/>
      <c r="C673" s="1"/>
      <c r="D673" s="15"/>
      <c r="E673" s="15"/>
      <c r="F673" s="15"/>
      <c r="G673" s="15"/>
      <c r="H673" s="1"/>
      <c r="I673" s="1"/>
      <c r="J673" s="1"/>
      <c r="K673" s="15"/>
      <c r="L673" s="1"/>
      <c r="M673" s="1"/>
      <c r="N673" s="1"/>
      <c r="O673" s="1"/>
      <c r="P673" s="15"/>
      <c r="Q673" s="1"/>
      <c r="R673" s="1"/>
      <c r="S673" s="1"/>
      <c r="T673" s="1"/>
      <c r="U673" s="15"/>
      <c r="V673" s="1"/>
      <c r="W673" s="1"/>
      <c r="X673" s="1"/>
      <c r="Y673" s="1"/>
      <c r="Z673" s="15"/>
      <c r="AA673" s="1"/>
      <c r="AB673" s="1"/>
      <c r="AC673" s="1"/>
      <c r="AD673" s="1"/>
      <c r="AE673" s="15"/>
      <c r="AF673" s="1"/>
      <c r="AG673" s="1"/>
      <c r="AH673" s="1"/>
      <c r="AI673" s="1"/>
      <c r="AJ673" s="15"/>
      <c r="AK673" s="1"/>
    </row>
    <row r="674" spans="1:37" ht="16.5" customHeight="1">
      <c r="A674" s="1"/>
      <c r="B674" s="1"/>
      <c r="C674" s="1"/>
      <c r="D674" s="15"/>
      <c r="E674" s="15"/>
      <c r="F674" s="15"/>
      <c r="G674" s="15"/>
      <c r="H674" s="1"/>
      <c r="I674" s="1"/>
      <c r="J674" s="1"/>
      <c r="K674" s="15"/>
      <c r="L674" s="1"/>
      <c r="M674" s="1"/>
      <c r="N674" s="1"/>
      <c r="O674" s="1"/>
      <c r="P674" s="15"/>
      <c r="Q674" s="1"/>
      <c r="R674" s="1"/>
      <c r="S674" s="1"/>
      <c r="T674" s="1"/>
      <c r="U674" s="15"/>
      <c r="V674" s="1"/>
      <c r="W674" s="1"/>
      <c r="X674" s="1"/>
      <c r="Y674" s="1"/>
      <c r="Z674" s="15"/>
      <c r="AA674" s="1"/>
      <c r="AB674" s="1"/>
      <c r="AC674" s="1"/>
      <c r="AD674" s="1"/>
      <c r="AE674" s="15"/>
      <c r="AF674" s="1"/>
      <c r="AG674" s="1"/>
      <c r="AH674" s="1"/>
      <c r="AI674" s="1"/>
      <c r="AJ674" s="15"/>
      <c r="AK674" s="1"/>
    </row>
    <row r="675" spans="1:37" ht="16.5" customHeight="1">
      <c r="A675" s="1"/>
      <c r="B675" s="1"/>
      <c r="C675" s="1"/>
      <c r="D675" s="15"/>
      <c r="E675" s="15"/>
      <c r="F675" s="15"/>
      <c r="G675" s="15"/>
      <c r="H675" s="1"/>
      <c r="I675" s="1"/>
      <c r="J675" s="1"/>
      <c r="K675" s="15"/>
      <c r="L675" s="1"/>
      <c r="M675" s="1"/>
      <c r="N675" s="1"/>
      <c r="O675" s="1"/>
      <c r="P675" s="15"/>
      <c r="Q675" s="1"/>
      <c r="R675" s="1"/>
      <c r="S675" s="1"/>
      <c r="T675" s="1"/>
      <c r="U675" s="15"/>
      <c r="V675" s="1"/>
      <c r="W675" s="1"/>
      <c r="X675" s="1"/>
      <c r="Y675" s="1"/>
      <c r="Z675" s="15"/>
      <c r="AA675" s="1"/>
      <c r="AB675" s="1"/>
      <c r="AC675" s="1"/>
      <c r="AD675" s="1"/>
      <c r="AE675" s="15"/>
      <c r="AF675" s="1"/>
      <c r="AG675" s="1"/>
      <c r="AH675" s="1"/>
      <c r="AI675" s="1"/>
      <c r="AJ675" s="15"/>
      <c r="AK675" s="1"/>
    </row>
    <row r="676" spans="1:37" ht="16.5" customHeight="1">
      <c r="A676" s="1"/>
      <c r="B676" s="1"/>
      <c r="C676" s="1"/>
      <c r="D676" s="15"/>
      <c r="E676" s="15"/>
      <c r="F676" s="15"/>
      <c r="G676" s="15"/>
      <c r="H676" s="1"/>
      <c r="I676" s="1"/>
      <c r="J676" s="1"/>
      <c r="K676" s="15"/>
      <c r="L676" s="1"/>
      <c r="M676" s="1"/>
      <c r="N676" s="1"/>
      <c r="O676" s="1"/>
      <c r="P676" s="15"/>
      <c r="Q676" s="1"/>
      <c r="R676" s="1"/>
      <c r="S676" s="1"/>
      <c r="T676" s="1"/>
      <c r="U676" s="15"/>
      <c r="V676" s="1"/>
      <c r="W676" s="1"/>
      <c r="X676" s="1"/>
      <c r="Y676" s="1"/>
      <c r="Z676" s="15"/>
      <c r="AA676" s="1"/>
      <c r="AB676" s="1"/>
      <c r="AC676" s="1"/>
      <c r="AD676" s="1"/>
      <c r="AE676" s="15"/>
      <c r="AF676" s="1"/>
      <c r="AG676" s="1"/>
      <c r="AH676" s="1"/>
      <c r="AI676" s="1"/>
      <c r="AJ676" s="15"/>
      <c r="AK676" s="1"/>
    </row>
    <row r="677" spans="1:37" ht="16.5" customHeight="1">
      <c r="A677" s="1"/>
      <c r="B677" s="1"/>
      <c r="C677" s="1"/>
      <c r="D677" s="15"/>
      <c r="E677" s="15"/>
      <c r="F677" s="15"/>
      <c r="G677" s="15"/>
      <c r="H677" s="1"/>
      <c r="I677" s="1"/>
      <c r="J677" s="1"/>
      <c r="K677" s="15"/>
      <c r="L677" s="1"/>
      <c r="M677" s="1"/>
      <c r="N677" s="1"/>
      <c r="O677" s="1"/>
      <c r="P677" s="15"/>
      <c r="Q677" s="1"/>
      <c r="R677" s="1"/>
      <c r="S677" s="1"/>
      <c r="T677" s="1"/>
      <c r="U677" s="15"/>
      <c r="V677" s="1"/>
      <c r="W677" s="1"/>
      <c r="X677" s="1"/>
      <c r="Y677" s="1"/>
      <c r="Z677" s="15"/>
      <c r="AA677" s="1"/>
      <c r="AB677" s="1"/>
      <c r="AC677" s="1"/>
      <c r="AD677" s="1"/>
      <c r="AE677" s="15"/>
      <c r="AF677" s="1"/>
      <c r="AG677" s="1"/>
      <c r="AH677" s="1"/>
      <c r="AI677" s="1"/>
      <c r="AJ677" s="15"/>
      <c r="AK677" s="1"/>
    </row>
    <row r="678" spans="1:37" ht="16.5" customHeight="1">
      <c r="A678" s="1"/>
      <c r="B678" s="1"/>
      <c r="C678" s="1"/>
      <c r="D678" s="15"/>
      <c r="E678" s="15"/>
      <c r="F678" s="15"/>
      <c r="G678" s="15"/>
      <c r="H678" s="1"/>
      <c r="I678" s="1"/>
      <c r="J678" s="1"/>
      <c r="K678" s="15"/>
      <c r="L678" s="1"/>
      <c r="M678" s="1"/>
      <c r="N678" s="1"/>
      <c r="O678" s="1"/>
      <c r="P678" s="15"/>
      <c r="Q678" s="1"/>
      <c r="R678" s="1"/>
      <c r="S678" s="1"/>
      <c r="T678" s="1"/>
      <c r="U678" s="15"/>
      <c r="V678" s="1"/>
      <c r="W678" s="1"/>
      <c r="X678" s="1"/>
      <c r="Y678" s="1"/>
      <c r="Z678" s="15"/>
      <c r="AA678" s="1"/>
      <c r="AB678" s="1"/>
      <c r="AC678" s="1"/>
      <c r="AD678" s="1"/>
      <c r="AE678" s="15"/>
      <c r="AF678" s="1"/>
      <c r="AG678" s="1"/>
      <c r="AH678" s="1"/>
      <c r="AI678" s="1"/>
      <c r="AJ678" s="15"/>
      <c r="AK678" s="1"/>
    </row>
    <row r="679" spans="1:37" ht="16.5" customHeight="1">
      <c r="A679" s="1"/>
      <c r="B679" s="1"/>
      <c r="C679" s="1"/>
      <c r="D679" s="15"/>
      <c r="E679" s="15"/>
      <c r="F679" s="15"/>
      <c r="G679" s="15"/>
      <c r="H679" s="1"/>
      <c r="I679" s="1"/>
      <c r="J679" s="1"/>
      <c r="K679" s="15"/>
      <c r="L679" s="1"/>
      <c r="M679" s="1"/>
      <c r="N679" s="1"/>
      <c r="O679" s="1"/>
      <c r="P679" s="15"/>
      <c r="Q679" s="1"/>
      <c r="R679" s="1"/>
      <c r="S679" s="1"/>
      <c r="T679" s="1"/>
      <c r="U679" s="15"/>
      <c r="V679" s="1"/>
      <c r="W679" s="1"/>
      <c r="X679" s="1"/>
      <c r="Y679" s="1"/>
      <c r="Z679" s="15"/>
      <c r="AA679" s="1"/>
      <c r="AB679" s="1"/>
      <c r="AC679" s="1"/>
      <c r="AD679" s="1"/>
      <c r="AE679" s="15"/>
      <c r="AF679" s="1"/>
      <c r="AG679" s="1"/>
      <c r="AH679" s="1"/>
      <c r="AI679" s="1"/>
      <c r="AJ679" s="15"/>
      <c r="AK679" s="1"/>
    </row>
    <row r="680" spans="1:37" ht="16.5" customHeight="1">
      <c r="A680" s="1"/>
      <c r="B680" s="1"/>
      <c r="C680" s="1"/>
      <c r="D680" s="15"/>
      <c r="E680" s="15"/>
      <c r="F680" s="15"/>
      <c r="G680" s="15"/>
      <c r="H680" s="1"/>
      <c r="I680" s="1"/>
      <c r="J680" s="1"/>
      <c r="K680" s="15"/>
      <c r="L680" s="1"/>
      <c r="M680" s="1"/>
      <c r="N680" s="1"/>
      <c r="O680" s="1"/>
      <c r="P680" s="15"/>
      <c r="Q680" s="1"/>
      <c r="R680" s="1"/>
      <c r="S680" s="1"/>
      <c r="T680" s="1"/>
      <c r="U680" s="15"/>
      <c r="V680" s="1"/>
      <c r="W680" s="1"/>
      <c r="X680" s="1"/>
      <c r="Y680" s="1"/>
      <c r="Z680" s="15"/>
      <c r="AA680" s="1"/>
      <c r="AB680" s="1"/>
      <c r="AC680" s="1"/>
      <c r="AD680" s="1"/>
      <c r="AE680" s="15"/>
      <c r="AF680" s="1"/>
      <c r="AG680" s="1"/>
      <c r="AH680" s="1"/>
      <c r="AI680" s="1"/>
      <c r="AJ680" s="15"/>
      <c r="AK680" s="1"/>
    </row>
    <row r="681" spans="1:37" ht="16.5" customHeight="1">
      <c r="A681" s="1"/>
      <c r="B681" s="1"/>
      <c r="C681" s="1"/>
      <c r="D681" s="15"/>
      <c r="E681" s="15"/>
      <c r="F681" s="15"/>
      <c r="G681" s="15"/>
      <c r="H681" s="1"/>
      <c r="I681" s="1"/>
      <c r="J681" s="1"/>
      <c r="K681" s="15"/>
      <c r="L681" s="1"/>
      <c r="M681" s="1"/>
      <c r="N681" s="1"/>
      <c r="O681" s="1"/>
      <c r="P681" s="15"/>
      <c r="Q681" s="1"/>
      <c r="R681" s="1"/>
      <c r="S681" s="1"/>
      <c r="T681" s="1"/>
      <c r="U681" s="15"/>
      <c r="V681" s="1"/>
      <c r="W681" s="1"/>
      <c r="X681" s="1"/>
      <c r="Y681" s="1"/>
      <c r="Z681" s="15"/>
      <c r="AA681" s="1"/>
      <c r="AB681" s="1"/>
      <c r="AC681" s="1"/>
      <c r="AD681" s="1"/>
      <c r="AE681" s="15"/>
      <c r="AF681" s="1"/>
      <c r="AG681" s="1"/>
      <c r="AH681" s="1"/>
      <c r="AI681" s="1"/>
      <c r="AJ681" s="15"/>
      <c r="AK681" s="1"/>
    </row>
    <row r="682" spans="1:37" ht="16.5" customHeight="1">
      <c r="A682" s="1"/>
      <c r="B682" s="1"/>
      <c r="C682" s="1"/>
      <c r="D682" s="15"/>
      <c r="E682" s="15"/>
      <c r="F682" s="15"/>
      <c r="G682" s="15"/>
      <c r="H682" s="1"/>
      <c r="I682" s="1"/>
      <c r="J682" s="1"/>
      <c r="K682" s="15"/>
      <c r="L682" s="1"/>
      <c r="M682" s="1"/>
      <c r="N682" s="1"/>
      <c r="O682" s="1"/>
      <c r="P682" s="15"/>
      <c r="Q682" s="1"/>
      <c r="R682" s="1"/>
      <c r="S682" s="1"/>
      <c r="T682" s="1"/>
      <c r="U682" s="15"/>
      <c r="V682" s="1"/>
      <c r="W682" s="1"/>
      <c r="X682" s="1"/>
      <c r="Y682" s="1"/>
      <c r="Z682" s="15"/>
      <c r="AA682" s="1"/>
      <c r="AB682" s="1"/>
      <c r="AC682" s="1"/>
      <c r="AD682" s="1"/>
      <c r="AE682" s="15"/>
      <c r="AF682" s="1"/>
      <c r="AG682" s="1"/>
      <c r="AH682" s="1"/>
      <c r="AI682" s="1"/>
      <c r="AJ682" s="15"/>
      <c r="AK682" s="1"/>
    </row>
    <row r="683" spans="1:37" ht="16.5" customHeight="1">
      <c r="A683" s="1"/>
      <c r="B683" s="1"/>
      <c r="C683" s="1"/>
      <c r="D683" s="15"/>
      <c r="E683" s="15"/>
      <c r="F683" s="15"/>
      <c r="G683" s="15"/>
      <c r="H683" s="1"/>
      <c r="I683" s="1"/>
      <c r="J683" s="1"/>
      <c r="K683" s="15"/>
      <c r="L683" s="1"/>
      <c r="M683" s="1"/>
      <c r="N683" s="1"/>
      <c r="O683" s="1"/>
      <c r="P683" s="15"/>
      <c r="Q683" s="1"/>
      <c r="R683" s="1"/>
      <c r="S683" s="1"/>
      <c r="T683" s="1"/>
      <c r="U683" s="15"/>
      <c r="V683" s="1"/>
      <c r="W683" s="1"/>
      <c r="X683" s="1"/>
      <c r="Y683" s="1"/>
      <c r="Z683" s="15"/>
      <c r="AA683" s="1"/>
      <c r="AB683" s="1"/>
      <c r="AC683" s="1"/>
      <c r="AD683" s="1"/>
      <c r="AE683" s="15"/>
      <c r="AF683" s="1"/>
      <c r="AG683" s="1"/>
      <c r="AH683" s="1"/>
      <c r="AI683" s="1"/>
      <c r="AJ683" s="15"/>
      <c r="AK683" s="1"/>
    </row>
    <row r="684" spans="1:37" ht="16.5" customHeight="1">
      <c r="A684" s="1"/>
      <c r="B684" s="1"/>
      <c r="C684" s="1"/>
      <c r="D684" s="15"/>
      <c r="E684" s="15"/>
      <c r="F684" s="15"/>
      <c r="G684" s="15"/>
      <c r="H684" s="1"/>
      <c r="I684" s="1"/>
      <c r="J684" s="1"/>
      <c r="K684" s="15"/>
      <c r="L684" s="1"/>
      <c r="M684" s="1"/>
      <c r="N684" s="1"/>
      <c r="O684" s="1"/>
      <c r="P684" s="15"/>
      <c r="Q684" s="1"/>
      <c r="R684" s="1"/>
      <c r="S684" s="1"/>
      <c r="T684" s="1"/>
      <c r="U684" s="15"/>
      <c r="V684" s="1"/>
      <c r="W684" s="1"/>
      <c r="X684" s="1"/>
      <c r="Y684" s="1"/>
      <c r="Z684" s="15"/>
      <c r="AA684" s="1"/>
      <c r="AB684" s="1"/>
      <c r="AC684" s="1"/>
      <c r="AD684" s="1"/>
      <c r="AE684" s="15"/>
      <c r="AF684" s="1"/>
      <c r="AG684" s="1"/>
      <c r="AH684" s="1"/>
      <c r="AI684" s="1"/>
      <c r="AJ684" s="15"/>
      <c r="AK684" s="1"/>
    </row>
    <row r="685" spans="1:37" ht="16.5" customHeight="1">
      <c r="A685" s="1"/>
      <c r="B685" s="1"/>
      <c r="C685" s="1"/>
      <c r="D685" s="15"/>
      <c r="E685" s="15"/>
      <c r="F685" s="15"/>
      <c r="G685" s="15"/>
      <c r="H685" s="1"/>
      <c r="I685" s="1"/>
      <c r="J685" s="1"/>
      <c r="K685" s="15"/>
      <c r="L685" s="1"/>
      <c r="M685" s="1"/>
      <c r="N685" s="1"/>
      <c r="O685" s="1"/>
      <c r="P685" s="15"/>
      <c r="Q685" s="1"/>
      <c r="R685" s="1"/>
      <c r="S685" s="1"/>
      <c r="T685" s="1"/>
      <c r="U685" s="15"/>
      <c r="V685" s="1"/>
      <c r="W685" s="1"/>
      <c r="X685" s="1"/>
      <c r="Y685" s="1"/>
      <c r="Z685" s="15"/>
      <c r="AA685" s="1"/>
      <c r="AB685" s="1"/>
      <c r="AC685" s="1"/>
      <c r="AD685" s="1"/>
      <c r="AE685" s="15"/>
      <c r="AF685" s="1"/>
      <c r="AG685" s="1"/>
      <c r="AH685" s="1"/>
      <c r="AI685" s="1"/>
      <c r="AJ685" s="15"/>
      <c r="AK685" s="1"/>
    </row>
    <row r="686" spans="1:37" ht="16.5" customHeight="1">
      <c r="A686" s="1"/>
      <c r="B686" s="1"/>
      <c r="C686" s="1"/>
      <c r="D686" s="15"/>
      <c r="E686" s="15"/>
      <c r="F686" s="15"/>
      <c r="G686" s="15"/>
      <c r="H686" s="1"/>
      <c r="I686" s="1"/>
      <c r="J686" s="1"/>
      <c r="K686" s="15"/>
      <c r="L686" s="1"/>
      <c r="M686" s="1"/>
      <c r="N686" s="1"/>
      <c r="O686" s="1"/>
      <c r="P686" s="15"/>
      <c r="Q686" s="1"/>
      <c r="R686" s="1"/>
      <c r="S686" s="1"/>
      <c r="T686" s="1"/>
      <c r="U686" s="15"/>
      <c r="V686" s="1"/>
      <c r="W686" s="1"/>
      <c r="X686" s="1"/>
      <c r="Y686" s="1"/>
      <c r="Z686" s="15"/>
      <c r="AA686" s="1"/>
      <c r="AB686" s="1"/>
      <c r="AC686" s="1"/>
      <c r="AD686" s="1"/>
      <c r="AE686" s="15"/>
      <c r="AF686" s="1"/>
      <c r="AG686" s="1"/>
      <c r="AH686" s="1"/>
      <c r="AI686" s="1"/>
      <c r="AJ686" s="15"/>
      <c r="AK686" s="1"/>
    </row>
    <row r="687" spans="1:37" ht="16.5" customHeight="1">
      <c r="A687" s="1"/>
      <c r="B687" s="1"/>
      <c r="C687" s="1"/>
      <c r="D687" s="15"/>
      <c r="E687" s="15"/>
      <c r="F687" s="15"/>
      <c r="G687" s="15"/>
      <c r="H687" s="1"/>
      <c r="I687" s="1"/>
      <c r="J687" s="1"/>
      <c r="K687" s="15"/>
      <c r="L687" s="1"/>
      <c r="M687" s="1"/>
      <c r="N687" s="1"/>
      <c r="O687" s="1"/>
      <c r="P687" s="15"/>
      <c r="Q687" s="1"/>
      <c r="R687" s="1"/>
      <c r="S687" s="1"/>
      <c r="T687" s="1"/>
      <c r="U687" s="15"/>
      <c r="V687" s="1"/>
      <c r="W687" s="1"/>
      <c r="X687" s="1"/>
      <c r="Y687" s="1"/>
      <c r="Z687" s="15"/>
      <c r="AA687" s="1"/>
      <c r="AB687" s="1"/>
      <c r="AC687" s="1"/>
      <c r="AD687" s="1"/>
      <c r="AE687" s="15"/>
      <c r="AF687" s="1"/>
      <c r="AG687" s="1"/>
      <c r="AH687" s="1"/>
      <c r="AI687" s="1"/>
      <c r="AJ687" s="15"/>
      <c r="AK687" s="1"/>
    </row>
    <row r="688" spans="1:37" ht="16.5" customHeight="1">
      <c r="A688" s="1"/>
      <c r="B688" s="1"/>
      <c r="C688" s="1"/>
      <c r="D688" s="15"/>
      <c r="E688" s="15"/>
      <c r="F688" s="15"/>
      <c r="G688" s="15"/>
      <c r="H688" s="1"/>
      <c r="I688" s="1"/>
      <c r="J688" s="1"/>
      <c r="K688" s="15"/>
      <c r="L688" s="1"/>
      <c r="M688" s="1"/>
      <c r="N688" s="1"/>
      <c r="O688" s="1"/>
      <c r="P688" s="15"/>
      <c r="Q688" s="1"/>
      <c r="R688" s="1"/>
      <c r="S688" s="1"/>
      <c r="T688" s="1"/>
      <c r="U688" s="15"/>
      <c r="V688" s="1"/>
      <c r="W688" s="1"/>
      <c r="X688" s="1"/>
      <c r="Y688" s="1"/>
      <c r="Z688" s="15"/>
      <c r="AA688" s="1"/>
      <c r="AB688" s="1"/>
      <c r="AC688" s="1"/>
      <c r="AD688" s="1"/>
      <c r="AE688" s="15"/>
      <c r="AF688" s="1"/>
      <c r="AG688" s="1"/>
      <c r="AH688" s="1"/>
      <c r="AI688" s="1"/>
      <c r="AJ688" s="15"/>
      <c r="AK688" s="1"/>
    </row>
    <row r="689" spans="1:37" ht="16.5" customHeight="1">
      <c r="A689" s="1"/>
      <c r="B689" s="1"/>
      <c r="C689" s="1"/>
      <c r="D689" s="15"/>
      <c r="E689" s="15"/>
      <c r="F689" s="15"/>
      <c r="G689" s="15"/>
      <c r="H689" s="1"/>
      <c r="I689" s="1"/>
      <c r="J689" s="1"/>
      <c r="K689" s="15"/>
      <c r="L689" s="1"/>
      <c r="M689" s="1"/>
      <c r="N689" s="1"/>
      <c r="O689" s="1"/>
      <c r="P689" s="15"/>
      <c r="Q689" s="1"/>
      <c r="R689" s="1"/>
      <c r="S689" s="1"/>
      <c r="T689" s="1"/>
      <c r="U689" s="15"/>
      <c r="V689" s="1"/>
      <c r="W689" s="1"/>
      <c r="X689" s="1"/>
      <c r="Y689" s="1"/>
      <c r="Z689" s="15"/>
      <c r="AA689" s="1"/>
      <c r="AB689" s="1"/>
      <c r="AC689" s="1"/>
      <c r="AD689" s="1"/>
      <c r="AE689" s="15"/>
      <c r="AF689" s="1"/>
      <c r="AG689" s="1"/>
      <c r="AH689" s="1"/>
      <c r="AI689" s="1"/>
      <c r="AJ689" s="15"/>
      <c r="AK689" s="1"/>
    </row>
    <row r="690" spans="1:37" ht="16.5" customHeight="1">
      <c r="A690" s="1"/>
      <c r="B690" s="1"/>
      <c r="C690" s="1"/>
      <c r="D690" s="15"/>
      <c r="E690" s="15"/>
      <c r="F690" s="15"/>
      <c r="G690" s="15"/>
      <c r="H690" s="1"/>
      <c r="I690" s="1"/>
      <c r="J690" s="1"/>
      <c r="K690" s="15"/>
      <c r="L690" s="1"/>
      <c r="M690" s="1"/>
      <c r="N690" s="1"/>
      <c r="O690" s="1"/>
      <c r="P690" s="15"/>
      <c r="Q690" s="1"/>
      <c r="R690" s="1"/>
      <c r="S690" s="1"/>
      <c r="T690" s="1"/>
      <c r="U690" s="15"/>
      <c r="V690" s="1"/>
      <c r="W690" s="1"/>
      <c r="X690" s="1"/>
      <c r="Y690" s="1"/>
      <c r="Z690" s="15"/>
      <c r="AA690" s="1"/>
      <c r="AB690" s="1"/>
      <c r="AC690" s="1"/>
      <c r="AD690" s="1"/>
      <c r="AE690" s="15"/>
      <c r="AF690" s="1"/>
      <c r="AG690" s="1"/>
      <c r="AH690" s="1"/>
      <c r="AI690" s="1"/>
      <c r="AJ690" s="15"/>
      <c r="AK690" s="1"/>
    </row>
    <row r="691" spans="1:37" ht="16.5" customHeight="1">
      <c r="A691" s="1"/>
      <c r="B691" s="1"/>
      <c r="C691" s="1"/>
      <c r="D691" s="15"/>
      <c r="E691" s="15"/>
      <c r="F691" s="15"/>
      <c r="G691" s="15"/>
      <c r="H691" s="1"/>
      <c r="I691" s="1"/>
      <c r="J691" s="1"/>
      <c r="K691" s="15"/>
      <c r="L691" s="1"/>
      <c r="M691" s="1"/>
      <c r="N691" s="1"/>
      <c r="O691" s="1"/>
      <c r="P691" s="15"/>
      <c r="Q691" s="1"/>
      <c r="R691" s="1"/>
      <c r="S691" s="1"/>
      <c r="T691" s="1"/>
      <c r="U691" s="15"/>
      <c r="V691" s="1"/>
      <c r="W691" s="1"/>
      <c r="X691" s="1"/>
      <c r="Y691" s="1"/>
      <c r="Z691" s="15"/>
      <c r="AA691" s="1"/>
      <c r="AB691" s="1"/>
      <c r="AC691" s="1"/>
      <c r="AD691" s="1"/>
      <c r="AE691" s="15"/>
      <c r="AF691" s="1"/>
      <c r="AG691" s="1"/>
      <c r="AH691" s="1"/>
      <c r="AI691" s="1"/>
      <c r="AJ691" s="15"/>
      <c r="AK691" s="1"/>
    </row>
    <row r="692" spans="1:37" ht="16.5" customHeight="1">
      <c r="A692" s="1"/>
      <c r="B692" s="1"/>
      <c r="C692" s="1"/>
      <c r="D692" s="15"/>
      <c r="E692" s="15"/>
      <c r="F692" s="15"/>
      <c r="G692" s="15"/>
      <c r="H692" s="1"/>
      <c r="I692" s="1"/>
      <c r="J692" s="1"/>
      <c r="K692" s="15"/>
      <c r="L692" s="1"/>
      <c r="M692" s="1"/>
      <c r="N692" s="1"/>
      <c r="O692" s="1"/>
      <c r="P692" s="15"/>
      <c r="Q692" s="1"/>
      <c r="R692" s="1"/>
      <c r="S692" s="1"/>
      <c r="T692" s="1"/>
      <c r="U692" s="15"/>
      <c r="V692" s="1"/>
      <c r="W692" s="1"/>
      <c r="X692" s="1"/>
      <c r="Y692" s="1"/>
      <c r="Z692" s="15"/>
      <c r="AA692" s="1"/>
      <c r="AB692" s="1"/>
      <c r="AC692" s="1"/>
      <c r="AD692" s="1"/>
      <c r="AE692" s="15"/>
      <c r="AF692" s="1"/>
      <c r="AG692" s="1"/>
      <c r="AH692" s="1"/>
      <c r="AI692" s="1"/>
      <c r="AJ692" s="15"/>
      <c r="AK692" s="1"/>
    </row>
    <row r="693" spans="1:37" ht="16.5" customHeight="1">
      <c r="A693" s="1"/>
      <c r="B693" s="1"/>
      <c r="C693" s="1"/>
      <c r="D693" s="15"/>
      <c r="E693" s="15"/>
      <c r="F693" s="15"/>
      <c r="G693" s="15"/>
      <c r="H693" s="1"/>
      <c r="I693" s="1"/>
      <c r="J693" s="1"/>
      <c r="K693" s="15"/>
      <c r="L693" s="1"/>
      <c r="M693" s="1"/>
      <c r="N693" s="1"/>
      <c r="O693" s="1"/>
      <c r="P693" s="15"/>
      <c r="Q693" s="1"/>
      <c r="R693" s="1"/>
      <c r="S693" s="1"/>
      <c r="T693" s="1"/>
      <c r="U693" s="15"/>
      <c r="V693" s="1"/>
      <c r="W693" s="1"/>
      <c r="X693" s="1"/>
      <c r="Y693" s="1"/>
      <c r="Z693" s="15"/>
      <c r="AA693" s="1"/>
      <c r="AB693" s="1"/>
      <c r="AC693" s="1"/>
      <c r="AD693" s="1"/>
      <c r="AE693" s="15"/>
      <c r="AF693" s="1"/>
      <c r="AG693" s="1"/>
      <c r="AH693" s="1"/>
      <c r="AI693" s="1"/>
      <c r="AJ693" s="15"/>
      <c r="AK693" s="1"/>
    </row>
    <row r="694" spans="1:37" ht="16.5" customHeight="1">
      <c r="A694" s="1"/>
      <c r="B694" s="1"/>
      <c r="C694" s="1"/>
      <c r="D694" s="15"/>
      <c r="E694" s="15"/>
      <c r="F694" s="15"/>
      <c r="G694" s="15"/>
      <c r="H694" s="1"/>
      <c r="I694" s="1"/>
      <c r="J694" s="1"/>
      <c r="K694" s="15"/>
      <c r="L694" s="1"/>
      <c r="M694" s="1"/>
      <c r="N694" s="1"/>
      <c r="O694" s="1"/>
      <c r="P694" s="15"/>
      <c r="Q694" s="1"/>
      <c r="R694" s="1"/>
      <c r="S694" s="1"/>
      <c r="T694" s="1"/>
      <c r="U694" s="15"/>
      <c r="V694" s="1"/>
      <c r="W694" s="1"/>
      <c r="X694" s="1"/>
      <c r="Y694" s="1"/>
      <c r="Z694" s="15"/>
      <c r="AA694" s="1"/>
      <c r="AB694" s="1"/>
      <c r="AC694" s="1"/>
      <c r="AD694" s="1"/>
      <c r="AE694" s="15"/>
      <c r="AF694" s="1"/>
      <c r="AG694" s="1"/>
      <c r="AH694" s="1"/>
      <c r="AI694" s="1"/>
      <c r="AJ694" s="15"/>
      <c r="AK694" s="1"/>
    </row>
    <row r="695" spans="1:37" ht="16.5" customHeight="1">
      <c r="A695" s="1"/>
      <c r="B695" s="1"/>
      <c r="C695" s="1"/>
      <c r="D695" s="15"/>
      <c r="E695" s="15"/>
      <c r="F695" s="15"/>
      <c r="G695" s="15"/>
      <c r="H695" s="1"/>
      <c r="I695" s="1"/>
      <c r="J695" s="1"/>
      <c r="K695" s="15"/>
      <c r="L695" s="1"/>
      <c r="M695" s="1"/>
      <c r="N695" s="1"/>
      <c r="O695" s="1"/>
      <c r="P695" s="15"/>
      <c r="Q695" s="1"/>
      <c r="R695" s="1"/>
      <c r="S695" s="1"/>
      <c r="T695" s="1"/>
      <c r="U695" s="15"/>
      <c r="V695" s="1"/>
      <c r="W695" s="1"/>
      <c r="X695" s="1"/>
      <c r="Y695" s="1"/>
      <c r="Z695" s="15"/>
      <c r="AA695" s="1"/>
      <c r="AB695" s="1"/>
      <c r="AC695" s="1"/>
      <c r="AD695" s="1"/>
      <c r="AE695" s="15"/>
      <c r="AF695" s="1"/>
      <c r="AG695" s="1"/>
      <c r="AH695" s="1"/>
      <c r="AI695" s="1"/>
      <c r="AJ695" s="15"/>
      <c r="AK695" s="1"/>
    </row>
    <row r="696" spans="1:37" ht="16.5" customHeight="1">
      <c r="A696" s="1"/>
      <c r="B696" s="1"/>
      <c r="C696" s="1"/>
      <c r="D696" s="15"/>
      <c r="E696" s="15"/>
      <c r="F696" s="15"/>
      <c r="G696" s="15"/>
      <c r="H696" s="1"/>
      <c r="I696" s="1"/>
      <c r="J696" s="1"/>
      <c r="K696" s="15"/>
      <c r="L696" s="1"/>
      <c r="M696" s="1"/>
      <c r="N696" s="1"/>
      <c r="O696" s="1"/>
      <c r="P696" s="15"/>
      <c r="Q696" s="1"/>
      <c r="R696" s="1"/>
      <c r="S696" s="1"/>
      <c r="T696" s="1"/>
      <c r="U696" s="15"/>
      <c r="V696" s="1"/>
      <c r="W696" s="1"/>
      <c r="X696" s="1"/>
      <c r="Y696" s="1"/>
      <c r="Z696" s="15"/>
      <c r="AA696" s="1"/>
      <c r="AB696" s="1"/>
      <c r="AC696" s="1"/>
      <c r="AD696" s="1"/>
      <c r="AE696" s="15"/>
      <c r="AF696" s="1"/>
      <c r="AG696" s="1"/>
      <c r="AH696" s="1"/>
      <c r="AI696" s="1"/>
      <c r="AJ696" s="15"/>
      <c r="AK696" s="1"/>
    </row>
    <row r="697" spans="1:37" ht="16.5" customHeight="1">
      <c r="A697" s="1"/>
      <c r="B697" s="1"/>
      <c r="C697" s="1"/>
      <c r="D697" s="15"/>
      <c r="E697" s="15"/>
      <c r="F697" s="15"/>
      <c r="G697" s="15"/>
      <c r="H697" s="1"/>
      <c r="I697" s="1"/>
      <c r="J697" s="1"/>
      <c r="K697" s="15"/>
      <c r="L697" s="1"/>
      <c r="M697" s="1"/>
      <c r="N697" s="1"/>
      <c r="O697" s="1"/>
      <c r="P697" s="15"/>
      <c r="Q697" s="1"/>
      <c r="R697" s="1"/>
      <c r="S697" s="1"/>
      <c r="T697" s="1"/>
      <c r="U697" s="15"/>
      <c r="V697" s="1"/>
      <c r="W697" s="1"/>
      <c r="X697" s="1"/>
      <c r="Y697" s="1"/>
      <c r="Z697" s="15"/>
      <c r="AA697" s="1"/>
      <c r="AB697" s="1"/>
      <c r="AC697" s="1"/>
      <c r="AD697" s="1"/>
      <c r="AE697" s="15"/>
      <c r="AF697" s="1"/>
      <c r="AG697" s="1"/>
      <c r="AH697" s="1"/>
      <c r="AI697" s="1"/>
      <c r="AJ697" s="15"/>
      <c r="AK697" s="1"/>
    </row>
    <row r="698" spans="1:37" ht="16.5" customHeight="1">
      <c r="A698" s="1"/>
      <c r="B698" s="1"/>
      <c r="C698" s="1"/>
      <c r="D698" s="15"/>
      <c r="E698" s="15"/>
      <c r="F698" s="15"/>
      <c r="G698" s="15"/>
      <c r="H698" s="1"/>
      <c r="I698" s="1"/>
      <c r="J698" s="1"/>
      <c r="K698" s="15"/>
      <c r="L698" s="1"/>
      <c r="M698" s="1"/>
      <c r="N698" s="1"/>
      <c r="O698" s="1"/>
      <c r="P698" s="15"/>
      <c r="Q698" s="1"/>
      <c r="R698" s="1"/>
      <c r="S698" s="1"/>
      <c r="T698" s="1"/>
      <c r="U698" s="15"/>
      <c r="V698" s="1"/>
      <c r="W698" s="1"/>
      <c r="X698" s="1"/>
      <c r="Y698" s="1"/>
      <c r="Z698" s="15"/>
      <c r="AA698" s="1"/>
      <c r="AB698" s="1"/>
      <c r="AC698" s="1"/>
      <c r="AD698" s="1"/>
      <c r="AE698" s="15"/>
      <c r="AF698" s="1"/>
      <c r="AG698" s="1"/>
      <c r="AH698" s="1"/>
      <c r="AI698" s="1"/>
      <c r="AJ698" s="15"/>
      <c r="AK698" s="1"/>
    </row>
    <row r="699" spans="1:37" ht="16.5" customHeight="1">
      <c r="A699" s="1"/>
      <c r="B699" s="1"/>
      <c r="C699" s="1"/>
      <c r="D699" s="15"/>
      <c r="E699" s="15"/>
      <c r="F699" s="15"/>
      <c r="G699" s="15"/>
      <c r="H699" s="1"/>
      <c r="I699" s="1"/>
      <c r="J699" s="1"/>
      <c r="K699" s="15"/>
      <c r="L699" s="1"/>
      <c r="M699" s="1"/>
      <c r="N699" s="1"/>
      <c r="O699" s="1"/>
      <c r="P699" s="15"/>
      <c r="Q699" s="1"/>
      <c r="R699" s="1"/>
      <c r="S699" s="1"/>
      <c r="T699" s="1"/>
      <c r="U699" s="15"/>
      <c r="V699" s="1"/>
      <c r="W699" s="1"/>
      <c r="X699" s="1"/>
      <c r="Y699" s="1"/>
      <c r="Z699" s="15"/>
      <c r="AA699" s="1"/>
      <c r="AB699" s="1"/>
      <c r="AC699" s="1"/>
      <c r="AD699" s="1"/>
      <c r="AE699" s="15"/>
      <c r="AF699" s="1"/>
      <c r="AG699" s="1"/>
      <c r="AH699" s="1"/>
      <c r="AI699" s="1"/>
      <c r="AJ699" s="15"/>
      <c r="AK699" s="1"/>
    </row>
    <row r="700" spans="1:37" ht="16.5" customHeight="1">
      <c r="A700" s="1"/>
      <c r="B700" s="1"/>
      <c r="C700" s="1"/>
      <c r="D700" s="15"/>
      <c r="E700" s="15"/>
      <c r="F700" s="15"/>
      <c r="G700" s="15"/>
      <c r="H700" s="1"/>
      <c r="I700" s="1"/>
      <c r="J700" s="1"/>
      <c r="K700" s="15"/>
      <c r="L700" s="1"/>
      <c r="M700" s="1"/>
      <c r="N700" s="1"/>
      <c r="O700" s="1"/>
      <c r="P700" s="15"/>
      <c r="Q700" s="1"/>
      <c r="R700" s="1"/>
      <c r="S700" s="1"/>
      <c r="T700" s="1"/>
      <c r="U700" s="15"/>
      <c r="V700" s="1"/>
      <c r="W700" s="1"/>
      <c r="X700" s="1"/>
      <c r="Y700" s="1"/>
      <c r="Z700" s="15"/>
      <c r="AA700" s="1"/>
      <c r="AB700" s="1"/>
      <c r="AC700" s="1"/>
      <c r="AD700" s="1"/>
      <c r="AE700" s="15"/>
      <c r="AF700" s="1"/>
      <c r="AG700" s="1"/>
      <c r="AH700" s="1"/>
      <c r="AI700" s="1"/>
      <c r="AJ700" s="15"/>
      <c r="AK700" s="1"/>
    </row>
    <row r="701" spans="1:37" ht="16.5" customHeight="1">
      <c r="A701" s="1"/>
      <c r="B701" s="1"/>
      <c r="C701" s="1"/>
      <c r="D701" s="15"/>
      <c r="E701" s="15"/>
      <c r="F701" s="15"/>
      <c r="G701" s="15"/>
      <c r="H701" s="1"/>
      <c r="I701" s="1"/>
      <c r="J701" s="1"/>
      <c r="K701" s="15"/>
      <c r="L701" s="1"/>
      <c r="M701" s="1"/>
      <c r="N701" s="1"/>
      <c r="O701" s="1"/>
      <c r="P701" s="15"/>
      <c r="Q701" s="1"/>
      <c r="R701" s="1"/>
      <c r="S701" s="1"/>
      <c r="T701" s="1"/>
      <c r="U701" s="15"/>
      <c r="V701" s="1"/>
      <c r="W701" s="1"/>
      <c r="X701" s="1"/>
      <c r="Y701" s="1"/>
      <c r="Z701" s="15"/>
      <c r="AA701" s="1"/>
      <c r="AB701" s="1"/>
      <c r="AC701" s="1"/>
      <c r="AD701" s="1"/>
      <c r="AE701" s="15"/>
      <c r="AF701" s="1"/>
      <c r="AG701" s="1"/>
      <c r="AH701" s="1"/>
      <c r="AI701" s="1"/>
      <c r="AJ701" s="15"/>
      <c r="AK701" s="1"/>
    </row>
    <row r="702" spans="1:37" ht="16.5" customHeight="1">
      <c r="A702" s="1"/>
      <c r="B702" s="1"/>
      <c r="C702" s="1"/>
      <c r="D702" s="15"/>
      <c r="E702" s="15"/>
      <c r="F702" s="15"/>
      <c r="G702" s="15"/>
      <c r="H702" s="1"/>
      <c r="I702" s="1"/>
      <c r="J702" s="1"/>
      <c r="K702" s="15"/>
      <c r="L702" s="1"/>
      <c r="M702" s="1"/>
      <c r="N702" s="1"/>
      <c r="O702" s="1"/>
      <c r="P702" s="15"/>
      <c r="Q702" s="1"/>
      <c r="R702" s="1"/>
      <c r="S702" s="1"/>
      <c r="T702" s="1"/>
      <c r="U702" s="15"/>
      <c r="V702" s="1"/>
      <c r="W702" s="1"/>
      <c r="X702" s="1"/>
      <c r="Y702" s="1"/>
      <c r="Z702" s="15"/>
      <c r="AA702" s="1"/>
      <c r="AB702" s="1"/>
      <c r="AC702" s="1"/>
      <c r="AD702" s="1"/>
      <c r="AE702" s="15"/>
      <c r="AF702" s="1"/>
      <c r="AG702" s="1"/>
      <c r="AH702" s="1"/>
      <c r="AI702" s="1"/>
      <c r="AJ702" s="15"/>
      <c r="AK702" s="1"/>
    </row>
    <row r="703" spans="1:37" ht="16.5" customHeight="1">
      <c r="A703" s="1"/>
      <c r="B703" s="1"/>
      <c r="C703" s="1"/>
      <c r="D703" s="15"/>
      <c r="E703" s="15"/>
      <c r="F703" s="15"/>
      <c r="G703" s="15"/>
      <c r="H703" s="1"/>
      <c r="I703" s="1"/>
      <c r="J703" s="1"/>
      <c r="K703" s="15"/>
      <c r="L703" s="1"/>
      <c r="M703" s="1"/>
      <c r="N703" s="1"/>
      <c r="O703" s="1"/>
      <c r="P703" s="15"/>
      <c r="Q703" s="1"/>
      <c r="R703" s="1"/>
      <c r="S703" s="1"/>
      <c r="T703" s="1"/>
      <c r="U703" s="15"/>
      <c r="V703" s="1"/>
      <c r="W703" s="1"/>
      <c r="X703" s="1"/>
      <c r="Y703" s="1"/>
      <c r="Z703" s="15"/>
      <c r="AA703" s="1"/>
      <c r="AB703" s="1"/>
      <c r="AC703" s="1"/>
      <c r="AD703" s="1"/>
      <c r="AE703" s="15"/>
      <c r="AF703" s="1"/>
      <c r="AG703" s="1"/>
      <c r="AH703" s="1"/>
      <c r="AI703" s="1"/>
      <c r="AJ703" s="15"/>
      <c r="AK703" s="1"/>
    </row>
    <row r="704" spans="1:37" ht="16.5" customHeight="1">
      <c r="A704" s="1"/>
      <c r="B704" s="1"/>
      <c r="C704" s="1"/>
      <c r="D704" s="15"/>
      <c r="E704" s="15"/>
      <c r="F704" s="15"/>
      <c r="G704" s="15"/>
      <c r="H704" s="1"/>
      <c r="I704" s="1"/>
      <c r="J704" s="1"/>
      <c r="K704" s="15"/>
      <c r="L704" s="1"/>
      <c r="M704" s="1"/>
      <c r="N704" s="1"/>
      <c r="O704" s="1"/>
      <c r="P704" s="15"/>
      <c r="Q704" s="1"/>
      <c r="R704" s="1"/>
      <c r="S704" s="1"/>
      <c r="T704" s="1"/>
      <c r="U704" s="15"/>
      <c r="V704" s="1"/>
      <c r="W704" s="1"/>
      <c r="X704" s="1"/>
      <c r="Y704" s="1"/>
      <c r="Z704" s="15"/>
      <c r="AA704" s="1"/>
      <c r="AB704" s="1"/>
      <c r="AC704" s="1"/>
      <c r="AD704" s="1"/>
      <c r="AE704" s="15"/>
      <c r="AF704" s="1"/>
      <c r="AG704" s="1"/>
      <c r="AH704" s="1"/>
      <c r="AI704" s="1"/>
      <c r="AJ704" s="15"/>
      <c r="AK704" s="1"/>
    </row>
    <row r="705" spans="1:37" ht="16.5" customHeight="1">
      <c r="A705" s="1"/>
      <c r="B705" s="1"/>
      <c r="C705" s="1"/>
      <c r="D705" s="15"/>
      <c r="E705" s="15"/>
      <c r="F705" s="15"/>
      <c r="G705" s="15"/>
      <c r="H705" s="1"/>
      <c r="I705" s="1"/>
      <c r="J705" s="1"/>
      <c r="K705" s="15"/>
      <c r="L705" s="1"/>
      <c r="M705" s="1"/>
      <c r="N705" s="1"/>
      <c r="O705" s="1"/>
      <c r="P705" s="15"/>
      <c r="Q705" s="1"/>
      <c r="R705" s="1"/>
      <c r="S705" s="1"/>
      <c r="T705" s="1"/>
      <c r="U705" s="15"/>
      <c r="V705" s="1"/>
      <c r="W705" s="1"/>
      <c r="X705" s="1"/>
      <c r="Y705" s="1"/>
      <c r="Z705" s="15"/>
      <c r="AA705" s="1"/>
      <c r="AB705" s="1"/>
      <c r="AC705" s="1"/>
      <c r="AD705" s="1"/>
      <c r="AE705" s="15"/>
      <c r="AF705" s="1"/>
      <c r="AG705" s="1"/>
      <c r="AH705" s="1"/>
      <c r="AI705" s="1"/>
      <c r="AJ705" s="15"/>
      <c r="AK705" s="1"/>
    </row>
    <row r="706" spans="1:37" ht="16.5" customHeight="1">
      <c r="A706" s="1"/>
      <c r="B706" s="1"/>
      <c r="C706" s="1"/>
      <c r="D706" s="15"/>
      <c r="E706" s="15"/>
      <c r="F706" s="15"/>
      <c r="G706" s="15"/>
      <c r="H706" s="1"/>
      <c r="I706" s="1"/>
      <c r="J706" s="1"/>
      <c r="K706" s="15"/>
      <c r="L706" s="1"/>
      <c r="M706" s="1"/>
      <c r="N706" s="1"/>
      <c r="O706" s="1"/>
      <c r="P706" s="15"/>
      <c r="Q706" s="1"/>
      <c r="R706" s="1"/>
      <c r="S706" s="1"/>
      <c r="T706" s="1"/>
      <c r="U706" s="15"/>
      <c r="V706" s="1"/>
      <c r="W706" s="1"/>
      <c r="X706" s="1"/>
      <c r="Y706" s="1"/>
      <c r="Z706" s="15"/>
      <c r="AA706" s="1"/>
      <c r="AB706" s="1"/>
      <c r="AC706" s="1"/>
      <c r="AD706" s="1"/>
      <c r="AE706" s="15"/>
      <c r="AF706" s="1"/>
      <c r="AG706" s="1"/>
      <c r="AH706" s="1"/>
      <c r="AI706" s="1"/>
      <c r="AJ706" s="15"/>
      <c r="AK706" s="1"/>
    </row>
    <row r="707" spans="1:37" ht="16.5" customHeight="1">
      <c r="A707" s="1"/>
      <c r="B707" s="1"/>
      <c r="C707" s="1"/>
      <c r="D707" s="15"/>
      <c r="E707" s="15"/>
      <c r="F707" s="15"/>
      <c r="G707" s="15"/>
      <c r="H707" s="1"/>
      <c r="I707" s="1"/>
      <c r="J707" s="1"/>
      <c r="K707" s="15"/>
      <c r="L707" s="1"/>
      <c r="M707" s="1"/>
      <c r="N707" s="1"/>
      <c r="O707" s="1"/>
      <c r="P707" s="15"/>
      <c r="Q707" s="1"/>
      <c r="R707" s="1"/>
      <c r="S707" s="1"/>
      <c r="T707" s="1"/>
      <c r="U707" s="15"/>
      <c r="V707" s="1"/>
      <c r="W707" s="1"/>
      <c r="X707" s="1"/>
      <c r="Y707" s="1"/>
      <c r="Z707" s="15"/>
      <c r="AA707" s="1"/>
      <c r="AB707" s="1"/>
      <c r="AC707" s="1"/>
      <c r="AD707" s="1"/>
      <c r="AE707" s="15"/>
      <c r="AF707" s="1"/>
      <c r="AG707" s="1"/>
      <c r="AH707" s="1"/>
      <c r="AI707" s="1"/>
      <c r="AJ707" s="15"/>
      <c r="AK707" s="1"/>
    </row>
    <row r="708" spans="1:37" ht="16.5" customHeight="1">
      <c r="A708" s="1"/>
      <c r="B708" s="1"/>
      <c r="C708" s="1"/>
      <c r="D708" s="15"/>
      <c r="E708" s="15"/>
      <c r="F708" s="15"/>
      <c r="G708" s="15"/>
      <c r="H708" s="1"/>
      <c r="I708" s="1"/>
      <c r="J708" s="1"/>
      <c r="K708" s="15"/>
      <c r="L708" s="1"/>
      <c r="M708" s="1"/>
      <c r="N708" s="1"/>
      <c r="O708" s="1"/>
      <c r="P708" s="15"/>
      <c r="Q708" s="1"/>
      <c r="R708" s="1"/>
      <c r="S708" s="1"/>
      <c r="T708" s="1"/>
      <c r="U708" s="15"/>
      <c r="V708" s="1"/>
      <c r="W708" s="1"/>
      <c r="X708" s="1"/>
      <c r="Y708" s="1"/>
      <c r="Z708" s="15"/>
      <c r="AA708" s="1"/>
      <c r="AB708" s="1"/>
      <c r="AC708" s="1"/>
      <c r="AD708" s="1"/>
      <c r="AE708" s="15"/>
      <c r="AF708" s="1"/>
      <c r="AG708" s="1"/>
      <c r="AH708" s="1"/>
      <c r="AI708" s="1"/>
      <c r="AJ708" s="15"/>
      <c r="AK708" s="1"/>
    </row>
    <row r="709" spans="1:37" ht="16.5" customHeight="1">
      <c r="A709" s="1"/>
      <c r="B709" s="1"/>
      <c r="C709" s="1"/>
      <c r="D709" s="15"/>
      <c r="E709" s="15"/>
      <c r="F709" s="15"/>
      <c r="G709" s="15"/>
      <c r="H709" s="1"/>
      <c r="I709" s="1"/>
      <c r="J709" s="1"/>
      <c r="K709" s="15"/>
      <c r="L709" s="1"/>
      <c r="M709" s="1"/>
      <c r="N709" s="1"/>
      <c r="O709" s="1"/>
      <c r="P709" s="15"/>
      <c r="Q709" s="1"/>
      <c r="R709" s="1"/>
      <c r="S709" s="1"/>
      <c r="T709" s="1"/>
      <c r="U709" s="15"/>
      <c r="V709" s="1"/>
      <c r="W709" s="1"/>
      <c r="X709" s="1"/>
      <c r="Y709" s="1"/>
      <c r="Z709" s="15"/>
      <c r="AA709" s="1"/>
      <c r="AB709" s="1"/>
      <c r="AC709" s="1"/>
      <c r="AD709" s="1"/>
      <c r="AE709" s="15"/>
      <c r="AF709" s="1"/>
      <c r="AG709" s="1"/>
      <c r="AH709" s="1"/>
      <c r="AI709" s="1"/>
      <c r="AJ709" s="15"/>
      <c r="AK709" s="1"/>
    </row>
    <row r="710" spans="1:37" ht="16.5" customHeight="1">
      <c r="A710" s="1"/>
      <c r="B710" s="1"/>
      <c r="C710" s="1"/>
      <c r="D710" s="15"/>
      <c r="E710" s="15"/>
      <c r="F710" s="15"/>
      <c r="G710" s="15"/>
      <c r="H710" s="1"/>
      <c r="I710" s="1"/>
      <c r="J710" s="1"/>
      <c r="K710" s="15"/>
      <c r="L710" s="1"/>
      <c r="M710" s="1"/>
      <c r="N710" s="1"/>
      <c r="O710" s="1"/>
      <c r="P710" s="15"/>
      <c r="Q710" s="1"/>
      <c r="R710" s="1"/>
      <c r="S710" s="1"/>
      <c r="T710" s="1"/>
      <c r="U710" s="15"/>
      <c r="V710" s="1"/>
      <c r="W710" s="1"/>
      <c r="X710" s="1"/>
      <c r="Y710" s="1"/>
      <c r="Z710" s="15"/>
      <c r="AA710" s="1"/>
      <c r="AB710" s="1"/>
      <c r="AC710" s="1"/>
      <c r="AD710" s="1"/>
      <c r="AE710" s="15"/>
      <c r="AF710" s="1"/>
      <c r="AG710" s="1"/>
      <c r="AH710" s="1"/>
      <c r="AI710" s="1"/>
      <c r="AJ710" s="15"/>
      <c r="AK710" s="1"/>
    </row>
    <row r="711" spans="1:37" ht="16.5" customHeight="1">
      <c r="A711" s="1"/>
      <c r="B711" s="1"/>
      <c r="C711" s="1"/>
      <c r="D711" s="15"/>
      <c r="E711" s="15"/>
      <c r="F711" s="15"/>
      <c r="G711" s="15"/>
      <c r="H711" s="1"/>
      <c r="I711" s="1"/>
      <c r="J711" s="1"/>
      <c r="K711" s="15"/>
      <c r="L711" s="1"/>
      <c r="M711" s="1"/>
      <c r="N711" s="1"/>
      <c r="O711" s="1"/>
      <c r="P711" s="15"/>
      <c r="Q711" s="1"/>
      <c r="R711" s="1"/>
      <c r="S711" s="1"/>
      <c r="T711" s="1"/>
      <c r="U711" s="15"/>
      <c r="V711" s="1"/>
      <c r="W711" s="1"/>
      <c r="X711" s="1"/>
      <c r="Y711" s="1"/>
      <c r="Z711" s="15"/>
      <c r="AA711" s="1"/>
      <c r="AB711" s="1"/>
      <c r="AC711" s="1"/>
      <c r="AD711" s="1"/>
      <c r="AE711" s="15"/>
      <c r="AF711" s="1"/>
      <c r="AG711" s="1"/>
      <c r="AH711" s="1"/>
      <c r="AI711" s="1"/>
      <c r="AJ711" s="15"/>
      <c r="AK711" s="1"/>
    </row>
    <row r="712" spans="1:37" ht="16.5" customHeight="1">
      <c r="A712" s="1"/>
      <c r="B712" s="1"/>
      <c r="C712" s="1"/>
      <c r="D712" s="15"/>
      <c r="E712" s="15"/>
      <c r="F712" s="15"/>
      <c r="G712" s="15"/>
      <c r="H712" s="1"/>
      <c r="I712" s="1"/>
      <c r="J712" s="1"/>
      <c r="K712" s="15"/>
      <c r="L712" s="1"/>
      <c r="M712" s="1"/>
      <c r="N712" s="1"/>
      <c r="O712" s="1"/>
      <c r="P712" s="15"/>
      <c r="Q712" s="1"/>
      <c r="R712" s="1"/>
      <c r="S712" s="1"/>
      <c r="T712" s="1"/>
      <c r="U712" s="15"/>
      <c r="V712" s="1"/>
      <c r="W712" s="1"/>
      <c r="X712" s="1"/>
      <c r="Y712" s="1"/>
      <c r="Z712" s="15"/>
      <c r="AA712" s="1"/>
      <c r="AB712" s="1"/>
      <c r="AC712" s="1"/>
      <c r="AD712" s="1"/>
      <c r="AE712" s="15"/>
      <c r="AF712" s="1"/>
      <c r="AG712" s="1"/>
      <c r="AH712" s="1"/>
      <c r="AI712" s="1"/>
      <c r="AJ712" s="15"/>
      <c r="AK712" s="1"/>
    </row>
    <row r="713" spans="1:37" ht="16.5" customHeight="1">
      <c r="A713" s="1"/>
      <c r="B713" s="1"/>
      <c r="C713" s="1"/>
      <c r="D713" s="15"/>
      <c r="E713" s="15"/>
      <c r="F713" s="15"/>
      <c r="G713" s="15"/>
      <c r="H713" s="1"/>
      <c r="I713" s="1"/>
      <c r="J713" s="1"/>
      <c r="K713" s="15"/>
      <c r="L713" s="1"/>
      <c r="M713" s="1"/>
      <c r="N713" s="1"/>
      <c r="O713" s="1"/>
      <c r="P713" s="15"/>
      <c r="Q713" s="1"/>
      <c r="R713" s="1"/>
      <c r="S713" s="1"/>
      <c r="T713" s="1"/>
      <c r="U713" s="15"/>
      <c r="V713" s="1"/>
      <c r="W713" s="1"/>
      <c r="X713" s="1"/>
      <c r="Y713" s="1"/>
      <c r="Z713" s="15"/>
      <c r="AA713" s="1"/>
      <c r="AB713" s="1"/>
      <c r="AC713" s="1"/>
      <c r="AD713" s="1"/>
      <c r="AE713" s="15"/>
      <c r="AF713" s="1"/>
      <c r="AG713" s="1"/>
      <c r="AH713" s="1"/>
      <c r="AI713" s="1"/>
      <c r="AJ713" s="15"/>
      <c r="AK713" s="1"/>
    </row>
    <row r="714" spans="1:37" ht="16.5" customHeight="1">
      <c r="A714" s="1"/>
      <c r="B714" s="1"/>
      <c r="C714" s="1"/>
      <c r="D714" s="15"/>
      <c r="E714" s="15"/>
      <c r="F714" s="15"/>
      <c r="G714" s="15"/>
      <c r="H714" s="1"/>
      <c r="I714" s="1"/>
      <c r="J714" s="1"/>
      <c r="K714" s="15"/>
      <c r="L714" s="1"/>
      <c r="M714" s="1"/>
      <c r="N714" s="1"/>
      <c r="O714" s="1"/>
      <c r="P714" s="15"/>
      <c r="Q714" s="1"/>
      <c r="R714" s="1"/>
      <c r="S714" s="1"/>
      <c r="T714" s="1"/>
      <c r="U714" s="15"/>
      <c r="V714" s="1"/>
      <c r="W714" s="1"/>
      <c r="X714" s="1"/>
      <c r="Y714" s="1"/>
      <c r="Z714" s="15"/>
      <c r="AA714" s="1"/>
      <c r="AB714" s="1"/>
      <c r="AC714" s="1"/>
      <c r="AD714" s="1"/>
      <c r="AE714" s="15"/>
      <c r="AF714" s="1"/>
      <c r="AG714" s="1"/>
      <c r="AH714" s="1"/>
      <c r="AI714" s="1"/>
      <c r="AJ714" s="15"/>
      <c r="AK714" s="1"/>
    </row>
    <row r="715" spans="1:37" ht="16.5" customHeight="1">
      <c r="A715" s="1"/>
      <c r="B715" s="1"/>
      <c r="C715" s="1"/>
      <c r="D715" s="15"/>
      <c r="E715" s="15"/>
      <c r="F715" s="15"/>
      <c r="G715" s="15"/>
      <c r="H715" s="1"/>
      <c r="I715" s="1"/>
      <c r="J715" s="1"/>
      <c r="K715" s="15"/>
      <c r="L715" s="1"/>
      <c r="M715" s="1"/>
      <c r="N715" s="1"/>
      <c r="O715" s="1"/>
      <c r="P715" s="15"/>
      <c r="Q715" s="1"/>
      <c r="R715" s="1"/>
      <c r="S715" s="1"/>
      <c r="T715" s="1"/>
      <c r="U715" s="15"/>
      <c r="V715" s="1"/>
      <c r="W715" s="1"/>
      <c r="X715" s="1"/>
      <c r="Y715" s="1"/>
      <c r="Z715" s="15"/>
      <c r="AA715" s="1"/>
      <c r="AB715" s="1"/>
      <c r="AC715" s="1"/>
      <c r="AD715" s="1"/>
      <c r="AE715" s="15"/>
      <c r="AF715" s="1"/>
      <c r="AG715" s="1"/>
      <c r="AH715" s="1"/>
      <c r="AI715" s="1"/>
      <c r="AJ715" s="15"/>
      <c r="AK715" s="1"/>
    </row>
    <row r="716" spans="1:37" ht="16.5" customHeight="1">
      <c r="A716" s="1"/>
      <c r="B716" s="1"/>
      <c r="C716" s="1"/>
      <c r="D716" s="15"/>
      <c r="E716" s="15"/>
      <c r="F716" s="15"/>
      <c r="G716" s="15"/>
      <c r="H716" s="1"/>
      <c r="I716" s="1"/>
      <c r="J716" s="1"/>
      <c r="K716" s="15"/>
      <c r="L716" s="1"/>
      <c r="M716" s="1"/>
      <c r="N716" s="1"/>
      <c r="O716" s="1"/>
      <c r="P716" s="15"/>
      <c r="Q716" s="1"/>
      <c r="R716" s="1"/>
      <c r="S716" s="1"/>
      <c r="T716" s="1"/>
      <c r="U716" s="15"/>
      <c r="V716" s="1"/>
      <c r="W716" s="1"/>
      <c r="X716" s="1"/>
      <c r="Y716" s="1"/>
      <c r="Z716" s="15"/>
      <c r="AA716" s="1"/>
      <c r="AB716" s="1"/>
      <c r="AC716" s="1"/>
      <c r="AD716" s="1"/>
      <c r="AE716" s="15"/>
      <c r="AF716" s="1"/>
      <c r="AG716" s="1"/>
      <c r="AH716" s="1"/>
      <c r="AI716" s="1"/>
      <c r="AJ716" s="15"/>
      <c r="AK716" s="1"/>
    </row>
    <row r="717" spans="1:37" ht="16.5" customHeight="1">
      <c r="A717" s="1"/>
      <c r="B717" s="1"/>
      <c r="C717" s="1"/>
      <c r="D717" s="15"/>
      <c r="E717" s="15"/>
      <c r="F717" s="15"/>
      <c r="G717" s="15"/>
      <c r="H717" s="1"/>
      <c r="I717" s="1"/>
      <c r="J717" s="1"/>
      <c r="K717" s="15"/>
      <c r="L717" s="1"/>
      <c r="M717" s="1"/>
      <c r="N717" s="1"/>
      <c r="O717" s="1"/>
      <c r="P717" s="15"/>
      <c r="Q717" s="1"/>
      <c r="R717" s="1"/>
      <c r="S717" s="1"/>
      <c r="T717" s="1"/>
      <c r="U717" s="15"/>
      <c r="V717" s="1"/>
      <c r="W717" s="1"/>
      <c r="X717" s="1"/>
      <c r="Y717" s="1"/>
      <c r="Z717" s="15"/>
      <c r="AA717" s="1"/>
      <c r="AB717" s="1"/>
      <c r="AC717" s="1"/>
      <c r="AD717" s="1"/>
      <c r="AE717" s="15"/>
      <c r="AF717" s="1"/>
      <c r="AG717" s="1"/>
      <c r="AH717" s="1"/>
      <c r="AI717" s="1"/>
      <c r="AJ717" s="15"/>
      <c r="AK717" s="1"/>
    </row>
    <row r="718" spans="1:37" ht="16.5" customHeight="1">
      <c r="A718" s="1"/>
      <c r="B718" s="1"/>
      <c r="C718" s="1"/>
      <c r="D718" s="15"/>
      <c r="E718" s="15"/>
      <c r="F718" s="15"/>
      <c r="G718" s="15"/>
      <c r="H718" s="1"/>
      <c r="I718" s="1"/>
      <c r="J718" s="1"/>
      <c r="K718" s="15"/>
      <c r="L718" s="1"/>
      <c r="M718" s="1"/>
      <c r="N718" s="1"/>
      <c r="O718" s="1"/>
      <c r="P718" s="15"/>
      <c r="Q718" s="1"/>
      <c r="R718" s="1"/>
      <c r="S718" s="1"/>
      <c r="T718" s="1"/>
      <c r="U718" s="15"/>
      <c r="V718" s="1"/>
      <c r="W718" s="1"/>
      <c r="X718" s="1"/>
      <c r="Y718" s="1"/>
      <c r="Z718" s="15"/>
      <c r="AA718" s="1"/>
      <c r="AB718" s="1"/>
      <c r="AC718" s="1"/>
      <c r="AD718" s="1"/>
      <c r="AE718" s="15"/>
      <c r="AF718" s="1"/>
      <c r="AG718" s="1"/>
      <c r="AH718" s="1"/>
      <c r="AI718" s="1"/>
      <c r="AJ718" s="15"/>
      <c r="AK718" s="1"/>
    </row>
    <row r="719" spans="1:37" ht="16.5" customHeight="1">
      <c r="A719" s="1"/>
      <c r="B719" s="1"/>
      <c r="C719" s="1"/>
      <c r="D719" s="15"/>
      <c r="E719" s="15"/>
      <c r="F719" s="15"/>
      <c r="G719" s="15"/>
      <c r="H719" s="1"/>
      <c r="I719" s="1"/>
      <c r="J719" s="1"/>
      <c r="K719" s="15"/>
      <c r="L719" s="1"/>
      <c r="M719" s="1"/>
      <c r="N719" s="1"/>
      <c r="O719" s="1"/>
      <c r="P719" s="15"/>
      <c r="Q719" s="1"/>
      <c r="R719" s="1"/>
      <c r="S719" s="1"/>
      <c r="T719" s="1"/>
      <c r="U719" s="15"/>
      <c r="V719" s="1"/>
      <c r="W719" s="1"/>
      <c r="X719" s="1"/>
      <c r="Y719" s="1"/>
      <c r="Z719" s="15"/>
      <c r="AA719" s="1"/>
      <c r="AB719" s="1"/>
      <c r="AC719" s="1"/>
      <c r="AD719" s="1"/>
      <c r="AE719" s="15"/>
      <c r="AF719" s="1"/>
      <c r="AG719" s="1"/>
      <c r="AH719" s="1"/>
      <c r="AI719" s="1"/>
      <c r="AJ719" s="15"/>
      <c r="AK719" s="1"/>
    </row>
    <row r="720" spans="1:37" ht="16.5" customHeight="1">
      <c r="A720" s="1"/>
      <c r="B720" s="1"/>
      <c r="C720" s="1"/>
      <c r="D720" s="15"/>
      <c r="E720" s="15"/>
      <c r="F720" s="15"/>
      <c r="G720" s="15"/>
      <c r="H720" s="1"/>
      <c r="I720" s="1"/>
      <c r="J720" s="1"/>
      <c r="K720" s="15"/>
      <c r="L720" s="1"/>
      <c r="M720" s="1"/>
      <c r="N720" s="1"/>
      <c r="O720" s="1"/>
      <c r="P720" s="15"/>
      <c r="Q720" s="1"/>
      <c r="R720" s="1"/>
      <c r="S720" s="1"/>
      <c r="T720" s="1"/>
      <c r="U720" s="15"/>
      <c r="V720" s="1"/>
      <c r="W720" s="1"/>
      <c r="X720" s="1"/>
      <c r="Y720" s="1"/>
      <c r="Z720" s="15"/>
      <c r="AA720" s="1"/>
      <c r="AB720" s="1"/>
      <c r="AC720" s="1"/>
      <c r="AD720" s="1"/>
      <c r="AE720" s="15"/>
      <c r="AF720" s="1"/>
      <c r="AG720" s="1"/>
      <c r="AH720" s="1"/>
      <c r="AI720" s="1"/>
      <c r="AJ720" s="15"/>
      <c r="AK720" s="1"/>
    </row>
    <row r="721" spans="1:37" ht="16.5" customHeight="1">
      <c r="A721" s="1"/>
      <c r="B721" s="1"/>
      <c r="C721" s="1"/>
      <c r="D721" s="15"/>
      <c r="E721" s="15"/>
      <c r="F721" s="15"/>
      <c r="G721" s="15"/>
      <c r="H721" s="1"/>
      <c r="I721" s="1"/>
      <c r="J721" s="1"/>
      <c r="K721" s="15"/>
      <c r="L721" s="1"/>
      <c r="M721" s="1"/>
      <c r="N721" s="1"/>
      <c r="O721" s="1"/>
      <c r="P721" s="15"/>
      <c r="Q721" s="1"/>
      <c r="R721" s="1"/>
      <c r="S721" s="1"/>
      <c r="T721" s="1"/>
      <c r="U721" s="15"/>
      <c r="V721" s="1"/>
      <c r="W721" s="1"/>
      <c r="X721" s="1"/>
      <c r="Y721" s="1"/>
      <c r="Z721" s="15"/>
      <c r="AA721" s="1"/>
      <c r="AB721" s="1"/>
      <c r="AC721" s="1"/>
      <c r="AD721" s="1"/>
      <c r="AE721" s="15"/>
      <c r="AF721" s="1"/>
      <c r="AG721" s="1"/>
      <c r="AH721" s="1"/>
      <c r="AI721" s="1"/>
      <c r="AJ721" s="15"/>
      <c r="AK721" s="1"/>
    </row>
    <row r="722" spans="1:37" ht="16.5" customHeight="1">
      <c r="A722" s="1"/>
      <c r="B722" s="1"/>
      <c r="C722" s="1"/>
      <c r="D722" s="15"/>
      <c r="E722" s="15"/>
      <c r="F722" s="15"/>
      <c r="G722" s="15"/>
      <c r="H722" s="1"/>
      <c r="I722" s="1"/>
      <c r="J722" s="1"/>
      <c r="K722" s="15"/>
      <c r="L722" s="1"/>
      <c r="M722" s="1"/>
      <c r="N722" s="1"/>
      <c r="O722" s="1"/>
      <c r="P722" s="15"/>
      <c r="Q722" s="1"/>
      <c r="R722" s="1"/>
      <c r="S722" s="1"/>
      <c r="T722" s="1"/>
      <c r="U722" s="15"/>
      <c r="V722" s="1"/>
      <c r="W722" s="1"/>
      <c r="X722" s="1"/>
      <c r="Y722" s="1"/>
      <c r="Z722" s="15"/>
      <c r="AA722" s="1"/>
      <c r="AB722" s="1"/>
      <c r="AC722" s="1"/>
      <c r="AD722" s="1"/>
      <c r="AE722" s="15"/>
      <c r="AF722" s="1"/>
      <c r="AG722" s="1"/>
      <c r="AH722" s="1"/>
      <c r="AI722" s="1"/>
      <c r="AJ722" s="15"/>
      <c r="AK722" s="1"/>
    </row>
    <row r="723" spans="1:37" ht="16.5" customHeight="1">
      <c r="A723" s="1"/>
      <c r="B723" s="1"/>
      <c r="C723" s="1"/>
      <c r="D723" s="15"/>
      <c r="E723" s="15"/>
      <c r="F723" s="15"/>
      <c r="G723" s="15"/>
      <c r="H723" s="1"/>
      <c r="I723" s="1"/>
      <c r="J723" s="1"/>
      <c r="K723" s="15"/>
      <c r="L723" s="1"/>
      <c r="M723" s="1"/>
      <c r="N723" s="1"/>
      <c r="O723" s="1"/>
      <c r="P723" s="15"/>
      <c r="Q723" s="1"/>
      <c r="R723" s="1"/>
      <c r="S723" s="1"/>
      <c r="T723" s="1"/>
      <c r="U723" s="15"/>
      <c r="V723" s="1"/>
      <c r="W723" s="1"/>
      <c r="X723" s="1"/>
      <c r="Y723" s="1"/>
      <c r="Z723" s="15"/>
      <c r="AA723" s="1"/>
      <c r="AB723" s="1"/>
      <c r="AC723" s="1"/>
      <c r="AD723" s="1"/>
      <c r="AE723" s="15"/>
      <c r="AF723" s="1"/>
      <c r="AG723" s="1"/>
      <c r="AH723" s="1"/>
      <c r="AI723" s="1"/>
      <c r="AJ723" s="15"/>
      <c r="AK723" s="1"/>
    </row>
    <row r="724" spans="1:37" ht="16.5" customHeight="1">
      <c r="A724" s="1"/>
      <c r="B724" s="1"/>
      <c r="C724" s="1"/>
      <c r="D724" s="15"/>
      <c r="E724" s="15"/>
      <c r="F724" s="15"/>
      <c r="G724" s="15"/>
      <c r="H724" s="1"/>
      <c r="I724" s="1"/>
      <c r="J724" s="1"/>
      <c r="K724" s="15"/>
      <c r="L724" s="1"/>
      <c r="M724" s="1"/>
      <c r="N724" s="1"/>
      <c r="O724" s="1"/>
      <c r="P724" s="15"/>
      <c r="Q724" s="1"/>
      <c r="R724" s="1"/>
      <c r="S724" s="1"/>
      <c r="T724" s="1"/>
      <c r="U724" s="15"/>
      <c r="V724" s="1"/>
      <c r="W724" s="1"/>
      <c r="X724" s="1"/>
      <c r="Y724" s="1"/>
      <c r="Z724" s="15"/>
      <c r="AA724" s="1"/>
      <c r="AB724" s="1"/>
      <c r="AC724" s="1"/>
      <c r="AD724" s="1"/>
      <c r="AE724" s="15"/>
      <c r="AF724" s="1"/>
      <c r="AG724" s="1"/>
      <c r="AH724" s="1"/>
      <c r="AI724" s="1"/>
      <c r="AJ724" s="15"/>
      <c r="AK724" s="1"/>
    </row>
    <row r="725" spans="1:37" ht="16.5" customHeight="1">
      <c r="A725" s="1"/>
      <c r="B725" s="1"/>
      <c r="C725" s="1"/>
      <c r="D725" s="15"/>
      <c r="E725" s="15"/>
      <c r="F725" s="15"/>
      <c r="G725" s="15"/>
      <c r="H725" s="1"/>
      <c r="I725" s="1"/>
      <c r="J725" s="1"/>
      <c r="K725" s="15"/>
      <c r="L725" s="1"/>
      <c r="M725" s="1"/>
      <c r="N725" s="1"/>
      <c r="O725" s="1"/>
      <c r="P725" s="15"/>
      <c r="Q725" s="1"/>
      <c r="R725" s="1"/>
      <c r="S725" s="1"/>
      <c r="T725" s="1"/>
      <c r="U725" s="15"/>
      <c r="V725" s="1"/>
      <c r="W725" s="1"/>
      <c r="X725" s="1"/>
      <c r="Y725" s="1"/>
      <c r="Z725" s="15"/>
      <c r="AA725" s="1"/>
      <c r="AB725" s="1"/>
      <c r="AC725" s="1"/>
      <c r="AD725" s="1"/>
      <c r="AE725" s="15"/>
      <c r="AF725" s="1"/>
      <c r="AG725" s="1"/>
      <c r="AH725" s="1"/>
      <c r="AI725" s="1"/>
      <c r="AJ725" s="15"/>
      <c r="AK725" s="1"/>
    </row>
    <row r="726" spans="1:37" ht="16.5" customHeight="1">
      <c r="A726" s="1"/>
      <c r="B726" s="1"/>
      <c r="C726" s="1"/>
      <c r="D726" s="15"/>
      <c r="E726" s="15"/>
      <c r="F726" s="15"/>
      <c r="G726" s="15"/>
      <c r="H726" s="1"/>
      <c r="I726" s="1"/>
      <c r="J726" s="1"/>
      <c r="K726" s="15"/>
      <c r="L726" s="1"/>
      <c r="M726" s="1"/>
      <c r="N726" s="1"/>
      <c r="O726" s="1"/>
      <c r="P726" s="15"/>
      <c r="Q726" s="1"/>
      <c r="R726" s="1"/>
      <c r="S726" s="1"/>
      <c r="T726" s="1"/>
      <c r="U726" s="15"/>
      <c r="V726" s="1"/>
      <c r="W726" s="1"/>
      <c r="X726" s="1"/>
      <c r="Y726" s="1"/>
      <c r="Z726" s="15"/>
      <c r="AA726" s="1"/>
      <c r="AB726" s="1"/>
      <c r="AC726" s="1"/>
      <c r="AD726" s="1"/>
      <c r="AE726" s="15"/>
      <c r="AF726" s="1"/>
      <c r="AG726" s="1"/>
      <c r="AH726" s="1"/>
      <c r="AI726" s="1"/>
      <c r="AJ726" s="15"/>
      <c r="AK726" s="1"/>
    </row>
    <row r="727" spans="1:37" ht="16.5" customHeight="1">
      <c r="A727" s="1"/>
      <c r="B727" s="1"/>
      <c r="C727" s="1"/>
      <c r="D727" s="15"/>
      <c r="E727" s="15"/>
      <c r="F727" s="15"/>
      <c r="G727" s="15"/>
      <c r="H727" s="1"/>
      <c r="I727" s="1"/>
      <c r="J727" s="1"/>
      <c r="K727" s="15"/>
      <c r="L727" s="1"/>
      <c r="M727" s="1"/>
      <c r="N727" s="1"/>
      <c r="O727" s="1"/>
      <c r="P727" s="15"/>
      <c r="Q727" s="1"/>
      <c r="R727" s="1"/>
      <c r="S727" s="1"/>
      <c r="T727" s="1"/>
      <c r="U727" s="15"/>
      <c r="V727" s="1"/>
      <c r="W727" s="1"/>
      <c r="X727" s="1"/>
      <c r="Y727" s="1"/>
      <c r="Z727" s="15"/>
      <c r="AA727" s="1"/>
      <c r="AB727" s="1"/>
      <c r="AC727" s="1"/>
      <c r="AD727" s="1"/>
      <c r="AE727" s="15"/>
      <c r="AF727" s="1"/>
      <c r="AG727" s="1"/>
      <c r="AH727" s="1"/>
      <c r="AI727" s="1"/>
      <c r="AJ727" s="15"/>
      <c r="AK727" s="1"/>
    </row>
    <row r="728" spans="1:37" ht="16.5" customHeight="1">
      <c r="A728" s="1"/>
      <c r="B728" s="1"/>
      <c r="C728" s="1"/>
      <c r="D728" s="15"/>
      <c r="E728" s="15"/>
      <c r="F728" s="15"/>
      <c r="G728" s="15"/>
      <c r="H728" s="1"/>
      <c r="I728" s="1"/>
      <c r="J728" s="1"/>
      <c r="K728" s="15"/>
      <c r="L728" s="1"/>
      <c r="M728" s="1"/>
      <c r="N728" s="1"/>
      <c r="O728" s="1"/>
      <c r="P728" s="15"/>
      <c r="Q728" s="1"/>
      <c r="R728" s="1"/>
      <c r="S728" s="1"/>
      <c r="T728" s="1"/>
      <c r="U728" s="15"/>
      <c r="V728" s="1"/>
      <c r="W728" s="1"/>
      <c r="X728" s="1"/>
      <c r="Y728" s="1"/>
      <c r="Z728" s="15"/>
      <c r="AA728" s="1"/>
      <c r="AB728" s="1"/>
      <c r="AC728" s="1"/>
      <c r="AD728" s="1"/>
      <c r="AE728" s="15"/>
      <c r="AF728" s="1"/>
      <c r="AG728" s="1"/>
      <c r="AH728" s="1"/>
      <c r="AI728" s="1"/>
      <c r="AJ728" s="15"/>
      <c r="AK728" s="1"/>
    </row>
    <row r="729" spans="1:37" ht="16.5" customHeight="1">
      <c r="A729" s="1"/>
      <c r="B729" s="1"/>
      <c r="C729" s="1"/>
      <c r="D729" s="15"/>
      <c r="E729" s="15"/>
      <c r="F729" s="15"/>
      <c r="G729" s="15"/>
      <c r="H729" s="1"/>
      <c r="I729" s="1"/>
      <c r="J729" s="1"/>
      <c r="K729" s="15"/>
      <c r="L729" s="1"/>
      <c r="M729" s="1"/>
      <c r="N729" s="1"/>
      <c r="O729" s="1"/>
      <c r="P729" s="15"/>
      <c r="Q729" s="1"/>
      <c r="R729" s="1"/>
      <c r="S729" s="1"/>
      <c r="T729" s="1"/>
      <c r="U729" s="15"/>
      <c r="V729" s="1"/>
      <c r="W729" s="1"/>
      <c r="X729" s="1"/>
      <c r="Y729" s="1"/>
      <c r="Z729" s="15"/>
      <c r="AA729" s="1"/>
      <c r="AB729" s="1"/>
      <c r="AC729" s="1"/>
      <c r="AD729" s="1"/>
      <c r="AE729" s="15"/>
      <c r="AF729" s="1"/>
      <c r="AG729" s="1"/>
      <c r="AH729" s="1"/>
      <c r="AI729" s="1"/>
      <c r="AJ729" s="15"/>
      <c r="AK729" s="1"/>
    </row>
    <row r="730" spans="1:37" ht="16.5" customHeight="1">
      <c r="A730" s="1"/>
      <c r="B730" s="1"/>
      <c r="C730" s="1"/>
      <c r="D730" s="15"/>
      <c r="E730" s="15"/>
      <c r="F730" s="15"/>
      <c r="G730" s="15"/>
      <c r="H730" s="1"/>
      <c r="I730" s="1"/>
      <c r="J730" s="1"/>
      <c r="K730" s="15"/>
      <c r="L730" s="1"/>
      <c r="M730" s="1"/>
      <c r="N730" s="1"/>
      <c r="O730" s="1"/>
      <c r="P730" s="15"/>
      <c r="Q730" s="1"/>
      <c r="R730" s="1"/>
      <c r="S730" s="1"/>
      <c r="T730" s="1"/>
      <c r="U730" s="15"/>
      <c r="V730" s="1"/>
      <c r="W730" s="1"/>
      <c r="X730" s="1"/>
      <c r="Y730" s="1"/>
      <c r="Z730" s="15"/>
      <c r="AA730" s="1"/>
      <c r="AB730" s="1"/>
      <c r="AC730" s="1"/>
      <c r="AD730" s="1"/>
      <c r="AE730" s="15"/>
      <c r="AF730" s="1"/>
      <c r="AG730" s="1"/>
      <c r="AH730" s="1"/>
      <c r="AI730" s="1"/>
      <c r="AJ730" s="15"/>
      <c r="AK730" s="1"/>
    </row>
    <row r="731" spans="1:37" ht="16.5" customHeight="1">
      <c r="A731" s="1"/>
      <c r="B731" s="1"/>
      <c r="C731" s="1"/>
      <c r="D731" s="15"/>
      <c r="E731" s="15"/>
      <c r="F731" s="15"/>
      <c r="G731" s="15"/>
      <c r="H731" s="1"/>
      <c r="I731" s="1"/>
      <c r="J731" s="1"/>
      <c r="K731" s="15"/>
      <c r="L731" s="1"/>
      <c r="M731" s="1"/>
      <c r="N731" s="1"/>
      <c r="O731" s="1"/>
      <c r="P731" s="15"/>
      <c r="Q731" s="1"/>
      <c r="R731" s="1"/>
      <c r="S731" s="1"/>
      <c r="T731" s="1"/>
      <c r="U731" s="15"/>
      <c r="V731" s="1"/>
      <c r="W731" s="1"/>
      <c r="X731" s="1"/>
      <c r="Y731" s="1"/>
      <c r="Z731" s="15"/>
      <c r="AA731" s="1"/>
      <c r="AB731" s="1"/>
      <c r="AC731" s="1"/>
      <c r="AD731" s="1"/>
      <c r="AE731" s="15"/>
      <c r="AF731" s="1"/>
      <c r="AG731" s="1"/>
      <c r="AH731" s="1"/>
      <c r="AI731" s="1"/>
      <c r="AJ731" s="15"/>
      <c r="AK731" s="1"/>
    </row>
    <row r="732" spans="1:37" ht="16.5" customHeight="1">
      <c r="A732" s="1"/>
      <c r="B732" s="1"/>
      <c r="C732" s="1"/>
      <c r="D732" s="15"/>
      <c r="E732" s="15"/>
      <c r="F732" s="15"/>
      <c r="G732" s="15"/>
      <c r="H732" s="1"/>
      <c r="I732" s="1"/>
      <c r="J732" s="1"/>
      <c r="K732" s="15"/>
      <c r="L732" s="1"/>
      <c r="M732" s="1"/>
      <c r="N732" s="1"/>
      <c r="O732" s="1"/>
      <c r="P732" s="15"/>
      <c r="Q732" s="1"/>
      <c r="R732" s="1"/>
      <c r="S732" s="1"/>
      <c r="T732" s="1"/>
      <c r="U732" s="15"/>
      <c r="V732" s="1"/>
      <c r="W732" s="1"/>
      <c r="X732" s="1"/>
      <c r="Y732" s="1"/>
      <c r="Z732" s="15"/>
      <c r="AA732" s="1"/>
      <c r="AB732" s="1"/>
      <c r="AC732" s="1"/>
      <c r="AD732" s="1"/>
      <c r="AE732" s="15"/>
      <c r="AF732" s="1"/>
      <c r="AG732" s="1"/>
      <c r="AH732" s="1"/>
      <c r="AI732" s="1"/>
      <c r="AJ732" s="15"/>
      <c r="AK732" s="1"/>
    </row>
    <row r="733" spans="1:37" ht="16.5" customHeight="1">
      <c r="A733" s="1"/>
      <c r="B733" s="1"/>
      <c r="C733" s="1"/>
      <c r="D733" s="15"/>
      <c r="E733" s="15"/>
      <c r="F733" s="15"/>
      <c r="G733" s="15"/>
      <c r="H733" s="1"/>
      <c r="I733" s="1"/>
      <c r="J733" s="1"/>
      <c r="K733" s="15"/>
      <c r="L733" s="1"/>
      <c r="M733" s="1"/>
      <c r="N733" s="1"/>
      <c r="O733" s="1"/>
      <c r="P733" s="15"/>
      <c r="Q733" s="1"/>
      <c r="R733" s="1"/>
      <c r="S733" s="1"/>
      <c r="T733" s="1"/>
      <c r="U733" s="15"/>
      <c r="V733" s="1"/>
      <c r="W733" s="1"/>
      <c r="X733" s="1"/>
      <c r="Y733" s="1"/>
      <c r="Z733" s="15"/>
      <c r="AA733" s="1"/>
      <c r="AB733" s="1"/>
      <c r="AC733" s="1"/>
      <c r="AD733" s="1"/>
      <c r="AE733" s="15"/>
      <c r="AF733" s="1"/>
      <c r="AG733" s="1"/>
      <c r="AH733" s="1"/>
      <c r="AI733" s="1"/>
      <c r="AJ733" s="15"/>
      <c r="AK733" s="1"/>
    </row>
    <row r="734" spans="1:37" ht="16.5" customHeight="1">
      <c r="A734" s="1"/>
      <c r="B734" s="1"/>
      <c r="C734" s="1"/>
      <c r="D734" s="15"/>
      <c r="E734" s="15"/>
      <c r="F734" s="15"/>
      <c r="G734" s="15"/>
      <c r="H734" s="1"/>
      <c r="I734" s="1"/>
      <c r="J734" s="1"/>
      <c r="K734" s="15"/>
      <c r="L734" s="1"/>
      <c r="M734" s="1"/>
      <c r="N734" s="1"/>
      <c r="O734" s="1"/>
      <c r="P734" s="15"/>
      <c r="Q734" s="1"/>
      <c r="R734" s="1"/>
      <c r="S734" s="1"/>
      <c r="T734" s="1"/>
      <c r="U734" s="15"/>
      <c r="V734" s="1"/>
      <c r="W734" s="1"/>
      <c r="X734" s="1"/>
      <c r="Y734" s="1"/>
      <c r="Z734" s="15"/>
      <c r="AA734" s="1"/>
      <c r="AB734" s="1"/>
      <c r="AC734" s="1"/>
      <c r="AD734" s="1"/>
      <c r="AE734" s="15"/>
      <c r="AF734" s="1"/>
      <c r="AG734" s="1"/>
      <c r="AH734" s="1"/>
      <c r="AI734" s="1"/>
      <c r="AJ734" s="15"/>
      <c r="AK734" s="1"/>
    </row>
    <row r="735" spans="1:37" ht="16.5" customHeight="1">
      <c r="A735" s="1"/>
      <c r="B735" s="1"/>
      <c r="C735" s="1"/>
      <c r="D735" s="15"/>
      <c r="E735" s="15"/>
      <c r="F735" s="15"/>
      <c r="G735" s="15"/>
      <c r="H735" s="1"/>
      <c r="I735" s="1"/>
      <c r="J735" s="1"/>
      <c r="K735" s="15"/>
      <c r="L735" s="1"/>
      <c r="M735" s="1"/>
      <c r="N735" s="1"/>
      <c r="O735" s="1"/>
      <c r="P735" s="15"/>
      <c r="Q735" s="1"/>
      <c r="R735" s="1"/>
      <c r="S735" s="1"/>
      <c r="T735" s="1"/>
      <c r="U735" s="15"/>
      <c r="V735" s="1"/>
      <c r="W735" s="1"/>
      <c r="X735" s="1"/>
      <c r="Y735" s="1"/>
      <c r="Z735" s="15"/>
      <c r="AA735" s="1"/>
      <c r="AB735" s="1"/>
      <c r="AC735" s="1"/>
      <c r="AD735" s="1"/>
      <c r="AE735" s="15"/>
      <c r="AF735" s="1"/>
      <c r="AG735" s="1"/>
      <c r="AH735" s="1"/>
      <c r="AI735" s="1"/>
      <c r="AJ735" s="15"/>
      <c r="AK735" s="1"/>
    </row>
    <row r="736" spans="1:37" ht="16.5" customHeight="1">
      <c r="A736" s="1"/>
      <c r="B736" s="1"/>
      <c r="C736" s="1"/>
      <c r="D736" s="15"/>
      <c r="E736" s="15"/>
      <c r="F736" s="15"/>
      <c r="G736" s="15"/>
      <c r="H736" s="1"/>
      <c r="I736" s="1"/>
      <c r="J736" s="1"/>
      <c r="K736" s="15"/>
      <c r="L736" s="1"/>
      <c r="M736" s="1"/>
      <c r="N736" s="1"/>
      <c r="O736" s="1"/>
      <c r="P736" s="15"/>
      <c r="Q736" s="1"/>
      <c r="R736" s="1"/>
      <c r="S736" s="1"/>
      <c r="T736" s="1"/>
      <c r="U736" s="15"/>
      <c r="V736" s="1"/>
      <c r="W736" s="1"/>
      <c r="X736" s="1"/>
      <c r="Y736" s="1"/>
      <c r="Z736" s="15"/>
      <c r="AA736" s="1"/>
      <c r="AB736" s="1"/>
      <c r="AC736" s="1"/>
      <c r="AD736" s="1"/>
      <c r="AE736" s="15"/>
      <c r="AF736" s="1"/>
      <c r="AG736" s="1"/>
      <c r="AH736" s="1"/>
      <c r="AI736" s="1"/>
      <c r="AJ736" s="15"/>
      <c r="AK736" s="1"/>
    </row>
    <row r="737" spans="1:37" ht="16.5" customHeight="1">
      <c r="A737" s="1"/>
      <c r="B737" s="1"/>
      <c r="C737" s="1"/>
      <c r="D737" s="15"/>
      <c r="E737" s="15"/>
      <c r="F737" s="15"/>
      <c r="G737" s="15"/>
      <c r="H737" s="1"/>
      <c r="I737" s="1"/>
      <c r="J737" s="1"/>
      <c r="K737" s="15"/>
      <c r="L737" s="1"/>
      <c r="M737" s="1"/>
      <c r="N737" s="1"/>
      <c r="O737" s="1"/>
      <c r="P737" s="15"/>
      <c r="Q737" s="1"/>
      <c r="R737" s="1"/>
      <c r="S737" s="1"/>
      <c r="T737" s="1"/>
      <c r="U737" s="15"/>
      <c r="V737" s="1"/>
      <c r="W737" s="1"/>
      <c r="X737" s="1"/>
      <c r="Y737" s="1"/>
      <c r="Z737" s="15"/>
      <c r="AA737" s="1"/>
      <c r="AB737" s="1"/>
      <c r="AC737" s="1"/>
      <c r="AD737" s="1"/>
      <c r="AE737" s="15"/>
      <c r="AF737" s="1"/>
      <c r="AG737" s="1"/>
      <c r="AH737" s="1"/>
      <c r="AI737" s="1"/>
      <c r="AJ737" s="15"/>
      <c r="AK737" s="1"/>
    </row>
    <row r="738" spans="1:37" ht="16.5" customHeight="1">
      <c r="A738" s="1"/>
      <c r="B738" s="1"/>
      <c r="C738" s="1"/>
      <c r="D738" s="15"/>
      <c r="E738" s="15"/>
      <c r="F738" s="15"/>
      <c r="G738" s="15"/>
      <c r="H738" s="1"/>
      <c r="I738" s="1"/>
      <c r="J738" s="1"/>
      <c r="K738" s="15"/>
      <c r="L738" s="1"/>
      <c r="M738" s="1"/>
      <c r="N738" s="1"/>
      <c r="O738" s="1"/>
      <c r="P738" s="15"/>
      <c r="Q738" s="1"/>
      <c r="R738" s="1"/>
      <c r="S738" s="1"/>
      <c r="T738" s="1"/>
      <c r="U738" s="15"/>
      <c r="V738" s="1"/>
      <c r="W738" s="1"/>
      <c r="X738" s="1"/>
      <c r="Y738" s="1"/>
      <c r="Z738" s="15"/>
      <c r="AA738" s="1"/>
      <c r="AB738" s="1"/>
      <c r="AC738" s="1"/>
      <c r="AD738" s="1"/>
      <c r="AE738" s="15"/>
      <c r="AF738" s="1"/>
      <c r="AG738" s="1"/>
      <c r="AH738" s="1"/>
      <c r="AI738" s="1"/>
      <c r="AJ738" s="15"/>
      <c r="AK738" s="1"/>
    </row>
    <row r="739" spans="1:37" ht="16.5" customHeight="1">
      <c r="A739" s="1"/>
      <c r="B739" s="1"/>
      <c r="C739" s="1"/>
      <c r="D739" s="15"/>
      <c r="E739" s="15"/>
      <c r="F739" s="15"/>
      <c r="G739" s="15"/>
      <c r="H739" s="1"/>
      <c r="I739" s="1"/>
      <c r="J739" s="1"/>
      <c r="K739" s="15"/>
      <c r="L739" s="1"/>
      <c r="M739" s="1"/>
      <c r="N739" s="1"/>
      <c r="O739" s="1"/>
      <c r="P739" s="15"/>
      <c r="Q739" s="1"/>
      <c r="R739" s="1"/>
      <c r="S739" s="1"/>
      <c r="T739" s="1"/>
      <c r="U739" s="15"/>
      <c r="V739" s="1"/>
      <c r="W739" s="1"/>
      <c r="X739" s="1"/>
      <c r="Y739" s="1"/>
      <c r="Z739" s="15"/>
      <c r="AA739" s="1"/>
      <c r="AB739" s="1"/>
      <c r="AC739" s="1"/>
      <c r="AD739" s="1"/>
      <c r="AE739" s="15"/>
      <c r="AF739" s="1"/>
      <c r="AG739" s="1"/>
      <c r="AH739" s="1"/>
      <c r="AI739" s="1"/>
      <c r="AJ739" s="15"/>
      <c r="AK739" s="1"/>
    </row>
    <row r="740" spans="1:37" ht="16.5" customHeight="1">
      <c r="A740" s="1"/>
      <c r="B740" s="1"/>
      <c r="C740" s="1"/>
      <c r="D740" s="15"/>
      <c r="E740" s="15"/>
      <c r="F740" s="15"/>
      <c r="G740" s="15"/>
      <c r="H740" s="1"/>
      <c r="I740" s="1"/>
      <c r="J740" s="1"/>
      <c r="K740" s="15"/>
      <c r="L740" s="1"/>
      <c r="M740" s="1"/>
      <c r="N740" s="1"/>
      <c r="O740" s="1"/>
      <c r="P740" s="15"/>
      <c r="Q740" s="1"/>
      <c r="R740" s="1"/>
      <c r="S740" s="1"/>
      <c r="T740" s="1"/>
      <c r="U740" s="15"/>
      <c r="V740" s="1"/>
      <c r="W740" s="1"/>
      <c r="X740" s="1"/>
      <c r="Y740" s="1"/>
      <c r="Z740" s="15"/>
      <c r="AA740" s="1"/>
      <c r="AB740" s="1"/>
      <c r="AC740" s="1"/>
      <c r="AD740" s="1"/>
      <c r="AE740" s="15"/>
      <c r="AF740" s="1"/>
      <c r="AG740" s="1"/>
      <c r="AH740" s="1"/>
      <c r="AI740" s="1"/>
      <c r="AJ740" s="15"/>
      <c r="AK740" s="1"/>
    </row>
    <row r="741" spans="1:37" ht="16.5" customHeight="1">
      <c r="A741" s="1"/>
      <c r="B741" s="1"/>
      <c r="C741" s="1"/>
      <c r="D741" s="15"/>
      <c r="E741" s="15"/>
      <c r="F741" s="15"/>
      <c r="G741" s="15"/>
      <c r="H741" s="1"/>
      <c r="I741" s="1"/>
      <c r="J741" s="1"/>
      <c r="K741" s="15"/>
      <c r="L741" s="1"/>
      <c r="M741" s="1"/>
      <c r="N741" s="1"/>
      <c r="O741" s="1"/>
      <c r="P741" s="15"/>
      <c r="Q741" s="1"/>
      <c r="R741" s="1"/>
      <c r="S741" s="1"/>
      <c r="T741" s="1"/>
      <c r="U741" s="15"/>
      <c r="V741" s="1"/>
      <c r="W741" s="1"/>
      <c r="X741" s="1"/>
      <c r="Y741" s="1"/>
      <c r="Z741" s="15"/>
      <c r="AA741" s="1"/>
      <c r="AB741" s="1"/>
      <c r="AC741" s="1"/>
      <c r="AD741" s="1"/>
      <c r="AE741" s="15"/>
      <c r="AF741" s="1"/>
      <c r="AG741" s="1"/>
      <c r="AH741" s="1"/>
      <c r="AI741" s="1"/>
      <c r="AJ741" s="15"/>
      <c r="AK741" s="1"/>
    </row>
    <row r="742" spans="1:37" ht="16.5" customHeight="1">
      <c r="A742" s="1"/>
      <c r="B742" s="1"/>
      <c r="C742" s="1"/>
      <c r="D742" s="15"/>
      <c r="E742" s="15"/>
      <c r="F742" s="15"/>
      <c r="G742" s="15"/>
      <c r="H742" s="1"/>
      <c r="I742" s="1"/>
      <c r="J742" s="1"/>
      <c r="K742" s="15"/>
      <c r="L742" s="1"/>
      <c r="M742" s="1"/>
      <c r="N742" s="1"/>
      <c r="O742" s="1"/>
      <c r="P742" s="15"/>
      <c r="Q742" s="1"/>
      <c r="R742" s="1"/>
      <c r="S742" s="1"/>
      <c r="T742" s="1"/>
      <c r="U742" s="15"/>
      <c r="V742" s="1"/>
      <c r="W742" s="1"/>
      <c r="X742" s="1"/>
      <c r="Y742" s="1"/>
      <c r="Z742" s="15"/>
      <c r="AA742" s="1"/>
      <c r="AB742" s="1"/>
      <c r="AC742" s="1"/>
      <c r="AD742" s="1"/>
      <c r="AE742" s="15"/>
      <c r="AF742" s="1"/>
      <c r="AG742" s="1"/>
      <c r="AH742" s="1"/>
      <c r="AI742" s="1"/>
      <c r="AJ742" s="15"/>
      <c r="AK742" s="1"/>
    </row>
    <row r="743" spans="1:37" ht="16.5" customHeight="1">
      <c r="A743" s="1"/>
      <c r="B743" s="1"/>
      <c r="C743" s="1"/>
      <c r="D743" s="15"/>
      <c r="E743" s="15"/>
      <c r="F743" s="15"/>
      <c r="G743" s="15"/>
      <c r="H743" s="1"/>
      <c r="I743" s="1"/>
      <c r="J743" s="1"/>
      <c r="K743" s="15"/>
      <c r="L743" s="1"/>
      <c r="M743" s="1"/>
      <c r="N743" s="1"/>
      <c r="O743" s="1"/>
      <c r="P743" s="15"/>
      <c r="Q743" s="1"/>
      <c r="R743" s="1"/>
      <c r="S743" s="1"/>
      <c r="T743" s="1"/>
      <c r="U743" s="15"/>
      <c r="V743" s="1"/>
      <c r="W743" s="1"/>
      <c r="X743" s="1"/>
      <c r="Y743" s="1"/>
      <c r="Z743" s="15"/>
      <c r="AA743" s="1"/>
      <c r="AB743" s="1"/>
      <c r="AC743" s="1"/>
      <c r="AD743" s="1"/>
      <c r="AE743" s="15"/>
      <c r="AF743" s="1"/>
      <c r="AG743" s="1"/>
      <c r="AH743" s="1"/>
      <c r="AI743" s="1"/>
      <c r="AJ743" s="15"/>
      <c r="AK743" s="1"/>
    </row>
    <row r="744" spans="1:37" ht="16.5" customHeight="1">
      <c r="A744" s="1"/>
      <c r="B744" s="1"/>
      <c r="C744" s="1"/>
      <c r="D744" s="15"/>
      <c r="E744" s="15"/>
      <c r="F744" s="15"/>
      <c r="G744" s="15"/>
      <c r="H744" s="1"/>
      <c r="I744" s="1"/>
      <c r="J744" s="1"/>
      <c r="K744" s="15"/>
      <c r="L744" s="1"/>
      <c r="M744" s="1"/>
      <c r="N744" s="1"/>
      <c r="O744" s="1"/>
      <c r="P744" s="15"/>
      <c r="Q744" s="1"/>
      <c r="R744" s="1"/>
      <c r="S744" s="1"/>
      <c r="T744" s="1"/>
      <c r="U744" s="15"/>
      <c r="V744" s="1"/>
      <c r="W744" s="1"/>
      <c r="X744" s="1"/>
      <c r="Y744" s="1"/>
      <c r="Z744" s="15"/>
      <c r="AA744" s="1"/>
      <c r="AB744" s="1"/>
      <c r="AC744" s="1"/>
      <c r="AD744" s="1"/>
      <c r="AE744" s="15"/>
      <c r="AF744" s="1"/>
      <c r="AG744" s="1"/>
      <c r="AH744" s="1"/>
      <c r="AI744" s="1"/>
      <c r="AJ744" s="15"/>
      <c r="AK744" s="1"/>
    </row>
    <row r="745" spans="1:37" ht="16.5" customHeight="1">
      <c r="A745" s="1"/>
      <c r="B745" s="1"/>
      <c r="C745" s="1"/>
      <c r="D745" s="15"/>
      <c r="E745" s="15"/>
      <c r="F745" s="15"/>
      <c r="G745" s="15"/>
      <c r="H745" s="1"/>
      <c r="I745" s="1"/>
      <c r="J745" s="1"/>
      <c r="K745" s="15"/>
      <c r="L745" s="1"/>
      <c r="M745" s="1"/>
      <c r="N745" s="1"/>
      <c r="O745" s="1"/>
      <c r="P745" s="15"/>
      <c r="Q745" s="1"/>
      <c r="R745" s="1"/>
      <c r="S745" s="1"/>
      <c r="T745" s="1"/>
      <c r="U745" s="15"/>
      <c r="V745" s="1"/>
      <c r="W745" s="1"/>
      <c r="X745" s="1"/>
      <c r="Y745" s="1"/>
      <c r="Z745" s="15"/>
      <c r="AA745" s="1"/>
      <c r="AB745" s="1"/>
      <c r="AC745" s="1"/>
      <c r="AD745" s="1"/>
      <c r="AE745" s="15"/>
      <c r="AF745" s="1"/>
      <c r="AG745" s="1"/>
      <c r="AH745" s="1"/>
      <c r="AI745" s="1"/>
      <c r="AJ745" s="15"/>
      <c r="AK745" s="1"/>
    </row>
    <row r="746" spans="1:37" ht="16.5" customHeight="1">
      <c r="A746" s="1"/>
      <c r="B746" s="1"/>
      <c r="C746" s="1"/>
      <c r="D746" s="15"/>
      <c r="E746" s="15"/>
      <c r="F746" s="15"/>
      <c r="G746" s="15"/>
      <c r="H746" s="1"/>
      <c r="I746" s="1"/>
      <c r="J746" s="1"/>
      <c r="K746" s="15"/>
      <c r="L746" s="1"/>
      <c r="M746" s="1"/>
      <c r="N746" s="1"/>
      <c r="O746" s="1"/>
      <c r="P746" s="15"/>
      <c r="Q746" s="1"/>
      <c r="R746" s="1"/>
      <c r="S746" s="1"/>
      <c r="T746" s="1"/>
      <c r="U746" s="15"/>
      <c r="V746" s="1"/>
      <c r="W746" s="1"/>
      <c r="X746" s="1"/>
      <c r="Y746" s="1"/>
      <c r="Z746" s="15"/>
      <c r="AA746" s="1"/>
      <c r="AB746" s="1"/>
      <c r="AC746" s="1"/>
      <c r="AD746" s="1"/>
      <c r="AE746" s="15"/>
      <c r="AF746" s="1"/>
      <c r="AG746" s="1"/>
      <c r="AH746" s="1"/>
      <c r="AI746" s="1"/>
      <c r="AJ746" s="15"/>
      <c r="AK746" s="1"/>
    </row>
    <row r="747" spans="1:37" ht="16.5" customHeight="1">
      <c r="A747" s="1"/>
      <c r="B747" s="1"/>
      <c r="C747" s="1"/>
      <c r="D747" s="15"/>
      <c r="E747" s="15"/>
      <c r="F747" s="15"/>
      <c r="G747" s="15"/>
      <c r="H747" s="1"/>
      <c r="I747" s="1"/>
      <c r="J747" s="1"/>
      <c r="K747" s="15"/>
      <c r="L747" s="1"/>
      <c r="M747" s="1"/>
      <c r="N747" s="1"/>
      <c r="O747" s="1"/>
      <c r="P747" s="15"/>
      <c r="Q747" s="1"/>
      <c r="R747" s="1"/>
      <c r="S747" s="1"/>
      <c r="T747" s="1"/>
      <c r="U747" s="15"/>
      <c r="V747" s="1"/>
      <c r="W747" s="1"/>
      <c r="X747" s="1"/>
      <c r="Y747" s="1"/>
      <c r="Z747" s="15"/>
      <c r="AA747" s="1"/>
      <c r="AB747" s="1"/>
      <c r="AC747" s="1"/>
      <c r="AD747" s="1"/>
      <c r="AE747" s="15"/>
      <c r="AF747" s="1"/>
      <c r="AG747" s="1"/>
      <c r="AH747" s="1"/>
      <c r="AI747" s="1"/>
      <c r="AJ747" s="15"/>
      <c r="AK747" s="1"/>
    </row>
    <row r="748" spans="1:37" ht="16.5" customHeight="1">
      <c r="A748" s="1"/>
      <c r="B748" s="1"/>
      <c r="C748" s="1"/>
      <c r="D748" s="15"/>
      <c r="E748" s="15"/>
      <c r="F748" s="15"/>
      <c r="G748" s="15"/>
      <c r="H748" s="1"/>
      <c r="I748" s="1"/>
      <c r="J748" s="1"/>
      <c r="K748" s="15"/>
      <c r="L748" s="1"/>
      <c r="M748" s="1"/>
      <c r="N748" s="1"/>
      <c r="O748" s="1"/>
      <c r="P748" s="15"/>
      <c r="Q748" s="1"/>
      <c r="R748" s="1"/>
      <c r="S748" s="1"/>
      <c r="T748" s="1"/>
      <c r="U748" s="15"/>
      <c r="V748" s="1"/>
      <c r="W748" s="1"/>
      <c r="X748" s="1"/>
      <c r="Y748" s="1"/>
      <c r="Z748" s="15"/>
      <c r="AA748" s="1"/>
      <c r="AB748" s="1"/>
      <c r="AC748" s="1"/>
      <c r="AD748" s="1"/>
      <c r="AE748" s="15"/>
      <c r="AF748" s="1"/>
      <c r="AG748" s="1"/>
      <c r="AH748" s="1"/>
      <c r="AI748" s="1"/>
      <c r="AJ748" s="15"/>
      <c r="AK748" s="1"/>
    </row>
    <row r="749" spans="1:37" ht="16.5" customHeight="1">
      <c r="A749" s="1"/>
      <c r="B749" s="1"/>
      <c r="C749" s="1"/>
      <c r="D749" s="15"/>
      <c r="E749" s="15"/>
      <c r="F749" s="15"/>
      <c r="G749" s="15"/>
      <c r="H749" s="1"/>
      <c r="I749" s="1"/>
      <c r="J749" s="1"/>
      <c r="K749" s="15"/>
      <c r="L749" s="1"/>
      <c r="M749" s="1"/>
      <c r="N749" s="1"/>
      <c r="O749" s="1"/>
      <c r="P749" s="15"/>
      <c r="Q749" s="1"/>
      <c r="R749" s="1"/>
      <c r="S749" s="1"/>
      <c r="T749" s="1"/>
      <c r="U749" s="15"/>
      <c r="V749" s="1"/>
      <c r="W749" s="1"/>
      <c r="X749" s="1"/>
      <c r="Y749" s="1"/>
      <c r="Z749" s="15"/>
      <c r="AA749" s="1"/>
      <c r="AB749" s="1"/>
      <c r="AC749" s="1"/>
      <c r="AD749" s="1"/>
      <c r="AE749" s="15"/>
      <c r="AF749" s="1"/>
      <c r="AG749" s="1"/>
      <c r="AH749" s="1"/>
      <c r="AI749" s="1"/>
      <c r="AJ749" s="15"/>
      <c r="AK749" s="1"/>
    </row>
    <row r="750" spans="1:37" ht="16.5" customHeight="1">
      <c r="A750" s="1"/>
      <c r="B750" s="1"/>
      <c r="C750" s="1"/>
      <c r="D750" s="15"/>
      <c r="E750" s="15"/>
      <c r="F750" s="15"/>
      <c r="G750" s="15"/>
      <c r="H750" s="1"/>
      <c r="I750" s="1"/>
      <c r="J750" s="1"/>
      <c r="K750" s="15"/>
      <c r="L750" s="1"/>
      <c r="M750" s="1"/>
      <c r="N750" s="1"/>
      <c r="O750" s="1"/>
      <c r="P750" s="15"/>
      <c r="Q750" s="1"/>
      <c r="R750" s="1"/>
      <c r="S750" s="1"/>
      <c r="T750" s="1"/>
      <c r="U750" s="15"/>
      <c r="V750" s="1"/>
      <c r="W750" s="1"/>
      <c r="X750" s="1"/>
      <c r="Y750" s="1"/>
      <c r="Z750" s="15"/>
      <c r="AA750" s="1"/>
      <c r="AB750" s="1"/>
      <c r="AC750" s="1"/>
      <c r="AD750" s="1"/>
      <c r="AE750" s="15"/>
      <c r="AF750" s="1"/>
      <c r="AG750" s="1"/>
      <c r="AH750" s="1"/>
      <c r="AI750" s="1"/>
      <c r="AJ750" s="15"/>
      <c r="AK750" s="1"/>
    </row>
    <row r="751" spans="1:37" ht="16.5" customHeight="1">
      <c r="A751" s="1"/>
      <c r="B751" s="1"/>
      <c r="C751" s="1"/>
      <c r="D751" s="15"/>
      <c r="E751" s="15"/>
      <c r="F751" s="15"/>
      <c r="G751" s="15"/>
      <c r="H751" s="1"/>
      <c r="I751" s="1"/>
      <c r="J751" s="1"/>
      <c r="K751" s="15"/>
      <c r="L751" s="1"/>
      <c r="M751" s="1"/>
      <c r="N751" s="1"/>
      <c r="O751" s="1"/>
      <c r="P751" s="15"/>
      <c r="Q751" s="1"/>
      <c r="R751" s="1"/>
      <c r="S751" s="1"/>
      <c r="T751" s="1"/>
      <c r="U751" s="15"/>
      <c r="V751" s="1"/>
      <c r="W751" s="1"/>
      <c r="X751" s="1"/>
      <c r="Y751" s="1"/>
      <c r="Z751" s="15"/>
      <c r="AA751" s="1"/>
      <c r="AB751" s="1"/>
      <c r="AC751" s="1"/>
      <c r="AD751" s="1"/>
      <c r="AE751" s="15"/>
      <c r="AF751" s="1"/>
      <c r="AG751" s="1"/>
      <c r="AH751" s="1"/>
      <c r="AI751" s="1"/>
      <c r="AJ751" s="15"/>
      <c r="AK751" s="1"/>
    </row>
    <row r="752" spans="1:37" ht="16.5" customHeight="1">
      <c r="A752" s="1"/>
      <c r="B752" s="1"/>
      <c r="C752" s="1"/>
      <c r="D752" s="15"/>
      <c r="E752" s="15"/>
      <c r="F752" s="15"/>
      <c r="G752" s="15"/>
      <c r="H752" s="1"/>
      <c r="I752" s="1"/>
      <c r="J752" s="1"/>
      <c r="K752" s="15"/>
      <c r="L752" s="1"/>
      <c r="M752" s="1"/>
      <c r="N752" s="1"/>
      <c r="O752" s="1"/>
      <c r="P752" s="15"/>
      <c r="Q752" s="1"/>
      <c r="R752" s="1"/>
      <c r="S752" s="1"/>
      <c r="T752" s="1"/>
      <c r="U752" s="15"/>
      <c r="V752" s="1"/>
      <c r="W752" s="1"/>
      <c r="X752" s="1"/>
      <c r="Y752" s="1"/>
      <c r="Z752" s="15"/>
      <c r="AA752" s="1"/>
      <c r="AB752" s="1"/>
      <c r="AC752" s="1"/>
      <c r="AD752" s="1"/>
      <c r="AE752" s="15"/>
      <c r="AF752" s="1"/>
      <c r="AG752" s="1"/>
      <c r="AH752" s="1"/>
      <c r="AI752" s="1"/>
      <c r="AJ752" s="15"/>
      <c r="AK752" s="1"/>
    </row>
    <row r="753" spans="1:37" ht="16.5" customHeight="1">
      <c r="A753" s="1"/>
      <c r="B753" s="1"/>
      <c r="C753" s="1"/>
      <c r="D753" s="15"/>
      <c r="E753" s="15"/>
      <c r="F753" s="15"/>
      <c r="G753" s="15"/>
      <c r="H753" s="1"/>
      <c r="I753" s="1"/>
      <c r="J753" s="1"/>
      <c r="K753" s="15"/>
      <c r="L753" s="1"/>
      <c r="M753" s="1"/>
      <c r="N753" s="1"/>
      <c r="O753" s="1"/>
      <c r="P753" s="15"/>
      <c r="Q753" s="1"/>
      <c r="R753" s="1"/>
      <c r="S753" s="1"/>
      <c r="T753" s="1"/>
      <c r="U753" s="15"/>
      <c r="V753" s="1"/>
      <c r="W753" s="1"/>
      <c r="X753" s="1"/>
      <c r="Y753" s="1"/>
      <c r="Z753" s="15"/>
      <c r="AA753" s="1"/>
      <c r="AB753" s="1"/>
      <c r="AC753" s="1"/>
      <c r="AD753" s="1"/>
      <c r="AE753" s="15"/>
      <c r="AF753" s="1"/>
      <c r="AG753" s="1"/>
      <c r="AH753" s="1"/>
      <c r="AI753" s="1"/>
      <c r="AJ753" s="15"/>
      <c r="AK753" s="1"/>
    </row>
    <row r="754" spans="1:37" ht="16.5" customHeight="1">
      <c r="A754" s="1"/>
      <c r="B754" s="1"/>
      <c r="C754" s="1"/>
      <c r="D754" s="15"/>
      <c r="E754" s="15"/>
      <c r="F754" s="15"/>
      <c r="G754" s="15"/>
      <c r="H754" s="1"/>
      <c r="I754" s="1"/>
      <c r="J754" s="1"/>
      <c r="K754" s="15"/>
      <c r="L754" s="1"/>
      <c r="M754" s="1"/>
      <c r="N754" s="1"/>
      <c r="O754" s="1"/>
      <c r="P754" s="15"/>
      <c r="Q754" s="1"/>
      <c r="R754" s="1"/>
      <c r="S754" s="1"/>
      <c r="T754" s="1"/>
      <c r="U754" s="15"/>
      <c r="V754" s="1"/>
      <c r="W754" s="1"/>
      <c r="X754" s="1"/>
      <c r="Y754" s="1"/>
      <c r="Z754" s="15"/>
      <c r="AA754" s="1"/>
      <c r="AB754" s="1"/>
      <c r="AC754" s="1"/>
      <c r="AD754" s="1"/>
      <c r="AE754" s="15"/>
      <c r="AF754" s="1"/>
      <c r="AG754" s="1"/>
      <c r="AH754" s="1"/>
      <c r="AI754" s="1"/>
      <c r="AJ754" s="15"/>
      <c r="AK754" s="1"/>
    </row>
    <row r="755" spans="1:37" ht="16.5" customHeight="1">
      <c r="A755" s="1"/>
      <c r="B755" s="1"/>
      <c r="C755" s="1"/>
      <c r="D755" s="15"/>
      <c r="E755" s="15"/>
      <c r="F755" s="15"/>
      <c r="G755" s="15"/>
      <c r="H755" s="1"/>
      <c r="I755" s="1"/>
      <c r="J755" s="1"/>
      <c r="K755" s="15"/>
      <c r="L755" s="1"/>
      <c r="M755" s="1"/>
      <c r="N755" s="1"/>
      <c r="O755" s="1"/>
      <c r="P755" s="15"/>
      <c r="Q755" s="1"/>
      <c r="R755" s="1"/>
      <c r="S755" s="1"/>
      <c r="T755" s="1"/>
      <c r="U755" s="15"/>
      <c r="V755" s="1"/>
      <c r="W755" s="1"/>
      <c r="X755" s="1"/>
      <c r="Y755" s="1"/>
      <c r="Z755" s="15"/>
      <c r="AA755" s="1"/>
      <c r="AB755" s="1"/>
      <c r="AC755" s="1"/>
      <c r="AD755" s="1"/>
      <c r="AE755" s="15"/>
      <c r="AF755" s="1"/>
      <c r="AG755" s="1"/>
      <c r="AH755" s="1"/>
      <c r="AI755" s="1"/>
      <c r="AJ755" s="15"/>
      <c r="AK755" s="1"/>
    </row>
    <row r="756" spans="1:37" ht="16.5" customHeight="1">
      <c r="A756" s="1"/>
      <c r="B756" s="1"/>
      <c r="C756" s="1"/>
      <c r="D756" s="15"/>
      <c r="E756" s="15"/>
      <c r="F756" s="15"/>
      <c r="G756" s="15"/>
      <c r="H756" s="1"/>
      <c r="I756" s="1"/>
      <c r="J756" s="1"/>
      <c r="K756" s="15"/>
      <c r="L756" s="1"/>
      <c r="M756" s="1"/>
      <c r="N756" s="1"/>
      <c r="O756" s="1"/>
      <c r="P756" s="15"/>
      <c r="Q756" s="1"/>
      <c r="R756" s="1"/>
      <c r="S756" s="1"/>
      <c r="T756" s="1"/>
      <c r="U756" s="15"/>
      <c r="V756" s="1"/>
      <c r="W756" s="1"/>
      <c r="X756" s="1"/>
      <c r="Y756" s="1"/>
      <c r="Z756" s="15"/>
      <c r="AA756" s="1"/>
      <c r="AB756" s="1"/>
      <c r="AC756" s="1"/>
      <c r="AD756" s="1"/>
      <c r="AE756" s="15"/>
      <c r="AF756" s="1"/>
      <c r="AG756" s="1"/>
      <c r="AH756" s="1"/>
      <c r="AI756" s="1"/>
      <c r="AJ756" s="15"/>
      <c r="AK756" s="1"/>
    </row>
    <row r="757" spans="1:37" ht="16.5" customHeight="1">
      <c r="A757" s="1"/>
      <c r="B757" s="1"/>
      <c r="C757" s="1"/>
      <c r="D757" s="15"/>
      <c r="E757" s="15"/>
      <c r="F757" s="15"/>
      <c r="G757" s="15"/>
      <c r="H757" s="1"/>
      <c r="I757" s="1"/>
      <c r="J757" s="1"/>
      <c r="K757" s="15"/>
      <c r="L757" s="1"/>
      <c r="M757" s="1"/>
      <c r="N757" s="1"/>
      <c r="O757" s="1"/>
      <c r="P757" s="15"/>
      <c r="Q757" s="1"/>
      <c r="R757" s="1"/>
      <c r="S757" s="1"/>
      <c r="T757" s="1"/>
      <c r="U757" s="15"/>
      <c r="V757" s="1"/>
      <c r="W757" s="1"/>
      <c r="X757" s="1"/>
      <c r="Y757" s="1"/>
      <c r="Z757" s="15"/>
      <c r="AA757" s="1"/>
      <c r="AB757" s="1"/>
      <c r="AC757" s="1"/>
      <c r="AD757" s="1"/>
      <c r="AE757" s="15"/>
      <c r="AF757" s="1"/>
      <c r="AG757" s="1"/>
      <c r="AH757" s="1"/>
      <c r="AI757" s="1"/>
      <c r="AJ757" s="15"/>
      <c r="AK757" s="1"/>
    </row>
    <row r="758" spans="1:37" ht="16.5" customHeight="1">
      <c r="A758" s="1"/>
      <c r="B758" s="1"/>
      <c r="C758" s="1"/>
      <c r="D758" s="15"/>
      <c r="E758" s="15"/>
      <c r="F758" s="15"/>
      <c r="G758" s="15"/>
      <c r="H758" s="1"/>
      <c r="I758" s="1"/>
      <c r="J758" s="1"/>
      <c r="K758" s="15"/>
      <c r="L758" s="1"/>
      <c r="M758" s="1"/>
      <c r="N758" s="1"/>
      <c r="O758" s="1"/>
      <c r="P758" s="15"/>
      <c r="Q758" s="1"/>
      <c r="R758" s="1"/>
      <c r="S758" s="1"/>
      <c r="T758" s="1"/>
      <c r="U758" s="15"/>
      <c r="V758" s="1"/>
      <c r="W758" s="1"/>
      <c r="X758" s="1"/>
      <c r="Y758" s="1"/>
      <c r="Z758" s="15"/>
      <c r="AA758" s="1"/>
      <c r="AB758" s="1"/>
      <c r="AC758" s="1"/>
      <c r="AD758" s="1"/>
      <c r="AE758" s="15"/>
      <c r="AF758" s="1"/>
      <c r="AG758" s="1"/>
      <c r="AH758" s="1"/>
      <c r="AI758" s="1"/>
      <c r="AJ758" s="15"/>
      <c r="AK758" s="1"/>
    </row>
    <row r="759" spans="1:37" ht="16.5" customHeight="1">
      <c r="A759" s="1"/>
      <c r="B759" s="1"/>
      <c r="C759" s="1"/>
      <c r="D759" s="15"/>
      <c r="E759" s="15"/>
      <c r="F759" s="15"/>
      <c r="G759" s="15"/>
      <c r="H759" s="1"/>
      <c r="I759" s="1"/>
      <c r="J759" s="1"/>
      <c r="K759" s="15"/>
      <c r="L759" s="1"/>
      <c r="M759" s="1"/>
      <c r="N759" s="1"/>
      <c r="O759" s="1"/>
      <c r="P759" s="15"/>
      <c r="Q759" s="1"/>
      <c r="R759" s="1"/>
      <c r="S759" s="1"/>
      <c r="T759" s="1"/>
      <c r="U759" s="15"/>
      <c r="V759" s="1"/>
      <c r="W759" s="1"/>
      <c r="X759" s="1"/>
      <c r="Y759" s="1"/>
      <c r="Z759" s="15"/>
      <c r="AA759" s="1"/>
      <c r="AB759" s="1"/>
      <c r="AC759" s="1"/>
      <c r="AD759" s="1"/>
      <c r="AE759" s="15"/>
      <c r="AF759" s="1"/>
      <c r="AG759" s="1"/>
      <c r="AH759" s="1"/>
      <c r="AI759" s="1"/>
      <c r="AJ759" s="15"/>
      <c r="AK759" s="1"/>
    </row>
    <row r="760" spans="1:37" ht="16.5" customHeight="1">
      <c r="A760" s="1"/>
      <c r="B760" s="1"/>
      <c r="C760" s="1"/>
      <c r="D760" s="15"/>
      <c r="E760" s="15"/>
      <c r="F760" s="15"/>
      <c r="G760" s="15"/>
      <c r="H760" s="1"/>
      <c r="I760" s="1"/>
      <c r="J760" s="1"/>
      <c r="K760" s="15"/>
      <c r="L760" s="1"/>
      <c r="M760" s="1"/>
      <c r="N760" s="1"/>
      <c r="O760" s="1"/>
      <c r="P760" s="15"/>
      <c r="Q760" s="1"/>
      <c r="R760" s="1"/>
      <c r="S760" s="1"/>
      <c r="T760" s="1"/>
      <c r="U760" s="15"/>
      <c r="V760" s="1"/>
      <c r="W760" s="1"/>
      <c r="X760" s="1"/>
      <c r="Y760" s="1"/>
      <c r="Z760" s="15"/>
      <c r="AA760" s="1"/>
      <c r="AB760" s="1"/>
      <c r="AC760" s="1"/>
      <c r="AD760" s="1"/>
      <c r="AE760" s="15"/>
      <c r="AF760" s="1"/>
      <c r="AG760" s="1"/>
      <c r="AH760" s="1"/>
      <c r="AI760" s="1"/>
      <c r="AJ760" s="15"/>
      <c r="AK760" s="1"/>
    </row>
    <row r="761" spans="1:37" ht="16.5" customHeight="1">
      <c r="A761" s="1"/>
      <c r="B761" s="1"/>
      <c r="C761" s="1"/>
      <c r="D761" s="15"/>
      <c r="E761" s="15"/>
      <c r="F761" s="15"/>
      <c r="G761" s="15"/>
      <c r="H761" s="1"/>
      <c r="I761" s="1"/>
      <c r="J761" s="1"/>
      <c r="K761" s="15"/>
      <c r="L761" s="1"/>
      <c r="M761" s="1"/>
      <c r="N761" s="1"/>
      <c r="O761" s="1"/>
      <c r="P761" s="15"/>
      <c r="Q761" s="1"/>
      <c r="R761" s="1"/>
      <c r="S761" s="1"/>
      <c r="T761" s="1"/>
      <c r="U761" s="15"/>
      <c r="V761" s="1"/>
      <c r="W761" s="1"/>
      <c r="X761" s="1"/>
      <c r="Y761" s="1"/>
      <c r="Z761" s="15"/>
      <c r="AA761" s="1"/>
      <c r="AB761" s="1"/>
      <c r="AC761" s="1"/>
      <c r="AD761" s="1"/>
      <c r="AE761" s="15"/>
      <c r="AF761" s="1"/>
      <c r="AG761" s="1"/>
      <c r="AH761" s="1"/>
      <c r="AI761" s="1"/>
      <c r="AJ761" s="15"/>
      <c r="AK761" s="1"/>
    </row>
    <row r="762" spans="1:37" ht="16.5" customHeight="1">
      <c r="A762" s="1"/>
      <c r="B762" s="1"/>
      <c r="C762" s="1"/>
      <c r="D762" s="15"/>
      <c r="E762" s="15"/>
      <c r="F762" s="15"/>
      <c r="G762" s="15"/>
      <c r="H762" s="1"/>
      <c r="I762" s="1"/>
      <c r="J762" s="1"/>
      <c r="K762" s="15"/>
      <c r="L762" s="1"/>
      <c r="M762" s="1"/>
      <c r="N762" s="1"/>
      <c r="O762" s="1"/>
      <c r="P762" s="15"/>
      <c r="Q762" s="1"/>
      <c r="R762" s="1"/>
      <c r="S762" s="1"/>
      <c r="T762" s="1"/>
      <c r="U762" s="15"/>
      <c r="V762" s="1"/>
      <c r="W762" s="1"/>
      <c r="X762" s="1"/>
      <c r="Y762" s="1"/>
      <c r="Z762" s="15"/>
      <c r="AA762" s="1"/>
      <c r="AB762" s="1"/>
      <c r="AC762" s="1"/>
      <c r="AD762" s="1"/>
      <c r="AE762" s="15"/>
      <c r="AF762" s="1"/>
      <c r="AG762" s="1"/>
      <c r="AH762" s="1"/>
      <c r="AI762" s="1"/>
      <c r="AJ762" s="15"/>
      <c r="AK762" s="1"/>
    </row>
    <row r="763" spans="1:37" ht="16.5" customHeight="1">
      <c r="A763" s="1"/>
      <c r="B763" s="1"/>
      <c r="C763" s="1"/>
      <c r="D763" s="15"/>
      <c r="E763" s="15"/>
      <c r="F763" s="15"/>
      <c r="G763" s="15"/>
      <c r="H763" s="1"/>
      <c r="I763" s="1"/>
      <c r="J763" s="1"/>
      <c r="K763" s="15"/>
      <c r="L763" s="1"/>
      <c r="M763" s="1"/>
      <c r="N763" s="1"/>
      <c r="O763" s="1"/>
      <c r="P763" s="15"/>
      <c r="Q763" s="1"/>
      <c r="R763" s="1"/>
      <c r="S763" s="1"/>
      <c r="T763" s="1"/>
      <c r="U763" s="15"/>
      <c r="V763" s="1"/>
      <c r="W763" s="1"/>
      <c r="X763" s="1"/>
      <c r="Y763" s="1"/>
      <c r="Z763" s="15"/>
      <c r="AA763" s="1"/>
      <c r="AB763" s="1"/>
      <c r="AC763" s="1"/>
      <c r="AD763" s="1"/>
      <c r="AE763" s="15"/>
      <c r="AF763" s="1"/>
      <c r="AG763" s="1"/>
      <c r="AH763" s="1"/>
      <c r="AI763" s="1"/>
      <c r="AJ763" s="15"/>
      <c r="AK763" s="1"/>
    </row>
    <row r="764" spans="1:37" ht="16.5" customHeight="1">
      <c r="A764" s="1"/>
      <c r="B764" s="1"/>
      <c r="C764" s="1"/>
      <c r="D764" s="15"/>
      <c r="E764" s="15"/>
      <c r="F764" s="15"/>
      <c r="G764" s="15"/>
      <c r="H764" s="1"/>
      <c r="I764" s="1"/>
      <c r="J764" s="1"/>
      <c r="K764" s="15"/>
      <c r="L764" s="1"/>
      <c r="M764" s="1"/>
      <c r="N764" s="1"/>
      <c r="O764" s="1"/>
      <c r="P764" s="15"/>
      <c r="Q764" s="1"/>
      <c r="R764" s="1"/>
      <c r="S764" s="1"/>
      <c r="T764" s="1"/>
      <c r="U764" s="15"/>
      <c r="V764" s="1"/>
      <c r="W764" s="1"/>
      <c r="X764" s="1"/>
      <c r="Y764" s="1"/>
      <c r="Z764" s="15"/>
      <c r="AA764" s="1"/>
      <c r="AB764" s="1"/>
      <c r="AC764" s="1"/>
      <c r="AD764" s="1"/>
      <c r="AE764" s="15"/>
      <c r="AF764" s="1"/>
      <c r="AG764" s="1"/>
      <c r="AH764" s="1"/>
      <c r="AI764" s="1"/>
      <c r="AJ764" s="15"/>
      <c r="AK764" s="1"/>
    </row>
    <row r="765" spans="1:37" ht="16.5" customHeight="1">
      <c r="A765" s="1"/>
      <c r="B765" s="1"/>
      <c r="C765" s="1"/>
      <c r="D765" s="15"/>
      <c r="E765" s="15"/>
      <c r="F765" s="15"/>
      <c r="G765" s="15"/>
      <c r="H765" s="1"/>
      <c r="I765" s="1"/>
      <c r="J765" s="1"/>
      <c r="K765" s="15"/>
      <c r="L765" s="1"/>
      <c r="M765" s="1"/>
      <c r="N765" s="1"/>
      <c r="O765" s="1"/>
      <c r="P765" s="15"/>
      <c r="Q765" s="1"/>
      <c r="R765" s="1"/>
      <c r="S765" s="1"/>
      <c r="T765" s="1"/>
      <c r="U765" s="15"/>
      <c r="V765" s="1"/>
      <c r="W765" s="1"/>
      <c r="X765" s="1"/>
      <c r="Y765" s="1"/>
      <c r="Z765" s="15"/>
      <c r="AA765" s="1"/>
      <c r="AB765" s="1"/>
      <c r="AC765" s="1"/>
      <c r="AD765" s="1"/>
      <c r="AE765" s="15"/>
      <c r="AF765" s="1"/>
      <c r="AG765" s="1"/>
      <c r="AH765" s="1"/>
      <c r="AI765" s="1"/>
      <c r="AJ765" s="15"/>
      <c r="AK765" s="1"/>
    </row>
    <row r="766" spans="1:37" ht="16.5" customHeight="1">
      <c r="A766" s="1"/>
      <c r="B766" s="1"/>
      <c r="C766" s="1"/>
      <c r="D766" s="15"/>
      <c r="E766" s="15"/>
      <c r="F766" s="15"/>
      <c r="G766" s="15"/>
      <c r="H766" s="1"/>
      <c r="I766" s="1"/>
      <c r="J766" s="1"/>
      <c r="K766" s="15"/>
      <c r="L766" s="1"/>
      <c r="M766" s="1"/>
      <c r="N766" s="1"/>
      <c r="O766" s="1"/>
      <c r="P766" s="15"/>
      <c r="Q766" s="1"/>
      <c r="R766" s="1"/>
      <c r="S766" s="1"/>
      <c r="T766" s="1"/>
      <c r="U766" s="15"/>
      <c r="V766" s="1"/>
      <c r="W766" s="1"/>
      <c r="X766" s="1"/>
      <c r="Y766" s="1"/>
      <c r="Z766" s="15"/>
      <c r="AA766" s="1"/>
      <c r="AB766" s="1"/>
      <c r="AC766" s="1"/>
      <c r="AD766" s="1"/>
      <c r="AE766" s="15"/>
      <c r="AF766" s="1"/>
      <c r="AG766" s="1"/>
      <c r="AH766" s="1"/>
      <c r="AI766" s="1"/>
      <c r="AJ766" s="15"/>
      <c r="AK766" s="1"/>
    </row>
    <row r="767" spans="1:37" ht="16.5" customHeight="1">
      <c r="A767" s="1"/>
      <c r="B767" s="1"/>
      <c r="C767" s="1"/>
      <c r="D767" s="15"/>
      <c r="E767" s="15"/>
      <c r="F767" s="15"/>
      <c r="G767" s="15"/>
      <c r="H767" s="1"/>
      <c r="I767" s="1"/>
      <c r="J767" s="1"/>
      <c r="K767" s="15"/>
      <c r="L767" s="1"/>
      <c r="M767" s="1"/>
      <c r="N767" s="1"/>
      <c r="O767" s="1"/>
      <c r="P767" s="15"/>
      <c r="Q767" s="1"/>
      <c r="R767" s="1"/>
      <c r="S767" s="1"/>
      <c r="T767" s="1"/>
      <c r="U767" s="15"/>
      <c r="V767" s="1"/>
      <c r="W767" s="1"/>
      <c r="X767" s="1"/>
      <c r="Y767" s="1"/>
      <c r="Z767" s="15"/>
      <c r="AA767" s="1"/>
      <c r="AB767" s="1"/>
      <c r="AC767" s="1"/>
      <c r="AD767" s="1"/>
      <c r="AE767" s="15"/>
      <c r="AF767" s="1"/>
      <c r="AG767" s="1"/>
      <c r="AH767" s="1"/>
      <c r="AI767" s="1"/>
      <c r="AJ767" s="15"/>
      <c r="AK767" s="1"/>
    </row>
    <row r="768" spans="1:37" ht="16.5" customHeight="1">
      <c r="A768" s="1"/>
      <c r="B768" s="1"/>
      <c r="C768" s="1"/>
      <c r="D768" s="15"/>
      <c r="E768" s="15"/>
      <c r="F768" s="15"/>
      <c r="G768" s="15"/>
      <c r="H768" s="1"/>
      <c r="I768" s="1"/>
      <c r="J768" s="1"/>
      <c r="K768" s="15"/>
      <c r="L768" s="1"/>
      <c r="M768" s="1"/>
      <c r="N768" s="1"/>
      <c r="O768" s="1"/>
      <c r="P768" s="15"/>
      <c r="Q768" s="1"/>
      <c r="R768" s="1"/>
      <c r="S768" s="1"/>
      <c r="T768" s="1"/>
      <c r="U768" s="15"/>
      <c r="V768" s="1"/>
      <c r="W768" s="1"/>
      <c r="X768" s="1"/>
      <c r="Y768" s="1"/>
      <c r="Z768" s="15"/>
      <c r="AA768" s="1"/>
      <c r="AB768" s="1"/>
      <c r="AC768" s="1"/>
      <c r="AD768" s="1"/>
      <c r="AE768" s="15"/>
      <c r="AF768" s="1"/>
      <c r="AG768" s="1"/>
      <c r="AH768" s="1"/>
      <c r="AI768" s="1"/>
      <c r="AJ768" s="15"/>
      <c r="AK768" s="1"/>
    </row>
    <row r="769" spans="1:37" ht="16.5" customHeight="1">
      <c r="A769" s="1"/>
      <c r="B769" s="1"/>
      <c r="C769" s="1"/>
      <c r="D769" s="15"/>
      <c r="E769" s="15"/>
      <c r="F769" s="15"/>
      <c r="G769" s="15"/>
      <c r="H769" s="1"/>
      <c r="I769" s="1"/>
      <c r="J769" s="1"/>
      <c r="K769" s="15"/>
      <c r="L769" s="1"/>
      <c r="M769" s="1"/>
      <c r="N769" s="1"/>
      <c r="O769" s="1"/>
      <c r="P769" s="15"/>
      <c r="Q769" s="1"/>
      <c r="R769" s="1"/>
      <c r="S769" s="1"/>
      <c r="T769" s="1"/>
      <c r="U769" s="15"/>
      <c r="V769" s="1"/>
      <c r="W769" s="1"/>
      <c r="X769" s="1"/>
      <c r="Y769" s="1"/>
      <c r="Z769" s="15"/>
      <c r="AA769" s="1"/>
      <c r="AB769" s="1"/>
      <c r="AC769" s="1"/>
      <c r="AD769" s="1"/>
      <c r="AE769" s="15"/>
      <c r="AF769" s="1"/>
      <c r="AG769" s="1"/>
      <c r="AH769" s="1"/>
      <c r="AI769" s="1"/>
      <c r="AJ769" s="15"/>
      <c r="AK769" s="1"/>
    </row>
    <row r="770" spans="1:37" ht="16.5" customHeight="1">
      <c r="A770" s="1"/>
      <c r="B770" s="1"/>
      <c r="C770" s="1"/>
      <c r="D770" s="15"/>
      <c r="E770" s="15"/>
      <c r="F770" s="15"/>
      <c r="G770" s="15"/>
      <c r="H770" s="1"/>
      <c r="I770" s="1"/>
      <c r="J770" s="1"/>
      <c r="K770" s="15"/>
      <c r="L770" s="1"/>
      <c r="M770" s="1"/>
      <c r="N770" s="1"/>
      <c r="O770" s="1"/>
      <c r="P770" s="15"/>
      <c r="Q770" s="1"/>
      <c r="R770" s="1"/>
      <c r="S770" s="1"/>
      <c r="T770" s="1"/>
      <c r="U770" s="15"/>
      <c r="V770" s="1"/>
      <c r="W770" s="1"/>
      <c r="X770" s="1"/>
      <c r="Y770" s="1"/>
      <c r="Z770" s="15"/>
      <c r="AA770" s="1"/>
      <c r="AB770" s="1"/>
      <c r="AC770" s="1"/>
      <c r="AD770" s="1"/>
      <c r="AE770" s="15"/>
      <c r="AF770" s="1"/>
      <c r="AG770" s="1"/>
      <c r="AH770" s="1"/>
      <c r="AI770" s="1"/>
      <c r="AJ770" s="15"/>
      <c r="AK770" s="1"/>
    </row>
    <row r="771" spans="1:37" ht="16.5" customHeight="1">
      <c r="A771" s="1"/>
      <c r="B771" s="1"/>
      <c r="C771" s="1"/>
      <c r="D771" s="15"/>
      <c r="E771" s="15"/>
      <c r="F771" s="15"/>
      <c r="G771" s="15"/>
      <c r="H771" s="1"/>
      <c r="I771" s="1"/>
      <c r="J771" s="1"/>
      <c r="K771" s="15"/>
      <c r="L771" s="1"/>
      <c r="M771" s="1"/>
      <c r="N771" s="1"/>
      <c r="O771" s="1"/>
      <c r="P771" s="15"/>
      <c r="Q771" s="1"/>
      <c r="R771" s="1"/>
      <c r="S771" s="1"/>
      <c r="T771" s="1"/>
      <c r="U771" s="15"/>
      <c r="V771" s="1"/>
      <c r="W771" s="1"/>
      <c r="X771" s="1"/>
      <c r="Y771" s="1"/>
      <c r="Z771" s="15"/>
      <c r="AA771" s="1"/>
      <c r="AB771" s="1"/>
      <c r="AC771" s="1"/>
      <c r="AD771" s="1"/>
      <c r="AE771" s="15"/>
      <c r="AF771" s="1"/>
      <c r="AG771" s="1"/>
      <c r="AH771" s="1"/>
      <c r="AI771" s="1"/>
      <c r="AJ771" s="15"/>
      <c r="AK771" s="1"/>
    </row>
    <row r="772" spans="1:37" ht="16.5" customHeight="1">
      <c r="A772" s="1"/>
      <c r="B772" s="1"/>
      <c r="C772" s="1"/>
      <c r="D772" s="15"/>
      <c r="E772" s="15"/>
      <c r="F772" s="15"/>
      <c r="G772" s="15"/>
      <c r="H772" s="1"/>
      <c r="I772" s="1"/>
      <c r="J772" s="1"/>
      <c r="K772" s="15"/>
      <c r="L772" s="1"/>
      <c r="M772" s="1"/>
      <c r="N772" s="1"/>
      <c r="O772" s="1"/>
      <c r="P772" s="15"/>
      <c r="Q772" s="1"/>
      <c r="R772" s="1"/>
      <c r="S772" s="1"/>
      <c r="T772" s="1"/>
      <c r="U772" s="15"/>
      <c r="V772" s="1"/>
      <c r="W772" s="1"/>
      <c r="X772" s="1"/>
      <c r="Y772" s="1"/>
      <c r="Z772" s="15"/>
      <c r="AA772" s="1"/>
      <c r="AB772" s="1"/>
      <c r="AC772" s="1"/>
      <c r="AD772" s="1"/>
      <c r="AE772" s="15"/>
      <c r="AF772" s="1"/>
      <c r="AG772" s="1"/>
      <c r="AH772" s="1"/>
      <c r="AI772" s="1"/>
      <c r="AJ772" s="15"/>
      <c r="AK772" s="1"/>
    </row>
    <row r="773" spans="1:37" ht="16.5" customHeight="1">
      <c r="A773" s="1"/>
      <c r="B773" s="1"/>
      <c r="C773" s="1"/>
      <c r="D773" s="15"/>
      <c r="E773" s="15"/>
      <c r="F773" s="15"/>
      <c r="G773" s="15"/>
      <c r="H773" s="1"/>
      <c r="I773" s="1"/>
      <c r="J773" s="1"/>
      <c r="K773" s="15"/>
      <c r="L773" s="1"/>
      <c r="M773" s="1"/>
      <c r="N773" s="1"/>
      <c r="O773" s="1"/>
      <c r="P773" s="15"/>
      <c r="Q773" s="1"/>
      <c r="R773" s="1"/>
      <c r="S773" s="1"/>
      <c r="T773" s="1"/>
      <c r="U773" s="15"/>
      <c r="V773" s="1"/>
      <c r="W773" s="1"/>
      <c r="X773" s="1"/>
      <c r="Y773" s="1"/>
      <c r="Z773" s="15"/>
      <c r="AA773" s="1"/>
      <c r="AB773" s="1"/>
      <c r="AC773" s="1"/>
      <c r="AD773" s="1"/>
      <c r="AE773" s="15"/>
      <c r="AF773" s="1"/>
      <c r="AG773" s="1"/>
      <c r="AH773" s="1"/>
      <c r="AI773" s="1"/>
      <c r="AJ773" s="15"/>
      <c r="AK773" s="1"/>
    </row>
    <row r="774" spans="1:37" ht="16.5" customHeight="1">
      <c r="A774" s="1"/>
      <c r="B774" s="1"/>
      <c r="C774" s="1"/>
      <c r="D774" s="15"/>
      <c r="E774" s="15"/>
      <c r="F774" s="15"/>
      <c r="G774" s="15"/>
      <c r="H774" s="1"/>
      <c r="I774" s="1"/>
      <c r="J774" s="1"/>
      <c r="K774" s="15"/>
      <c r="L774" s="1"/>
      <c r="M774" s="1"/>
      <c r="N774" s="1"/>
      <c r="O774" s="1"/>
      <c r="P774" s="15"/>
      <c r="Q774" s="1"/>
      <c r="R774" s="1"/>
      <c r="S774" s="1"/>
      <c r="T774" s="1"/>
      <c r="U774" s="15"/>
      <c r="V774" s="1"/>
      <c r="W774" s="1"/>
      <c r="X774" s="1"/>
      <c r="Y774" s="1"/>
      <c r="Z774" s="15"/>
      <c r="AA774" s="1"/>
      <c r="AB774" s="1"/>
      <c r="AC774" s="1"/>
      <c r="AD774" s="1"/>
      <c r="AE774" s="15"/>
      <c r="AF774" s="1"/>
      <c r="AG774" s="1"/>
      <c r="AH774" s="1"/>
      <c r="AI774" s="1"/>
      <c r="AJ774" s="15"/>
      <c r="AK774" s="1"/>
    </row>
    <row r="775" spans="1:37" ht="16.5" customHeight="1">
      <c r="A775" s="1"/>
      <c r="B775" s="1"/>
      <c r="C775" s="1"/>
      <c r="D775" s="15"/>
      <c r="E775" s="15"/>
      <c r="F775" s="15"/>
      <c r="G775" s="15"/>
      <c r="H775" s="1"/>
      <c r="I775" s="1"/>
      <c r="J775" s="1"/>
      <c r="K775" s="15"/>
      <c r="L775" s="1"/>
      <c r="M775" s="1"/>
      <c r="N775" s="1"/>
      <c r="O775" s="1"/>
      <c r="P775" s="15"/>
      <c r="Q775" s="1"/>
      <c r="R775" s="1"/>
      <c r="S775" s="1"/>
      <c r="T775" s="1"/>
      <c r="U775" s="15"/>
      <c r="V775" s="1"/>
      <c r="W775" s="1"/>
      <c r="X775" s="1"/>
      <c r="Y775" s="1"/>
      <c r="Z775" s="15"/>
      <c r="AA775" s="1"/>
      <c r="AB775" s="1"/>
      <c r="AC775" s="1"/>
      <c r="AD775" s="1"/>
      <c r="AE775" s="15"/>
      <c r="AF775" s="1"/>
      <c r="AG775" s="1"/>
      <c r="AH775" s="1"/>
      <c r="AI775" s="1"/>
      <c r="AJ775" s="15"/>
      <c r="AK775" s="1"/>
    </row>
    <row r="776" spans="1:37" ht="16.5" customHeight="1">
      <c r="A776" s="1"/>
      <c r="B776" s="1"/>
      <c r="C776" s="1"/>
      <c r="D776" s="15"/>
      <c r="E776" s="15"/>
      <c r="F776" s="15"/>
      <c r="G776" s="15"/>
      <c r="H776" s="1"/>
      <c r="I776" s="1"/>
      <c r="J776" s="1"/>
      <c r="K776" s="15"/>
      <c r="L776" s="1"/>
      <c r="M776" s="1"/>
      <c r="N776" s="1"/>
      <c r="O776" s="1"/>
      <c r="P776" s="15"/>
      <c r="Q776" s="1"/>
      <c r="R776" s="1"/>
      <c r="S776" s="1"/>
      <c r="T776" s="1"/>
      <c r="U776" s="15"/>
      <c r="V776" s="1"/>
      <c r="W776" s="1"/>
      <c r="X776" s="1"/>
      <c r="Y776" s="1"/>
      <c r="Z776" s="15"/>
      <c r="AA776" s="1"/>
      <c r="AB776" s="1"/>
      <c r="AC776" s="1"/>
      <c r="AD776" s="1"/>
      <c r="AE776" s="15"/>
      <c r="AF776" s="1"/>
      <c r="AG776" s="1"/>
      <c r="AH776" s="1"/>
      <c r="AI776" s="1"/>
      <c r="AJ776" s="15"/>
      <c r="AK776" s="1"/>
    </row>
    <row r="777" spans="1:37" ht="16.5" customHeight="1">
      <c r="A777" s="1"/>
      <c r="B777" s="1"/>
      <c r="C777" s="1"/>
      <c r="D777" s="15"/>
      <c r="E777" s="15"/>
      <c r="F777" s="15"/>
      <c r="G777" s="15"/>
      <c r="H777" s="1"/>
      <c r="I777" s="1"/>
      <c r="J777" s="1"/>
      <c r="K777" s="15"/>
      <c r="L777" s="1"/>
      <c r="M777" s="1"/>
      <c r="N777" s="1"/>
      <c r="O777" s="1"/>
      <c r="P777" s="15"/>
      <c r="Q777" s="1"/>
      <c r="R777" s="1"/>
      <c r="S777" s="1"/>
      <c r="T777" s="1"/>
      <c r="U777" s="15"/>
      <c r="V777" s="1"/>
      <c r="W777" s="1"/>
      <c r="X777" s="1"/>
      <c r="Y777" s="1"/>
      <c r="Z777" s="15"/>
      <c r="AA777" s="1"/>
      <c r="AB777" s="1"/>
      <c r="AC777" s="1"/>
      <c r="AD777" s="1"/>
      <c r="AE777" s="15"/>
      <c r="AF777" s="1"/>
      <c r="AG777" s="1"/>
      <c r="AH777" s="1"/>
      <c r="AI777" s="1"/>
      <c r="AJ777" s="15"/>
      <c r="AK777" s="1"/>
    </row>
    <row r="778" spans="1:37" ht="16.5" customHeight="1">
      <c r="A778" s="1"/>
      <c r="B778" s="1"/>
      <c r="C778" s="1"/>
      <c r="D778" s="15"/>
      <c r="E778" s="15"/>
      <c r="F778" s="15"/>
      <c r="G778" s="15"/>
      <c r="H778" s="1"/>
      <c r="I778" s="1"/>
      <c r="J778" s="1"/>
      <c r="K778" s="15"/>
      <c r="L778" s="1"/>
      <c r="M778" s="1"/>
      <c r="N778" s="1"/>
      <c r="O778" s="1"/>
      <c r="P778" s="15"/>
      <c r="Q778" s="1"/>
      <c r="R778" s="1"/>
      <c r="S778" s="1"/>
      <c r="T778" s="1"/>
      <c r="U778" s="15"/>
      <c r="V778" s="1"/>
      <c r="W778" s="1"/>
      <c r="X778" s="1"/>
      <c r="Y778" s="1"/>
      <c r="Z778" s="15"/>
      <c r="AA778" s="1"/>
      <c r="AB778" s="1"/>
      <c r="AC778" s="1"/>
      <c r="AD778" s="1"/>
      <c r="AE778" s="15"/>
      <c r="AF778" s="1"/>
      <c r="AG778" s="1"/>
      <c r="AH778" s="1"/>
      <c r="AI778" s="1"/>
      <c r="AJ778" s="15"/>
      <c r="AK778" s="1"/>
    </row>
    <row r="779" spans="1:37" ht="16.5" customHeight="1">
      <c r="A779" s="1"/>
      <c r="B779" s="1"/>
      <c r="C779" s="1"/>
      <c r="D779" s="15"/>
      <c r="E779" s="15"/>
      <c r="F779" s="15"/>
      <c r="G779" s="15"/>
      <c r="H779" s="1"/>
      <c r="I779" s="1"/>
      <c r="J779" s="1"/>
      <c r="K779" s="15"/>
      <c r="L779" s="1"/>
      <c r="M779" s="1"/>
      <c r="N779" s="1"/>
      <c r="O779" s="1"/>
      <c r="P779" s="15"/>
      <c r="Q779" s="1"/>
      <c r="R779" s="1"/>
      <c r="S779" s="1"/>
      <c r="T779" s="1"/>
      <c r="U779" s="15"/>
      <c r="V779" s="1"/>
      <c r="W779" s="1"/>
      <c r="X779" s="1"/>
      <c r="Y779" s="1"/>
      <c r="Z779" s="15"/>
      <c r="AA779" s="1"/>
      <c r="AB779" s="1"/>
      <c r="AC779" s="1"/>
      <c r="AD779" s="1"/>
      <c r="AE779" s="15"/>
      <c r="AF779" s="1"/>
      <c r="AG779" s="1"/>
      <c r="AH779" s="1"/>
      <c r="AI779" s="1"/>
      <c r="AJ779" s="15"/>
      <c r="AK779" s="1"/>
    </row>
    <row r="780" spans="1:37" ht="16.5" customHeight="1">
      <c r="A780" s="1"/>
      <c r="B780" s="1"/>
      <c r="C780" s="1"/>
      <c r="D780" s="15"/>
      <c r="E780" s="15"/>
      <c r="F780" s="15"/>
      <c r="G780" s="15"/>
      <c r="H780" s="1"/>
      <c r="I780" s="1"/>
      <c r="J780" s="1"/>
      <c r="K780" s="15"/>
      <c r="L780" s="1"/>
      <c r="M780" s="1"/>
      <c r="N780" s="1"/>
      <c r="O780" s="1"/>
      <c r="P780" s="15"/>
      <c r="Q780" s="1"/>
      <c r="R780" s="1"/>
      <c r="S780" s="1"/>
      <c r="T780" s="1"/>
      <c r="U780" s="15"/>
      <c r="V780" s="1"/>
      <c r="W780" s="1"/>
      <c r="X780" s="1"/>
      <c r="Y780" s="1"/>
      <c r="Z780" s="15"/>
      <c r="AA780" s="1"/>
      <c r="AB780" s="1"/>
      <c r="AC780" s="1"/>
      <c r="AD780" s="1"/>
      <c r="AE780" s="15"/>
      <c r="AF780" s="1"/>
      <c r="AG780" s="1"/>
      <c r="AH780" s="1"/>
      <c r="AI780" s="1"/>
      <c r="AJ780" s="15"/>
      <c r="AK780" s="1"/>
    </row>
    <row r="781" spans="1:37" ht="16.5" customHeight="1">
      <c r="A781" s="1"/>
      <c r="B781" s="1"/>
      <c r="C781" s="1"/>
      <c r="D781" s="15"/>
      <c r="E781" s="15"/>
      <c r="F781" s="15"/>
      <c r="G781" s="15"/>
      <c r="H781" s="1"/>
      <c r="I781" s="1"/>
      <c r="J781" s="1"/>
      <c r="K781" s="15"/>
      <c r="L781" s="1"/>
      <c r="M781" s="1"/>
      <c r="N781" s="1"/>
      <c r="O781" s="1"/>
      <c r="P781" s="15"/>
      <c r="Q781" s="1"/>
      <c r="R781" s="1"/>
      <c r="S781" s="1"/>
      <c r="T781" s="1"/>
      <c r="U781" s="15"/>
      <c r="V781" s="1"/>
      <c r="W781" s="1"/>
      <c r="X781" s="1"/>
      <c r="Y781" s="1"/>
      <c r="Z781" s="15"/>
      <c r="AA781" s="1"/>
      <c r="AB781" s="1"/>
      <c r="AC781" s="1"/>
      <c r="AD781" s="1"/>
      <c r="AE781" s="15"/>
      <c r="AF781" s="1"/>
      <c r="AG781" s="1"/>
      <c r="AH781" s="1"/>
      <c r="AI781" s="1"/>
      <c r="AJ781" s="15"/>
      <c r="AK781" s="1"/>
    </row>
    <row r="782" spans="1:37" ht="16.5" customHeight="1">
      <c r="A782" s="1"/>
      <c r="B782" s="1"/>
      <c r="C782" s="1"/>
      <c r="D782" s="15"/>
      <c r="E782" s="15"/>
      <c r="F782" s="15"/>
      <c r="G782" s="15"/>
      <c r="H782" s="1"/>
      <c r="I782" s="1"/>
      <c r="J782" s="1"/>
      <c r="K782" s="15"/>
      <c r="L782" s="1"/>
      <c r="M782" s="1"/>
      <c r="N782" s="1"/>
      <c r="O782" s="1"/>
      <c r="P782" s="15"/>
      <c r="Q782" s="1"/>
      <c r="R782" s="1"/>
      <c r="S782" s="1"/>
      <c r="T782" s="1"/>
      <c r="U782" s="15"/>
      <c r="V782" s="1"/>
      <c r="W782" s="1"/>
      <c r="X782" s="1"/>
      <c r="Y782" s="1"/>
      <c r="Z782" s="15"/>
      <c r="AA782" s="1"/>
      <c r="AB782" s="1"/>
      <c r="AC782" s="1"/>
      <c r="AD782" s="1"/>
      <c r="AE782" s="15"/>
      <c r="AF782" s="1"/>
      <c r="AG782" s="1"/>
      <c r="AH782" s="1"/>
      <c r="AI782" s="1"/>
      <c r="AJ782" s="15"/>
      <c r="AK782" s="1"/>
    </row>
    <row r="783" spans="1:37" ht="16.5" customHeight="1">
      <c r="A783" s="1"/>
      <c r="B783" s="1"/>
      <c r="C783" s="1"/>
      <c r="D783" s="15"/>
      <c r="E783" s="15"/>
      <c r="F783" s="15"/>
      <c r="G783" s="15"/>
      <c r="H783" s="1"/>
      <c r="I783" s="1"/>
      <c r="J783" s="1"/>
      <c r="K783" s="15"/>
      <c r="L783" s="1"/>
      <c r="M783" s="1"/>
      <c r="N783" s="1"/>
      <c r="O783" s="1"/>
      <c r="P783" s="15"/>
      <c r="Q783" s="1"/>
      <c r="R783" s="1"/>
      <c r="S783" s="1"/>
      <c r="T783" s="1"/>
      <c r="U783" s="15"/>
      <c r="V783" s="1"/>
      <c r="W783" s="1"/>
      <c r="X783" s="1"/>
      <c r="Y783" s="1"/>
      <c r="Z783" s="15"/>
      <c r="AA783" s="1"/>
      <c r="AB783" s="1"/>
      <c r="AC783" s="1"/>
      <c r="AD783" s="1"/>
      <c r="AE783" s="15"/>
      <c r="AF783" s="1"/>
      <c r="AG783" s="1"/>
      <c r="AH783" s="1"/>
      <c r="AI783" s="1"/>
      <c r="AJ783" s="15"/>
      <c r="AK783" s="1"/>
    </row>
    <row r="784" spans="1:37" ht="16.5" customHeight="1">
      <c r="A784" s="1"/>
      <c r="B784" s="1"/>
      <c r="C784" s="1"/>
      <c r="D784" s="15"/>
      <c r="E784" s="15"/>
      <c r="F784" s="15"/>
      <c r="G784" s="15"/>
      <c r="H784" s="1"/>
      <c r="I784" s="1"/>
      <c r="J784" s="1"/>
      <c r="K784" s="15"/>
      <c r="L784" s="1"/>
      <c r="M784" s="1"/>
      <c r="N784" s="1"/>
      <c r="O784" s="1"/>
      <c r="P784" s="15"/>
      <c r="Q784" s="1"/>
      <c r="R784" s="1"/>
      <c r="S784" s="1"/>
      <c r="T784" s="1"/>
      <c r="U784" s="15"/>
      <c r="V784" s="1"/>
      <c r="W784" s="1"/>
      <c r="X784" s="1"/>
      <c r="Y784" s="1"/>
      <c r="Z784" s="15"/>
      <c r="AA784" s="1"/>
      <c r="AB784" s="1"/>
      <c r="AC784" s="1"/>
      <c r="AD784" s="1"/>
      <c r="AE784" s="15"/>
      <c r="AF784" s="1"/>
      <c r="AG784" s="1"/>
      <c r="AH784" s="1"/>
      <c r="AI784" s="1"/>
      <c r="AJ784" s="15"/>
      <c r="AK784" s="1"/>
    </row>
    <row r="785" spans="1:37" ht="16.5" customHeight="1">
      <c r="A785" s="1"/>
      <c r="B785" s="1"/>
      <c r="C785" s="1"/>
      <c r="D785" s="15"/>
      <c r="E785" s="15"/>
      <c r="F785" s="15"/>
      <c r="G785" s="15"/>
      <c r="H785" s="1"/>
      <c r="I785" s="1"/>
      <c r="J785" s="1"/>
      <c r="K785" s="15"/>
      <c r="L785" s="1"/>
      <c r="M785" s="1"/>
      <c r="N785" s="1"/>
      <c r="O785" s="1"/>
      <c r="P785" s="15"/>
      <c r="Q785" s="1"/>
      <c r="R785" s="1"/>
      <c r="S785" s="1"/>
      <c r="T785" s="1"/>
      <c r="U785" s="15"/>
      <c r="V785" s="1"/>
      <c r="W785" s="1"/>
      <c r="X785" s="1"/>
      <c r="Y785" s="1"/>
      <c r="Z785" s="15"/>
      <c r="AA785" s="1"/>
      <c r="AB785" s="1"/>
      <c r="AC785" s="1"/>
      <c r="AD785" s="1"/>
      <c r="AE785" s="15"/>
      <c r="AF785" s="1"/>
      <c r="AG785" s="1"/>
      <c r="AH785" s="1"/>
      <c r="AI785" s="1"/>
      <c r="AJ785" s="15"/>
      <c r="AK785" s="1"/>
    </row>
    <row r="786" spans="1:37" ht="16.5" customHeight="1">
      <c r="A786" s="1"/>
      <c r="B786" s="1"/>
      <c r="C786" s="1"/>
      <c r="D786" s="15"/>
      <c r="E786" s="15"/>
      <c r="F786" s="15"/>
      <c r="G786" s="15"/>
      <c r="H786" s="1"/>
      <c r="I786" s="1"/>
      <c r="J786" s="1"/>
      <c r="K786" s="15"/>
      <c r="L786" s="1"/>
      <c r="M786" s="1"/>
      <c r="N786" s="1"/>
      <c r="O786" s="1"/>
      <c r="P786" s="15"/>
      <c r="Q786" s="1"/>
      <c r="R786" s="1"/>
      <c r="S786" s="1"/>
      <c r="T786" s="1"/>
      <c r="U786" s="15"/>
      <c r="V786" s="1"/>
      <c r="W786" s="1"/>
      <c r="X786" s="1"/>
      <c r="Y786" s="1"/>
      <c r="Z786" s="15"/>
      <c r="AA786" s="1"/>
      <c r="AB786" s="1"/>
      <c r="AC786" s="1"/>
      <c r="AD786" s="1"/>
      <c r="AE786" s="15"/>
      <c r="AF786" s="1"/>
      <c r="AG786" s="1"/>
      <c r="AH786" s="1"/>
      <c r="AI786" s="1"/>
      <c r="AJ786" s="15"/>
      <c r="AK786" s="1"/>
    </row>
    <row r="787" spans="1:37" ht="16.5" customHeight="1">
      <c r="A787" s="1"/>
      <c r="B787" s="1"/>
      <c r="C787" s="1"/>
      <c r="D787" s="15"/>
      <c r="E787" s="15"/>
      <c r="F787" s="15"/>
      <c r="G787" s="15"/>
      <c r="H787" s="1"/>
      <c r="I787" s="1"/>
      <c r="J787" s="1"/>
      <c r="K787" s="15"/>
      <c r="L787" s="1"/>
      <c r="M787" s="1"/>
      <c r="N787" s="1"/>
      <c r="O787" s="1"/>
      <c r="P787" s="15"/>
      <c r="Q787" s="1"/>
      <c r="R787" s="1"/>
      <c r="S787" s="1"/>
      <c r="T787" s="1"/>
      <c r="U787" s="15"/>
      <c r="V787" s="1"/>
      <c r="W787" s="1"/>
      <c r="X787" s="1"/>
      <c r="Y787" s="1"/>
      <c r="Z787" s="15"/>
      <c r="AA787" s="1"/>
      <c r="AB787" s="1"/>
      <c r="AC787" s="1"/>
      <c r="AD787" s="1"/>
      <c r="AE787" s="15"/>
      <c r="AF787" s="1"/>
      <c r="AG787" s="1"/>
      <c r="AH787" s="1"/>
      <c r="AI787" s="1"/>
      <c r="AJ787" s="15"/>
      <c r="AK787" s="1"/>
    </row>
    <row r="788" spans="1:37" ht="16.5" customHeight="1">
      <c r="A788" s="1"/>
      <c r="B788" s="1"/>
      <c r="C788" s="1"/>
      <c r="D788" s="15"/>
      <c r="E788" s="15"/>
      <c r="F788" s="15"/>
      <c r="G788" s="15"/>
      <c r="H788" s="1"/>
      <c r="I788" s="1"/>
      <c r="J788" s="1"/>
      <c r="K788" s="15"/>
      <c r="L788" s="1"/>
      <c r="M788" s="1"/>
      <c r="N788" s="1"/>
      <c r="O788" s="1"/>
      <c r="P788" s="15"/>
      <c r="Q788" s="1"/>
      <c r="R788" s="1"/>
      <c r="S788" s="1"/>
      <c r="T788" s="1"/>
      <c r="U788" s="15"/>
      <c r="V788" s="1"/>
      <c r="W788" s="1"/>
      <c r="X788" s="1"/>
      <c r="Y788" s="1"/>
      <c r="Z788" s="15"/>
      <c r="AA788" s="1"/>
      <c r="AB788" s="1"/>
      <c r="AC788" s="1"/>
      <c r="AD788" s="1"/>
      <c r="AE788" s="15"/>
      <c r="AF788" s="1"/>
      <c r="AG788" s="1"/>
      <c r="AH788" s="1"/>
      <c r="AI788" s="1"/>
      <c r="AJ788" s="15"/>
      <c r="AK788" s="1"/>
    </row>
    <row r="789" spans="1:37" ht="16.5" customHeight="1">
      <c r="A789" s="1"/>
      <c r="B789" s="1"/>
      <c r="C789" s="1"/>
      <c r="D789" s="15"/>
      <c r="E789" s="15"/>
      <c r="F789" s="15"/>
      <c r="G789" s="15"/>
      <c r="H789" s="1"/>
      <c r="I789" s="1"/>
      <c r="J789" s="1"/>
      <c r="K789" s="15"/>
      <c r="L789" s="1"/>
      <c r="M789" s="1"/>
      <c r="N789" s="1"/>
      <c r="O789" s="1"/>
      <c r="P789" s="15"/>
      <c r="Q789" s="1"/>
      <c r="R789" s="1"/>
      <c r="S789" s="1"/>
      <c r="T789" s="1"/>
      <c r="U789" s="15"/>
      <c r="V789" s="1"/>
      <c r="W789" s="1"/>
      <c r="X789" s="1"/>
      <c r="Y789" s="1"/>
      <c r="Z789" s="15"/>
      <c r="AA789" s="1"/>
      <c r="AB789" s="1"/>
      <c r="AC789" s="1"/>
      <c r="AD789" s="1"/>
      <c r="AE789" s="15"/>
      <c r="AF789" s="1"/>
      <c r="AG789" s="1"/>
      <c r="AH789" s="1"/>
      <c r="AI789" s="1"/>
      <c r="AJ789" s="15"/>
      <c r="AK789" s="1"/>
    </row>
    <row r="790" spans="1:37" ht="16.5" customHeight="1">
      <c r="A790" s="1"/>
      <c r="B790" s="1"/>
      <c r="C790" s="1"/>
      <c r="D790" s="15"/>
      <c r="E790" s="15"/>
      <c r="F790" s="15"/>
      <c r="G790" s="15"/>
      <c r="H790" s="1"/>
      <c r="I790" s="1"/>
      <c r="J790" s="1"/>
      <c r="K790" s="15"/>
      <c r="L790" s="1"/>
      <c r="M790" s="1"/>
      <c r="N790" s="1"/>
      <c r="O790" s="1"/>
      <c r="P790" s="15"/>
      <c r="Q790" s="1"/>
      <c r="R790" s="1"/>
      <c r="S790" s="1"/>
      <c r="T790" s="1"/>
      <c r="U790" s="15"/>
      <c r="V790" s="1"/>
      <c r="W790" s="1"/>
      <c r="X790" s="1"/>
      <c r="Y790" s="1"/>
      <c r="Z790" s="15"/>
      <c r="AA790" s="1"/>
      <c r="AB790" s="1"/>
      <c r="AC790" s="1"/>
      <c r="AD790" s="1"/>
      <c r="AE790" s="15"/>
      <c r="AF790" s="1"/>
      <c r="AG790" s="1"/>
      <c r="AH790" s="1"/>
      <c r="AI790" s="1"/>
      <c r="AJ790" s="15"/>
      <c r="AK790" s="1"/>
    </row>
    <row r="791" spans="1:37" ht="16.5" customHeight="1">
      <c r="A791" s="1"/>
      <c r="B791" s="1"/>
      <c r="C791" s="1"/>
      <c r="D791" s="15"/>
      <c r="E791" s="15"/>
      <c r="F791" s="15"/>
      <c r="G791" s="15"/>
      <c r="H791" s="1"/>
      <c r="I791" s="1"/>
      <c r="J791" s="1"/>
      <c r="K791" s="15"/>
      <c r="L791" s="1"/>
      <c r="M791" s="1"/>
      <c r="N791" s="1"/>
      <c r="O791" s="1"/>
      <c r="P791" s="15"/>
      <c r="Q791" s="1"/>
      <c r="R791" s="1"/>
      <c r="S791" s="1"/>
      <c r="T791" s="1"/>
      <c r="U791" s="15"/>
      <c r="V791" s="1"/>
      <c r="W791" s="1"/>
      <c r="X791" s="1"/>
      <c r="Y791" s="1"/>
      <c r="Z791" s="15"/>
      <c r="AA791" s="1"/>
      <c r="AB791" s="1"/>
      <c r="AC791" s="1"/>
      <c r="AD791" s="1"/>
      <c r="AE791" s="15"/>
      <c r="AF791" s="1"/>
      <c r="AG791" s="1"/>
      <c r="AH791" s="1"/>
      <c r="AI791" s="1"/>
      <c r="AJ791" s="15"/>
      <c r="AK791" s="1"/>
    </row>
    <row r="792" spans="1:37" ht="16.5" customHeight="1">
      <c r="A792" s="1"/>
      <c r="B792" s="1"/>
      <c r="C792" s="1"/>
      <c r="D792" s="15"/>
      <c r="E792" s="15"/>
      <c r="F792" s="15"/>
      <c r="G792" s="15"/>
      <c r="H792" s="1"/>
      <c r="I792" s="1"/>
      <c r="J792" s="1"/>
      <c r="K792" s="15"/>
      <c r="L792" s="1"/>
      <c r="M792" s="1"/>
      <c r="N792" s="1"/>
      <c r="O792" s="1"/>
      <c r="P792" s="15"/>
      <c r="Q792" s="1"/>
      <c r="R792" s="1"/>
      <c r="S792" s="1"/>
      <c r="T792" s="1"/>
      <c r="U792" s="15"/>
      <c r="V792" s="1"/>
      <c r="W792" s="1"/>
      <c r="X792" s="1"/>
      <c r="Y792" s="1"/>
      <c r="Z792" s="15"/>
      <c r="AA792" s="1"/>
      <c r="AB792" s="1"/>
      <c r="AC792" s="1"/>
      <c r="AD792" s="1"/>
      <c r="AE792" s="15"/>
      <c r="AF792" s="1"/>
      <c r="AG792" s="1"/>
      <c r="AH792" s="1"/>
      <c r="AI792" s="1"/>
      <c r="AJ792" s="15"/>
      <c r="AK792" s="1"/>
    </row>
    <row r="793" spans="1:37" ht="16.5" customHeight="1">
      <c r="A793" s="1"/>
      <c r="B793" s="1"/>
      <c r="C793" s="1"/>
      <c r="D793" s="15"/>
      <c r="E793" s="15"/>
      <c r="F793" s="15"/>
      <c r="G793" s="15"/>
      <c r="H793" s="1"/>
      <c r="I793" s="1"/>
      <c r="J793" s="1"/>
      <c r="K793" s="15"/>
      <c r="L793" s="1"/>
      <c r="M793" s="1"/>
      <c r="N793" s="1"/>
      <c r="O793" s="1"/>
      <c r="P793" s="15"/>
      <c r="Q793" s="1"/>
      <c r="R793" s="1"/>
      <c r="S793" s="1"/>
      <c r="T793" s="1"/>
      <c r="U793" s="15"/>
      <c r="V793" s="1"/>
      <c r="W793" s="1"/>
      <c r="X793" s="1"/>
      <c r="Y793" s="1"/>
      <c r="Z793" s="15"/>
      <c r="AA793" s="1"/>
      <c r="AB793" s="1"/>
      <c r="AC793" s="1"/>
      <c r="AD793" s="1"/>
      <c r="AE793" s="15"/>
      <c r="AF793" s="1"/>
      <c r="AG793" s="1"/>
      <c r="AH793" s="1"/>
      <c r="AI793" s="1"/>
      <c r="AJ793" s="15"/>
      <c r="AK793" s="1"/>
    </row>
    <row r="794" spans="1:37" ht="16.5" customHeight="1">
      <c r="A794" s="1"/>
      <c r="B794" s="1"/>
      <c r="C794" s="1"/>
      <c r="D794" s="15"/>
      <c r="E794" s="15"/>
      <c r="F794" s="15"/>
      <c r="G794" s="15"/>
      <c r="H794" s="1"/>
      <c r="I794" s="1"/>
      <c r="J794" s="1"/>
      <c r="K794" s="15"/>
      <c r="L794" s="1"/>
      <c r="M794" s="1"/>
      <c r="N794" s="1"/>
      <c r="O794" s="1"/>
      <c r="P794" s="15"/>
      <c r="Q794" s="1"/>
      <c r="R794" s="1"/>
      <c r="S794" s="1"/>
      <c r="T794" s="1"/>
      <c r="U794" s="15"/>
      <c r="V794" s="1"/>
      <c r="W794" s="1"/>
      <c r="X794" s="1"/>
      <c r="Y794" s="1"/>
      <c r="Z794" s="15"/>
      <c r="AA794" s="1"/>
      <c r="AB794" s="1"/>
      <c r="AC794" s="1"/>
      <c r="AD794" s="1"/>
      <c r="AE794" s="15"/>
      <c r="AF794" s="1"/>
      <c r="AG794" s="1"/>
      <c r="AH794" s="1"/>
      <c r="AI794" s="1"/>
      <c r="AJ794" s="15"/>
      <c r="AK794" s="1"/>
    </row>
    <row r="795" spans="1:37" ht="16.5" customHeight="1">
      <c r="A795" s="1"/>
      <c r="B795" s="1"/>
      <c r="C795" s="1"/>
      <c r="D795" s="15"/>
      <c r="E795" s="15"/>
      <c r="F795" s="15"/>
      <c r="G795" s="15"/>
      <c r="H795" s="1"/>
      <c r="I795" s="1"/>
      <c r="J795" s="1"/>
      <c r="K795" s="15"/>
      <c r="L795" s="1"/>
      <c r="M795" s="1"/>
      <c r="N795" s="1"/>
      <c r="O795" s="1"/>
      <c r="P795" s="15"/>
      <c r="Q795" s="1"/>
      <c r="R795" s="1"/>
      <c r="S795" s="1"/>
      <c r="T795" s="1"/>
      <c r="U795" s="15"/>
      <c r="V795" s="1"/>
      <c r="W795" s="1"/>
      <c r="X795" s="1"/>
      <c r="Y795" s="1"/>
      <c r="Z795" s="15"/>
      <c r="AA795" s="1"/>
      <c r="AB795" s="1"/>
      <c r="AC795" s="1"/>
      <c r="AD795" s="1"/>
      <c r="AE795" s="15"/>
      <c r="AF795" s="1"/>
      <c r="AG795" s="1"/>
      <c r="AH795" s="1"/>
      <c r="AI795" s="1"/>
      <c r="AJ795" s="15"/>
      <c r="AK795" s="1"/>
    </row>
    <row r="796" spans="1:37" ht="16.5" customHeight="1">
      <c r="A796" s="1"/>
      <c r="B796" s="1"/>
      <c r="C796" s="1"/>
      <c r="D796" s="15"/>
      <c r="E796" s="15"/>
      <c r="F796" s="15"/>
      <c r="G796" s="15"/>
      <c r="H796" s="1"/>
      <c r="I796" s="1"/>
      <c r="J796" s="1"/>
      <c r="K796" s="15"/>
      <c r="L796" s="1"/>
      <c r="M796" s="1"/>
      <c r="N796" s="1"/>
      <c r="O796" s="1"/>
      <c r="P796" s="15"/>
      <c r="Q796" s="1"/>
      <c r="R796" s="1"/>
      <c r="S796" s="1"/>
      <c r="T796" s="1"/>
      <c r="U796" s="15"/>
      <c r="V796" s="1"/>
      <c r="W796" s="1"/>
      <c r="X796" s="1"/>
      <c r="Y796" s="1"/>
      <c r="Z796" s="15"/>
      <c r="AA796" s="1"/>
      <c r="AB796" s="1"/>
      <c r="AC796" s="1"/>
      <c r="AD796" s="1"/>
      <c r="AE796" s="15"/>
      <c r="AF796" s="1"/>
      <c r="AG796" s="1"/>
      <c r="AH796" s="1"/>
      <c r="AI796" s="1"/>
      <c r="AJ796" s="15"/>
      <c r="AK796" s="1"/>
    </row>
    <row r="797" spans="1:37" ht="16.5" customHeight="1">
      <c r="A797" s="1"/>
      <c r="B797" s="1"/>
      <c r="C797" s="1"/>
      <c r="D797" s="15"/>
      <c r="E797" s="15"/>
      <c r="F797" s="15"/>
      <c r="G797" s="15"/>
      <c r="H797" s="1"/>
      <c r="I797" s="1"/>
      <c r="J797" s="1"/>
      <c r="K797" s="15"/>
      <c r="L797" s="1"/>
      <c r="M797" s="1"/>
      <c r="N797" s="1"/>
      <c r="O797" s="1"/>
      <c r="P797" s="15"/>
      <c r="Q797" s="1"/>
      <c r="R797" s="1"/>
      <c r="S797" s="1"/>
      <c r="T797" s="1"/>
      <c r="U797" s="15"/>
      <c r="V797" s="1"/>
      <c r="W797" s="1"/>
      <c r="X797" s="1"/>
      <c r="Y797" s="1"/>
      <c r="Z797" s="15"/>
      <c r="AA797" s="1"/>
      <c r="AB797" s="1"/>
      <c r="AC797" s="1"/>
      <c r="AD797" s="1"/>
      <c r="AE797" s="15"/>
      <c r="AF797" s="1"/>
      <c r="AG797" s="1"/>
      <c r="AH797" s="1"/>
      <c r="AI797" s="1"/>
      <c r="AJ797" s="15"/>
      <c r="AK797" s="1"/>
    </row>
    <row r="798" spans="1:37" ht="16.5" customHeight="1">
      <c r="A798" s="1"/>
      <c r="B798" s="1"/>
      <c r="C798" s="1"/>
      <c r="D798" s="15"/>
      <c r="E798" s="15"/>
      <c r="F798" s="15"/>
      <c r="G798" s="15"/>
      <c r="H798" s="1"/>
      <c r="I798" s="1"/>
      <c r="J798" s="1"/>
      <c r="K798" s="15"/>
      <c r="L798" s="1"/>
      <c r="M798" s="1"/>
      <c r="N798" s="1"/>
      <c r="O798" s="1"/>
      <c r="P798" s="15"/>
      <c r="Q798" s="1"/>
      <c r="R798" s="1"/>
      <c r="S798" s="1"/>
      <c r="T798" s="1"/>
      <c r="U798" s="15"/>
      <c r="V798" s="1"/>
      <c r="W798" s="1"/>
      <c r="X798" s="1"/>
      <c r="Y798" s="1"/>
      <c r="Z798" s="15"/>
      <c r="AA798" s="1"/>
      <c r="AB798" s="1"/>
      <c r="AC798" s="1"/>
      <c r="AD798" s="1"/>
      <c r="AE798" s="15"/>
      <c r="AF798" s="1"/>
      <c r="AG798" s="1"/>
      <c r="AH798" s="1"/>
      <c r="AI798" s="1"/>
      <c r="AJ798" s="15"/>
      <c r="AK798" s="1"/>
    </row>
    <row r="799" spans="1:37" ht="16.5" customHeight="1">
      <c r="A799" s="1"/>
      <c r="B799" s="1"/>
      <c r="C799" s="1"/>
      <c r="D799" s="15"/>
      <c r="E799" s="15"/>
      <c r="F799" s="15"/>
      <c r="G799" s="15"/>
      <c r="H799" s="1"/>
      <c r="I799" s="1"/>
      <c r="J799" s="1"/>
      <c r="K799" s="15"/>
      <c r="L799" s="1"/>
      <c r="M799" s="1"/>
      <c r="N799" s="1"/>
      <c r="O799" s="1"/>
      <c r="P799" s="15"/>
      <c r="Q799" s="1"/>
      <c r="R799" s="1"/>
      <c r="S799" s="1"/>
      <c r="T799" s="1"/>
      <c r="U799" s="15"/>
      <c r="V799" s="1"/>
      <c r="W799" s="1"/>
      <c r="X799" s="1"/>
      <c r="Y799" s="1"/>
      <c r="Z799" s="15"/>
      <c r="AA799" s="1"/>
      <c r="AB799" s="1"/>
      <c r="AC799" s="1"/>
      <c r="AD799" s="1"/>
      <c r="AE799" s="15"/>
      <c r="AF799" s="1"/>
      <c r="AG799" s="1"/>
      <c r="AH799" s="1"/>
      <c r="AI799" s="1"/>
      <c r="AJ799" s="15"/>
      <c r="AK799" s="1"/>
    </row>
    <row r="800" spans="1:37" ht="16.5" customHeight="1">
      <c r="A800" s="1"/>
      <c r="B800" s="1"/>
      <c r="C800" s="1"/>
      <c r="D800" s="15"/>
      <c r="E800" s="15"/>
      <c r="F800" s="15"/>
      <c r="G800" s="15"/>
      <c r="H800" s="1"/>
      <c r="I800" s="1"/>
      <c r="J800" s="1"/>
      <c r="K800" s="15"/>
      <c r="L800" s="1"/>
      <c r="M800" s="1"/>
      <c r="N800" s="1"/>
      <c r="O800" s="1"/>
      <c r="P800" s="15"/>
      <c r="Q800" s="1"/>
      <c r="R800" s="1"/>
      <c r="S800" s="1"/>
      <c r="T800" s="1"/>
      <c r="U800" s="15"/>
      <c r="V800" s="1"/>
      <c r="W800" s="1"/>
      <c r="X800" s="1"/>
      <c r="Y800" s="1"/>
      <c r="Z800" s="15"/>
      <c r="AA800" s="1"/>
      <c r="AB800" s="1"/>
      <c r="AC800" s="1"/>
      <c r="AD800" s="1"/>
      <c r="AE800" s="15"/>
      <c r="AF800" s="1"/>
      <c r="AG800" s="1"/>
      <c r="AH800" s="1"/>
      <c r="AI800" s="1"/>
      <c r="AJ800" s="15"/>
      <c r="AK800" s="1"/>
    </row>
    <row r="801" spans="1:37" ht="16.5" customHeight="1">
      <c r="A801" s="1"/>
      <c r="B801" s="1"/>
      <c r="C801" s="1"/>
      <c r="D801" s="15"/>
      <c r="E801" s="15"/>
      <c r="F801" s="15"/>
      <c r="G801" s="15"/>
      <c r="H801" s="1"/>
      <c r="I801" s="1"/>
      <c r="J801" s="1"/>
      <c r="K801" s="15"/>
      <c r="L801" s="1"/>
      <c r="M801" s="1"/>
      <c r="N801" s="1"/>
      <c r="O801" s="1"/>
      <c r="P801" s="15"/>
      <c r="Q801" s="1"/>
      <c r="R801" s="1"/>
      <c r="S801" s="1"/>
      <c r="T801" s="1"/>
      <c r="U801" s="15"/>
      <c r="V801" s="1"/>
      <c r="W801" s="1"/>
      <c r="X801" s="1"/>
      <c r="Y801" s="1"/>
      <c r="Z801" s="15"/>
      <c r="AA801" s="1"/>
      <c r="AB801" s="1"/>
      <c r="AC801" s="1"/>
      <c r="AD801" s="1"/>
      <c r="AE801" s="15"/>
      <c r="AF801" s="1"/>
      <c r="AG801" s="1"/>
      <c r="AH801" s="1"/>
      <c r="AI801" s="1"/>
      <c r="AJ801" s="15"/>
      <c r="AK801" s="1"/>
    </row>
    <row r="802" spans="1:37" ht="16.5" customHeight="1">
      <c r="A802" s="1"/>
      <c r="B802" s="1"/>
      <c r="C802" s="1"/>
      <c r="D802" s="15"/>
      <c r="E802" s="15"/>
      <c r="F802" s="15"/>
      <c r="G802" s="15"/>
      <c r="H802" s="1"/>
      <c r="I802" s="1"/>
      <c r="J802" s="1"/>
      <c r="K802" s="15"/>
      <c r="L802" s="1"/>
      <c r="M802" s="1"/>
      <c r="N802" s="1"/>
      <c r="O802" s="1"/>
      <c r="P802" s="15"/>
      <c r="Q802" s="1"/>
      <c r="R802" s="1"/>
      <c r="S802" s="1"/>
      <c r="T802" s="1"/>
      <c r="U802" s="15"/>
      <c r="V802" s="1"/>
      <c r="W802" s="1"/>
      <c r="X802" s="1"/>
      <c r="Y802" s="1"/>
      <c r="Z802" s="15"/>
      <c r="AA802" s="1"/>
      <c r="AB802" s="1"/>
      <c r="AC802" s="1"/>
      <c r="AD802" s="1"/>
      <c r="AE802" s="15"/>
      <c r="AF802" s="1"/>
      <c r="AG802" s="1"/>
      <c r="AH802" s="1"/>
      <c r="AI802" s="1"/>
      <c r="AJ802" s="15"/>
      <c r="AK802" s="1"/>
    </row>
    <row r="803" spans="1:37" ht="16.5" customHeight="1">
      <c r="A803" s="1"/>
      <c r="B803" s="1"/>
      <c r="C803" s="1"/>
      <c r="D803" s="15"/>
      <c r="E803" s="15"/>
      <c r="F803" s="15"/>
      <c r="G803" s="15"/>
      <c r="H803" s="1"/>
      <c r="I803" s="1"/>
      <c r="J803" s="1"/>
      <c r="K803" s="15"/>
      <c r="L803" s="1"/>
      <c r="M803" s="1"/>
      <c r="N803" s="1"/>
      <c r="O803" s="1"/>
      <c r="P803" s="15"/>
      <c r="Q803" s="1"/>
      <c r="R803" s="1"/>
      <c r="S803" s="1"/>
      <c r="T803" s="1"/>
      <c r="U803" s="15"/>
      <c r="V803" s="1"/>
      <c r="W803" s="1"/>
      <c r="X803" s="1"/>
      <c r="Y803" s="1"/>
      <c r="Z803" s="15"/>
      <c r="AA803" s="1"/>
      <c r="AB803" s="1"/>
      <c r="AC803" s="1"/>
      <c r="AD803" s="1"/>
      <c r="AE803" s="15"/>
      <c r="AF803" s="1"/>
      <c r="AG803" s="1"/>
      <c r="AH803" s="1"/>
      <c r="AI803" s="1"/>
      <c r="AJ803" s="15"/>
      <c r="AK803" s="1"/>
    </row>
    <row r="804" spans="1:37" ht="16.5" customHeight="1">
      <c r="A804" s="1"/>
      <c r="B804" s="1"/>
      <c r="C804" s="1"/>
      <c r="D804" s="15"/>
      <c r="E804" s="15"/>
      <c r="F804" s="15"/>
      <c r="G804" s="15"/>
      <c r="H804" s="1"/>
      <c r="I804" s="1"/>
      <c r="J804" s="1"/>
      <c r="K804" s="15"/>
      <c r="L804" s="1"/>
      <c r="M804" s="1"/>
      <c r="N804" s="1"/>
      <c r="O804" s="1"/>
      <c r="P804" s="15"/>
      <c r="Q804" s="1"/>
      <c r="R804" s="1"/>
      <c r="S804" s="1"/>
      <c r="T804" s="1"/>
      <c r="U804" s="15"/>
      <c r="V804" s="1"/>
      <c r="W804" s="1"/>
      <c r="X804" s="1"/>
      <c r="Y804" s="1"/>
      <c r="Z804" s="15"/>
      <c r="AA804" s="1"/>
      <c r="AB804" s="1"/>
      <c r="AC804" s="1"/>
      <c r="AD804" s="1"/>
      <c r="AE804" s="15"/>
      <c r="AF804" s="1"/>
      <c r="AG804" s="1"/>
      <c r="AH804" s="1"/>
      <c r="AI804" s="1"/>
      <c r="AJ804" s="15"/>
      <c r="AK804" s="1"/>
    </row>
    <row r="805" spans="1:37" ht="16.5" customHeight="1">
      <c r="A805" s="1"/>
      <c r="B805" s="1"/>
      <c r="C805" s="1"/>
      <c r="D805" s="15"/>
      <c r="E805" s="15"/>
      <c r="F805" s="15"/>
      <c r="G805" s="15"/>
      <c r="H805" s="1"/>
      <c r="I805" s="1"/>
      <c r="J805" s="1"/>
      <c r="K805" s="15"/>
      <c r="L805" s="1"/>
      <c r="M805" s="1"/>
      <c r="N805" s="1"/>
      <c r="O805" s="1"/>
      <c r="P805" s="15"/>
      <c r="Q805" s="1"/>
      <c r="R805" s="1"/>
      <c r="S805" s="1"/>
      <c r="T805" s="1"/>
      <c r="U805" s="15"/>
      <c r="V805" s="1"/>
      <c r="W805" s="1"/>
      <c r="X805" s="1"/>
      <c r="Y805" s="1"/>
      <c r="Z805" s="15"/>
      <c r="AA805" s="1"/>
      <c r="AB805" s="1"/>
      <c r="AC805" s="1"/>
      <c r="AD805" s="1"/>
      <c r="AE805" s="15"/>
      <c r="AF805" s="1"/>
      <c r="AG805" s="1"/>
      <c r="AH805" s="1"/>
      <c r="AI805" s="1"/>
      <c r="AJ805" s="15"/>
      <c r="AK805" s="1"/>
    </row>
    <row r="806" spans="1:37" ht="16.5" customHeight="1">
      <c r="A806" s="1"/>
      <c r="B806" s="1"/>
      <c r="C806" s="1"/>
      <c r="D806" s="15"/>
      <c r="E806" s="15"/>
      <c r="F806" s="15"/>
      <c r="G806" s="15"/>
      <c r="H806" s="1"/>
      <c r="I806" s="1"/>
      <c r="J806" s="1"/>
      <c r="K806" s="15"/>
      <c r="L806" s="1"/>
      <c r="M806" s="1"/>
      <c r="N806" s="1"/>
      <c r="O806" s="1"/>
      <c r="P806" s="15"/>
      <c r="Q806" s="1"/>
      <c r="R806" s="1"/>
      <c r="S806" s="1"/>
      <c r="T806" s="1"/>
      <c r="U806" s="15"/>
      <c r="V806" s="1"/>
      <c r="W806" s="1"/>
      <c r="X806" s="1"/>
      <c r="Y806" s="1"/>
      <c r="Z806" s="15"/>
      <c r="AA806" s="1"/>
      <c r="AB806" s="1"/>
      <c r="AC806" s="1"/>
      <c r="AD806" s="1"/>
      <c r="AE806" s="15"/>
      <c r="AF806" s="1"/>
      <c r="AG806" s="1"/>
      <c r="AH806" s="1"/>
      <c r="AI806" s="1"/>
      <c r="AJ806" s="15"/>
      <c r="AK806" s="1"/>
    </row>
    <row r="807" spans="1:37" ht="16.5" customHeight="1">
      <c r="A807" s="1"/>
      <c r="B807" s="1"/>
      <c r="C807" s="1"/>
      <c r="D807" s="15"/>
      <c r="E807" s="15"/>
      <c r="F807" s="15"/>
      <c r="G807" s="15"/>
      <c r="H807" s="1"/>
      <c r="I807" s="1"/>
      <c r="J807" s="1"/>
      <c r="K807" s="15"/>
      <c r="L807" s="1"/>
      <c r="M807" s="1"/>
      <c r="N807" s="1"/>
      <c r="O807" s="1"/>
      <c r="P807" s="15"/>
      <c r="Q807" s="1"/>
      <c r="R807" s="1"/>
      <c r="S807" s="1"/>
      <c r="T807" s="1"/>
      <c r="U807" s="15"/>
      <c r="V807" s="1"/>
      <c r="W807" s="1"/>
      <c r="X807" s="1"/>
      <c r="Y807" s="1"/>
      <c r="Z807" s="15"/>
      <c r="AA807" s="1"/>
      <c r="AB807" s="1"/>
      <c r="AC807" s="1"/>
      <c r="AD807" s="1"/>
      <c r="AE807" s="15"/>
      <c r="AF807" s="1"/>
      <c r="AG807" s="1"/>
      <c r="AH807" s="1"/>
      <c r="AI807" s="1"/>
      <c r="AJ807" s="15"/>
      <c r="AK807" s="1"/>
    </row>
    <row r="808" spans="1:37" ht="16.5" customHeight="1">
      <c r="A808" s="1"/>
      <c r="B808" s="1"/>
      <c r="C808" s="1"/>
      <c r="D808" s="15"/>
      <c r="E808" s="15"/>
      <c r="F808" s="15"/>
      <c r="G808" s="15"/>
      <c r="H808" s="1"/>
      <c r="I808" s="1"/>
      <c r="J808" s="1"/>
      <c r="K808" s="15"/>
      <c r="L808" s="1"/>
      <c r="M808" s="1"/>
      <c r="N808" s="1"/>
      <c r="O808" s="1"/>
      <c r="P808" s="15"/>
      <c r="Q808" s="1"/>
      <c r="R808" s="1"/>
      <c r="S808" s="1"/>
      <c r="T808" s="1"/>
      <c r="U808" s="15"/>
      <c r="V808" s="1"/>
      <c r="W808" s="1"/>
      <c r="X808" s="1"/>
      <c r="Y808" s="1"/>
      <c r="Z808" s="15"/>
      <c r="AA808" s="1"/>
      <c r="AB808" s="1"/>
      <c r="AC808" s="1"/>
      <c r="AD808" s="1"/>
      <c r="AE808" s="15"/>
      <c r="AF808" s="1"/>
      <c r="AG808" s="1"/>
      <c r="AH808" s="1"/>
      <c r="AI808" s="1"/>
      <c r="AJ808" s="15"/>
      <c r="AK808" s="1"/>
    </row>
    <row r="809" spans="1:37" ht="16.5" customHeight="1">
      <c r="A809" s="1"/>
      <c r="B809" s="1"/>
      <c r="C809" s="1"/>
      <c r="D809" s="15"/>
      <c r="E809" s="15"/>
      <c r="F809" s="15"/>
      <c r="G809" s="15"/>
      <c r="H809" s="1"/>
      <c r="I809" s="1"/>
      <c r="J809" s="1"/>
      <c r="K809" s="15"/>
      <c r="L809" s="1"/>
      <c r="M809" s="1"/>
      <c r="N809" s="1"/>
      <c r="O809" s="1"/>
      <c r="P809" s="15"/>
      <c r="Q809" s="1"/>
      <c r="R809" s="1"/>
      <c r="S809" s="1"/>
      <c r="T809" s="1"/>
      <c r="U809" s="15"/>
      <c r="V809" s="1"/>
      <c r="W809" s="1"/>
      <c r="X809" s="1"/>
      <c r="Y809" s="1"/>
      <c r="Z809" s="15"/>
      <c r="AA809" s="1"/>
      <c r="AB809" s="1"/>
      <c r="AC809" s="1"/>
      <c r="AD809" s="1"/>
      <c r="AE809" s="15"/>
      <c r="AF809" s="1"/>
      <c r="AG809" s="1"/>
      <c r="AH809" s="1"/>
      <c r="AI809" s="1"/>
      <c r="AJ809" s="15"/>
      <c r="AK809" s="1"/>
    </row>
    <row r="810" spans="1:37" ht="16.5" customHeight="1">
      <c r="A810" s="1"/>
      <c r="B810" s="1"/>
      <c r="C810" s="1"/>
      <c r="D810" s="15"/>
      <c r="E810" s="15"/>
      <c r="F810" s="15"/>
      <c r="G810" s="15"/>
      <c r="H810" s="1"/>
      <c r="I810" s="1"/>
      <c r="J810" s="1"/>
      <c r="K810" s="15"/>
      <c r="L810" s="1"/>
      <c r="M810" s="1"/>
      <c r="N810" s="1"/>
      <c r="O810" s="1"/>
      <c r="P810" s="15"/>
      <c r="Q810" s="1"/>
      <c r="R810" s="1"/>
      <c r="S810" s="1"/>
      <c r="T810" s="1"/>
      <c r="U810" s="15"/>
      <c r="V810" s="1"/>
      <c r="W810" s="1"/>
      <c r="X810" s="1"/>
      <c r="Y810" s="1"/>
      <c r="Z810" s="15"/>
      <c r="AA810" s="1"/>
      <c r="AB810" s="1"/>
      <c r="AC810" s="1"/>
      <c r="AD810" s="1"/>
      <c r="AE810" s="15"/>
      <c r="AF810" s="1"/>
      <c r="AG810" s="1"/>
      <c r="AH810" s="1"/>
      <c r="AI810" s="1"/>
      <c r="AJ810" s="15"/>
      <c r="AK810" s="1"/>
    </row>
    <row r="811" spans="1:37" ht="16.5" customHeight="1">
      <c r="A811" s="1"/>
      <c r="B811" s="1"/>
      <c r="C811" s="1"/>
      <c r="D811" s="15"/>
      <c r="E811" s="15"/>
      <c r="F811" s="15"/>
      <c r="G811" s="15"/>
      <c r="H811" s="1"/>
      <c r="I811" s="1"/>
      <c r="J811" s="1"/>
      <c r="K811" s="15"/>
      <c r="L811" s="1"/>
      <c r="M811" s="1"/>
      <c r="N811" s="1"/>
      <c r="O811" s="1"/>
      <c r="P811" s="15"/>
      <c r="Q811" s="1"/>
      <c r="R811" s="1"/>
      <c r="S811" s="1"/>
      <c r="T811" s="1"/>
      <c r="U811" s="15"/>
      <c r="V811" s="1"/>
      <c r="W811" s="1"/>
      <c r="X811" s="1"/>
      <c r="Y811" s="1"/>
      <c r="Z811" s="15"/>
      <c r="AA811" s="1"/>
      <c r="AB811" s="1"/>
      <c r="AC811" s="1"/>
      <c r="AD811" s="1"/>
      <c r="AE811" s="15"/>
      <c r="AF811" s="1"/>
      <c r="AG811" s="1"/>
      <c r="AH811" s="1"/>
      <c r="AI811" s="1"/>
      <c r="AJ811" s="15"/>
      <c r="AK811" s="1"/>
    </row>
    <row r="812" spans="1:37" ht="16.5" customHeight="1">
      <c r="A812" s="1"/>
      <c r="B812" s="1"/>
      <c r="C812" s="1"/>
      <c r="D812" s="15"/>
      <c r="E812" s="15"/>
      <c r="F812" s="15"/>
      <c r="G812" s="15"/>
      <c r="H812" s="1"/>
      <c r="I812" s="1"/>
      <c r="J812" s="1"/>
      <c r="K812" s="15"/>
      <c r="L812" s="1"/>
      <c r="M812" s="1"/>
      <c r="N812" s="1"/>
      <c r="O812" s="1"/>
      <c r="P812" s="15"/>
      <c r="Q812" s="1"/>
      <c r="R812" s="1"/>
      <c r="S812" s="1"/>
      <c r="T812" s="1"/>
      <c r="U812" s="15"/>
      <c r="V812" s="1"/>
      <c r="W812" s="1"/>
      <c r="X812" s="1"/>
      <c r="Y812" s="1"/>
      <c r="Z812" s="15"/>
      <c r="AA812" s="1"/>
      <c r="AB812" s="1"/>
      <c r="AC812" s="1"/>
      <c r="AD812" s="1"/>
      <c r="AE812" s="15"/>
      <c r="AF812" s="1"/>
      <c r="AG812" s="1"/>
      <c r="AH812" s="1"/>
      <c r="AI812" s="1"/>
      <c r="AJ812" s="15"/>
      <c r="AK812" s="1"/>
    </row>
    <row r="813" spans="1:37" ht="16.5" customHeight="1">
      <c r="A813" s="1"/>
      <c r="B813" s="1"/>
      <c r="C813" s="1"/>
      <c r="D813" s="15"/>
      <c r="E813" s="15"/>
      <c r="F813" s="15"/>
      <c r="G813" s="15"/>
      <c r="H813" s="1"/>
      <c r="I813" s="1"/>
      <c r="J813" s="1"/>
      <c r="K813" s="15"/>
      <c r="L813" s="1"/>
      <c r="M813" s="1"/>
      <c r="N813" s="1"/>
      <c r="O813" s="1"/>
      <c r="P813" s="15"/>
      <c r="Q813" s="1"/>
      <c r="R813" s="1"/>
      <c r="S813" s="1"/>
      <c r="T813" s="1"/>
      <c r="U813" s="15"/>
      <c r="V813" s="1"/>
      <c r="W813" s="1"/>
      <c r="X813" s="1"/>
      <c r="Y813" s="1"/>
      <c r="Z813" s="15"/>
      <c r="AA813" s="1"/>
      <c r="AB813" s="1"/>
      <c r="AC813" s="1"/>
      <c r="AD813" s="1"/>
      <c r="AE813" s="15"/>
      <c r="AF813" s="1"/>
      <c r="AG813" s="1"/>
      <c r="AH813" s="1"/>
      <c r="AI813" s="1"/>
      <c r="AJ813" s="15"/>
      <c r="AK813" s="1"/>
    </row>
    <row r="814" spans="1:37" ht="16.5" customHeight="1">
      <c r="A814" s="1"/>
      <c r="B814" s="1"/>
      <c r="C814" s="1"/>
      <c r="D814" s="15"/>
      <c r="E814" s="15"/>
      <c r="F814" s="15"/>
      <c r="G814" s="15"/>
      <c r="H814" s="1"/>
      <c r="I814" s="1"/>
      <c r="J814" s="1"/>
      <c r="K814" s="15"/>
      <c r="L814" s="1"/>
      <c r="M814" s="1"/>
      <c r="N814" s="1"/>
      <c r="O814" s="1"/>
      <c r="P814" s="15"/>
      <c r="Q814" s="1"/>
      <c r="R814" s="1"/>
      <c r="S814" s="1"/>
      <c r="T814" s="1"/>
      <c r="U814" s="15"/>
      <c r="V814" s="1"/>
      <c r="W814" s="1"/>
      <c r="X814" s="1"/>
      <c r="Y814" s="1"/>
      <c r="Z814" s="15"/>
      <c r="AA814" s="1"/>
      <c r="AB814" s="1"/>
      <c r="AC814" s="1"/>
      <c r="AD814" s="1"/>
      <c r="AE814" s="15"/>
      <c r="AF814" s="1"/>
      <c r="AG814" s="1"/>
      <c r="AH814" s="1"/>
      <c r="AI814" s="1"/>
      <c r="AJ814" s="15"/>
      <c r="AK814" s="1"/>
    </row>
    <row r="815" spans="1:37" ht="16.5" customHeight="1">
      <c r="A815" s="1"/>
      <c r="B815" s="1"/>
      <c r="C815" s="1"/>
      <c r="D815" s="15"/>
      <c r="E815" s="15"/>
      <c r="F815" s="15"/>
      <c r="G815" s="15"/>
      <c r="H815" s="1"/>
      <c r="I815" s="1"/>
      <c r="J815" s="1"/>
      <c r="K815" s="15"/>
      <c r="L815" s="1"/>
      <c r="M815" s="1"/>
      <c r="N815" s="1"/>
      <c r="O815" s="1"/>
      <c r="P815" s="15"/>
      <c r="Q815" s="1"/>
      <c r="R815" s="1"/>
      <c r="S815" s="1"/>
      <c r="T815" s="1"/>
      <c r="U815" s="15"/>
      <c r="V815" s="1"/>
      <c r="W815" s="1"/>
      <c r="X815" s="1"/>
      <c r="Y815" s="1"/>
      <c r="Z815" s="15"/>
      <c r="AA815" s="1"/>
      <c r="AB815" s="1"/>
      <c r="AC815" s="1"/>
      <c r="AD815" s="1"/>
      <c r="AE815" s="15"/>
      <c r="AF815" s="1"/>
      <c r="AG815" s="1"/>
      <c r="AH815" s="1"/>
      <c r="AI815" s="1"/>
      <c r="AJ815" s="15"/>
      <c r="AK815" s="1"/>
    </row>
    <row r="816" spans="1:37" ht="16.5" customHeight="1">
      <c r="A816" s="1"/>
      <c r="B816" s="1"/>
      <c r="C816" s="1"/>
      <c r="D816" s="15"/>
      <c r="E816" s="15"/>
      <c r="F816" s="15"/>
      <c r="G816" s="15"/>
      <c r="H816" s="1"/>
      <c r="I816" s="1"/>
      <c r="J816" s="1"/>
      <c r="K816" s="15"/>
      <c r="L816" s="1"/>
      <c r="M816" s="1"/>
      <c r="N816" s="1"/>
      <c r="O816" s="1"/>
      <c r="P816" s="15"/>
      <c r="Q816" s="1"/>
      <c r="R816" s="1"/>
      <c r="S816" s="1"/>
      <c r="T816" s="1"/>
      <c r="U816" s="15"/>
      <c r="V816" s="1"/>
      <c r="W816" s="1"/>
      <c r="X816" s="1"/>
      <c r="Y816" s="1"/>
      <c r="Z816" s="15"/>
      <c r="AA816" s="1"/>
      <c r="AB816" s="1"/>
      <c r="AC816" s="1"/>
      <c r="AD816" s="1"/>
      <c r="AE816" s="15"/>
      <c r="AF816" s="1"/>
      <c r="AG816" s="1"/>
      <c r="AH816" s="1"/>
      <c r="AI816" s="1"/>
      <c r="AJ816" s="15"/>
      <c r="AK816" s="1"/>
    </row>
    <row r="817" spans="1:37" ht="16.5" customHeight="1">
      <c r="A817" s="1"/>
      <c r="B817" s="1"/>
      <c r="C817" s="1"/>
      <c r="D817" s="15"/>
      <c r="E817" s="15"/>
      <c r="F817" s="15"/>
      <c r="G817" s="15"/>
      <c r="H817" s="1"/>
      <c r="I817" s="1"/>
      <c r="J817" s="1"/>
      <c r="K817" s="15"/>
      <c r="L817" s="1"/>
      <c r="M817" s="1"/>
      <c r="N817" s="1"/>
      <c r="O817" s="1"/>
      <c r="P817" s="15"/>
      <c r="Q817" s="1"/>
      <c r="R817" s="1"/>
      <c r="S817" s="1"/>
      <c r="T817" s="1"/>
      <c r="U817" s="15"/>
      <c r="V817" s="1"/>
      <c r="W817" s="1"/>
      <c r="X817" s="1"/>
      <c r="Y817" s="1"/>
      <c r="Z817" s="15"/>
      <c r="AA817" s="1"/>
      <c r="AB817" s="1"/>
      <c r="AC817" s="1"/>
      <c r="AD817" s="1"/>
      <c r="AE817" s="15"/>
      <c r="AF817" s="1"/>
      <c r="AG817" s="1"/>
      <c r="AH817" s="1"/>
      <c r="AI817" s="1"/>
      <c r="AJ817" s="15"/>
      <c r="AK817" s="1"/>
    </row>
    <row r="818" spans="1:37" ht="16.5" customHeight="1">
      <c r="A818" s="1"/>
      <c r="B818" s="1"/>
      <c r="C818" s="1"/>
      <c r="D818" s="15"/>
      <c r="E818" s="15"/>
      <c r="F818" s="15"/>
      <c r="G818" s="15"/>
      <c r="H818" s="1"/>
      <c r="I818" s="1"/>
      <c r="J818" s="1"/>
      <c r="K818" s="15"/>
      <c r="L818" s="1"/>
      <c r="M818" s="1"/>
      <c r="N818" s="1"/>
      <c r="O818" s="1"/>
      <c r="P818" s="15"/>
      <c r="Q818" s="1"/>
      <c r="R818" s="1"/>
      <c r="S818" s="1"/>
      <c r="T818" s="1"/>
      <c r="U818" s="15"/>
      <c r="V818" s="1"/>
      <c r="W818" s="1"/>
      <c r="X818" s="1"/>
      <c r="Y818" s="1"/>
      <c r="Z818" s="15"/>
      <c r="AA818" s="1"/>
      <c r="AB818" s="1"/>
      <c r="AC818" s="1"/>
      <c r="AD818" s="1"/>
      <c r="AE818" s="15"/>
      <c r="AF818" s="1"/>
      <c r="AG818" s="1"/>
      <c r="AH818" s="1"/>
      <c r="AI818" s="1"/>
      <c r="AJ818" s="15"/>
      <c r="AK818" s="1"/>
    </row>
    <row r="819" spans="1:37" ht="16.5" customHeight="1">
      <c r="A819" s="1"/>
      <c r="B819" s="1"/>
      <c r="C819" s="1"/>
      <c r="D819" s="15"/>
      <c r="E819" s="15"/>
      <c r="F819" s="15"/>
      <c r="G819" s="15"/>
      <c r="H819" s="1"/>
      <c r="I819" s="1"/>
      <c r="J819" s="1"/>
      <c r="K819" s="15"/>
      <c r="L819" s="1"/>
      <c r="M819" s="1"/>
      <c r="N819" s="1"/>
      <c r="O819" s="1"/>
      <c r="P819" s="15"/>
      <c r="Q819" s="1"/>
      <c r="R819" s="1"/>
      <c r="S819" s="1"/>
      <c r="T819" s="1"/>
      <c r="U819" s="15"/>
      <c r="V819" s="1"/>
      <c r="W819" s="1"/>
      <c r="X819" s="1"/>
      <c r="Y819" s="1"/>
      <c r="Z819" s="15"/>
      <c r="AA819" s="1"/>
      <c r="AB819" s="1"/>
      <c r="AC819" s="1"/>
      <c r="AD819" s="1"/>
      <c r="AE819" s="15"/>
      <c r="AF819" s="1"/>
      <c r="AG819" s="1"/>
      <c r="AH819" s="1"/>
      <c r="AI819" s="1"/>
      <c r="AJ819" s="15"/>
      <c r="AK819" s="1"/>
    </row>
    <row r="820" spans="1:37" ht="16.5" customHeight="1">
      <c r="A820" s="1"/>
      <c r="B820" s="1"/>
      <c r="C820" s="1"/>
      <c r="D820" s="15"/>
      <c r="E820" s="15"/>
      <c r="F820" s="15"/>
      <c r="G820" s="15"/>
      <c r="H820" s="1"/>
      <c r="I820" s="1"/>
      <c r="J820" s="1"/>
      <c r="K820" s="15"/>
      <c r="L820" s="1"/>
      <c r="M820" s="1"/>
      <c r="N820" s="1"/>
      <c r="O820" s="1"/>
      <c r="P820" s="15"/>
      <c r="Q820" s="1"/>
      <c r="R820" s="1"/>
      <c r="S820" s="1"/>
      <c r="T820" s="1"/>
      <c r="U820" s="15"/>
      <c r="V820" s="1"/>
      <c r="W820" s="1"/>
      <c r="X820" s="1"/>
      <c r="Y820" s="1"/>
      <c r="Z820" s="15"/>
      <c r="AA820" s="1"/>
      <c r="AB820" s="1"/>
      <c r="AC820" s="1"/>
      <c r="AD820" s="1"/>
      <c r="AE820" s="15"/>
      <c r="AF820" s="1"/>
      <c r="AG820" s="1"/>
      <c r="AH820" s="1"/>
      <c r="AI820" s="1"/>
      <c r="AJ820" s="15"/>
      <c r="AK820" s="1"/>
    </row>
    <row r="821" spans="1:37" ht="16.5" customHeight="1">
      <c r="A821" s="1"/>
      <c r="B821" s="1"/>
      <c r="C821" s="1"/>
      <c r="D821" s="15"/>
      <c r="E821" s="15"/>
      <c r="F821" s="15"/>
      <c r="G821" s="15"/>
      <c r="H821" s="1"/>
      <c r="I821" s="1"/>
      <c r="J821" s="1"/>
      <c r="K821" s="15"/>
      <c r="L821" s="1"/>
      <c r="M821" s="1"/>
      <c r="N821" s="1"/>
      <c r="O821" s="1"/>
      <c r="P821" s="15"/>
      <c r="Q821" s="1"/>
      <c r="R821" s="1"/>
      <c r="S821" s="1"/>
      <c r="T821" s="1"/>
      <c r="U821" s="15"/>
      <c r="V821" s="1"/>
      <c r="W821" s="1"/>
      <c r="X821" s="1"/>
      <c r="Y821" s="1"/>
      <c r="Z821" s="15"/>
      <c r="AA821" s="1"/>
      <c r="AB821" s="1"/>
      <c r="AC821" s="1"/>
      <c r="AD821" s="1"/>
      <c r="AE821" s="15"/>
      <c r="AF821" s="1"/>
      <c r="AG821" s="1"/>
      <c r="AH821" s="1"/>
      <c r="AI821" s="1"/>
      <c r="AJ821" s="15"/>
      <c r="AK821" s="1"/>
    </row>
    <row r="822" spans="1:37" ht="16.5" customHeight="1">
      <c r="A822" s="1"/>
      <c r="B822" s="1"/>
      <c r="C822" s="1"/>
      <c r="D822" s="15"/>
      <c r="E822" s="15"/>
      <c r="F822" s="15"/>
      <c r="G822" s="15"/>
      <c r="H822" s="1"/>
      <c r="I822" s="1"/>
      <c r="J822" s="1"/>
      <c r="K822" s="15"/>
      <c r="L822" s="1"/>
      <c r="M822" s="1"/>
      <c r="N822" s="1"/>
      <c r="O822" s="1"/>
      <c r="P822" s="15"/>
      <c r="Q822" s="1"/>
      <c r="R822" s="1"/>
      <c r="S822" s="1"/>
      <c r="T822" s="1"/>
      <c r="U822" s="15"/>
      <c r="V822" s="1"/>
      <c r="W822" s="1"/>
      <c r="X822" s="1"/>
      <c r="Y822" s="1"/>
      <c r="Z822" s="15"/>
      <c r="AA822" s="1"/>
      <c r="AB822" s="1"/>
      <c r="AC822" s="1"/>
      <c r="AD822" s="1"/>
      <c r="AE822" s="15"/>
      <c r="AF822" s="1"/>
      <c r="AG822" s="1"/>
      <c r="AH822" s="1"/>
      <c r="AI822" s="1"/>
      <c r="AJ822" s="15"/>
      <c r="AK822" s="1"/>
    </row>
    <row r="823" spans="1:37" ht="16.5" customHeight="1">
      <c r="A823" s="1"/>
      <c r="B823" s="1"/>
      <c r="C823" s="1"/>
      <c r="D823" s="15"/>
      <c r="E823" s="15"/>
      <c r="F823" s="15"/>
      <c r="G823" s="15"/>
      <c r="H823" s="1"/>
      <c r="I823" s="1"/>
      <c r="J823" s="1"/>
      <c r="K823" s="15"/>
      <c r="L823" s="1"/>
      <c r="M823" s="1"/>
      <c r="N823" s="1"/>
      <c r="O823" s="1"/>
      <c r="P823" s="15"/>
      <c r="Q823" s="1"/>
      <c r="R823" s="1"/>
      <c r="S823" s="1"/>
      <c r="T823" s="1"/>
      <c r="U823" s="15"/>
      <c r="V823" s="1"/>
      <c r="W823" s="1"/>
      <c r="X823" s="1"/>
      <c r="Y823" s="1"/>
      <c r="Z823" s="15"/>
      <c r="AA823" s="1"/>
      <c r="AB823" s="1"/>
      <c r="AC823" s="1"/>
      <c r="AD823" s="1"/>
      <c r="AE823" s="15"/>
      <c r="AF823" s="1"/>
      <c r="AG823" s="1"/>
      <c r="AH823" s="1"/>
      <c r="AI823" s="1"/>
      <c r="AJ823" s="15"/>
      <c r="AK823" s="1"/>
    </row>
    <row r="824" spans="1:37" ht="16.5" customHeight="1">
      <c r="A824" s="1"/>
      <c r="B824" s="1"/>
      <c r="C824" s="1"/>
      <c r="D824" s="15"/>
      <c r="E824" s="15"/>
      <c r="F824" s="15"/>
      <c r="G824" s="15"/>
      <c r="H824" s="1"/>
      <c r="I824" s="1"/>
      <c r="J824" s="1"/>
      <c r="K824" s="15"/>
      <c r="L824" s="1"/>
      <c r="M824" s="1"/>
      <c r="N824" s="1"/>
      <c r="O824" s="1"/>
      <c r="P824" s="15"/>
      <c r="Q824" s="1"/>
      <c r="R824" s="1"/>
      <c r="S824" s="1"/>
      <c r="T824" s="1"/>
      <c r="U824" s="15"/>
      <c r="V824" s="1"/>
      <c r="W824" s="1"/>
      <c r="X824" s="1"/>
      <c r="Y824" s="1"/>
      <c r="Z824" s="15"/>
      <c r="AA824" s="1"/>
      <c r="AB824" s="1"/>
      <c r="AC824" s="1"/>
      <c r="AD824" s="1"/>
      <c r="AE824" s="15"/>
      <c r="AF824" s="1"/>
      <c r="AG824" s="1"/>
      <c r="AH824" s="1"/>
      <c r="AI824" s="1"/>
      <c r="AJ824" s="15"/>
      <c r="AK824" s="1"/>
    </row>
    <row r="825" spans="1:37" ht="16.5" customHeight="1">
      <c r="A825" s="1"/>
      <c r="B825" s="1"/>
      <c r="C825" s="1"/>
      <c r="D825" s="15"/>
      <c r="E825" s="15"/>
      <c r="F825" s="15"/>
      <c r="G825" s="15"/>
      <c r="H825" s="1"/>
      <c r="I825" s="1"/>
      <c r="J825" s="1"/>
      <c r="K825" s="15"/>
      <c r="L825" s="1"/>
      <c r="M825" s="1"/>
      <c r="N825" s="1"/>
      <c r="O825" s="1"/>
      <c r="P825" s="15"/>
      <c r="Q825" s="1"/>
      <c r="R825" s="1"/>
      <c r="S825" s="1"/>
      <c r="T825" s="1"/>
      <c r="U825" s="15"/>
      <c r="V825" s="1"/>
      <c r="W825" s="1"/>
      <c r="X825" s="1"/>
      <c r="Y825" s="1"/>
      <c r="Z825" s="15"/>
      <c r="AA825" s="1"/>
      <c r="AB825" s="1"/>
      <c r="AC825" s="1"/>
      <c r="AD825" s="1"/>
      <c r="AE825" s="15"/>
      <c r="AF825" s="1"/>
      <c r="AG825" s="1"/>
      <c r="AH825" s="1"/>
      <c r="AI825" s="1"/>
      <c r="AJ825" s="15"/>
      <c r="AK825" s="1"/>
    </row>
    <row r="826" spans="1:37" ht="16.5" customHeight="1">
      <c r="A826" s="1"/>
      <c r="B826" s="1"/>
      <c r="C826" s="1"/>
      <c r="D826" s="15"/>
      <c r="E826" s="15"/>
      <c r="F826" s="15"/>
      <c r="G826" s="15"/>
      <c r="H826" s="1"/>
      <c r="I826" s="1"/>
      <c r="J826" s="1"/>
      <c r="K826" s="15"/>
      <c r="L826" s="1"/>
      <c r="M826" s="1"/>
      <c r="N826" s="1"/>
      <c r="O826" s="1"/>
      <c r="P826" s="15"/>
      <c r="Q826" s="1"/>
      <c r="R826" s="1"/>
      <c r="S826" s="1"/>
      <c r="T826" s="1"/>
      <c r="U826" s="15"/>
      <c r="V826" s="1"/>
      <c r="W826" s="1"/>
      <c r="X826" s="1"/>
      <c r="Y826" s="1"/>
      <c r="Z826" s="15"/>
      <c r="AA826" s="1"/>
      <c r="AB826" s="1"/>
      <c r="AC826" s="1"/>
      <c r="AD826" s="1"/>
      <c r="AE826" s="15"/>
      <c r="AF826" s="1"/>
      <c r="AG826" s="1"/>
      <c r="AH826" s="1"/>
      <c r="AI826" s="1"/>
      <c r="AJ826" s="15"/>
      <c r="AK826" s="1"/>
    </row>
    <row r="827" spans="1:37" ht="16.5" customHeight="1">
      <c r="A827" s="1"/>
      <c r="B827" s="1"/>
      <c r="C827" s="1"/>
      <c r="D827" s="15"/>
      <c r="E827" s="15"/>
      <c r="F827" s="15"/>
      <c r="G827" s="15"/>
      <c r="H827" s="1"/>
      <c r="I827" s="1"/>
      <c r="J827" s="1"/>
      <c r="K827" s="15"/>
      <c r="L827" s="1"/>
      <c r="M827" s="1"/>
      <c r="N827" s="1"/>
      <c r="O827" s="1"/>
      <c r="P827" s="15"/>
      <c r="Q827" s="1"/>
      <c r="R827" s="1"/>
      <c r="S827" s="1"/>
      <c r="T827" s="1"/>
      <c r="U827" s="15"/>
      <c r="V827" s="1"/>
      <c r="W827" s="1"/>
      <c r="X827" s="1"/>
      <c r="Y827" s="1"/>
      <c r="Z827" s="15"/>
      <c r="AA827" s="1"/>
      <c r="AB827" s="1"/>
      <c r="AC827" s="1"/>
      <c r="AD827" s="1"/>
      <c r="AE827" s="15"/>
      <c r="AF827" s="1"/>
      <c r="AG827" s="1"/>
      <c r="AH827" s="1"/>
      <c r="AI827" s="1"/>
      <c r="AJ827" s="15"/>
      <c r="AK827" s="1"/>
    </row>
    <row r="828" spans="1:37" ht="16.5" customHeight="1">
      <c r="A828" s="1"/>
      <c r="B828" s="1"/>
      <c r="C828" s="1"/>
      <c r="D828" s="15"/>
      <c r="E828" s="15"/>
      <c r="F828" s="15"/>
      <c r="G828" s="15"/>
      <c r="H828" s="1"/>
      <c r="I828" s="1"/>
      <c r="J828" s="1"/>
      <c r="K828" s="15"/>
      <c r="L828" s="1"/>
      <c r="M828" s="1"/>
      <c r="N828" s="1"/>
      <c r="O828" s="1"/>
      <c r="P828" s="15"/>
      <c r="Q828" s="1"/>
      <c r="R828" s="1"/>
      <c r="S828" s="1"/>
      <c r="T828" s="1"/>
      <c r="U828" s="15"/>
      <c r="V828" s="1"/>
      <c r="W828" s="1"/>
      <c r="X828" s="1"/>
      <c r="Y828" s="1"/>
      <c r="Z828" s="15"/>
      <c r="AA828" s="1"/>
      <c r="AB828" s="1"/>
      <c r="AC828" s="1"/>
      <c r="AD828" s="1"/>
      <c r="AE828" s="15"/>
      <c r="AF828" s="1"/>
      <c r="AG828" s="1"/>
      <c r="AH828" s="1"/>
      <c r="AI828" s="1"/>
      <c r="AJ828" s="15"/>
      <c r="AK828" s="1"/>
    </row>
    <row r="829" spans="1:37" ht="16.5" customHeight="1">
      <c r="A829" s="1"/>
      <c r="B829" s="1"/>
      <c r="C829" s="1"/>
      <c r="D829" s="15"/>
      <c r="E829" s="15"/>
      <c r="F829" s="15"/>
      <c r="G829" s="15"/>
      <c r="H829" s="1"/>
      <c r="I829" s="1"/>
      <c r="J829" s="1"/>
      <c r="K829" s="15"/>
      <c r="L829" s="1"/>
      <c r="M829" s="1"/>
      <c r="N829" s="1"/>
      <c r="O829" s="1"/>
      <c r="P829" s="15"/>
      <c r="Q829" s="1"/>
      <c r="R829" s="1"/>
      <c r="S829" s="1"/>
      <c r="T829" s="1"/>
      <c r="U829" s="15"/>
      <c r="V829" s="1"/>
      <c r="W829" s="1"/>
      <c r="X829" s="1"/>
      <c r="Y829" s="1"/>
      <c r="Z829" s="15"/>
      <c r="AA829" s="1"/>
      <c r="AB829" s="1"/>
      <c r="AC829" s="1"/>
      <c r="AD829" s="1"/>
      <c r="AE829" s="15"/>
      <c r="AF829" s="1"/>
      <c r="AG829" s="1"/>
      <c r="AH829" s="1"/>
      <c r="AI829" s="1"/>
      <c r="AJ829" s="15"/>
      <c r="AK829" s="1"/>
    </row>
    <row r="830" spans="1:37" ht="16.5" customHeight="1">
      <c r="A830" s="1"/>
      <c r="B830" s="1"/>
      <c r="C830" s="1"/>
      <c r="D830" s="15"/>
      <c r="E830" s="15"/>
      <c r="F830" s="15"/>
      <c r="G830" s="15"/>
      <c r="H830" s="1"/>
      <c r="I830" s="1"/>
      <c r="J830" s="1"/>
      <c r="K830" s="15"/>
      <c r="L830" s="1"/>
      <c r="M830" s="1"/>
      <c r="N830" s="1"/>
      <c r="O830" s="1"/>
      <c r="P830" s="15"/>
      <c r="Q830" s="1"/>
      <c r="R830" s="1"/>
      <c r="S830" s="1"/>
      <c r="T830" s="1"/>
      <c r="U830" s="15"/>
      <c r="V830" s="1"/>
      <c r="W830" s="1"/>
      <c r="X830" s="1"/>
      <c r="Y830" s="1"/>
      <c r="Z830" s="15"/>
      <c r="AA830" s="1"/>
      <c r="AB830" s="1"/>
      <c r="AC830" s="1"/>
      <c r="AD830" s="1"/>
      <c r="AE830" s="15"/>
      <c r="AF830" s="1"/>
      <c r="AG830" s="1"/>
      <c r="AH830" s="1"/>
      <c r="AI830" s="1"/>
      <c r="AJ830" s="15"/>
      <c r="AK830" s="1"/>
    </row>
    <row r="831" spans="1:37" ht="16.5" customHeight="1">
      <c r="A831" s="1"/>
      <c r="B831" s="1"/>
      <c r="C831" s="1"/>
      <c r="D831" s="15"/>
      <c r="E831" s="15"/>
      <c r="F831" s="15"/>
      <c r="G831" s="15"/>
      <c r="H831" s="1"/>
      <c r="I831" s="1"/>
      <c r="J831" s="1"/>
      <c r="K831" s="15"/>
      <c r="L831" s="1"/>
      <c r="M831" s="1"/>
      <c r="N831" s="1"/>
      <c r="O831" s="1"/>
      <c r="P831" s="15"/>
      <c r="Q831" s="1"/>
      <c r="R831" s="1"/>
      <c r="S831" s="1"/>
      <c r="T831" s="1"/>
      <c r="U831" s="15"/>
      <c r="V831" s="1"/>
      <c r="W831" s="1"/>
      <c r="X831" s="1"/>
      <c r="Y831" s="1"/>
      <c r="Z831" s="15"/>
      <c r="AA831" s="1"/>
      <c r="AB831" s="1"/>
      <c r="AC831" s="1"/>
      <c r="AD831" s="1"/>
      <c r="AE831" s="15"/>
      <c r="AF831" s="1"/>
      <c r="AG831" s="1"/>
      <c r="AH831" s="1"/>
      <c r="AI831" s="1"/>
      <c r="AJ831" s="15"/>
      <c r="AK831" s="1"/>
    </row>
    <row r="832" spans="1:37" ht="16.5" customHeight="1">
      <c r="A832" s="1"/>
      <c r="B832" s="1"/>
      <c r="C832" s="1"/>
      <c r="D832" s="15"/>
      <c r="E832" s="15"/>
      <c r="F832" s="15"/>
      <c r="G832" s="15"/>
      <c r="H832" s="1"/>
      <c r="I832" s="1"/>
      <c r="J832" s="1"/>
      <c r="K832" s="15"/>
      <c r="L832" s="1"/>
      <c r="M832" s="1"/>
      <c r="N832" s="1"/>
      <c r="O832" s="1"/>
      <c r="P832" s="15"/>
      <c r="Q832" s="1"/>
      <c r="R832" s="1"/>
      <c r="S832" s="1"/>
      <c r="T832" s="1"/>
      <c r="U832" s="15"/>
      <c r="V832" s="1"/>
      <c r="W832" s="1"/>
      <c r="X832" s="1"/>
      <c r="Y832" s="1"/>
      <c r="Z832" s="15"/>
      <c r="AA832" s="1"/>
      <c r="AB832" s="1"/>
      <c r="AC832" s="1"/>
      <c r="AD832" s="1"/>
      <c r="AE832" s="15"/>
      <c r="AF832" s="1"/>
      <c r="AG832" s="1"/>
      <c r="AH832" s="1"/>
      <c r="AI832" s="1"/>
      <c r="AJ832" s="15"/>
      <c r="AK832" s="1"/>
    </row>
    <row r="833" spans="1:37" ht="16.5" customHeight="1">
      <c r="A833" s="1"/>
      <c r="B833" s="1"/>
      <c r="C833" s="1"/>
      <c r="D833" s="15"/>
      <c r="E833" s="15"/>
      <c r="F833" s="15"/>
      <c r="G833" s="15"/>
      <c r="H833" s="1"/>
      <c r="I833" s="1"/>
      <c r="J833" s="1"/>
      <c r="K833" s="15"/>
      <c r="L833" s="1"/>
      <c r="M833" s="1"/>
      <c r="N833" s="1"/>
      <c r="O833" s="1"/>
      <c r="P833" s="15"/>
      <c r="Q833" s="1"/>
      <c r="R833" s="1"/>
      <c r="S833" s="1"/>
      <c r="T833" s="1"/>
      <c r="U833" s="15"/>
      <c r="V833" s="1"/>
      <c r="W833" s="1"/>
      <c r="X833" s="1"/>
      <c r="Y833" s="1"/>
      <c r="Z833" s="15"/>
      <c r="AA833" s="1"/>
      <c r="AB833" s="1"/>
      <c r="AC833" s="1"/>
      <c r="AD833" s="1"/>
      <c r="AE833" s="15"/>
      <c r="AF833" s="1"/>
      <c r="AG833" s="1"/>
      <c r="AH833" s="1"/>
      <c r="AI833" s="1"/>
      <c r="AJ833" s="15"/>
      <c r="AK833" s="1"/>
    </row>
    <row r="834" spans="1:37" ht="16.5" customHeight="1">
      <c r="A834" s="1"/>
      <c r="B834" s="1"/>
      <c r="C834" s="1"/>
      <c r="D834" s="15"/>
      <c r="E834" s="15"/>
      <c r="F834" s="15"/>
      <c r="G834" s="15"/>
      <c r="H834" s="1"/>
      <c r="I834" s="1"/>
      <c r="J834" s="1"/>
      <c r="K834" s="15"/>
      <c r="L834" s="1"/>
      <c r="M834" s="1"/>
      <c r="N834" s="1"/>
      <c r="O834" s="1"/>
      <c r="P834" s="15"/>
      <c r="Q834" s="1"/>
      <c r="R834" s="1"/>
      <c r="S834" s="1"/>
      <c r="T834" s="1"/>
      <c r="U834" s="15"/>
      <c r="V834" s="1"/>
      <c r="W834" s="1"/>
      <c r="X834" s="1"/>
      <c r="Y834" s="1"/>
      <c r="Z834" s="15"/>
      <c r="AA834" s="1"/>
      <c r="AB834" s="1"/>
      <c r="AC834" s="1"/>
      <c r="AD834" s="1"/>
      <c r="AE834" s="15"/>
      <c r="AF834" s="1"/>
      <c r="AG834" s="1"/>
      <c r="AH834" s="1"/>
      <c r="AI834" s="1"/>
      <c r="AJ834" s="15"/>
      <c r="AK834" s="1"/>
    </row>
    <row r="835" spans="1:37" ht="16.5" customHeight="1">
      <c r="A835" s="1"/>
      <c r="B835" s="1"/>
      <c r="C835" s="1"/>
      <c r="D835" s="15"/>
      <c r="E835" s="15"/>
      <c r="F835" s="15"/>
      <c r="G835" s="15"/>
      <c r="H835" s="1"/>
      <c r="I835" s="1"/>
      <c r="J835" s="1"/>
      <c r="K835" s="15"/>
      <c r="L835" s="1"/>
      <c r="M835" s="1"/>
      <c r="N835" s="1"/>
      <c r="O835" s="1"/>
      <c r="P835" s="15"/>
      <c r="Q835" s="1"/>
      <c r="R835" s="1"/>
      <c r="S835" s="1"/>
      <c r="T835" s="1"/>
      <c r="U835" s="15"/>
      <c r="V835" s="1"/>
      <c r="W835" s="1"/>
      <c r="X835" s="1"/>
      <c r="Y835" s="1"/>
      <c r="Z835" s="15"/>
      <c r="AA835" s="1"/>
      <c r="AB835" s="1"/>
      <c r="AC835" s="1"/>
      <c r="AD835" s="1"/>
      <c r="AE835" s="15"/>
      <c r="AF835" s="1"/>
      <c r="AG835" s="1"/>
      <c r="AH835" s="1"/>
      <c r="AI835" s="1"/>
      <c r="AJ835" s="15"/>
      <c r="AK835" s="1"/>
    </row>
    <row r="836" spans="1:37" ht="16.5" customHeight="1">
      <c r="A836" s="1"/>
      <c r="B836" s="1"/>
      <c r="C836" s="1"/>
      <c r="D836" s="15"/>
      <c r="E836" s="15"/>
      <c r="F836" s="15"/>
      <c r="G836" s="15"/>
      <c r="H836" s="1"/>
      <c r="I836" s="1"/>
      <c r="J836" s="1"/>
      <c r="K836" s="15"/>
      <c r="L836" s="1"/>
      <c r="M836" s="1"/>
      <c r="N836" s="1"/>
      <c r="O836" s="1"/>
      <c r="P836" s="15"/>
      <c r="Q836" s="1"/>
      <c r="R836" s="1"/>
      <c r="S836" s="1"/>
      <c r="T836" s="1"/>
      <c r="U836" s="15"/>
      <c r="V836" s="1"/>
      <c r="W836" s="1"/>
      <c r="X836" s="1"/>
      <c r="Y836" s="1"/>
      <c r="Z836" s="15"/>
      <c r="AA836" s="1"/>
      <c r="AB836" s="1"/>
      <c r="AC836" s="1"/>
      <c r="AD836" s="1"/>
      <c r="AE836" s="15"/>
      <c r="AF836" s="1"/>
      <c r="AG836" s="1"/>
      <c r="AH836" s="1"/>
      <c r="AI836" s="1"/>
      <c r="AJ836" s="15"/>
      <c r="AK836" s="1"/>
    </row>
    <row r="837" spans="1:37" ht="16.5" customHeight="1">
      <c r="A837" s="1"/>
      <c r="B837" s="1"/>
      <c r="C837" s="1"/>
      <c r="D837" s="15"/>
      <c r="E837" s="15"/>
      <c r="F837" s="15"/>
      <c r="G837" s="15"/>
      <c r="H837" s="1"/>
      <c r="I837" s="1"/>
      <c r="J837" s="1"/>
      <c r="K837" s="15"/>
      <c r="L837" s="1"/>
      <c r="M837" s="1"/>
      <c r="N837" s="1"/>
      <c r="O837" s="1"/>
      <c r="P837" s="15"/>
      <c r="Q837" s="1"/>
      <c r="R837" s="1"/>
      <c r="S837" s="1"/>
      <c r="T837" s="1"/>
      <c r="U837" s="15"/>
      <c r="V837" s="1"/>
      <c r="W837" s="1"/>
      <c r="X837" s="1"/>
      <c r="Y837" s="1"/>
      <c r="Z837" s="15"/>
      <c r="AA837" s="1"/>
      <c r="AB837" s="1"/>
      <c r="AC837" s="1"/>
      <c r="AD837" s="1"/>
      <c r="AE837" s="15"/>
      <c r="AF837" s="1"/>
      <c r="AG837" s="1"/>
      <c r="AH837" s="1"/>
      <c r="AI837" s="1"/>
      <c r="AJ837" s="15"/>
      <c r="AK837" s="1"/>
    </row>
    <row r="838" spans="1:37" ht="16.5" customHeight="1">
      <c r="A838" s="1"/>
      <c r="B838" s="1"/>
      <c r="C838" s="1"/>
      <c r="D838" s="15"/>
      <c r="E838" s="15"/>
      <c r="F838" s="15"/>
      <c r="G838" s="15"/>
      <c r="H838" s="1"/>
      <c r="I838" s="1"/>
      <c r="J838" s="1"/>
      <c r="K838" s="15"/>
      <c r="L838" s="1"/>
      <c r="M838" s="1"/>
      <c r="N838" s="1"/>
      <c r="O838" s="1"/>
      <c r="P838" s="15"/>
      <c r="Q838" s="1"/>
      <c r="R838" s="1"/>
      <c r="S838" s="1"/>
      <c r="T838" s="1"/>
      <c r="U838" s="15"/>
      <c r="V838" s="1"/>
      <c r="W838" s="1"/>
      <c r="X838" s="1"/>
      <c r="Y838" s="1"/>
      <c r="Z838" s="15"/>
      <c r="AA838" s="1"/>
      <c r="AB838" s="1"/>
      <c r="AC838" s="1"/>
      <c r="AD838" s="1"/>
      <c r="AE838" s="15"/>
      <c r="AF838" s="1"/>
      <c r="AG838" s="1"/>
      <c r="AH838" s="1"/>
      <c r="AI838" s="1"/>
      <c r="AJ838" s="15"/>
      <c r="AK838" s="1"/>
    </row>
    <row r="839" spans="1:37" ht="16.5" customHeight="1">
      <c r="A839" s="1"/>
      <c r="B839" s="1"/>
      <c r="C839" s="1"/>
      <c r="D839" s="15"/>
      <c r="E839" s="15"/>
      <c r="F839" s="15"/>
      <c r="G839" s="15"/>
      <c r="H839" s="1"/>
      <c r="I839" s="1"/>
      <c r="J839" s="1"/>
      <c r="K839" s="15"/>
      <c r="L839" s="1"/>
      <c r="M839" s="1"/>
      <c r="N839" s="1"/>
      <c r="O839" s="1"/>
      <c r="P839" s="15"/>
      <c r="Q839" s="1"/>
      <c r="R839" s="1"/>
      <c r="S839" s="1"/>
      <c r="T839" s="1"/>
      <c r="U839" s="15"/>
      <c r="V839" s="1"/>
      <c r="W839" s="1"/>
      <c r="X839" s="1"/>
      <c r="Y839" s="1"/>
      <c r="Z839" s="15"/>
      <c r="AA839" s="1"/>
      <c r="AB839" s="1"/>
      <c r="AC839" s="1"/>
      <c r="AD839" s="1"/>
      <c r="AE839" s="15"/>
      <c r="AF839" s="1"/>
      <c r="AG839" s="1"/>
      <c r="AH839" s="1"/>
      <c r="AI839" s="1"/>
      <c r="AJ839" s="15"/>
      <c r="AK839" s="1"/>
    </row>
    <row r="840" spans="1:37" ht="16.5" customHeight="1">
      <c r="A840" s="1"/>
      <c r="B840" s="1"/>
      <c r="C840" s="1"/>
      <c r="D840" s="15"/>
      <c r="E840" s="15"/>
      <c r="F840" s="15"/>
      <c r="G840" s="15"/>
      <c r="H840" s="1"/>
      <c r="I840" s="1"/>
      <c r="J840" s="1"/>
      <c r="K840" s="15"/>
      <c r="L840" s="1"/>
      <c r="M840" s="1"/>
      <c r="N840" s="1"/>
      <c r="O840" s="1"/>
      <c r="P840" s="15"/>
      <c r="Q840" s="1"/>
      <c r="R840" s="1"/>
      <c r="S840" s="1"/>
      <c r="T840" s="1"/>
      <c r="U840" s="15"/>
      <c r="V840" s="1"/>
      <c r="W840" s="1"/>
      <c r="X840" s="1"/>
      <c r="Y840" s="1"/>
      <c r="Z840" s="15"/>
      <c r="AA840" s="1"/>
      <c r="AB840" s="1"/>
      <c r="AC840" s="1"/>
      <c r="AD840" s="1"/>
      <c r="AE840" s="15"/>
      <c r="AF840" s="1"/>
      <c r="AG840" s="1"/>
      <c r="AH840" s="1"/>
      <c r="AI840" s="1"/>
      <c r="AJ840" s="15"/>
      <c r="AK840" s="1"/>
    </row>
    <row r="841" spans="1:37" ht="16.5" customHeight="1">
      <c r="A841" s="1"/>
      <c r="B841" s="1"/>
      <c r="C841" s="1"/>
      <c r="D841" s="15"/>
      <c r="E841" s="15"/>
      <c r="F841" s="15"/>
      <c r="G841" s="15"/>
      <c r="H841" s="1"/>
      <c r="I841" s="1"/>
      <c r="J841" s="1"/>
      <c r="K841" s="15"/>
      <c r="L841" s="1"/>
      <c r="M841" s="1"/>
      <c r="N841" s="1"/>
      <c r="O841" s="1"/>
      <c r="P841" s="15"/>
      <c r="Q841" s="1"/>
      <c r="R841" s="1"/>
      <c r="S841" s="1"/>
      <c r="T841" s="1"/>
      <c r="U841" s="15"/>
      <c r="V841" s="1"/>
      <c r="W841" s="1"/>
      <c r="X841" s="1"/>
      <c r="Y841" s="1"/>
      <c r="Z841" s="15"/>
      <c r="AA841" s="1"/>
      <c r="AB841" s="1"/>
      <c r="AC841" s="1"/>
      <c r="AD841" s="1"/>
      <c r="AE841" s="15"/>
      <c r="AF841" s="1"/>
      <c r="AG841" s="1"/>
      <c r="AH841" s="1"/>
      <c r="AI841" s="1"/>
      <c r="AJ841" s="15"/>
      <c r="AK841" s="1"/>
    </row>
    <row r="842" spans="1:37" ht="16.5" customHeight="1">
      <c r="A842" s="1"/>
      <c r="B842" s="1"/>
      <c r="C842" s="1"/>
      <c r="D842" s="15"/>
      <c r="E842" s="15"/>
      <c r="F842" s="15"/>
      <c r="G842" s="15"/>
      <c r="H842" s="1"/>
      <c r="I842" s="1"/>
      <c r="J842" s="1"/>
      <c r="K842" s="15"/>
      <c r="L842" s="1"/>
      <c r="M842" s="1"/>
      <c r="N842" s="1"/>
      <c r="O842" s="1"/>
      <c r="P842" s="15"/>
      <c r="Q842" s="1"/>
      <c r="R842" s="1"/>
      <c r="S842" s="1"/>
      <c r="T842" s="1"/>
      <c r="U842" s="15"/>
      <c r="V842" s="1"/>
      <c r="W842" s="1"/>
      <c r="X842" s="1"/>
      <c r="Y842" s="1"/>
      <c r="Z842" s="15"/>
      <c r="AA842" s="1"/>
      <c r="AB842" s="1"/>
      <c r="AC842" s="1"/>
      <c r="AD842" s="1"/>
      <c r="AE842" s="15"/>
      <c r="AF842" s="1"/>
      <c r="AG842" s="1"/>
      <c r="AH842" s="1"/>
      <c r="AI842" s="1"/>
      <c r="AJ842" s="15"/>
      <c r="AK842" s="1"/>
    </row>
    <row r="843" spans="1:37" ht="16.5" customHeight="1">
      <c r="A843" s="1"/>
      <c r="B843" s="1"/>
      <c r="C843" s="1"/>
      <c r="D843" s="15"/>
      <c r="E843" s="15"/>
      <c r="F843" s="15"/>
      <c r="G843" s="15"/>
      <c r="H843" s="1"/>
      <c r="I843" s="1"/>
      <c r="J843" s="1"/>
      <c r="K843" s="15"/>
      <c r="L843" s="1"/>
      <c r="M843" s="1"/>
      <c r="N843" s="1"/>
      <c r="O843" s="1"/>
      <c r="P843" s="15"/>
      <c r="Q843" s="1"/>
      <c r="R843" s="1"/>
      <c r="S843" s="1"/>
      <c r="T843" s="1"/>
      <c r="U843" s="15"/>
      <c r="V843" s="1"/>
      <c r="W843" s="1"/>
      <c r="X843" s="1"/>
      <c r="Y843" s="1"/>
      <c r="Z843" s="15"/>
      <c r="AA843" s="1"/>
      <c r="AB843" s="1"/>
      <c r="AC843" s="1"/>
      <c r="AD843" s="1"/>
      <c r="AE843" s="15"/>
      <c r="AF843" s="1"/>
      <c r="AG843" s="1"/>
      <c r="AH843" s="1"/>
      <c r="AI843" s="1"/>
      <c r="AJ843" s="15"/>
      <c r="AK843" s="1"/>
    </row>
    <row r="844" spans="1:37" ht="16.5" customHeight="1">
      <c r="A844" s="1"/>
      <c r="B844" s="1"/>
      <c r="C844" s="1"/>
      <c r="D844" s="15"/>
      <c r="E844" s="15"/>
      <c r="F844" s="15"/>
      <c r="G844" s="15"/>
      <c r="H844" s="1"/>
      <c r="I844" s="1"/>
      <c r="J844" s="1"/>
      <c r="K844" s="15"/>
      <c r="L844" s="1"/>
      <c r="M844" s="1"/>
      <c r="N844" s="1"/>
      <c r="O844" s="1"/>
      <c r="P844" s="15"/>
      <c r="Q844" s="1"/>
      <c r="R844" s="1"/>
      <c r="S844" s="1"/>
      <c r="T844" s="1"/>
      <c r="U844" s="15"/>
      <c r="V844" s="1"/>
      <c r="W844" s="1"/>
      <c r="X844" s="1"/>
      <c r="Y844" s="1"/>
      <c r="Z844" s="15"/>
      <c r="AA844" s="1"/>
      <c r="AB844" s="1"/>
      <c r="AC844" s="1"/>
      <c r="AD844" s="1"/>
      <c r="AE844" s="15"/>
      <c r="AF844" s="1"/>
      <c r="AG844" s="1"/>
      <c r="AH844" s="1"/>
      <c r="AI844" s="1"/>
      <c r="AJ844" s="15"/>
      <c r="AK844" s="1"/>
    </row>
    <row r="845" spans="1:37" ht="16.5" customHeight="1">
      <c r="A845" s="1"/>
      <c r="B845" s="1"/>
      <c r="C845" s="1"/>
      <c r="D845" s="15"/>
      <c r="E845" s="15"/>
      <c r="F845" s="15"/>
      <c r="G845" s="15"/>
      <c r="H845" s="1"/>
      <c r="I845" s="1"/>
      <c r="J845" s="1"/>
      <c r="K845" s="15"/>
      <c r="L845" s="1"/>
      <c r="M845" s="1"/>
      <c r="N845" s="1"/>
      <c r="O845" s="1"/>
      <c r="P845" s="15"/>
      <c r="Q845" s="1"/>
      <c r="R845" s="1"/>
      <c r="S845" s="1"/>
      <c r="T845" s="1"/>
      <c r="U845" s="15"/>
      <c r="V845" s="1"/>
      <c r="W845" s="1"/>
      <c r="X845" s="1"/>
      <c r="Y845" s="1"/>
      <c r="Z845" s="15"/>
      <c r="AA845" s="1"/>
      <c r="AB845" s="1"/>
      <c r="AC845" s="1"/>
      <c r="AD845" s="1"/>
      <c r="AE845" s="15"/>
      <c r="AF845" s="1"/>
      <c r="AG845" s="1"/>
      <c r="AH845" s="1"/>
      <c r="AI845" s="1"/>
      <c r="AJ845" s="15"/>
      <c r="AK845" s="1"/>
    </row>
    <row r="846" spans="1:37" ht="16.5" customHeight="1">
      <c r="A846" s="1"/>
      <c r="B846" s="1"/>
      <c r="C846" s="1"/>
      <c r="D846" s="15"/>
      <c r="E846" s="15"/>
      <c r="F846" s="15"/>
      <c r="G846" s="15"/>
      <c r="H846" s="1"/>
      <c r="I846" s="1"/>
      <c r="J846" s="1"/>
      <c r="K846" s="15"/>
      <c r="L846" s="1"/>
      <c r="M846" s="1"/>
      <c r="N846" s="1"/>
      <c r="O846" s="1"/>
      <c r="P846" s="15"/>
      <c r="Q846" s="1"/>
      <c r="R846" s="1"/>
      <c r="S846" s="1"/>
      <c r="T846" s="1"/>
      <c r="U846" s="15"/>
      <c r="V846" s="1"/>
      <c r="W846" s="1"/>
      <c r="X846" s="1"/>
      <c r="Y846" s="1"/>
      <c r="Z846" s="15"/>
      <c r="AA846" s="1"/>
      <c r="AB846" s="1"/>
      <c r="AC846" s="1"/>
      <c r="AD846" s="1"/>
      <c r="AE846" s="15"/>
      <c r="AF846" s="1"/>
      <c r="AG846" s="1"/>
      <c r="AH846" s="1"/>
      <c r="AI846" s="1"/>
      <c r="AJ846" s="15"/>
      <c r="AK846" s="1"/>
    </row>
    <row r="847" spans="1:37" ht="16.5" customHeight="1">
      <c r="A847" s="1"/>
      <c r="B847" s="1"/>
      <c r="C847" s="1"/>
      <c r="D847" s="15"/>
      <c r="E847" s="15"/>
      <c r="F847" s="15"/>
      <c r="G847" s="15"/>
      <c r="H847" s="1"/>
      <c r="I847" s="1"/>
      <c r="J847" s="1"/>
      <c r="K847" s="15"/>
      <c r="L847" s="1"/>
      <c r="M847" s="1"/>
      <c r="N847" s="1"/>
      <c r="O847" s="1"/>
      <c r="P847" s="15"/>
      <c r="Q847" s="1"/>
      <c r="R847" s="1"/>
      <c r="S847" s="1"/>
      <c r="T847" s="1"/>
      <c r="U847" s="15"/>
      <c r="V847" s="1"/>
      <c r="W847" s="1"/>
      <c r="X847" s="1"/>
      <c r="Y847" s="1"/>
      <c r="Z847" s="15"/>
      <c r="AA847" s="1"/>
      <c r="AB847" s="1"/>
      <c r="AC847" s="1"/>
      <c r="AD847" s="1"/>
      <c r="AE847" s="15"/>
      <c r="AF847" s="1"/>
      <c r="AG847" s="1"/>
      <c r="AH847" s="1"/>
      <c r="AI847" s="1"/>
      <c r="AJ847" s="15"/>
      <c r="AK847" s="1"/>
    </row>
    <row r="848" spans="1:37" ht="16.5" customHeight="1">
      <c r="A848" s="1"/>
      <c r="B848" s="1"/>
      <c r="C848" s="1"/>
      <c r="D848" s="15"/>
      <c r="E848" s="15"/>
      <c r="F848" s="15"/>
      <c r="G848" s="15"/>
      <c r="H848" s="1"/>
      <c r="I848" s="1"/>
      <c r="J848" s="1"/>
      <c r="K848" s="15"/>
      <c r="L848" s="1"/>
      <c r="M848" s="1"/>
      <c r="N848" s="1"/>
      <c r="O848" s="1"/>
      <c r="P848" s="15"/>
      <c r="Q848" s="1"/>
      <c r="R848" s="1"/>
      <c r="S848" s="1"/>
      <c r="T848" s="1"/>
      <c r="U848" s="15"/>
      <c r="V848" s="1"/>
      <c r="W848" s="1"/>
      <c r="X848" s="1"/>
      <c r="Y848" s="1"/>
      <c r="Z848" s="15"/>
      <c r="AA848" s="1"/>
      <c r="AB848" s="1"/>
      <c r="AC848" s="1"/>
      <c r="AD848" s="1"/>
      <c r="AE848" s="15"/>
      <c r="AF848" s="1"/>
      <c r="AG848" s="1"/>
      <c r="AH848" s="1"/>
      <c r="AI848" s="1"/>
      <c r="AJ848" s="15"/>
      <c r="AK848" s="1"/>
    </row>
    <row r="849" spans="1:37" ht="16.5" customHeight="1">
      <c r="A849" s="1"/>
      <c r="B849" s="1"/>
      <c r="C849" s="1"/>
      <c r="D849" s="15"/>
      <c r="E849" s="15"/>
      <c r="F849" s="15"/>
      <c r="G849" s="15"/>
      <c r="H849" s="1"/>
      <c r="I849" s="1"/>
      <c r="J849" s="1"/>
      <c r="K849" s="15"/>
      <c r="L849" s="1"/>
      <c r="M849" s="1"/>
      <c r="N849" s="1"/>
      <c r="O849" s="1"/>
      <c r="P849" s="15"/>
      <c r="Q849" s="1"/>
      <c r="R849" s="1"/>
      <c r="S849" s="1"/>
      <c r="T849" s="1"/>
      <c r="U849" s="15"/>
      <c r="V849" s="1"/>
      <c r="W849" s="1"/>
      <c r="X849" s="1"/>
      <c r="Y849" s="1"/>
      <c r="Z849" s="15"/>
      <c r="AA849" s="1"/>
      <c r="AB849" s="1"/>
      <c r="AC849" s="1"/>
      <c r="AD849" s="1"/>
      <c r="AE849" s="15"/>
      <c r="AF849" s="1"/>
      <c r="AG849" s="1"/>
      <c r="AH849" s="1"/>
      <c r="AI849" s="1"/>
      <c r="AJ849" s="15"/>
      <c r="AK849" s="1"/>
    </row>
    <row r="850" spans="1:37" ht="16.5" customHeight="1">
      <c r="A850" s="1"/>
      <c r="B850" s="1"/>
      <c r="C850" s="1"/>
      <c r="D850" s="15"/>
      <c r="E850" s="15"/>
      <c r="F850" s="15"/>
      <c r="G850" s="15"/>
      <c r="H850" s="1"/>
      <c r="I850" s="1"/>
      <c r="J850" s="1"/>
      <c r="K850" s="15"/>
      <c r="L850" s="1"/>
      <c r="M850" s="1"/>
      <c r="N850" s="1"/>
      <c r="O850" s="1"/>
      <c r="P850" s="15"/>
      <c r="Q850" s="1"/>
      <c r="R850" s="1"/>
      <c r="S850" s="1"/>
      <c r="T850" s="1"/>
      <c r="U850" s="15"/>
      <c r="V850" s="1"/>
      <c r="W850" s="1"/>
      <c r="X850" s="1"/>
      <c r="Y850" s="1"/>
      <c r="Z850" s="15"/>
      <c r="AA850" s="1"/>
      <c r="AB850" s="1"/>
      <c r="AC850" s="1"/>
      <c r="AD850" s="1"/>
      <c r="AE850" s="15"/>
      <c r="AF850" s="1"/>
      <c r="AG850" s="1"/>
      <c r="AH850" s="1"/>
      <c r="AI850" s="1"/>
      <c r="AJ850" s="15"/>
      <c r="AK850" s="1"/>
    </row>
    <row r="851" spans="1:37" ht="16.5" customHeight="1">
      <c r="A851" s="1"/>
      <c r="B851" s="1"/>
      <c r="C851" s="1"/>
      <c r="D851" s="15"/>
      <c r="E851" s="15"/>
      <c r="F851" s="15"/>
      <c r="G851" s="15"/>
      <c r="H851" s="1"/>
      <c r="I851" s="1"/>
      <c r="J851" s="1"/>
      <c r="K851" s="15"/>
      <c r="L851" s="1"/>
      <c r="M851" s="1"/>
      <c r="N851" s="1"/>
      <c r="O851" s="1"/>
      <c r="P851" s="15"/>
      <c r="Q851" s="1"/>
      <c r="R851" s="1"/>
      <c r="S851" s="1"/>
      <c r="T851" s="1"/>
      <c r="U851" s="15"/>
      <c r="V851" s="1"/>
      <c r="W851" s="1"/>
      <c r="X851" s="1"/>
      <c r="Y851" s="1"/>
      <c r="Z851" s="15"/>
      <c r="AA851" s="1"/>
      <c r="AB851" s="1"/>
      <c r="AC851" s="1"/>
      <c r="AD851" s="1"/>
      <c r="AE851" s="15"/>
      <c r="AF851" s="1"/>
      <c r="AG851" s="1"/>
      <c r="AH851" s="1"/>
      <c r="AI851" s="1"/>
      <c r="AJ851" s="15"/>
      <c r="AK851" s="1"/>
    </row>
    <row r="852" spans="1:37" ht="16.5" customHeight="1">
      <c r="A852" s="1"/>
      <c r="B852" s="1"/>
      <c r="C852" s="1"/>
      <c r="D852" s="15"/>
      <c r="E852" s="15"/>
      <c r="F852" s="15"/>
      <c r="G852" s="15"/>
      <c r="H852" s="1"/>
      <c r="I852" s="1"/>
      <c r="J852" s="1"/>
      <c r="K852" s="15"/>
      <c r="L852" s="1"/>
      <c r="M852" s="1"/>
      <c r="N852" s="1"/>
      <c r="O852" s="1"/>
      <c r="P852" s="15"/>
      <c r="Q852" s="1"/>
      <c r="R852" s="1"/>
      <c r="S852" s="1"/>
      <c r="T852" s="1"/>
      <c r="U852" s="15"/>
      <c r="V852" s="1"/>
      <c r="W852" s="1"/>
      <c r="X852" s="1"/>
      <c r="Y852" s="1"/>
      <c r="Z852" s="15"/>
      <c r="AA852" s="1"/>
      <c r="AB852" s="1"/>
      <c r="AC852" s="1"/>
      <c r="AD852" s="1"/>
      <c r="AE852" s="15"/>
      <c r="AF852" s="1"/>
      <c r="AG852" s="1"/>
      <c r="AH852" s="1"/>
      <c r="AI852" s="1"/>
      <c r="AJ852" s="15"/>
      <c r="AK852" s="1"/>
    </row>
    <row r="853" spans="1:37" ht="16.5" customHeight="1">
      <c r="A853" s="1"/>
      <c r="B853" s="1"/>
      <c r="C853" s="1"/>
      <c r="D853" s="15"/>
      <c r="E853" s="15"/>
      <c r="F853" s="15"/>
      <c r="G853" s="15"/>
      <c r="H853" s="1"/>
      <c r="I853" s="1"/>
      <c r="J853" s="1"/>
      <c r="K853" s="15"/>
      <c r="L853" s="1"/>
      <c r="M853" s="1"/>
      <c r="N853" s="1"/>
      <c r="O853" s="1"/>
      <c r="P853" s="15"/>
      <c r="Q853" s="1"/>
      <c r="R853" s="1"/>
      <c r="S853" s="1"/>
      <c r="T853" s="1"/>
      <c r="U853" s="15"/>
      <c r="V853" s="1"/>
      <c r="W853" s="1"/>
      <c r="X853" s="1"/>
      <c r="Y853" s="1"/>
      <c r="Z853" s="15"/>
      <c r="AA853" s="1"/>
      <c r="AB853" s="1"/>
      <c r="AC853" s="1"/>
      <c r="AD853" s="1"/>
      <c r="AE853" s="15"/>
      <c r="AF853" s="1"/>
      <c r="AG853" s="1"/>
      <c r="AH853" s="1"/>
      <c r="AI853" s="1"/>
      <c r="AJ853" s="15"/>
      <c r="AK853" s="1"/>
    </row>
    <row r="854" spans="1:37" ht="16.5" customHeight="1">
      <c r="A854" s="1"/>
      <c r="B854" s="1"/>
      <c r="C854" s="1"/>
      <c r="D854" s="15"/>
      <c r="E854" s="15"/>
      <c r="F854" s="15"/>
      <c r="G854" s="15"/>
      <c r="H854" s="1"/>
      <c r="I854" s="1"/>
      <c r="J854" s="1"/>
      <c r="K854" s="15"/>
      <c r="L854" s="1"/>
      <c r="M854" s="1"/>
      <c r="N854" s="1"/>
      <c r="O854" s="1"/>
      <c r="P854" s="15"/>
      <c r="Q854" s="1"/>
      <c r="R854" s="1"/>
      <c r="S854" s="1"/>
      <c r="T854" s="1"/>
      <c r="U854" s="15"/>
      <c r="V854" s="1"/>
      <c r="W854" s="1"/>
      <c r="X854" s="1"/>
      <c r="Y854" s="1"/>
      <c r="Z854" s="15"/>
      <c r="AA854" s="1"/>
      <c r="AB854" s="1"/>
      <c r="AC854" s="1"/>
      <c r="AD854" s="1"/>
      <c r="AE854" s="15"/>
      <c r="AF854" s="1"/>
      <c r="AG854" s="1"/>
      <c r="AH854" s="1"/>
      <c r="AI854" s="1"/>
      <c r="AJ854" s="15"/>
      <c r="AK854" s="1"/>
    </row>
    <row r="855" spans="1:37" ht="16.5" customHeight="1">
      <c r="A855" s="1"/>
      <c r="B855" s="1"/>
      <c r="C855" s="1"/>
      <c r="D855" s="15"/>
      <c r="E855" s="15"/>
      <c r="F855" s="15"/>
      <c r="G855" s="15"/>
      <c r="H855" s="1"/>
      <c r="I855" s="1"/>
      <c r="J855" s="1"/>
      <c r="K855" s="15"/>
      <c r="L855" s="1"/>
      <c r="M855" s="1"/>
      <c r="N855" s="1"/>
      <c r="O855" s="1"/>
      <c r="P855" s="15"/>
      <c r="Q855" s="1"/>
      <c r="R855" s="1"/>
      <c r="S855" s="1"/>
      <c r="T855" s="1"/>
      <c r="U855" s="15"/>
      <c r="V855" s="1"/>
      <c r="W855" s="1"/>
      <c r="X855" s="1"/>
      <c r="Y855" s="1"/>
      <c r="Z855" s="15"/>
      <c r="AA855" s="1"/>
      <c r="AB855" s="1"/>
      <c r="AC855" s="1"/>
      <c r="AD855" s="1"/>
      <c r="AE855" s="15"/>
      <c r="AF855" s="1"/>
      <c r="AG855" s="1"/>
      <c r="AH855" s="1"/>
      <c r="AI855" s="1"/>
      <c r="AJ855" s="15"/>
      <c r="AK855" s="1"/>
    </row>
    <row r="856" spans="1:37" ht="16.5" customHeight="1">
      <c r="A856" s="1"/>
      <c r="B856" s="1"/>
      <c r="C856" s="1"/>
      <c r="D856" s="15"/>
      <c r="E856" s="15"/>
      <c r="F856" s="15"/>
      <c r="G856" s="15"/>
      <c r="H856" s="1"/>
      <c r="I856" s="1"/>
      <c r="J856" s="1"/>
      <c r="K856" s="15"/>
      <c r="L856" s="1"/>
      <c r="M856" s="1"/>
      <c r="N856" s="1"/>
      <c r="O856" s="1"/>
      <c r="P856" s="15"/>
      <c r="Q856" s="1"/>
      <c r="R856" s="1"/>
      <c r="S856" s="1"/>
      <c r="T856" s="1"/>
      <c r="U856" s="15"/>
      <c r="V856" s="1"/>
      <c r="W856" s="1"/>
      <c r="X856" s="1"/>
      <c r="Y856" s="1"/>
      <c r="Z856" s="15"/>
      <c r="AA856" s="1"/>
      <c r="AB856" s="1"/>
      <c r="AC856" s="1"/>
      <c r="AD856" s="1"/>
      <c r="AE856" s="15"/>
      <c r="AF856" s="1"/>
      <c r="AG856" s="1"/>
      <c r="AH856" s="1"/>
      <c r="AI856" s="1"/>
      <c r="AJ856" s="15"/>
      <c r="AK856" s="1"/>
    </row>
    <row r="857" spans="1:37" ht="16.5" customHeight="1">
      <c r="A857" s="1"/>
      <c r="B857" s="1"/>
      <c r="C857" s="1"/>
      <c r="D857" s="15"/>
      <c r="E857" s="15"/>
      <c r="F857" s="15"/>
      <c r="G857" s="15"/>
      <c r="H857" s="1"/>
      <c r="I857" s="1"/>
      <c r="J857" s="1"/>
      <c r="K857" s="15"/>
      <c r="L857" s="1"/>
      <c r="M857" s="1"/>
      <c r="N857" s="1"/>
      <c r="O857" s="1"/>
      <c r="P857" s="15"/>
      <c r="Q857" s="1"/>
      <c r="R857" s="1"/>
      <c r="S857" s="1"/>
      <c r="T857" s="1"/>
      <c r="U857" s="15"/>
      <c r="V857" s="1"/>
      <c r="W857" s="1"/>
      <c r="X857" s="1"/>
      <c r="Y857" s="1"/>
      <c r="Z857" s="15"/>
      <c r="AA857" s="1"/>
      <c r="AB857" s="1"/>
      <c r="AC857" s="1"/>
      <c r="AD857" s="1"/>
      <c r="AE857" s="15"/>
      <c r="AF857" s="1"/>
      <c r="AG857" s="1"/>
      <c r="AH857" s="1"/>
      <c r="AI857" s="1"/>
      <c r="AJ857" s="15"/>
      <c r="AK857" s="1"/>
    </row>
    <row r="858" spans="1:37" ht="16.5" customHeight="1">
      <c r="A858" s="1"/>
      <c r="B858" s="1"/>
      <c r="C858" s="1"/>
      <c r="D858" s="15"/>
      <c r="E858" s="15"/>
      <c r="F858" s="15"/>
      <c r="G858" s="15"/>
      <c r="H858" s="1"/>
      <c r="I858" s="1"/>
      <c r="J858" s="1"/>
      <c r="K858" s="15"/>
      <c r="L858" s="1"/>
      <c r="M858" s="1"/>
      <c r="N858" s="1"/>
      <c r="O858" s="1"/>
      <c r="P858" s="15"/>
      <c r="Q858" s="1"/>
      <c r="R858" s="1"/>
      <c r="S858" s="1"/>
      <c r="T858" s="1"/>
      <c r="U858" s="15"/>
      <c r="V858" s="1"/>
      <c r="W858" s="1"/>
      <c r="X858" s="1"/>
      <c r="Y858" s="1"/>
      <c r="Z858" s="15"/>
      <c r="AA858" s="1"/>
      <c r="AB858" s="1"/>
      <c r="AC858" s="1"/>
      <c r="AD858" s="1"/>
      <c r="AE858" s="15"/>
      <c r="AF858" s="1"/>
      <c r="AG858" s="1"/>
      <c r="AH858" s="1"/>
      <c r="AI858" s="1"/>
      <c r="AJ858" s="15"/>
      <c r="AK858" s="1"/>
    </row>
    <row r="859" spans="1:37" ht="16.5" customHeight="1">
      <c r="A859" s="1"/>
      <c r="B859" s="1"/>
      <c r="C859" s="1"/>
      <c r="D859" s="15"/>
      <c r="E859" s="15"/>
      <c r="F859" s="15"/>
      <c r="G859" s="15"/>
      <c r="H859" s="1"/>
      <c r="I859" s="1"/>
      <c r="J859" s="1"/>
      <c r="K859" s="15"/>
      <c r="L859" s="1"/>
      <c r="M859" s="1"/>
      <c r="N859" s="1"/>
      <c r="O859" s="1"/>
      <c r="P859" s="15"/>
      <c r="Q859" s="1"/>
      <c r="R859" s="1"/>
      <c r="S859" s="1"/>
      <c r="T859" s="1"/>
      <c r="U859" s="15"/>
      <c r="V859" s="1"/>
      <c r="W859" s="1"/>
      <c r="X859" s="1"/>
      <c r="Y859" s="1"/>
      <c r="Z859" s="15"/>
      <c r="AA859" s="1"/>
      <c r="AB859" s="1"/>
      <c r="AC859" s="1"/>
      <c r="AD859" s="1"/>
      <c r="AE859" s="15"/>
      <c r="AF859" s="1"/>
      <c r="AG859" s="1"/>
      <c r="AH859" s="1"/>
      <c r="AI859" s="1"/>
      <c r="AJ859" s="15"/>
      <c r="AK859" s="1"/>
    </row>
    <row r="860" spans="1:37" ht="16.5" customHeight="1">
      <c r="A860" s="1"/>
      <c r="B860" s="1"/>
      <c r="C860" s="1"/>
      <c r="D860" s="15"/>
      <c r="E860" s="15"/>
      <c r="F860" s="15"/>
      <c r="G860" s="15"/>
      <c r="H860" s="1"/>
      <c r="I860" s="1"/>
      <c r="J860" s="1"/>
      <c r="K860" s="15"/>
      <c r="L860" s="1"/>
      <c r="M860" s="1"/>
      <c r="N860" s="1"/>
      <c r="O860" s="1"/>
      <c r="P860" s="15"/>
      <c r="Q860" s="1"/>
      <c r="R860" s="1"/>
      <c r="S860" s="1"/>
      <c r="T860" s="1"/>
      <c r="U860" s="15"/>
      <c r="V860" s="1"/>
      <c r="W860" s="1"/>
      <c r="X860" s="1"/>
      <c r="Y860" s="1"/>
      <c r="Z860" s="15"/>
      <c r="AA860" s="1"/>
      <c r="AB860" s="1"/>
      <c r="AC860" s="1"/>
      <c r="AD860" s="1"/>
      <c r="AE860" s="15"/>
      <c r="AF860" s="1"/>
      <c r="AG860" s="1"/>
      <c r="AH860" s="1"/>
      <c r="AI860" s="1"/>
      <c r="AJ860" s="15"/>
      <c r="AK860" s="1"/>
    </row>
    <row r="861" spans="1:37" ht="16.5" customHeight="1">
      <c r="A861" s="1"/>
      <c r="B861" s="1"/>
      <c r="C861" s="1"/>
      <c r="D861" s="15"/>
      <c r="E861" s="15"/>
      <c r="F861" s="15"/>
      <c r="G861" s="15"/>
      <c r="H861" s="1"/>
      <c r="I861" s="1"/>
      <c r="J861" s="1"/>
      <c r="K861" s="15"/>
      <c r="L861" s="1"/>
      <c r="M861" s="1"/>
      <c r="N861" s="1"/>
      <c r="O861" s="1"/>
      <c r="P861" s="15"/>
      <c r="Q861" s="1"/>
      <c r="R861" s="1"/>
      <c r="S861" s="1"/>
      <c r="T861" s="1"/>
      <c r="U861" s="15"/>
      <c r="V861" s="1"/>
      <c r="W861" s="1"/>
      <c r="X861" s="1"/>
      <c r="Y861" s="1"/>
      <c r="Z861" s="15"/>
      <c r="AA861" s="1"/>
      <c r="AB861" s="1"/>
      <c r="AC861" s="1"/>
      <c r="AD861" s="1"/>
      <c r="AE861" s="15"/>
      <c r="AF861" s="1"/>
      <c r="AG861" s="1"/>
      <c r="AH861" s="1"/>
      <c r="AI861" s="1"/>
      <c r="AJ861" s="15"/>
      <c r="AK861" s="1"/>
    </row>
    <row r="862" spans="1:37" ht="16.5" customHeight="1">
      <c r="A862" s="1"/>
      <c r="B862" s="1"/>
      <c r="C862" s="1"/>
      <c r="D862" s="15"/>
      <c r="E862" s="15"/>
      <c r="F862" s="15"/>
      <c r="G862" s="15"/>
      <c r="H862" s="1"/>
      <c r="I862" s="1"/>
      <c r="J862" s="1"/>
      <c r="K862" s="15"/>
      <c r="L862" s="1"/>
      <c r="M862" s="1"/>
      <c r="N862" s="1"/>
      <c r="O862" s="1"/>
      <c r="P862" s="15"/>
      <c r="Q862" s="1"/>
      <c r="R862" s="1"/>
      <c r="S862" s="1"/>
      <c r="T862" s="1"/>
      <c r="U862" s="15"/>
      <c r="V862" s="1"/>
      <c r="W862" s="1"/>
      <c r="X862" s="1"/>
      <c r="Y862" s="1"/>
      <c r="Z862" s="15"/>
      <c r="AA862" s="1"/>
      <c r="AB862" s="1"/>
      <c r="AC862" s="1"/>
      <c r="AD862" s="1"/>
      <c r="AE862" s="15"/>
      <c r="AF862" s="1"/>
      <c r="AG862" s="1"/>
      <c r="AH862" s="1"/>
      <c r="AI862" s="1"/>
      <c r="AJ862" s="15"/>
      <c r="AK862" s="1"/>
    </row>
    <row r="863" spans="1:37" ht="16.5" customHeight="1">
      <c r="A863" s="1"/>
      <c r="B863" s="1"/>
      <c r="C863" s="1"/>
      <c r="D863" s="15"/>
      <c r="E863" s="15"/>
      <c r="F863" s="15"/>
      <c r="G863" s="15"/>
      <c r="H863" s="1"/>
      <c r="I863" s="1"/>
      <c r="J863" s="1"/>
      <c r="K863" s="15"/>
      <c r="L863" s="1"/>
      <c r="M863" s="1"/>
      <c r="N863" s="1"/>
      <c r="O863" s="1"/>
      <c r="P863" s="15"/>
      <c r="Q863" s="1"/>
      <c r="R863" s="1"/>
      <c r="S863" s="1"/>
      <c r="T863" s="1"/>
      <c r="U863" s="15"/>
      <c r="V863" s="1"/>
      <c r="W863" s="1"/>
      <c r="X863" s="1"/>
      <c r="Y863" s="1"/>
      <c r="Z863" s="15"/>
      <c r="AA863" s="1"/>
      <c r="AB863" s="1"/>
      <c r="AC863" s="1"/>
      <c r="AD863" s="1"/>
      <c r="AE863" s="15"/>
      <c r="AF863" s="1"/>
      <c r="AG863" s="1"/>
      <c r="AH863" s="1"/>
      <c r="AI863" s="1"/>
      <c r="AJ863" s="15"/>
      <c r="AK863" s="1"/>
    </row>
    <row r="864" spans="1:37" ht="16.5" customHeight="1">
      <c r="A864" s="1"/>
      <c r="B864" s="1"/>
      <c r="C864" s="1"/>
      <c r="D864" s="15"/>
      <c r="E864" s="15"/>
      <c r="F864" s="15"/>
      <c r="G864" s="15"/>
      <c r="H864" s="1"/>
      <c r="I864" s="1"/>
      <c r="J864" s="1"/>
      <c r="K864" s="15"/>
      <c r="L864" s="1"/>
      <c r="M864" s="1"/>
      <c r="N864" s="1"/>
      <c r="O864" s="1"/>
      <c r="P864" s="15"/>
      <c r="Q864" s="1"/>
      <c r="R864" s="1"/>
      <c r="S864" s="1"/>
      <c r="T864" s="1"/>
      <c r="U864" s="15"/>
      <c r="V864" s="1"/>
      <c r="W864" s="1"/>
      <c r="X864" s="1"/>
      <c r="Y864" s="1"/>
      <c r="Z864" s="15"/>
      <c r="AA864" s="1"/>
      <c r="AB864" s="1"/>
      <c r="AC864" s="1"/>
      <c r="AD864" s="1"/>
      <c r="AE864" s="15"/>
      <c r="AF864" s="1"/>
      <c r="AG864" s="1"/>
      <c r="AH864" s="1"/>
      <c r="AI864" s="1"/>
      <c r="AJ864" s="15"/>
      <c r="AK864" s="1"/>
    </row>
    <row r="865" spans="1:37" ht="16.5" customHeight="1">
      <c r="A865" s="1"/>
      <c r="B865" s="1"/>
      <c r="C865" s="1"/>
      <c r="D865" s="15"/>
      <c r="E865" s="15"/>
      <c r="F865" s="15"/>
      <c r="G865" s="15"/>
      <c r="H865" s="1"/>
      <c r="I865" s="1"/>
      <c r="J865" s="1"/>
      <c r="K865" s="15"/>
      <c r="L865" s="1"/>
      <c r="M865" s="1"/>
      <c r="N865" s="1"/>
      <c r="O865" s="1"/>
      <c r="P865" s="15"/>
      <c r="Q865" s="1"/>
      <c r="R865" s="1"/>
      <c r="S865" s="1"/>
      <c r="T865" s="1"/>
      <c r="U865" s="15"/>
      <c r="V865" s="1"/>
      <c r="W865" s="1"/>
      <c r="X865" s="1"/>
      <c r="Y865" s="1"/>
      <c r="Z865" s="15"/>
      <c r="AA865" s="1"/>
      <c r="AB865" s="1"/>
      <c r="AC865" s="1"/>
      <c r="AD865" s="1"/>
      <c r="AE865" s="15"/>
      <c r="AF865" s="1"/>
      <c r="AG865" s="1"/>
      <c r="AH865" s="1"/>
      <c r="AI865" s="1"/>
      <c r="AJ865" s="15"/>
      <c r="AK865" s="1"/>
    </row>
    <row r="866" spans="1:37" ht="16.5" customHeight="1">
      <c r="A866" s="1"/>
      <c r="B866" s="1"/>
      <c r="C866" s="1"/>
      <c r="D866" s="15"/>
      <c r="E866" s="15"/>
      <c r="F866" s="15"/>
      <c r="G866" s="15"/>
      <c r="H866" s="1"/>
      <c r="I866" s="1"/>
      <c r="J866" s="1"/>
      <c r="K866" s="15"/>
      <c r="L866" s="1"/>
      <c r="M866" s="1"/>
      <c r="N866" s="1"/>
      <c r="O866" s="1"/>
      <c r="P866" s="15"/>
      <c r="Q866" s="1"/>
      <c r="R866" s="1"/>
      <c r="S866" s="1"/>
      <c r="T866" s="1"/>
      <c r="U866" s="15"/>
      <c r="V866" s="1"/>
      <c r="W866" s="1"/>
      <c r="X866" s="1"/>
      <c r="Y866" s="1"/>
      <c r="Z866" s="15"/>
      <c r="AA866" s="1"/>
      <c r="AB866" s="1"/>
      <c r="AC866" s="1"/>
      <c r="AD866" s="1"/>
      <c r="AE866" s="15"/>
      <c r="AF866" s="1"/>
      <c r="AG866" s="1"/>
      <c r="AH866" s="1"/>
      <c r="AI866" s="1"/>
      <c r="AJ866" s="15"/>
      <c r="AK866" s="1"/>
    </row>
    <row r="867" spans="1:37" ht="16.5" customHeight="1">
      <c r="A867" s="1"/>
      <c r="B867" s="1"/>
      <c r="C867" s="1"/>
      <c r="D867" s="15"/>
      <c r="E867" s="15"/>
      <c r="F867" s="15"/>
      <c r="G867" s="15"/>
      <c r="H867" s="1"/>
      <c r="I867" s="1"/>
      <c r="J867" s="1"/>
      <c r="K867" s="15"/>
      <c r="L867" s="1"/>
      <c r="M867" s="1"/>
      <c r="N867" s="1"/>
      <c r="O867" s="1"/>
      <c r="P867" s="15"/>
      <c r="Q867" s="1"/>
      <c r="R867" s="1"/>
      <c r="S867" s="1"/>
      <c r="T867" s="1"/>
      <c r="U867" s="15"/>
      <c r="V867" s="1"/>
      <c r="W867" s="1"/>
      <c r="X867" s="1"/>
      <c r="Y867" s="1"/>
      <c r="Z867" s="15"/>
      <c r="AA867" s="1"/>
      <c r="AB867" s="1"/>
      <c r="AC867" s="1"/>
      <c r="AD867" s="1"/>
      <c r="AE867" s="15"/>
      <c r="AF867" s="1"/>
      <c r="AG867" s="1"/>
      <c r="AH867" s="1"/>
      <c r="AI867" s="1"/>
      <c r="AJ867" s="15"/>
      <c r="AK867" s="1"/>
    </row>
    <row r="868" spans="1:37" ht="16.5" customHeight="1">
      <c r="A868" s="1"/>
      <c r="B868" s="1"/>
      <c r="C868" s="1"/>
      <c r="D868" s="15"/>
      <c r="E868" s="15"/>
      <c r="F868" s="15"/>
      <c r="G868" s="15"/>
      <c r="H868" s="1"/>
      <c r="I868" s="1"/>
      <c r="J868" s="1"/>
      <c r="K868" s="15"/>
      <c r="L868" s="1"/>
      <c r="M868" s="1"/>
      <c r="N868" s="1"/>
      <c r="O868" s="1"/>
      <c r="P868" s="15"/>
      <c r="Q868" s="1"/>
      <c r="R868" s="1"/>
      <c r="S868" s="1"/>
      <c r="T868" s="1"/>
      <c r="U868" s="15"/>
      <c r="V868" s="1"/>
      <c r="W868" s="1"/>
      <c r="X868" s="1"/>
      <c r="Y868" s="1"/>
      <c r="Z868" s="15"/>
      <c r="AA868" s="1"/>
      <c r="AB868" s="1"/>
      <c r="AC868" s="1"/>
      <c r="AD868" s="1"/>
      <c r="AE868" s="15"/>
      <c r="AF868" s="1"/>
      <c r="AG868" s="1"/>
      <c r="AH868" s="1"/>
      <c r="AI868" s="1"/>
      <c r="AJ868" s="15"/>
      <c r="AK868" s="1"/>
    </row>
    <row r="869" spans="1:37" ht="16.5" customHeight="1">
      <c r="A869" s="1"/>
      <c r="B869" s="1"/>
      <c r="C869" s="1"/>
      <c r="D869" s="15"/>
      <c r="E869" s="15"/>
      <c r="F869" s="15"/>
      <c r="G869" s="15"/>
      <c r="H869" s="1"/>
      <c r="I869" s="1"/>
      <c r="J869" s="1"/>
      <c r="K869" s="15"/>
      <c r="L869" s="1"/>
      <c r="M869" s="1"/>
      <c r="N869" s="1"/>
      <c r="O869" s="1"/>
      <c r="P869" s="15"/>
      <c r="Q869" s="1"/>
      <c r="R869" s="1"/>
      <c r="S869" s="1"/>
      <c r="T869" s="1"/>
      <c r="U869" s="15"/>
      <c r="V869" s="1"/>
      <c r="W869" s="1"/>
      <c r="X869" s="1"/>
      <c r="Y869" s="1"/>
      <c r="Z869" s="15"/>
      <c r="AA869" s="1"/>
      <c r="AB869" s="1"/>
      <c r="AC869" s="1"/>
      <c r="AD869" s="1"/>
      <c r="AE869" s="15"/>
      <c r="AF869" s="1"/>
      <c r="AG869" s="1"/>
      <c r="AH869" s="1"/>
      <c r="AI869" s="1"/>
      <c r="AJ869" s="15"/>
      <c r="AK869" s="1"/>
    </row>
    <row r="870" spans="1:37" ht="16.5" customHeight="1">
      <c r="A870" s="1"/>
      <c r="B870" s="1"/>
      <c r="C870" s="1"/>
      <c r="D870" s="15"/>
      <c r="E870" s="15"/>
      <c r="F870" s="15"/>
      <c r="G870" s="15"/>
      <c r="H870" s="1"/>
      <c r="I870" s="1"/>
      <c r="J870" s="1"/>
      <c r="K870" s="15"/>
      <c r="L870" s="1"/>
      <c r="M870" s="1"/>
      <c r="N870" s="1"/>
      <c r="O870" s="1"/>
      <c r="P870" s="15"/>
      <c r="Q870" s="1"/>
      <c r="R870" s="1"/>
      <c r="S870" s="1"/>
      <c r="T870" s="1"/>
      <c r="U870" s="15"/>
      <c r="V870" s="1"/>
      <c r="W870" s="1"/>
      <c r="X870" s="1"/>
      <c r="Y870" s="1"/>
      <c r="Z870" s="15"/>
      <c r="AA870" s="1"/>
      <c r="AB870" s="1"/>
      <c r="AC870" s="1"/>
      <c r="AD870" s="1"/>
      <c r="AE870" s="15"/>
      <c r="AF870" s="1"/>
      <c r="AG870" s="1"/>
      <c r="AH870" s="1"/>
      <c r="AI870" s="1"/>
      <c r="AJ870" s="15"/>
      <c r="AK870" s="1"/>
    </row>
    <row r="871" spans="1:37" ht="16.5" customHeight="1">
      <c r="A871" s="1"/>
      <c r="B871" s="1"/>
      <c r="C871" s="1"/>
      <c r="D871" s="15"/>
      <c r="E871" s="15"/>
      <c r="F871" s="15"/>
      <c r="G871" s="15"/>
      <c r="H871" s="1"/>
      <c r="I871" s="1"/>
      <c r="J871" s="1"/>
      <c r="K871" s="15"/>
      <c r="L871" s="1"/>
      <c r="M871" s="1"/>
      <c r="N871" s="1"/>
      <c r="O871" s="1"/>
      <c r="P871" s="15"/>
      <c r="Q871" s="1"/>
      <c r="R871" s="1"/>
      <c r="S871" s="1"/>
      <c r="T871" s="1"/>
      <c r="U871" s="15"/>
      <c r="V871" s="1"/>
      <c r="W871" s="1"/>
      <c r="X871" s="1"/>
      <c r="Y871" s="1"/>
      <c r="Z871" s="15"/>
      <c r="AA871" s="1"/>
      <c r="AB871" s="1"/>
      <c r="AC871" s="1"/>
      <c r="AD871" s="1"/>
      <c r="AE871" s="15"/>
      <c r="AF871" s="1"/>
      <c r="AG871" s="1"/>
      <c r="AH871" s="1"/>
      <c r="AI871" s="1"/>
      <c r="AJ871" s="15"/>
      <c r="AK871" s="1"/>
    </row>
    <row r="872" spans="1:37" ht="16.5" customHeight="1">
      <c r="A872" s="1"/>
      <c r="B872" s="1"/>
      <c r="C872" s="1"/>
      <c r="D872" s="15"/>
      <c r="E872" s="15"/>
      <c r="F872" s="15"/>
      <c r="G872" s="15"/>
      <c r="H872" s="1"/>
      <c r="I872" s="1"/>
      <c r="J872" s="1"/>
      <c r="K872" s="15"/>
      <c r="L872" s="1"/>
      <c r="M872" s="1"/>
      <c r="N872" s="1"/>
      <c r="O872" s="1"/>
      <c r="P872" s="15"/>
      <c r="Q872" s="1"/>
      <c r="R872" s="1"/>
      <c r="S872" s="1"/>
      <c r="T872" s="1"/>
      <c r="U872" s="15"/>
      <c r="V872" s="1"/>
      <c r="W872" s="1"/>
      <c r="X872" s="1"/>
      <c r="Y872" s="1"/>
      <c r="Z872" s="15"/>
      <c r="AA872" s="1"/>
      <c r="AB872" s="1"/>
      <c r="AC872" s="1"/>
      <c r="AD872" s="1"/>
      <c r="AE872" s="15"/>
      <c r="AF872" s="1"/>
      <c r="AG872" s="1"/>
      <c r="AH872" s="1"/>
      <c r="AI872" s="1"/>
      <c r="AJ872" s="15"/>
      <c r="AK872" s="1"/>
    </row>
    <row r="873" spans="1:37" ht="16.5" customHeight="1">
      <c r="A873" s="1"/>
      <c r="B873" s="1"/>
      <c r="C873" s="1"/>
      <c r="D873" s="15"/>
      <c r="E873" s="15"/>
      <c r="F873" s="15"/>
      <c r="G873" s="15"/>
      <c r="H873" s="1"/>
      <c r="I873" s="1"/>
      <c r="J873" s="1"/>
      <c r="K873" s="15"/>
      <c r="L873" s="1"/>
      <c r="M873" s="1"/>
      <c r="N873" s="1"/>
      <c r="O873" s="1"/>
      <c r="P873" s="15"/>
      <c r="Q873" s="1"/>
      <c r="R873" s="1"/>
      <c r="S873" s="1"/>
      <c r="T873" s="1"/>
      <c r="U873" s="15"/>
      <c r="V873" s="1"/>
      <c r="W873" s="1"/>
      <c r="X873" s="1"/>
      <c r="Y873" s="1"/>
      <c r="Z873" s="15"/>
      <c r="AA873" s="1"/>
      <c r="AB873" s="1"/>
      <c r="AC873" s="1"/>
      <c r="AD873" s="1"/>
      <c r="AE873" s="15"/>
      <c r="AF873" s="1"/>
      <c r="AG873" s="1"/>
      <c r="AH873" s="1"/>
      <c r="AI873" s="1"/>
      <c r="AJ873" s="15"/>
      <c r="AK873" s="1"/>
    </row>
    <row r="874" spans="1:37" ht="16.5" customHeight="1">
      <c r="A874" s="1"/>
      <c r="B874" s="1"/>
      <c r="C874" s="1"/>
      <c r="D874" s="15"/>
      <c r="E874" s="15"/>
      <c r="F874" s="15"/>
      <c r="G874" s="15"/>
      <c r="H874" s="1"/>
      <c r="I874" s="1"/>
      <c r="J874" s="1"/>
      <c r="K874" s="15"/>
      <c r="L874" s="1"/>
      <c r="M874" s="1"/>
      <c r="N874" s="1"/>
      <c r="O874" s="1"/>
      <c r="P874" s="15"/>
      <c r="Q874" s="1"/>
      <c r="R874" s="1"/>
      <c r="S874" s="1"/>
      <c r="T874" s="1"/>
      <c r="U874" s="15"/>
      <c r="V874" s="1"/>
      <c r="W874" s="1"/>
      <c r="X874" s="1"/>
      <c r="Y874" s="1"/>
      <c r="Z874" s="15"/>
      <c r="AA874" s="1"/>
      <c r="AB874" s="1"/>
      <c r="AC874" s="1"/>
      <c r="AD874" s="1"/>
      <c r="AE874" s="15"/>
      <c r="AF874" s="1"/>
      <c r="AG874" s="1"/>
      <c r="AH874" s="1"/>
      <c r="AI874" s="1"/>
      <c r="AJ874" s="15"/>
      <c r="AK874" s="1"/>
    </row>
    <row r="875" spans="1:37" ht="16.5" customHeight="1">
      <c r="A875" s="1"/>
      <c r="B875" s="1"/>
      <c r="C875" s="1"/>
      <c r="D875" s="15"/>
      <c r="E875" s="15"/>
      <c r="F875" s="15"/>
      <c r="G875" s="15"/>
      <c r="H875" s="1"/>
      <c r="I875" s="1"/>
      <c r="J875" s="1"/>
      <c r="K875" s="15"/>
      <c r="L875" s="1"/>
      <c r="M875" s="1"/>
      <c r="N875" s="1"/>
      <c r="O875" s="1"/>
      <c r="P875" s="15"/>
      <c r="Q875" s="1"/>
      <c r="R875" s="1"/>
      <c r="S875" s="1"/>
      <c r="T875" s="1"/>
      <c r="U875" s="15"/>
      <c r="V875" s="1"/>
      <c r="W875" s="1"/>
      <c r="X875" s="1"/>
      <c r="Y875" s="1"/>
      <c r="Z875" s="15"/>
      <c r="AA875" s="1"/>
      <c r="AB875" s="1"/>
      <c r="AC875" s="1"/>
      <c r="AD875" s="1"/>
      <c r="AE875" s="15"/>
      <c r="AF875" s="1"/>
      <c r="AG875" s="1"/>
      <c r="AH875" s="1"/>
      <c r="AI875" s="1"/>
      <c r="AJ875" s="15"/>
      <c r="AK875" s="1"/>
    </row>
    <row r="876" spans="1:37" ht="16.5" customHeight="1">
      <c r="A876" s="1"/>
      <c r="B876" s="1"/>
      <c r="C876" s="1"/>
      <c r="D876" s="15"/>
      <c r="E876" s="15"/>
      <c r="F876" s="15"/>
      <c r="G876" s="15"/>
      <c r="H876" s="1"/>
      <c r="I876" s="1"/>
      <c r="J876" s="1"/>
      <c r="K876" s="15"/>
      <c r="L876" s="1"/>
      <c r="M876" s="1"/>
      <c r="N876" s="1"/>
      <c r="O876" s="1"/>
      <c r="P876" s="15"/>
      <c r="Q876" s="1"/>
      <c r="R876" s="1"/>
      <c r="S876" s="1"/>
      <c r="T876" s="1"/>
      <c r="U876" s="15"/>
      <c r="V876" s="1"/>
      <c r="W876" s="1"/>
      <c r="X876" s="1"/>
      <c r="Y876" s="1"/>
      <c r="Z876" s="15"/>
      <c r="AA876" s="1"/>
      <c r="AB876" s="1"/>
      <c r="AC876" s="1"/>
      <c r="AD876" s="1"/>
      <c r="AE876" s="15"/>
      <c r="AF876" s="1"/>
      <c r="AG876" s="1"/>
      <c r="AH876" s="1"/>
      <c r="AI876" s="1"/>
      <c r="AJ876" s="15"/>
      <c r="AK876" s="1"/>
    </row>
    <row r="877" spans="1:37" ht="16.5" customHeight="1">
      <c r="A877" s="1"/>
      <c r="B877" s="1"/>
      <c r="C877" s="1"/>
      <c r="D877" s="15"/>
      <c r="E877" s="15"/>
      <c r="F877" s="15"/>
      <c r="G877" s="15"/>
      <c r="H877" s="1"/>
      <c r="I877" s="1"/>
      <c r="J877" s="1"/>
      <c r="K877" s="15"/>
      <c r="L877" s="1"/>
      <c r="M877" s="1"/>
      <c r="N877" s="1"/>
      <c r="O877" s="1"/>
      <c r="P877" s="15"/>
      <c r="Q877" s="1"/>
      <c r="R877" s="1"/>
      <c r="S877" s="1"/>
      <c r="T877" s="1"/>
      <c r="U877" s="15"/>
      <c r="V877" s="1"/>
      <c r="W877" s="1"/>
      <c r="X877" s="1"/>
      <c r="Y877" s="1"/>
      <c r="Z877" s="15"/>
      <c r="AA877" s="1"/>
      <c r="AB877" s="1"/>
      <c r="AC877" s="1"/>
      <c r="AD877" s="1"/>
      <c r="AE877" s="15"/>
      <c r="AF877" s="1"/>
      <c r="AG877" s="1"/>
      <c r="AH877" s="1"/>
      <c r="AI877" s="1"/>
      <c r="AJ877" s="15"/>
      <c r="AK877" s="1"/>
    </row>
    <row r="878" spans="1:37" ht="16.5" customHeight="1">
      <c r="A878" s="1"/>
      <c r="B878" s="1"/>
      <c r="C878" s="1"/>
      <c r="D878" s="15"/>
      <c r="E878" s="15"/>
      <c r="F878" s="15"/>
      <c r="G878" s="15"/>
      <c r="H878" s="1"/>
      <c r="I878" s="1"/>
      <c r="J878" s="1"/>
      <c r="K878" s="15"/>
      <c r="L878" s="1"/>
      <c r="M878" s="1"/>
      <c r="N878" s="1"/>
      <c r="O878" s="1"/>
      <c r="P878" s="15"/>
      <c r="Q878" s="1"/>
      <c r="R878" s="1"/>
      <c r="S878" s="1"/>
      <c r="T878" s="1"/>
      <c r="U878" s="15"/>
      <c r="V878" s="1"/>
      <c r="W878" s="1"/>
      <c r="X878" s="1"/>
      <c r="Y878" s="1"/>
      <c r="Z878" s="15"/>
      <c r="AA878" s="1"/>
      <c r="AB878" s="1"/>
      <c r="AC878" s="1"/>
      <c r="AD878" s="1"/>
      <c r="AE878" s="15"/>
      <c r="AF878" s="1"/>
      <c r="AG878" s="1"/>
      <c r="AH878" s="1"/>
      <c r="AI878" s="1"/>
      <c r="AJ878" s="15"/>
      <c r="AK878" s="1"/>
    </row>
    <row r="879" spans="1:37" ht="16.5" customHeight="1">
      <c r="A879" s="1"/>
      <c r="B879" s="1"/>
      <c r="C879" s="1"/>
      <c r="D879" s="15"/>
      <c r="E879" s="15"/>
      <c r="F879" s="15"/>
      <c r="G879" s="15"/>
      <c r="H879" s="1"/>
      <c r="I879" s="1"/>
      <c r="J879" s="1"/>
      <c r="K879" s="15"/>
      <c r="L879" s="1"/>
      <c r="M879" s="1"/>
      <c r="N879" s="1"/>
      <c r="O879" s="1"/>
      <c r="P879" s="15"/>
      <c r="Q879" s="1"/>
      <c r="R879" s="1"/>
      <c r="S879" s="1"/>
      <c r="T879" s="1"/>
      <c r="U879" s="15"/>
      <c r="V879" s="1"/>
      <c r="W879" s="1"/>
      <c r="X879" s="1"/>
      <c r="Y879" s="1"/>
      <c r="Z879" s="15"/>
      <c r="AA879" s="1"/>
      <c r="AB879" s="1"/>
      <c r="AC879" s="1"/>
      <c r="AD879" s="1"/>
      <c r="AE879" s="15"/>
      <c r="AF879" s="1"/>
      <c r="AG879" s="1"/>
      <c r="AH879" s="1"/>
      <c r="AI879" s="1"/>
      <c r="AJ879" s="15"/>
      <c r="AK879" s="1"/>
    </row>
    <row r="880" spans="1:37" ht="16.5" customHeight="1">
      <c r="A880" s="1"/>
      <c r="B880" s="1"/>
      <c r="C880" s="1"/>
      <c r="D880" s="15"/>
      <c r="E880" s="15"/>
      <c r="F880" s="15"/>
      <c r="G880" s="15"/>
      <c r="H880" s="1"/>
      <c r="I880" s="1"/>
      <c r="J880" s="1"/>
      <c r="K880" s="15"/>
      <c r="L880" s="1"/>
      <c r="M880" s="1"/>
      <c r="N880" s="1"/>
      <c r="O880" s="1"/>
      <c r="P880" s="15"/>
      <c r="Q880" s="1"/>
      <c r="R880" s="1"/>
      <c r="S880" s="1"/>
      <c r="T880" s="1"/>
      <c r="U880" s="15"/>
      <c r="V880" s="1"/>
      <c r="W880" s="1"/>
      <c r="X880" s="1"/>
      <c r="Y880" s="1"/>
      <c r="Z880" s="15"/>
      <c r="AA880" s="1"/>
      <c r="AB880" s="1"/>
      <c r="AC880" s="1"/>
      <c r="AD880" s="1"/>
      <c r="AE880" s="15"/>
      <c r="AF880" s="1"/>
      <c r="AG880" s="1"/>
      <c r="AH880" s="1"/>
      <c r="AI880" s="1"/>
      <c r="AJ880" s="15"/>
      <c r="AK880" s="1"/>
    </row>
    <row r="881" spans="1:37" ht="16.5" customHeight="1">
      <c r="A881" s="1"/>
      <c r="B881" s="1"/>
      <c r="C881" s="1"/>
      <c r="D881" s="15"/>
      <c r="E881" s="15"/>
      <c r="F881" s="15"/>
      <c r="G881" s="15"/>
      <c r="H881" s="1"/>
      <c r="I881" s="1"/>
      <c r="J881" s="1"/>
      <c r="K881" s="15"/>
      <c r="L881" s="1"/>
      <c r="M881" s="1"/>
      <c r="N881" s="1"/>
      <c r="O881" s="1"/>
      <c r="P881" s="15"/>
      <c r="Q881" s="1"/>
      <c r="R881" s="1"/>
      <c r="S881" s="1"/>
      <c r="T881" s="1"/>
      <c r="U881" s="15"/>
      <c r="V881" s="1"/>
      <c r="W881" s="1"/>
      <c r="X881" s="1"/>
      <c r="Y881" s="1"/>
      <c r="Z881" s="15"/>
      <c r="AA881" s="1"/>
      <c r="AB881" s="1"/>
      <c r="AC881" s="1"/>
      <c r="AD881" s="1"/>
      <c r="AE881" s="15"/>
      <c r="AF881" s="1"/>
      <c r="AG881" s="1"/>
      <c r="AH881" s="1"/>
      <c r="AI881" s="1"/>
      <c r="AJ881" s="15"/>
      <c r="AK881" s="1"/>
    </row>
    <row r="882" spans="1:37" ht="16.5" customHeight="1">
      <c r="A882" s="1"/>
      <c r="B882" s="1"/>
      <c r="C882" s="1"/>
      <c r="D882" s="15"/>
      <c r="E882" s="15"/>
      <c r="F882" s="15"/>
      <c r="G882" s="15"/>
      <c r="H882" s="1"/>
      <c r="I882" s="1"/>
      <c r="J882" s="1"/>
      <c r="K882" s="15"/>
      <c r="L882" s="1"/>
      <c r="M882" s="1"/>
      <c r="N882" s="1"/>
      <c r="O882" s="1"/>
      <c r="P882" s="15"/>
      <c r="Q882" s="1"/>
      <c r="R882" s="1"/>
      <c r="S882" s="1"/>
      <c r="T882" s="1"/>
      <c r="U882" s="15"/>
      <c r="V882" s="1"/>
      <c r="W882" s="1"/>
      <c r="X882" s="1"/>
      <c r="Y882" s="1"/>
      <c r="Z882" s="15"/>
      <c r="AA882" s="1"/>
      <c r="AB882" s="1"/>
      <c r="AC882" s="1"/>
      <c r="AD882" s="1"/>
      <c r="AE882" s="15"/>
      <c r="AF882" s="1"/>
      <c r="AG882" s="1"/>
      <c r="AH882" s="1"/>
      <c r="AI882" s="1"/>
      <c r="AJ882" s="15"/>
      <c r="AK882" s="1"/>
    </row>
    <row r="883" spans="1:37" ht="16.5" customHeight="1">
      <c r="A883" s="1"/>
      <c r="B883" s="1"/>
      <c r="C883" s="1"/>
      <c r="D883" s="15"/>
      <c r="E883" s="15"/>
      <c r="F883" s="15"/>
      <c r="G883" s="15"/>
      <c r="H883" s="1"/>
      <c r="I883" s="1"/>
      <c r="J883" s="1"/>
      <c r="K883" s="15"/>
      <c r="L883" s="1"/>
      <c r="M883" s="1"/>
      <c r="N883" s="1"/>
      <c r="O883" s="1"/>
      <c r="P883" s="15"/>
      <c r="Q883" s="1"/>
      <c r="R883" s="1"/>
      <c r="S883" s="1"/>
      <c r="T883" s="1"/>
      <c r="U883" s="15"/>
      <c r="V883" s="1"/>
      <c r="W883" s="1"/>
      <c r="X883" s="1"/>
      <c r="Y883" s="1"/>
      <c r="Z883" s="15"/>
      <c r="AA883" s="1"/>
      <c r="AB883" s="1"/>
      <c r="AC883" s="1"/>
      <c r="AD883" s="1"/>
      <c r="AE883" s="15"/>
      <c r="AF883" s="1"/>
      <c r="AG883" s="1"/>
      <c r="AH883" s="1"/>
      <c r="AI883" s="1"/>
      <c r="AJ883" s="15"/>
      <c r="AK883" s="1"/>
    </row>
    <row r="884" spans="1:37" ht="16.5" customHeight="1">
      <c r="A884" s="1"/>
      <c r="B884" s="1"/>
      <c r="C884" s="1"/>
      <c r="D884" s="15"/>
      <c r="E884" s="15"/>
      <c r="F884" s="15"/>
      <c r="G884" s="15"/>
      <c r="H884" s="1"/>
      <c r="I884" s="1"/>
      <c r="J884" s="1"/>
      <c r="K884" s="15"/>
      <c r="L884" s="1"/>
      <c r="M884" s="1"/>
      <c r="N884" s="1"/>
      <c r="O884" s="1"/>
      <c r="P884" s="15"/>
      <c r="Q884" s="1"/>
      <c r="R884" s="1"/>
      <c r="S884" s="1"/>
      <c r="T884" s="1"/>
      <c r="U884" s="15"/>
      <c r="V884" s="1"/>
      <c r="W884" s="1"/>
      <c r="X884" s="1"/>
      <c r="Y884" s="1"/>
      <c r="Z884" s="15"/>
      <c r="AA884" s="1"/>
      <c r="AB884" s="1"/>
      <c r="AC884" s="1"/>
      <c r="AD884" s="1"/>
      <c r="AE884" s="15"/>
      <c r="AF884" s="1"/>
      <c r="AG884" s="1"/>
      <c r="AH884" s="1"/>
      <c r="AI884" s="1"/>
      <c r="AJ884" s="15"/>
      <c r="AK884" s="1"/>
    </row>
    <row r="885" spans="1:37" ht="16.5" customHeight="1">
      <c r="A885" s="1"/>
      <c r="B885" s="1"/>
      <c r="C885" s="1"/>
      <c r="D885" s="15"/>
      <c r="E885" s="15"/>
      <c r="F885" s="15"/>
      <c r="G885" s="15"/>
      <c r="H885" s="1"/>
      <c r="I885" s="1"/>
      <c r="J885" s="1"/>
      <c r="K885" s="15"/>
      <c r="L885" s="1"/>
      <c r="M885" s="1"/>
      <c r="N885" s="1"/>
      <c r="O885" s="1"/>
      <c r="P885" s="15"/>
      <c r="Q885" s="1"/>
      <c r="R885" s="1"/>
      <c r="S885" s="1"/>
      <c r="T885" s="1"/>
      <c r="U885" s="15"/>
      <c r="V885" s="1"/>
      <c r="W885" s="1"/>
      <c r="X885" s="1"/>
      <c r="Y885" s="1"/>
      <c r="Z885" s="15"/>
      <c r="AA885" s="1"/>
      <c r="AB885" s="1"/>
      <c r="AC885" s="1"/>
      <c r="AD885" s="1"/>
      <c r="AE885" s="15"/>
      <c r="AF885" s="1"/>
      <c r="AG885" s="1"/>
      <c r="AH885" s="1"/>
      <c r="AI885" s="1"/>
      <c r="AJ885" s="15"/>
      <c r="AK885" s="1"/>
    </row>
    <row r="886" spans="1:37" ht="16.5" customHeight="1">
      <c r="A886" s="1"/>
      <c r="B886" s="1"/>
      <c r="C886" s="1"/>
      <c r="D886" s="15"/>
      <c r="E886" s="15"/>
      <c r="F886" s="15"/>
      <c r="G886" s="15"/>
      <c r="H886" s="1"/>
      <c r="I886" s="1"/>
      <c r="J886" s="1"/>
      <c r="K886" s="15"/>
      <c r="L886" s="1"/>
      <c r="M886" s="1"/>
      <c r="N886" s="1"/>
      <c r="O886" s="1"/>
      <c r="P886" s="15"/>
      <c r="Q886" s="1"/>
      <c r="R886" s="1"/>
      <c r="S886" s="1"/>
      <c r="T886" s="1"/>
      <c r="U886" s="15"/>
      <c r="V886" s="1"/>
      <c r="W886" s="1"/>
      <c r="X886" s="1"/>
      <c r="Y886" s="1"/>
      <c r="Z886" s="15"/>
      <c r="AA886" s="1"/>
      <c r="AB886" s="1"/>
      <c r="AC886" s="1"/>
      <c r="AD886" s="1"/>
      <c r="AE886" s="15"/>
      <c r="AF886" s="1"/>
      <c r="AG886" s="1"/>
      <c r="AH886" s="1"/>
      <c r="AI886" s="1"/>
      <c r="AJ886" s="15"/>
      <c r="AK886" s="1"/>
    </row>
    <row r="887" spans="1:37" ht="16.5" customHeight="1">
      <c r="A887" s="1"/>
      <c r="B887" s="1"/>
      <c r="C887" s="1"/>
      <c r="D887" s="15"/>
      <c r="E887" s="15"/>
      <c r="F887" s="15"/>
      <c r="G887" s="15"/>
      <c r="H887" s="1"/>
      <c r="I887" s="1"/>
      <c r="J887" s="1"/>
      <c r="K887" s="15"/>
      <c r="L887" s="1"/>
      <c r="M887" s="1"/>
      <c r="N887" s="1"/>
      <c r="O887" s="1"/>
      <c r="P887" s="15"/>
      <c r="Q887" s="1"/>
      <c r="R887" s="1"/>
      <c r="S887" s="1"/>
      <c r="T887" s="1"/>
      <c r="U887" s="15"/>
      <c r="V887" s="1"/>
      <c r="W887" s="1"/>
      <c r="X887" s="1"/>
      <c r="Y887" s="1"/>
      <c r="Z887" s="15"/>
      <c r="AA887" s="1"/>
      <c r="AB887" s="1"/>
      <c r="AC887" s="1"/>
      <c r="AD887" s="1"/>
      <c r="AE887" s="15"/>
      <c r="AF887" s="1"/>
      <c r="AG887" s="1"/>
      <c r="AH887" s="1"/>
      <c r="AI887" s="1"/>
      <c r="AJ887" s="15"/>
      <c r="AK887" s="1"/>
    </row>
    <row r="888" spans="1:37" ht="16.5" customHeight="1">
      <c r="A888" s="1"/>
      <c r="B888" s="1"/>
      <c r="C888" s="1"/>
      <c r="D888" s="15"/>
      <c r="E888" s="15"/>
      <c r="F888" s="15"/>
      <c r="G888" s="15"/>
      <c r="H888" s="1"/>
      <c r="I888" s="1"/>
      <c r="J888" s="1"/>
      <c r="K888" s="15"/>
      <c r="L888" s="1"/>
      <c r="M888" s="1"/>
      <c r="N888" s="1"/>
      <c r="O888" s="1"/>
      <c r="P888" s="15"/>
      <c r="Q888" s="1"/>
      <c r="R888" s="1"/>
      <c r="S888" s="1"/>
      <c r="T888" s="1"/>
      <c r="U888" s="15"/>
      <c r="V888" s="1"/>
      <c r="W888" s="1"/>
      <c r="X888" s="1"/>
      <c r="Y888" s="1"/>
      <c r="Z888" s="15"/>
      <c r="AA888" s="1"/>
      <c r="AB888" s="1"/>
      <c r="AC888" s="1"/>
      <c r="AD888" s="1"/>
      <c r="AE888" s="15"/>
      <c r="AF888" s="1"/>
      <c r="AG888" s="1"/>
      <c r="AH888" s="1"/>
      <c r="AI888" s="1"/>
      <c r="AJ888" s="15"/>
      <c r="AK888" s="1"/>
    </row>
    <row r="889" spans="1:37" ht="16.5" customHeight="1">
      <c r="A889" s="1"/>
      <c r="B889" s="1"/>
      <c r="C889" s="1"/>
      <c r="D889" s="15"/>
      <c r="E889" s="15"/>
      <c r="F889" s="15"/>
      <c r="G889" s="15"/>
      <c r="H889" s="1"/>
      <c r="I889" s="1"/>
      <c r="J889" s="1"/>
      <c r="K889" s="15"/>
      <c r="L889" s="1"/>
      <c r="M889" s="1"/>
      <c r="N889" s="1"/>
      <c r="O889" s="1"/>
      <c r="P889" s="15"/>
      <c r="Q889" s="1"/>
      <c r="R889" s="1"/>
      <c r="S889" s="1"/>
      <c r="T889" s="1"/>
      <c r="U889" s="15"/>
      <c r="V889" s="1"/>
      <c r="W889" s="1"/>
      <c r="X889" s="1"/>
      <c r="Y889" s="1"/>
      <c r="Z889" s="15"/>
      <c r="AA889" s="1"/>
      <c r="AB889" s="1"/>
      <c r="AC889" s="1"/>
      <c r="AD889" s="1"/>
      <c r="AE889" s="15"/>
      <c r="AF889" s="1"/>
      <c r="AG889" s="1"/>
      <c r="AH889" s="1"/>
      <c r="AI889" s="1"/>
      <c r="AJ889" s="15"/>
      <c r="AK889" s="1"/>
    </row>
    <row r="890" spans="1:37" ht="16.5" customHeight="1">
      <c r="A890" s="1"/>
      <c r="B890" s="1"/>
      <c r="C890" s="1"/>
      <c r="D890" s="15"/>
      <c r="E890" s="15"/>
      <c r="F890" s="15"/>
      <c r="G890" s="15"/>
      <c r="H890" s="1"/>
      <c r="I890" s="1"/>
      <c r="J890" s="1"/>
      <c r="K890" s="15"/>
      <c r="L890" s="1"/>
      <c r="M890" s="1"/>
      <c r="N890" s="1"/>
      <c r="O890" s="1"/>
      <c r="P890" s="15"/>
      <c r="Q890" s="1"/>
      <c r="R890" s="1"/>
      <c r="S890" s="1"/>
      <c r="T890" s="1"/>
      <c r="U890" s="15"/>
      <c r="V890" s="1"/>
      <c r="W890" s="1"/>
      <c r="X890" s="1"/>
      <c r="Y890" s="1"/>
      <c r="Z890" s="15"/>
      <c r="AA890" s="1"/>
      <c r="AB890" s="1"/>
      <c r="AC890" s="1"/>
      <c r="AD890" s="1"/>
      <c r="AE890" s="15"/>
      <c r="AF890" s="1"/>
      <c r="AG890" s="1"/>
      <c r="AH890" s="1"/>
      <c r="AI890" s="1"/>
      <c r="AJ890" s="15"/>
      <c r="AK890" s="1"/>
    </row>
    <row r="891" spans="1:37" ht="16.5" customHeight="1">
      <c r="A891" s="1"/>
      <c r="B891" s="1"/>
      <c r="C891" s="1"/>
      <c r="D891" s="15"/>
      <c r="E891" s="15"/>
      <c r="F891" s="15"/>
      <c r="G891" s="15"/>
      <c r="H891" s="1"/>
      <c r="I891" s="1"/>
      <c r="J891" s="1"/>
      <c r="K891" s="15"/>
      <c r="L891" s="1"/>
      <c r="M891" s="1"/>
      <c r="N891" s="1"/>
      <c r="O891" s="1"/>
      <c r="P891" s="15"/>
      <c r="Q891" s="1"/>
      <c r="R891" s="1"/>
      <c r="S891" s="1"/>
      <c r="T891" s="1"/>
      <c r="U891" s="15"/>
      <c r="V891" s="1"/>
      <c r="W891" s="1"/>
      <c r="X891" s="1"/>
      <c r="Y891" s="1"/>
      <c r="Z891" s="15"/>
      <c r="AA891" s="1"/>
      <c r="AB891" s="1"/>
      <c r="AC891" s="1"/>
      <c r="AD891" s="1"/>
      <c r="AE891" s="15"/>
      <c r="AF891" s="1"/>
      <c r="AG891" s="1"/>
      <c r="AH891" s="1"/>
      <c r="AI891" s="1"/>
      <c r="AJ891" s="15"/>
      <c r="AK891" s="1"/>
    </row>
    <row r="892" spans="1:37" ht="16.5" customHeight="1">
      <c r="A892" s="1"/>
      <c r="B892" s="1"/>
      <c r="C892" s="1"/>
      <c r="D892" s="15"/>
      <c r="E892" s="15"/>
      <c r="F892" s="15"/>
      <c r="G892" s="15"/>
      <c r="H892" s="1"/>
      <c r="I892" s="1"/>
      <c r="J892" s="1"/>
      <c r="K892" s="15"/>
      <c r="L892" s="1"/>
      <c r="M892" s="1"/>
      <c r="N892" s="1"/>
      <c r="O892" s="1"/>
      <c r="P892" s="15"/>
      <c r="Q892" s="1"/>
      <c r="R892" s="1"/>
      <c r="S892" s="1"/>
      <c r="T892" s="1"/>
      <c r="U892" s="15"/>
      <c r="V892" s="1"/>
      <c r="W892" s="1"/>
      <c r="X892" s="1"/>
      <c r="Y892" s="1"/>
      <c r="Z892" s="15"/>
      <c r="AA892" s="1"/>
      <c r="AB892" s="1"/>
      <c r="AC892" s="1"/>
      <c r="AD892" s="1"/>
      <c r="AE892" s="15"/>
      <c r="AF892" s="1"/>
      <c r="AG892" s="1"/>
      <c r="AH892" s="1"/>
      <c r="AI892" s="1"/>
      <c r="AJ892" s="15"/>
      <c r="AK892" s="1"/>
    </row>
    <row r="893" spans="1:37" ht="16.5" customHeight="1">
      <c r="A893" s="1"/>
      <c r="B893" s="1"/>
      <c r="C893" s="1"/>
      <c r="D893" s="15"/>
      <c r="E893" s="15"/>
      <c r="F893" s="15"/>
      <c r="G893" s="15"/>
      <c r="H893" s="1"/>
      <c r="I893" s="1"/>
      <c r="J893" s="1"/>
      <c r="K893" s="15"/>
      <c r="L893" s="1"/>
      <c r="M893" s="1"/>
      <c r="N893" s="1"/>
      <c r="O893" s="1"/>
      <c r="P893" s="15"/>
      <c r="Q893" s="1"/>
      <c r="R893" s="1"/>
      <c r="S893" s="1"/>
      <c r="T893" s="1"/>
      <c r="U893" s="15"/>
      <c r="V893" s="1"/>
      <c r="W893" s="1"/>
      <c r="X893" s="1"/>
      <c r="Y893" s="1"/>
      <c r="Z893" s="15"/>
      <c r="AA893" s="1"/>
      <c r="AB893" s="1"/>
      <c r="AC893" s="1"/>
      <c r="AD893" s="1"/>
      <c r="AE893" s="15"/>
      <c r="AF893" s="1"/>
      <c r="AG893" s="1"/>
      <c r="AH893" s="1"/>
      <c r="AI893" s="1"/>
      <c r="AJ893" s="15"/>
      <c r="AK893" s="1"/>
    </row>
    <row r="894" spans="1:37" ht="16.5" customHeight="1">
      <c r="A894" s="1"/>
      <c r="B894" s="1"/>
      <c r="C894" s="1"/>
      <c r="D894" s="15"/>
      <c r="E894" s="15"/>
      <c r="F894" s="15"/>
      <c r="G894" s="15"/>
      <c r="H894" s="1"/>
      <c r="I894" s="1"/>
      <c r="J894" s="1"/>
      <c r="K894" s="15"/>
      <c r="L894" s="1"/>
      <c r="M894" s="1"/>
      <c r="N894" s="1"/>
      <c r="O894" s="1"/>
      <c r="P894" s="15"/>
      <c r="Q894" s="1"/>
      <c r="R894" s="1"/>
      <c r="S894" s="1"/>
      <c r="T894" s="1"/>
      <c r="U894" s="15"/>
      <c r="V894" s="1"/>
      <c r="W894" s="1"/>
      <c r="X894" s="1"/>
      <c r="Y894" s="1"/>
      <c r="Z894" s="15"/>
      <c r="AA894" s="1"/>
      <c r="AB894" s="1"/>
      <c r="AC894" s="1"/>
      <c r="AD894" s="1"/>
      <c r="AE894" s="15"/>
      <c r="AF894" s="1"/>
      <c r="AG894" s="1"/>
      <c r="AH894" s="1"/>
      <c r="AI894" s="1"/>
      <c r="AJ894" s="15"/>
      <c r="AK894" s="1"/>
    </row>
    <row r="895" spans="1:37" ht="16.5" customHeight="1">
      <c r="A895" s="1"/>
      <c r="B895" s="1"/>
      <c r="C895" s="1"/>
      <c r="D895" s="15"/>
      <c r="E895" s="15"/>
      <c r="F895" s="15"/>
      <c r="G895" s="15"/>
      <c r="H895" s="1"/>
      <c r="I895" s="1"/>
      <c r="J895" s="1"/>
      <c r="K895" s="15"/>
      <c r="L895" s="1"/>
      <c r="M895" s="1"/>
      <c r="N895" s="1"/>
      <c r="O895" s="1"/>
      <c r="P895" s="15"/>
      <c r="Q895" s="1"/>
      <c r="R895" s="1"/>
      <c r="S895" s="1"/>
      <c r="T895" s="1"/>
      <c r="U895" s="15"/>
      <c r="V895" s="1"/>
      <c r="W895" s="1"/>
      <c r="X895" s="1"/>
      <c r="Y895" s="1"/>
      <c r="Z895" s="15"/>
      <c r="AA895" s="1"/>
      <c r="AB895" s="1"/>
      <c r="AC895" s="1"/>
      <c r="AD895" s="1"/>
      <c r="AE895" s="15"/>
      <c r="AF895" s="1"/>
      <c r="AG895" s="1"/>
      <c r="AH895" s="1"/>
      <c r="AI895" s="1"/>
      <c r="AJ895" s="15"/>
      <c r="AK895" s="1"/>
    </row>
    <row r="896" spans="1:37" ht="16.5" customHeight="1">
      <c r="A896" s="1"/>
      <c r="B896" s="1"/>
      <c r="C896" s="1"/>
      <c r="D896" s="15"/>
      <c r="E896" s="15"/>
      <c r="F896" s="15"/>
      <c r="G896" s="15"/>
      <c r="H896" s="1"/>
      <c r="I896" s="1"/>
      <c r="J896" s="1"/>
      <c r="K896" s="15"/>
      <c r="L896" s="1"/>
      <c r="M896" s="1"/>
      <c r="N896" s="1"/>
      <c r="O896" s="1"/>
      <c r="P896" s="15"/>
      <c r="Q896" s="1"/>
      <c r="R896" s="1"/>
      <c r="S896" s="1"/>
      <c r="T896" s="1"/>
      <c r="U896" s="15"/>
      <c r="V896" s="1"/>
      <c r="W896" s="1"/>
      <c r="X896" s="1"/>
      <c r="Y896" s="1"/>
      <c r="Z896" s="15"/>
      <c r="AA896" s="1"/>
      <c r="AB896" s="1"/>
      <c r="AC896" s="1"/>
      <c r="AD896" s="1"/>
      <c r="AE896" s="15"/>
      <c r="AF896" s="1"/>
      <c r="AG896" s="1"/>
      <c r="AH896" s="1"/>
      <c r="AI896" s="1"/>
      <c r="AJ896" s="15"/>
      <c r="AK896" s="1"/>
    </row>
    <row r="897" spans="1:37" ht="16.5" customHeight="1">
      <c r="A897" s="1"/>
      <c r="B897" s="1"/>
      <c r="C897" s="1"/>
      <c r="D897" s="15"/>
      <c r="E897" s="15"/>
      <c r="F897" s="15"/>
      <c r="G897" s="15"/>
      <c r="H897" s="1"/>
      <c r="I897" s="1"/>
      <c r="J897" s="1"/>
      <c r="K897" s="15"/>
      <c r="L897" s="1"/>
      <c r="M897" s="1"/>
      <c r="N897" s="1"/>
      <c r="O897" s="1"/>
      <c r="P897" s="15"/>
      <c r="Q897" s="1"/>
      <c r="R897" s="1"/>
      <c r="S897" s="1"/>
      <c r="T897" s="1"/>
      <c r="U897" s="15"/>
      <c r="V897" s="1"/>
      <c r="W897" s="1"/>
      <c r="X897" s="1"/>
      <c r="Y897" s="1"/>
      <c r="Z897" s="15"/>
      <c r="AA897" s="1"/>
      <c r="AB897" s="1"/>
      <c r="AC897" s="1"/>
      <c r="AD897" s="1"/>
      <c r="AE897" s="15"/>
      <c r="AF897" s="1"/>
      <c r="AG897" s="1"/>
      <c r="AH897" s="1"/>
      <c r="AI897" s="1"/>
      <c r="AJ897" s="15"/>
      <c r="AK897" s="1"/>
    </row>
    <row r="898" spans="1:37" ht="16.5" customHeight="1">
      <c r="A898" s="1"/>
      <c r="B898" s="1"/>
      <c r="C898" s="1"/>
      <c r="D898" s="15"/>
      <c r="E898" s="15"/>
      <c r="F898" s="15"/>
      <c r="G898" s="15"/>
      <c r="H898" s="1"/>
      <c r="I898" s="1"/>
      <c r="J898" s="1"/>
      <c r="K898" s="15"/>
      <c r="L898" s="1"/>
      <c r="M898" s="1"/>
      <c r="N898" s="1"/>
      <c r="O898" s="1"/>
      <c r="P898" s="15"/>
      <c r="Q898" s="1"/>
      <c r="R898" s="1"/>
      <c r="S898" s="1"/>
      <c r="T898" s="1"/>
      <c r="U898" s="15"/>
      <c r="V898" s="1"/>
      <c r="W898" s="1"/>
      <c r="X898" s="1"/>
      <c r="Y898" s="1"/>
      <c r="Z898" s="15"/>
      <c r="AA898" s="1"/>
      <c r="AB898" s="1"/>
      <c r="AC898" s="1"/>
      <c r="AD898" s="1"/>
      <c r="AE898" s="15"/>
      <c r="AF898" s="1"/>
      <c r="AG898" s="1"/>
      <c r="AH898" s="1"/>
      <c r="AI898" s="1"/>
      <c r="AJ898" s="15"/>
      <c r="AK898" s="1"/>
    </row>
    <row r="899" spans="1:37" ht="16.5" customHeight="1">
      <c r="A899" s="1"/>
      <c r="B899" s="1"/>
      <c r="C899" s="1"/>
      <c r="D899" s="15"/>
      <c r="E899" s="15"/>
      <c r="F899" s="15"/>
      <c r="G899" s="15"/>
      <c r="H899" s="1"/>
      <c r="I899" s="1"/>
      <c r="J899" s="1"/>
      <c r="K899" s="15"/>
      <c r="L899" s="1"/>
      <c r="M899" s="1"/>
      <c r="N899" s="1"/>
      <c r="O899" s="1"/>
      <c r="P899" s="15"/>
      <c r="Q899" s="1"/>
      <c r="R899" s="1"/>
      <c r="S899" s="1"/>
      <c r="T899" s="1"/>
      <c r="U899" s="15"/>
      <c r="V899" s="1"/>
      <c r="W899" s="1"/>
      <c r="X899" s="1"/>
      <c r="Y899" s="1"/>
      <c r="Z899" s="15"/>
      <c r="AA899" s="1"/>
      <c r="AB899" s="1"/>
      <c r="AC899" s="1"/>
      <c r="AD899" s="1"/>
      <c r="AE899" s="15"/>
      <c r="AF899" s="1"/>
      <c r="AG899" s="1"/>
      <c r="AH899" s="1"/>
      <c r="AI899" s="1"/>
      <c r="AJ899" s="15"/>
      <c r="AK899" s="1"/>
    </row>
    <row r="900" spans="1:37" ht="16.5" customHeight="1">
      <c r="A900" s="1"/>
      <c r="B900" s="1"/>
      <c r="C900" s="1"/>
      <c r="D900" s="15"/>
      <c r="E900" s="15"/>
      <c r="F900" s="15"/>
      <c r="G900" s="15"/>
      <c r="H900" s="1"/>
      <c r="I900" s="1"/>
      <c r="J900" s="1"/>
      <c r="K900" s="15"/>
      <c r="L900" s="1"/>
      <c r="M900" s="1"/>
      <c r="N900" s="1"/>
      <c r="O900" s="1"/>
      <c r="P900" s="15"/>
      <c r="Q900" s="1"/>
      <c r="R900" s="1"/>
      <c r="S900" s="1"/>
      <c r="T900" s="1"/>
      <c r="U900" s="15"/>
      <c r="V900" s="1"/>
      <c r="W900" s="1"/>
      <c r="X900" s="1"/>
      <c r="Y900" s="1"/>
      <c r="Z900" s="15"/>
      <c r="AA900" s="1"/>
      <c r="AB900" s="1"/>
      <c r="AC900" s="1"/>
      <c r="AD900" s="1"/>
      <c r="AE900" s="15"/>
      <c r="AF900" s="1"/>
      <c r="AG900" s="1"/>
      <c r="AH900" s="1"/>
      <c r="AI900" s="1"/>
      <c r="AJ900" s="15"/>
      <c r="AK900" s="1"/>
    </row>
    <row r="901" spans="1:37" ht="16.5" customHeight="1">
      <c r="A901" s="1"/>
      <c r="B901" s="1"/>
      <c r="C901" s="1"/>
      <c r="D901" s="15"/>
      <c r="E901" s="15"/>
      <c r="F901" s="15"/>
      <c r="G901" s="15"/>
      <c r="H901" s="1"/>
      <c r="I901" s="1"/>
      <c r="J901" s="1"/>
      <c r="K901" s="15"/>
      <c r="L901" s="1"/>
      <c r="M901" s="1"/>
      <c r="N901" s="1"/>
      <c r="O901" s="1"/>
      <c r="P901" s="15"/>
      <c r="Q901" s="1"/>
      <c r="R901" s="1"/>
      <c r="S901" s="1"/>
      <c r="T901" s="1"/>
      <c r="U901" s="15"/>
      <c r="V901" s="1"/>
      <c r="W901" s="1"/>
      <c r="X901" s="1"/>
      <c r="Y901" s="1"/>
      <c r="Z901" s="15"/>
      <c r="AA901" s="1"/>
      <c r="AB901" s="1"/>
      <c r="AC901" s="1"/>
      <c r="AD901" s="1"/>
      <c r="AE901" s="15"/>
      <c r="AF901" s="1"/>
      <c r="AG901" s="1"/>
      <c r="AH901" s="1"/>
      <c r="AI901" s="1"/>
      <c r="AJ901" s="15"/>
      <c r="AK901" s="1"/>
    </row>
    <row r="902" spans="1:37" ht="16.5" customHeight="1">
      <c r="A902" s="1"/>
      <c r="B902" s="1"/>
      <c r="C902" s="1"/>
      <c r="D902" s="15"/>
      <c r="E902" s="15"/>
      <c r="F902" s="15"/>
      <c r="G902" s="15"/>
      <c r="H902" s="1"/>
      <c r="I902" s="1"/>
      <c r="J902" s="1"/>
      <c r="K902" s="15"/>
      <c r="L902" s="1"/>
      <c r="M902" s="1"/>
      <c r="N902" s="1"/>
      <c r="O902" s="1"/>
      <c r="P902" s="15"/>
      <c r="Q902" s="1"/>
      <c r="R902" s="1"/>
      <c r="S902" s="1"/>
      <c r="T902" s="1"/>
      <c r="U902" s="15"/>
      <c r="V902" s="1"/>
      <c r="W902" s="1"/>
      <c r="X902" s="1"/>
      <c r="Y902" s="1"/>
      <c r="Z902" s="15"/>
      <c r="AA902" s="1"/>
      <c r="AB902" s="1"/>
      <c r="AC902" s="1"/>
      <c r="AD902" s="1"/>
      <c r="AE902" s="15"/>
      <c r="AF902" s="1"/>
      <c r="AG902" s="1"/>
      <c r="AH902" s="1"/>
      <c r="AI902" s="1"/>
      <c r="AJ902" s="15"/>
      <c r="AK902" s="1"/>
    </row>
    <row r="903" spans="1:37" ht="16.5" customHeight="1">
      <c r="A903" s="1"/>
      <c r="B903" s="1"/>
      <c r="C903" s="1"/>
      <c r="D903" s="15"/>
      <c r="E903" s="15"/>
      <c r="F903" s="15"/>
      <c r="G903" s="15"/>
      <c r="H903" s="1"/>
      <c r="I903" s="1"/>
      <c r="J903" s="1"/>
      <c r="K903" s="15"/>
      <c r="L903" s="1"/>
      <c r="M903" s="1"/>
      <c r="N903" s="1"/>
      <c r="O903" s="1"/>
      <c r="P903" s="15"/>
      <c r="Q903" s="1"/>
      <c r="R903" s="1"/>
      <c r="S903" s="1"/>
      <c r="T903" s="1"/>
      <c r="U903" s="15"/>
      <c r="V903" s="1"/>
      <c r="W903" s="1"/>
      <c r="X903" s="1"/>
      <c r="Y903" s="1"/>
      <c r="Z903" s="15"/>
      <c r="AA903" s="1"/>
      <c r="AB903" s="1"/>
      <c r="AC903" s="1"/>
      <c r="AD903" s="1"/>
      <c r="AE903" s="15"/>
      <c r="AF903" s="1"/>
      <c r="AG903" s="1"/>
      <c r="AH903" s="1"/>
      <c r="AI903" s="1"/>
      <c r="AJ903" s="15"/>
      <c r="AK903" s="1"/>
    </row>
    <row r="904" spans="1:37" ht="16.5" customHeight="1">
      <c r="A904" s="1"/>
      <c r="B904" s="1"/>
      <c r="C904" s="1"/>
      <c r="D904" s="15"/>
      <c r="E904" s="15"/>
      <c r="F904" s="15"/>
      <c r="G904" s="15"/>
      <c r="H904" s="1"/>
      <c r="I904" s="1"/>
      <c r="J904" s="1"/>
      <c r="K904" s="15"/>
      <c r="L904" s="1"/>
      <c r="M904" s="1"/>
      <c r="N904" s="1"/>
      <c r="O904" s="1"/>
      <c r="P904" s="15"/>
      <c r="Q904" s="1"/>
      <c r="R904" s="1"/>
      <c r="S904" s="1"/>
      <c r="T904" s="1"/>
      <c r="U904" s="15"/>
      <c r="V904" s="1"/>
      <c r="W904" s="1"/>
      <c r="X904" s="1"/>
      <c r="Y904" s="1"/>
      <c r="Z904" s="15"/>
      <c r="AA904" s="1"/>
      <c r="AB904" s="1"/>
      <c r="AC904" s="1"/>
      <c r="AD904" s="1"/>
      <c r="AE904" s="15"/>
      <c r="AF904" s="1"/>
      <c r="AG904" s="1"/>
      <c r="AH904" s="1"/>
      <c r="AI904" s="1"/>
      <c r="AJ904" s="15"/>
      <c r="AK904" s="1"/>
    </row>
    <row r="905" spans="1:37" ht="16.5" customHeight="1">
      <c r="A905" s="1"/>
      <c r="B905" s="1"/>
      <c r="C905" s="1"/>
      <c r="D905" s="15"/>
      <c r="E905" s="15"/>
      <c r="F905" s="15"/>
      <c r="G905" s="15"/>
      <c r="H905" s="1"/>
      <c r="I905" s="1"/>
      <c r="J905" s="1"/>
      <c r="K905" s="15"/>
      <c r="L905" s="1"/>
      <c r="M905" s="1"/>
      <c r="N905" s="1"/>
      <c r="O905" s="1"/>
      <c r="P905" s="15"/>
      <c r="Q905" s="1"/>
      <c r="R905" s="1"/>
      <c r="S905" s="1"/>
      <c r="T905" s="1"/>
      <c r="U905" s="15"/>
      <c r="V905" s="1"/>
      <c r="W905" s="1"/>
      <c r="X905" s="1"/>
      <c r="Y905" s="1"/>
      <c r="Z905" s="15"/>
      <c r="AA905" s="1"/>
      <c r="AB905" s="1"/>
      <c r="AC905" s="1"/>
      <c r="AD905" s="1"/>
      <c r="AE905" s="15"/>
      <c r="AF905" s="1"/>
      <c r="AG905" s="1"/>
      <c r="AH905" s="1"/>
      <c r="AI905" s="1"/>
      <c r="AJ905" s="15"/>
      <c r="AK905" s="1"/>
    </row>
    <row r="906" spans="1:37" ht="16.5" customHeight="1">
      <c r="A906" s="1"/>
      <c r="B906" s="1"/>
      <c r="C906" s="1"/>
      <c r="D906" s="15"/>
      <c r="E906" s="15"/>
      <c r="F906" s="15"/>
      <c r="G906" s="15"/>
      <c r="H906" s="1"/>
      <c r="I906" s="1"/>
      <c r="J906" s="1"/>
      <c r="K906" s="15"/>
      <c r="L906" s="1"/>
      <c r="M906" s="1"/>
      <c r="N906" s="1"/>
      <c r="O906" s="1"/>
      <c r="P906" s="15"/>
      <c r="Q906" s="1"/>
      <c r="R906" s="1"/>
      <c r="S906" s="1"/>
      <c r="T906" s="1"/>
      <c r="U906" s="15"/>
      <c r="V906" s="1"/>
      <c r="W906" s="1"/>
      <c r="X906" s="1"/>
      <c r="Y906" s="1"/>
      <c r="Z906" s="15"/>
      <c r="AA906" s="1"/>
      <c r="AB906" s="1"/>
      <c r="AC906" s="1"/>
      <c r="AD906" s="1"/>
      <c r="AE906" s="15"/>
      <c r="AF906" s="1"/>
      <c r="AG906" s="1"/>
      <c r="AH906" s="1"/>
      <c r="AI906" s="1"/>
      <c r="AJ906" s="15"/>
      <c r="AK906" s="1"/>
    </row>
    <row r="907" spans="1:37" ht="16.5" customHeight="1">
      <c r="A907" s="1"/>
      <c r="B907" s="1"/>
      <c r="C907" s="1"/>
      <c r="D907" s="15"/>
      <c r="E907" s="15"/>
      <c r="F907" s="15"/>
      <c r="G907" s="15"/>
      <c r="H907" s="1"/>
      <c r="I907" s="1"/>
      <c r="J907" s="1"/>
      <c r="K907" s="15"/>
      <c r="L907" s="1"/>
      <c r="M907" s="1"/>
      <c r="N907" s="1"/>
      <c r="O907" s="1"/>
      <c r="P907" s="15"/>
      <c r="Q907" s="1"/>
      <c r="R907" s="1"/>
      <c r="S907" s="1"/>
      <c r="T907" s="1"/>
      <c r="U907" s="15"/>
      <c r="V907" s="1"/>
      <c r="W907" s="1"/>
      <c r="X907" s="1"/>
      <c r="Y907" s="1"/>
      <c r="Z907" s="15"/>
      <c r="AA907" s="1"/>
      <c r="AB907" s="1"/>
      <c r="AC907" s="1"/>
      <c r="AD907" s="1"/>
      <c r="AE907" s="15"/>
      <c r="AF907" s="1"/>
      <c r="AG907" s="1"/>
      <c r="AH907" s="1"/>
      <c r="AI907" s="1"/>
      <c r="AJ907" s="15"/>
      <c r="AK907" s="1"/>
    </row>
    <row r="908" spans="1:37" ht="16.5" customHeight="1">
      <c r="A908" s="1"/>
      <c r="B908" s="1"/>
      <c r="C908" s="1"/>
      <c r="D908" s="15"/>
      <c r="E908" s="15"/>
      <c r="F908" s="15"/>
      <c r="G908" s="15"/>
      <c r="H908" s="1"/>
      <c r="I908" s="1"/>
      <c r="J908" s="1"/>
      <c r="K908" s="15"/>
      <c r="L908" s="1"/>
      <c r="M908" s="1"/>
      <c r="N908" s="1"/>
      <c r="O908" s="1"/>
      <c r="P908" s="15"/>
      <c r="Q908" s="1"/>
      <c r="R908" s="1"/>
      <c r="S908" s="1"/>
      <c r="T908" s="1"/>
      <c r="U908" s="15"/>
      <c r="V908" s="1"/>
      <c r="W908" s="1"/>
      <c r="X908" s="1"/>
      <c r="Y908" s="1"/>
      <c r="Z908" s="15"/>
      <c r="AA908" s="1"/>
      <c r="AB908" s="1"/>
      <c r="AC908" s="1"/>
      <c r="AD908" s="1"/>
      <c r="AE908" s="15"/>
      <c r="AF908" s="1"/>
      <c r="AG908" s="1"/>
      <c r="AH908" s="1"/>
      <c r="AI908" s="1"/>
      <c r="AJ908" s="15"/>
      <c r="AK908" s="1"/>
    </row>
    <row r="909" spans="1:37" ht="16.5" customHeight="1">
      <c r="A909" s="1"/>
      <c r="B909" s="1"/>
      <c r="C909" s="1"/>
      <c r="D909" s="15"/>
      <c r="E909" s="15"/>
      <c r="F909" s="15"/>
      <c r="G909" s="15"/>
      <c r="H909" s="1"/>
      <c r="I909" s="1"/>
      <c r="J909" s="1"/>
      <c r="K909" s="15"/>
      <c r="L909" s="1"/>
      <c r="M909" s="1"/>
      <c r="N909" s="1"/>
      <c r="O909" s="1"/>
      <c r="P909" s="15"/>
      <c r="Q909" s="1"/>
      <c r="R909" s="1"/>
      <c r="S909" s="1"/>
      <c r="T909" s="1"/>
      <c r="U909" s="15"/>
      <c r="V909" s="1"/>
      <c r="W909" s="1"/>
      <c r="X909" s="1"/>
      <c r="Y909" s="1"/>
      <c r="Z909" s="15"/>
      <c r="AA909" s="1"/>
      <c r="AB909" s="1"/>
      <c r="AC909" s="1"/>
      <c r="AD909" s="1"/>
      <c r="AE909" s="15"/>
      <c r="AF909" s="1"/>
      <c r="AG909" s="1"/>
      <c r="AH909" s="1"/>
      <c r="AI909" s="1"/>
      <c r="AJ909" s="15"/>
      <c r="AK909" s="1"/>
    </row>
    <row r="910" spans="1:37" ht="16.5" customHeight="1">
      <c r="A910" s="1"/>
      <c r="B910" s="1"/>
      <c r="C910" s="1"/>
      <c r="D910" s="15"/>
      <c r="E910" s="15"/>
      <c r="F910" s="15"/>
      <c r="G910" s="15"/>
      <c r="H910" s="1"/>
      <c r="I910" s="1"/>
      <c r="J910" s="1"/>
      <c r="K910" s="15"/>
      <c r="L910" s="1"/>
      <c r="M910" s="1"/>
      <c r="N910" s="1"/>
      <c r="O910" s="1"/>
      <c r="P910" s="15"/>
      <c r="Q910" s="1"/>
      <c r="R910" s="1"/>
      <c r="S910" s="1"/>
      <c r="T910" s="1"/>
      <c r="U910" s="15"/>
      <c r="V910" s="1"/>
      <c r="W910" s="1"/>
      <c r="X910" s="1"/>
      <c r="Y910" s="1"/>
      <c r="Z910" s="15"/>
      <c r="AA910" s="1"/>
      <c r="AB910" s="1"/>
      <c r="AC910" s="1"/>
      <c r="AD910" s="1"/>
      <c r="AE910" s="15"/>
      <c r="AF910" s="1"/>
      <c r="AG910" s="1"/>
      <c r="AH910" s="1"/>
      <c r="AI910" s="1"/>
      <c r="AJ910" s="15"/>
      <c r="AK910" s="1"/>
    </row>
    <row r="911" spans="1:37" ht="16.5" customHeight="1">
      <c r="A911" s="1"/>
      <c r="B911" s="1"/>
      <c r="C911" s="1"/>
      <c r="D911" s="15"/>
      <c r="E911" s="15"/>
      <c r="F911" s="15"/>
      <c r="G911" s="15"/>
      <c r="H911" s="1"/>
      <c r="I911" s="1"/>
      <c r="J911" s="1"/>
      <c r="K911" s="15"/>
      <c r="L911" s="1"/>
      <c r="M911" s="1"/>
      <c r="N911" s="1"/>
      <c r="O911" s="1"/>
      <c r="P911" s="15"/>
      <c r="Q911" s="1"/>
      <c r="R911" s="1"/>
      <c r="S911" s="1"/>
      <c r="T911" s="1"/>
      <c r="U911" s="15"/>
      <c r="V911" s="1"/>
      <c r="W911" s="1"/>
      <c r="X911" s="1"/>
      <c r="Y911" s="1"/>
      <c r="Z911" s="15"/>
      <c r="AA911" s="1"/>
      <c r="AB911" s="1"/>
      <c r="AC911" s="1"/>
      <c r="AD911" s="1"/>
      <c r="AE911" s="15"/>
      <c r="AF911" s="1"/>
      <c r="AG911" s="1"/>
      <c r="AH911" s="1"/>
      <c r="AI911" s="1"/>
      <c r="AJ911" s="15"/>
      <c r="AK911" s="1"/>
    </row>
    <row r="912" spans="1:37" ht="16.5" customHeight="1">
      <c r="A912" s="1"/>
      <c r="B912" s="1"/>
      <c r="C912" s="1"/>
      <c r="D912" s="15"/>
      <c r="E912" s="15"/>
      <c r="F912" s="15"/>
      <c r="G912" s="15"/>
      <c r="H912" s="1"/>
      <c r="I912" s="1"/>
      <c r="J912" s="1"/>
      <c r="K912" s="15"/>
      <c r="L912" s="1"/>
      <c r="M912" s="1"/>
      <c r="N912" s="1"/>
      <c r="O912" s="1"/>
      <c r="P912" s="15"/>
      <c r="Q912" s="1"/>
      <c r="R912" s="1"/>
      <c r="S912" s="1"/>
      <c r="T912" s="1"/>
      <c r="U912" s="15"/>
      <c r="V912" s="1"/>
      <c r="W912" s="1"/>
      <c r="X912" s="1"/>
      <c r="Y912" s="1"/>
      <c r="Z912" s="15"/>
      <c r="AA912" s="1"/>
      <c r="AB912" s="1"/>
      <c r="AC912" s="1"/>
      <c r="AD912" s="1"/>
      <c r="AE912" s="15"/>
      <c r="AF912" s="1"/>
      <c r="AG912" s="1"/>
      <c r="AH912" s="1"/>
      <c r="AI912" s="1"/>
      <c r="AJ912" s="15"/>
      <c r="AK912" s="1"/>
    </row>
    <row r="913" spans="1:37" ht="16.5" customHeight="1">
      <c r="A913" s="1"/>
      <c r="B913" s="1"/>
      <c r="C913" s="1"/>
      <c r="D913" s="15"/>
      <c r="E913" s="15"/>
      <c r="F913" s="15"/>
      <c r="G913" s="15"/>
      <c r="H913" s="1"/>
      <c r="I913" s="1"/>
      <c r="J913" s="1"/>
      <c r="K913" s="15"/>
      <c r="L913" s="1"/>
      <c r="M913" s="1"/>
      <c r="N913" s="1"/>
      <c r="O913" s="1"/>
      <c r="P913" s="15"/>
      <c r="Q913" s="1"/>
      <c r="R913" s="1"/>
      <c r="S913" s="1"/>
      <c r="T913" s="1"/>
      <c r="U913" s="15"/>
      <c r="V913" s="1"/>
      <c r="W913" s="1"/>
      <c r="X913" s="1"/>
      <c r="Y913" s="1"/>
      <c r="Z913" s="15"/>
      <c r="AA913" s="1"/>
      <c r="AB913" s="1"/>
      <c r="AC913" s="1"/>
      <c r="AD913" s="1"/>
      <c r="AE913" s="15"/>
      <c r="AF913" s="1"/>
      <c r="AG913" s="1"/>
      <c r="AH913" s="1"/>
      <c r="AI913" s="1"/>
      <c r="AJ913" s="15"/>
      <c r="AK913" s="1"/>
    </row>
    <row r="914" spans="1:37" ht="16.5" customHeight="1">
      <c r="A914" s="1"/>
      <c r="B914" s="1"/>
      <c r="C914" s="1"/>
      <c r="D914" s="15"/>
      <c r="E914" s="15"/>
      <c r="F914" s="15"/>
      <c r="G914" s="15"/>
      <c r="H914" s="1"/>
      <c r="I914" s="1"/>
      <c r="J914" s="1"/>
      <c r="K914" s="15"/>
      <c r="L914" s="1"/>
      <c r="M914" s="1"/>
      <c r="N914" s="1"/>
      <c r="O914" s="1"/>
      <c r="P914" s="15"/>
      <c r="Q914" s="1"/>
      <c r="R914" s="1"/>
      <c r="S914" s="1"/>
      <c r="T914" s="1"/>
      <c r="U914" s="15"/>
      <c r="V914" s="1"/>
      <c r="W914" s="1"/>
      <c r="X914" s="1"/>
      <c r="Y914" s="1"/>
      <c r="Z914" s="15"/>
      <c r="AA914" s="1"/>
      <c r="AB914" s="1"/>
      <c r="AC914" s="1"/>
      <c r="AD914" s="1"/>
      <c r="AE914" s="15"/>
      <c r="AF914" s="1"/>
      <c r="AG914" s="1"/>
      <c r="AH914" s="1"/>
      <c r="AI914" s="1"/>
      <c r="AJ914" s="15"/>
      <c r="AK914" s="1"/>
    </row>
    <row r="915" spans="1:37" ht="16.5" customHeight="1">
      <c r="A915" s="1"/>
      <c r="B915" s="1"/>
      <c r="C915" s="1"/>
      <c r="D915" s="15"/>
      <c r="E915" s="15"/>
      <c r="F915" s="15"/>
      <c r="G915" s="15"/>
      <c r="H915" s="1"/>
      <c r="I915" s="1"/>
      <c r="J915" s="1"/>
      <c r="K915" s="15"/>
      <c r="L915" s="1"/>
      <c r="M915" s="1"/>
      <c r="N915" s="1"/>
      <c r="O915" s="1"/>
      <c r="P915" s="15"/>
      <c r="Q915" s="1"/>
      <c r="R915" s="1"/>
      <c r="S915" s="1"/>
      <c r="T915" s="1"/>
      <c r="U915" s="15"/>
      <c r="V915" s="1"/>
      <c r="W915" s="1"/>
      <c r="X915" s="1"/>
      <c r="Y915" s="1"/>
      <c r="Z915" s="15"/>
      <c r="AA915" s="1"/>
      <c r="AB915" s="1"/>
      <c r="AC915" s="1"/>
      <c r="AD915" s="1"/>
      <c r="AE915" s="15"/>
      <c r="AF915" s="1"/>
      <c r="AG915" s="1"/>
      <c r="AH915" s="1"/>
      <c r="AI915" s="1"/>
      <c r="AJ915" s="15"/>
      <c r="AK915" s="1"/>
    </row>
    <row r="916" spans="1:37" ht="16.5" customHeight="1">
      <c r="A916" s="1"/>
      <c r="B916" s="1"/>
      <c r="C916" s="1"/>
      <c r="D916" s="15"/>
      <c r="E916" s="15"/>
      <c r="F916" s="15"/>
      <c r="G916" s="15"/>
      <c r="H916" s="1"/>
      <c r="I916" s="1"/>
      <c r="J916" s="1"/>
      <c r="K916" s="15"/>
      <c r="L916" s="1"/>
      <c r="M916" s="1"/>
      <c r="N916" s="1"/>
      <c r="O916" s="1"/>
      <c r="P916" s="15"/>
      <c r="Q916" s="1"/>
      <c r="R916" s="1"/>
      <c r="S916" s="1"/>
      <c r="T916" s="1"/>
      <c r="U916" s="15"/>
      <c r="V916" s="1"/>
      <c r="W916" s="1"/>
      <c r="X916" s="1"/>
      <c r="Y916" s="1"/>
      <c r="Z916" s="15"/>
      <c r="AA916" s="1"/>
      <c r="AB916" s="1"/>
      <c r="AC916" s="1"/>
      <c r="AD916" s="1"/>
      <c r="AE916" s="15"/>
      <c r="AF916" s="1"/>
      <c r="AG916" s="1"/>
      <c r="AH916" s="1"/>
      <c r="AI916" s="1"/>
      <c r="AJ916" s="15"/>
      <c r="AK916" s="1"/>
    </row>
    <row r="917" spans="1:37" ht="16.5" customHeight="1">
      <c r="A917" s="1"/>
      <c r="B917" s="1"/>
      <c r="C917" s="1"/>
      <c r="D917" s="15"/>
      <c r="E917" s="15"/>
      <c r="F917" s="15"/>
      <c r="G917" s="15"/>
      <c r="H917" s="1"/>
      <c r="I917" s="1"/>
      <c r="J917" s="1"/>
      <c r="K917" s="15"/>
      <c r="L917" s="1"/>
      <c r="M917" s="1"/>
      <c r="N917" s="1"/>
      <c r="O917" s="1"/>
      <c r="P917" s="15"/>
      <c r="Q917" s="1"/>
      <c r="R917" s="1"/>
      <c r="S917" s="1"/>
      <c r="T917" s="1"/>
      <c r="U917" s="15"/>
      <c r="V917" s="1"/>
      <c r="W917" s="1"/>
      <c r="X917" s="1"/>
      <c r="Y917" s="1"/>
      <c r="Z917" s="15"/>
      <c r="AA917" s="1"/>
      <c r="AB917" s="1"/>
      <c r="AC917" s="1"/>
      <c r="AD917" s="1"/>
      <c r="AE917" s="15"/>
      <c r="AF917" s="1"/>
      <c r="AG917" s="1"/>
      <c r="AH917" s="1"/>
      <c r="AI917" s="1"/>
      <c r="AJ917" s="15"/>
      <c r="AK917" s="1"/>
    </row>
    <row r="918" spans="1:37" ht="16.5" customHeight="1">
      <c r="A918" s="1"/>
      <c r="B918" s="1"/>
      <c r="C918" s="1"/>
      <c r="D918" s="15"/>
      <c r="E918" s="15"/>
      <c r="F918" s="15"/>
      <c r="G918" s="15"/>
      <c r="H918" s="1"/>
      <c r="I918" s="1"/>
      <c r="J918" s="1"/>
      <c r="K918" s="15"/>
      <c r="L918" s="1"/>
      <c r="M918" s="1"/>
      <c r="N918" s="1"/>
      <c r="O918" s="1"/>
      <c r="P918" s="15"/>
      <c r="Q918" s="1"/>
      <c r="R918" s="1"/>
      <c r="S918" s="1"/>
      <c r="T918" s="1"/>
      <c r="U918" s="15"/>
      <c r="V918" s="1"/>
      <c r="W918" s="1"/>
      <c r="X918" s="1"/>
      <c r="Y918" s="1"/>
      <c r="Z918" s="15"/>
      <c r="AA918" s="1"/>
      <c r="AB918" s="1"/>
      <c r="AC918" s="1"/>
      <c r="AD918" s="1"/>
      <c r="AE918" s="15"/>
      <c r="AF918" s="1"/>
      <c r="AG918" s="1"/>
      <c r="AH918" s="1"/>
      <c r="AI918" s="1"/>
      <c r="AJ918" s="15"/>
      <c r="AK918" s="1"/>
    </row>
    <row r="919" spans="1:37" ht="16.5" customHeight="1">
      <c r="A919" s="1"/>
      <c r="B919" s="1"/>
      <c r="C919" s="1"/>
      <c r="D919" s="15"/>
      <c r="E919" s="15"/>
      <c r="F919" s="15"/>
      <c r="G919" s="15"/>
      <c r="H919" s="1"/>
      <c r="I919" s="1"/>
      <c r="J919" s="1"/>
      <c r="K919" s="15"/>
      <c r="L919" s="1"/>
      <c r="M919" s="1"/>
      <c r="N919" s="1"/>
      <c r="O919" s="1"/>
      <c r="P919" s="15"/>
      <c r="Q919" s="1"/>
      <c r="R919" s="1"/>
      <c r="S919" s="1"/>
      <c r="T919" s="1"/>
      <c r="U919" s="15"/>
      <c r="V919" s="1"/>
      <c r="W919" s="1"/>
      <c r="X919" s="1"/>
      <c r="Y919" s="1"/>
      <c r="Z919" s="15"/>
      <c r="AA919" s="1"/>
      <c r="AB919" s="1"/>
      <c r="AC919" s="1"/>
      <c r="AD919" s="1"/>
      <c r="AE919" s="15"/>
      <c r="AF919" s="1"/>
      <c r="AG919" s="1"/>
      <c r="AH919" s="1"/>
      <c r="AI919" s="1"/>
      <c r="AJ919" s="15"/>
      <c r="AK919" s="1"/>
    </row>
    <row r="920" spans="1:37" ht="16.5" customHeight="1">
      <c r="A920" s="1"/>
      <c r="B920" s="1"/>
      <c r="C920" s="1"/>
      <c r="D920" s="15"/>
      <c r="E920" s="15"/>
      <c r="F920" s="15"/>
      <c r="G920" s="15"/>
      <c r="H920" s="1"/>
      <c r="I920" s="1"/>
      <c r="J920" s="1"/>
      <c r="K920" s="15"/>
      <c r="L920" s="1"/>
      <c r="M920" s="1"/>
      <c r="N920" s="1"/>
      <c r="O920" s="1"/>
      <c r="P920" s="15"/>
      <c r="Q920" s="1"/>
      <c r="R920" s="1"/>
      <c r="S920" s="1"/>
      <c r="T920" s="1"/>
      <c r="U920" s="15"/>
      <c r="V920" s="1"/>
      <c r="W920" s="1"/>
      <c r="X920" s="1"/>
      <c r="Y920" s="1"/>
      <c r="Z920" s="15"/>
      <c r="AA920" s="1"/>
      <c r="AB920" s="1"/>
      <c r="AC920" s="1"/>
      <c r="AD920" s="1"/>
      <c r="AE920" s="15"/>
      <c r="AF920" s="1"/>
      <c r="AG920" s="1"/>
      <c r="AH920" s="1"/>
      <c r="AI920" s="1"/>
      <c r="AJ920" s="15"/>
      <c r="AK920" s="1"/>
    </row>
    <row r="921" spans="1:37" ht="16.5" customHeight="1">
      <c r="A921" s="1"/>
      <c r="B921" s="1"/>
      <c r="C921" s="1"/>
      <c r="D921" s="15"/>
      <c r="E921" s="15"/>
      <c r="F921" s="15"/>
      <c r="G921" s="15"/>
      <c r="H921" s="1"/>
      <c r="I921" s="1"/>
      <c r="J921" s="1"/>
      <c r="K921" s="15"/>
      <c r="L921" s="1"/>
      <c r="M921" s="1"/>
      <c r="N921" s="1"/>
      <c r="O921" s="1"/>
      <c r="P921" s="15"/>
      <c r="Q921" s="1"/>
      <c r="R921" s="1"/>
      <c r="S921" s="1"/>
      <c r="T921" s="1"/>
      <c r="U921" s="15"/>
      <c r="V921" s="1"/>
      <c r="W921" s="1"/>
      <c r="X921" s="1"/>
      <c r="Y921" s="1"/>
      <c r="Z921" s="15"/>
      <c r="AA921" s="1"/>
      <c r="AB921" s="1"/>
      <c r="AC921" s="1"/>
      <c r="AD921" s="1"/>
      <c r="AE921" s="15"/>
      <c r="AF921" s="1"/>
      <c r="AG921" s="1"/>
      <c r="AH921" s="1"/>
      <c r="AI921" s="1"/>
      <c r="AJ921" s="15"/>
      <c r="AK921" s="1"/>
    </row>
    <row r="922" spans="1:37" ht="16.5" customHeight="1">
      <c r="A922" s="1"/>
      <c r="B922" s="1"/>
      <c r="C922" s="1"/>
      <c r="D922" s="15"/>
      <c r="E922" s="15"/>
      <c r="F922" s="15"/>
      <c r="G922" s="15"/>
      <c r="H922" s="1"/>
      <c r="I922" s="1"/>
      <c r="J922" s="1"/>
      <c r="K922" s="15"/>
      <c r="L922" s="1"/>
      <c r="M922" s="1"/>
      <c r="N922" s="1"/>
      <c r="O922" s="1"/>
      <c r="P922" s="15"/>
      <c r="Q922" s="1"/>
      <c r="R922" s="1"/>
      <c r="S922" s="1"/>
      <c r="T922" s="1"/>
      <c r="U922" s="15"/>
      <c r="V922" s="1"/>
      <c r="W922" s="1"/>
      <c r="X922" s="1"/>
      <c r="Y922" s="1"/>
      <c r="Z922" s="15"/>
      <c r="AA922" s="1"/>
      <c r="AB922" s="1"/>
      <c r="AC922" s="1"/>
      <c r="AD922" s="1"/>
      <c r="AE922" s="15"/>
      <c r="AF922" s="1"/>
      <c r="AG922" s="1"/>
      <c r="AH922" s="1"/>
      <c r="AI922" s="1"/>
      <c r="AJ922" s="15"/>
      <c r="AK922" s="1"/>
    </row>
    <row r="923" spans="1:37" ht="16.5" customHeight="1">
      <c r="A923" s="1"/>
      <c r="B923" s="1"/>
      <c r="C923" s="1"/>
      <c r="D923" s="15"/>
      <c r="E923" s="15"/>
      <c r="F923" s="15"/>
      <c r="G923" s="15"/>
      <c r="H923" s="1"/>
      <c r="I923" s="1"/>
      <c r="J923" s="1"/>
      <c r="K923" s="15"/>
      <c r="L923" s="1"/>
      <c r="M923" s="1"/>
      <c r="N923" s="1"/>
      <c r="O923" s="1"/>
      <c r="P923" s="15"/>
      <c r="Q923" s="1"/>
      <c r="R923" s="1"/>
      <c r="S923" s="1"/>
      <c r="T923" s="1"/>
      <c r="U923" s="15"/>
      <c r="V923" s="1"/>
      <c r="W923" s="1"/>
      <c r="X923" s="1"/>
      <c r="Y923" s="1"/>
      <c r="Z923" s="15"/>
      <c r="AA923" s="1"/>
      <c r="AB923" s="1"/>
      <c r="AC923" s="1"/>
      <c r="AD923" s="1"/>
      <c r="AE923" s="15"/>
      <c r="AF923" s="1"/>
      <c r="AG923" s="1"/>
      <c r="AH923" s="1"/>
      <c r="AI923" s="1"/>
      <c r="AJ923" s="15"/>
      <c r="AK923" s="1"/>
    </row>
    <row r="924" spans="1:37" ht="16.5" customHeight="1">
      <c r="A924" s="1"/>
      <c r="B924" s="1"/>
      <c r="C924" s="1"/>
      <c r="D924" s="15"/>
      <c r="E924" s="15"/>
      <c r="F924" s="15"/>
      <c r="G924" s="15"/>
      <c r="H924" s="1"/>
      <c r="I924" s="1"/>
      <c r="J924" s="1"/>
      <c r="K924" s="15"/>
      <c r="L924" s="1"/>
      <c r="M924" s="1"/>
      <c r="N924" s="1"/>
      <c r="O924" s="1"/>
      <c r="P924" s="15"/>
      <c r="Q924" s="1"/>
      <c r="R924" s="1"/>
      <c r="S924" s="1"/>
      <c r="T924" s="1"/>
      <c r="U924" s="15"/>
      <c r="V924" s="1"/>
      <c r="W924" s="1"/>
      <c r="X924" s="1"/>
      <c r="Y924" s="1"/>
      <c r="Z924" s="15"/>
      <c r="AA924" s="1"/>
      <c r="AB924" s="1"/>
      <c r="AC924" s="1"/>
      <c r="AD924" s="1"/>
      <c r="AE924" s="15"/>
      <c r="AF924" s="1"/>
      <c r="AG924" s="1"/>
      <c r="AH924" s="1"/>
      <c r="AI924" s="1"/>
      <c r="AJ924" s="15"/>
      <c r="AK924" s="1"/>
    </row>
    <row r="925" spans="1:37" ht="16.5" customHeight="1">
      <c r="A925" s="1"/>
      <c r="B925" s="1"/>
      <c r="C925" s="1"/>
      <c r="D925" s="15"/>
      <c r="E925" s="15"/>
      <c r="F925" s="15"/>
      <c r="G925" s="15"/>
      <c r="H925" s="1"/>
      <c r="I925" s="1"/>
      <c r="J925" s="1"/>
      <c r="K925" s="15"/>
      <c r="L925" s="1"/>
      <c r="M925" s="1"/>
      <c r="N925" s="1"/>
      <c r="O925" s="1"/>
      <c r="P925" s="15"/>
      <c r="Q925" s="1"/>
      <c r="R925" s="1"/>
      <c r="S925" s="1"/>
      <c r="T925" s="1"/>
      <c r="U925" s="15"/>
      <c r="V925" s="1"/>
      <c r="W925" s="1"/>
      <c r="X925" s="1"/>
      <c r="Y925" s="1"/>
      <c r="Z925" s="15"/>
      <c r="AA925" s="1"/>
      <c r="AB925" s="1"/>
      <c r="AC925" s="1"/>
      <c r="AD925" s="1"/>
      <c r="AE925" s="15"/>
      <c r="AF925" s="1"/>
      <c r="AG925" s="1"/>
      <c r="AH925" s="1"/>
      <c r="AI925" s="1"/>
      <c r="AJ925" s="15"/>
      <c r="AK925" s="1"/>
    </row>
    <row r="926" spans="1:37" ht="16.5" customHeight="1">
      <c r="A926" s="1"/>
      <c r="B926" s="1"/>
      <c r="C926" s="1"/>
      <c r="D926" s="15"/>
      <c r="E926" s="15"/>
      <c r="F926" s="15"/>
      <c r="G926" s="15"/>
      <c r="H926" s="1"/>
      <c r="I926" s="1"/>
      <c r="J926" s="1"/>
      <c r="K926" s="15"/>
      <c r="L926" s="1"/>
      <c r="M926" s="1"/>
      <c r="N926" s="1"/>
      <c r="O926" s="1"/>
      <c r="P926" s="15"/>
      <c r="Q926" s="1"/>
      <c r="R926" s="1"/>
      <c r="S926" s="1"/>
      <c r="T926" s="1"/>
      <c r="U926" s="15"/>
      <c r="V926" s="1"/>
      <c r="W926" s="1"/>
      <c r="X926" s="1"/>
      <c r="Y926" s="1"/>
      <c r="Z926" s="15"/>
      <c r="AA926" s="1"/>
      <c r="AB926" s="1"/>
      <c r="AC926" s="1"/>
      <c r="AD926" s="1"/>
      <c r="AE926" s="15"/>
      <c r="AF926" s="1"/>
      <c r="AG926" s="1"/>
      <c r="AH926" s="1"/>
      <c r="AI926" s="1"/>
      <c r="AJ926" s="15"/>
      <c r="AK926" s="1"/>
    </row>
    <row r="927" spans="1:37" ht="16.5" customHeight="1">
      <c r="A927" s="1"/>
      <c r="B927" s="1"/>
      <c r="C927" s="1"/>
      <c r="D927" s="15"/>
      <c r="E927" s="15"/>
      <c r="F927" s="15"/>
      <c r="G927" s="15"/>
      <c r="H927" s="1"/>
      <c r="I927" s="1"/>
      <c r="J927" s="1"/>
      <c r="K927" s="15"/>
      <c r="L927" s="1"/>
      <c r="M927" s="1"/>
      <c r="N927" s="1"/>
      <c r="O927" s="1"/>
      <c r="P927" s="15"/>
      <c r="Q927" s="1"/>
      <c r="R927" s="1"/>
      <c r="S927" s="1"/>
      <c r="T927" s="1"/>
      <c r="U927" s="15"/>
      <c r="V927" s="1"/>
      <c r="W927" s="1"/>
      <c r="X927" s="1"/>
      <c r="Y927" s="1"/>
      <c r="Z927" s="15"/>
      <c r="AA927" s="1"/>
      <c r="AB927" s="1"/>
      <c r="AC927" s="1"/>
      <c r="AD927" s="1"/>
      <c r="AE927" s="15"/>
      <c r="AF927" s="1"/>
      <c r="AG927" s="1"/>
      <c r="AH927" s="1"/>
      <c r="AI927" s="1"/>
      <c r="AJ927" s="15"/>
      <c r="AK927" s="1"/>
    </row>
    <row r="928" spans="1:37" ht="16.5" customHeight="1">
      <c r="A928" s="1"/>
      <c r="B928" s="1"/>
      <c r="C928" s="1"/>
      <c r="D928" s="15"/>
      <c r="E928" s="15"/>
      <c r="F928" s="15"/>
      <c r="G928" s="15"/>
      <c r="H928" s="1"/>
      <c r="I928" s="1"/>
      <c r="J928" s="1"/>
      <c r="K928" s="15"/>
      <c r="L928" s="1"/>
      <c r="M928" s="1"/>
      <c r="N928" s="1"/>
      <c r="O928" s="1"/>
      <c r="P928" s="15"/>
      <c r="Q928" s="1"/>
      <c r="R928" s="1"/>
      <c r="S928" s="1"/>
      <c r="T928" s="1"/>
      <c r="U928" s="15"/>
      <c r="V928" s="1"/>
      <c r="W928" s="1"/>
      <c r="X928" s="1"/>
      <c r="Y928" s="1"/>
      <c r="Z928" s="15"/>
      <c r="AA928" s="1"/>
      <c r="AB928" s="1"/>
      <c r="AC928" s="1"/>
      <c r="AD928" s="1"/>
      <c r="AE928" s="15"/>
      <c r="AF928" s="1"/>
      <c r="AG928" s="1"/>
      <c r="AH928" s="1"/>
      <c r="AI928" s="1"/>
      <c r="AJ928" s="15"/>
      <c r="AK928" s="1"/>
    </row>
    <row r="929" spans="1:37" ht="16.5" customHeight="1">
      <c r="A929" s="1"/>
      <c r="B929" s="1"/>
      <c r="C929" s="1"/>
      <c r="D929" s="15"/>
      <c r="E929" s="15"/>
      <c r="F929" s="15"/>
      <c r="G929" s="15"/>
      <c r="H929" s="1"/>
      <c r="I929" s="1"/>
      <c r="J929" s="1"/>
      <c r="K929" s="15"/>
      <c r="L929" s="1"/>
      <c r="M929" s="1"/>
      <c r="N929" s="1"/>
      <c r="O929" s="1"/>
      <c r="P929" s="15"/>
      <c r="Q929" s="1"/>
      <c r="R929" s="1"/>
      <c r="S929" s="1"/>
      <c r="T929" s="1"/>
      <c r="U929" s="15"/>
      <c r="V929" s="1"/>
      <c r="W929" s="1"/>
      <c r="X929" s="1"/>
      <c r="Y929" s="1"/>
      <c r="Z929" s="15"/>
      <c r="AA929" s="1"/>
      <c r="AB929" s="1"/>
      <c r="AC929" s="1"/>
      <c r="AD929" s="1"/>
      <c r="AE929" s="15"/>
      <c r="AF929" s="1"/>
      <c r="AG929" s="1"/>
      <c r="AH929" s="1"/>
      <c r="AI929" s="1"/>
      <c r="AJ929" s="15"/>
      <c r="AK929" s="1"/>
    </row>
    <row r="930" spans="1:37" ht="16.5" customHeight="1">
      <c r="A930" s="1"/>
      <c r="B930" s="1"/>
      <c r="C930" s="1"/>
      <c r="D930" s="15"/>
      <c r="E930" s="15"/>
      <c r="F930" s="15"/>
      <c r="G930" s="15"/>
      <c r="H930" s="1"/>
      <c r="I930" s="1"/>
      <c r="J930" s="1"/>
      <c r="K930" s="15"/>
      <c r="L930" s="1"/>
      <c r="M930" s="1"/>
      <c r="N930" s="1"/>
      <c r="O930" s="1"/>
      <c r="P930" s="15"/>
      <c r="Q930" s="1"/>
      <c r="R930" s="1"/>
      <c r="S930" s="1"/>
      <c r="T930" s="1"/>
      <c r="U930" s="15"/>
      <c r="V930" s="1"/>
      <c r="W930" s="1"/>
      <c r="X930" s="1"/>
      <c r="Y930" s="1"/>
      <c r="Z930" s="15"/>
      <c r="AA930" s="1"/>
      <c r="AB930" s="1"/>
      <c r="AC930" s="1"/>
      <c r="AD930" s="1"/>
      <c r="AE930" s="15"/>
      <c r="AF930" s="1"/>
      <c r="AG930" s="1"/>
      <c r="AH930" s="1"/>
      <c r="AI930" s="1"/>
      <c r="AJ930" s="15"/>
      <c r="AK930" s="1"/>
    </row>
    <row r="931" spans="1:37" ht="16.5" customHeight="1">
      <c r="A931" s="1"/>
      <c r="B931" s="1"/>
      <c r="C931" s="1"/>
      <c r="D931" s="15"/>
      <c r="E931" s="15"/>
      <c r="F931" s="15"/>
      <c r="G931" s="15"/>
      <c r="H931" s="1"/>
      <c r="I931" s="1"/>
      <c r="J931" s="1"/>
      <c r="K931" s="15"/>
      <c r="L931" s="1"/>
      <c r="M931" s="1"/>
      <c r="N931" s="1"/>
      <c r="O931" s="1"/>
      <c r="P931" s="15"/>
      <c r="Q931" s="1"/>
      <c r="R931" s="1"/>
      <c r="S931" s="1"/>
      <c r="T931" s="1"/>
      <c r="U931" s="15"/>
      <c r="V931" s="1"/>
      <c r="W931" s="1"/>
      <c r="X931" s="1"/>
      <c r="Y931" s="1"/>
      <c r="Z931" s="15"/>
      <c r="AA931" s="1"/>
      <c r="AB931" s="1"/>
      <c r="AC931" s="1"/>
      <c r="AD931" s="1"/>
      <c r="AE931" s="15"/>
      <c r="AF931" s="1"/>
      <c r="AG931" s="1"/>
      <c r="AH931" s="1"/>
      <c r="AI931" s="1"/>
      <c r="AJ931" s="15"/>
      <c r="AK931" s="1"/>
    </row>
    <row r="932" spans="1:37" ht="16.5" customHeight="1">
      <c r="A932" s="1"/>
      <c r="B932" s="1"/>
      <c r="C932" s="1"/>
      <c r="D932" s="15"/>
      <c r="E932" s="15"/>
      <c r="F932" s="15"/>
      <c r="G932" s="15"/>
      <c r="H932" s="1"/>
      <c r="I932" s="1"/>
      <c r="J932" s="1"/>
      <c r="K932" s="15"/>
      <c r="L932" s="1"/>
      <c r="M932" s="1"/>
      <c r="N932" s="1"/>
      <c r="O932" s="1"/>
      <c r="P932" s="15"/>
      <c r="Q932" s="1"/>
      <c r="R932" s="1"/>
      <c r="S932" s="1"/>
      <c r="T932" s="1"/>
      <c r="U932" s="15"/>
      <c r="V932" s="1"/>
      <c r="W932" s="1"/>
      <c r="X932" s="1"/>
      <c r="Y932" s="1"/>
      <c r="Z932" s="15"/>
      <c r="AA932" s="1"/>
      <c r="AB932" s="1"/>
      <c r="AC932" s="1"/>
      <c r="AD932" s="1"/>
      <c r="AE932" s="15"/>
      <c r="AF932" s="1"/>
      <c r="AG932" s="1"/>
      <c r="AH932" s="1"/>
      <c r="AI932" s="1"/>
      <c r="AJ932" s="15"/>
      <c r="AK932" s="1"/>
    </row>
    <row r="933" spans="1:37" ht="16.5" customHeight="1">
      <c r="A933" s="1"/>
      <c r="B933" s="1"/>
      <c r="C933" s="1"/>
      <c r="D933" s="15"/>
      <c r="E933" s="15"/>
      <c r="F933" s="15"/>
      <c r="G933" s="15"/>
      <c r="H933" s="1"/>
      <c r="I933" s="1"/>
      <c r="J933" s="1"/>
      <c r="K933" s="15"/>
      <c r="L933" s="1"/>
      <c r="M933" s="1"/>
      <c r="N933" s="1"/>
      <c r="O933" s="1"/>
      <c r="P933" s="15"/>
      <c r="Q933" s="1"/>
      <c r="R933" s="1"/>
      <c r="S933" s="1"/>
      <c r="T933" s="1"/>
      <c r="U933" s="15"/>
      <c r="V933" s="1"/>
      <c r="W933" s="1"/>
      <c r="X933" s="1"/>
      <c r="Y933" s="1"/>
      <c r="Z933" s="15"/>
      <c r="AA933" s="1"/>
      <c r="AB933" s="1"/>
      <c r="AC933" s="1"/>
      <c r="AD933" s="1"/>
      <c r="AE933" s="15"/>
      <c r="AF933" s="1"/>
      <c r="AG933" s="1"/>
      <c r="AH933" s="1"/>
      <c r="AI933" s="1"/>
      <c r="AJ933" s="15"/>
      <c r="AK933" s="1"/>
    </row>
    <row r="934" spans="1:37" ht="16.5" customHeight="1">
      <c r="A934" s="1"/>
      <c r="B934" s="1"/>
      <c r="C934" s="1"/>
      <c r="D934" s="15"/>
      <c r="E934" s="15"/>
      <c r="F934" s="15"/>
      <c r="G934" s="15"/>
      <c r="H934" s="1"/>
      <c r="I934" s="1"/>
      <c r="J934" s="1"/>
      <c r="K934" s="15"/>
      <c r="L934" s="1"/>
      <c r="M934" s="1"/>
      <c r="N934" s="1"/>
      <c r="O934" s="1"/>
      <c r="P934" s="15"/>
      <c r="Q934" s="1"/>
      <c r="R934" s="1"/>
      <c r="S934" s="1"/>
      <c r="T934" s="1"/>
      <c r="U934" s="15"/>
      <c r="V934" s="1"/>
      <c r="W934" s="1"/>
      <c r="X934" s="1"/>
      <c r="Y934" s="1"/>
      <c r="Z934" s="15"/>
      <c r="AA934" s="1"/>
      <c r="AB934" s="1"/>
      <c r="AC934" s="1"/>
      <c r="AD934" s="1"/>
      <c r="AE934" s="15"/>
      <c r="AF934" s="1"/>
      <c r="AG934" s="1"/>
      <c r="AH934" s="1"/>
      <c r="AI934" s="1"/>
      <c r="AJ934" s="15"/>
      <c r="AK934" s="1"/>
    </row>
    <row r="935" spans="1:37" ht="16.5" customHeight="1">
      <c r="A935" s="1"/>
      <c r="B935" s="1"/>
      <c r="C935" s="1"/>
      <c r="D935" s="15"/>
      <c r="E935" s="15"/>
      <c r="F935" s="15"/>
      <c r="G935" s="15"/>
      <c r="H935" s="1"/>
      <c r="I935" s="1"/>
      <c r="J935" s="1"/>
      <c r="K935" s="15"/>
      <c r="L935" s="1"/>
      <c r="M935" s="1"/>
      <c r="N935" s="1"/>
      <c r="O935" s="1"/>
      <c r="P935" s="15"/>
      <c r="Q935" s="1"/>
      <c r="R935" s="1"/>
      <c r="S935" s="1"/>
      <c r="T935" s="1"/>
      <c r="U935" s="15"/>
      <c r="V935" s="1"/>
      <c r="W935" s="1"/>
      <c r="X935" s="1"/>
      <c r="Y935" s="1"/>
      <c r="Z935" s="15"/>
      <c r="AA935" s="1"/>
      <c r="AB935" s="1"/>
      <c r="AC935" s="1"/>
      <c r="AD935" s="1"/>
      <c r="AE935" s="15"/>
      <c r="AF935" s="1"/>
      <c r="AG935" s="1"/>
      <c r="AH935" s="1"/>
      <c r="AI935" s="1"/>
      <c r="AJ935" s="15"/>
      <c r="AK935" s="1"/>
    </row>
    <row r="936" spans="1:37" ht="16.5" customHeight="1">
      <c r="A936" s="1"/>
      <c r="B936" s="1"/>
      <c r="C936" s="1"/>
      <c r="D936" s="15"/>
      <c r="E936" s="15"/>
      <c r="F936" s="15"/>
      <c r="G936" s="15"/>
      <c r="H936" s="1"/>
      <c r="I936" s="1"/>
      <c r="J936" s="1"/>
      <c r="K936" s="15"/>
      <c r="L936" s="1"/>
      <c r="M936" s="1"/>
      <c r="N936" s="1"/>
      <c r="O936" s="1"/>
      <c r="P936" s="15"/>
      <c r="Q936" s="1"/>
      <c r="R936" s="1"/>
      <c r="S936" s="1"/>
      <c r="T936" s="1"/>
      <c r="U936" s="15"/>
      <c r="V936" s="1"/>
      <c r="W936" s="1"/>
      <c r="X936" s="1"/>
      <c r="Y936" s="1"/>
      <c r="Z936" s="15"/>
      <c r="AA936" s="1"/>
      <c r="AB936" s="1"/>
      <c r="AC936" s="1"/>
      <c r="AD936" s="1"/>
      <c r="AE936" s="15"/>
      <c r="AF936" s="1"/>
      <c r="AG936" s="1"/>
      <c r="AH936" s="1"/>
      <c r="AI936" s="1"/>
      <c r="AJ936" s="15"/>
      <c r="AK936" s="1"/>
    </row>
    <row r="937" spans="1:37" ht="16.5" customHeight="1">
      <c r="A937" s="1"/>
      <c r="B937" s="1"/>
      <c r="C937" s="1"/>
      <c r="D937" s="15"/>
      <c r="E937" s="15"/>
      <c r="F937" s="15"/>
      <c r="G937" s="15"/>
      <c r="H937" s="1"/>
      <c r="I937" s="1"/>
      <c r="J937" s="1"/>
      <c r="K937" s="15"/>
      <c r="L937" s="1"/>
      <c r="M937" s="1"/>
      <c r="N937" s="1"/>
      <c r="O937" s="1"/>
      <c r="P937" s="15"/>
      <c r="Q937" s="1"/>
      <c r="R937" s="1"/>
      <c r="S937" s="1"/>
      <c r="T937" s="1"/>
      <c r="U937" s="15"/>
      <c r="V937" s="1"/>
      <c r="W937" s="1"/>
      <c r="X937" s="1"/>
      <c r="Y937" s="1"/>
      <c r="Z937" s="15"/>
      <c r="AA937" s="1"/>
      <c r="AB937" s="1"/>
      <c r="AC937" s="1"/>
      <c r="AD937" s="1"/>
      <c r="AE937" s="15"/>
      <c r="AF937" s="1"/>
      <c r="AG937" s="1"/>
      <c r="AH937" s="1"/>
      <c r="AI937" s="1"/>
      <c r="AJ937" s="15"/>
      <c r="AK937" s="1"/>
    </row>
    <row r="938" spans="1:37" ht="16.5" customHeight="1">
      <c r="A938" s="1"/>
      <c r="B938" s="1"/>
      <c r="C938" s="1"/>
      <c r="D938" s="15"/>
      <c r="E938" s="15"/>
      <c r="F938" s="15"/>
      <c r="G938" s="15"/>
      <c r="H938" s="1"/>
      <c r="I938" s="1"/>
      <c r="J938" s="1"/>
      <c r="K938" s="15"/>
      <c r="L938" s="1"/>
      <c r="M938" s="1"/>
      <c r="N938" s="1"/>
      <c r="O938" s="1"/>
      <c r="P938" s="15"/>
      <c r="Q938" s="1"/>
      <c r="R938" s="1"/>
      <c r="S938" s="1"/>
      <c r="T938" s="1"/>
      <c r="U938" s="15"/>
      <c r="V938" s="1"/>
      <c r="W938" s="1"/>
      <c r="X938" s="1"/>
      <c r="Y938" s="1"/>
      <c r="Z938" s="15"/>
      <c r="AA938" s="1"/>
      <c r="AB938" s="1"/>
      <c r="AC938" s="1"/>
      <c r="AD938" s="1"/>
      <c r="AE938" s="15"/>
      <c r="AF938" s="1"/>
      <c r="AG938" s="1"/>
      <c r="AH938" s="1"/>
      <c r="AI938" s="1"/>
      <c r="AJ938" s="15"/>
      <c r="AK938" s="1"/>
    </row>
    <row r="939" spans="1:37" ht="16.5" customHeight="1">
      <c r="A939" s="1"/>
      <c r="B939" s="1"/>
      <c r="C939" s="1"/>
      <c r="D939" s="15"/>
      <c r="E939" s="15"/>
      <c r="F939" s="15"/>
      <c r="G939" s="15"/>
      <c r="H939" s="1"/>
      <c r="I939" s="1"/>
      <c r="J939" s="1"/>
      <c r="K939" s="15"/>
      <c r="L939" s="1"/>
      <c r="M939" s="1"/>
      <c r="N939" s="1"/>
      <c r="O939" s="1"/>
      <c r="P939" s="15"/>
      <c r="Q939" s="1"/>
      <c r="R939" s="1"/>
      <c r="S939" s="1"/>
      <c r="T939" s="1"/>
      <c r="U939" s="15"/>
      <c r="V939" s="1"/>
      <c r="W939" s="1"/>
      <c r="X939" s="1"/>
      <c r="Y939" s="1"/>
      <c r="Z939" s="15"/>
      <c r="AA939" s="1"/>
      <c r="AB939" s="1"/>
      <c r="AC939" s="1"/>
      <c r="AD939" s="1"/>
      <c r="AE939" s="15"/>
      <c r="AF939" s="1"/>
      <c r="AG939" s="1"/>
      <c r="AH939" s="1"/>
      <c r="AI939" s="1"/>
      <c r="AJ939" s="15"/>
      <c r="AK939" s="1"/>
    </row>
    <row r="940" spans="1:37" ht="16.5" customHeight="1">
      <c r="A940" s="1"/>
      <c r="B940" s="1"/>
      <c r="C940" s="1"/>
      <c r="D940" s="15"/>
      <c r="E940" s="15"/>
      <c r="F940" s="15"/>
      <c r="G940" s="15"/>
      <c r="H940" s="1"/>
      <c r="I940" s="1"/>
      <c r="J940" s="1"/>
      <c r="K940" s="15"/>
      <c r="L940" s="1"/>
      <c r="M940" s="1"/>
      <c r="N940" s="1"/>
      <c r="O940" s="1"/>
      <c r="P940" s="15"/>
      <c r="Q940" s="1"/>
      <c r="R940" s="1"/>
      <c r="S940" s="1"/>
      <c r="T940" s="1"/>
      <c r="U940" s="15"/>
      <c r="V940" s="1"/>
      <c r="W940" s="1"/>
      <c r="X940" s="1"/>
      <c r="Y940" s="1"/>
      <c r="Z940" s="15"/>
      <c r="AA940" s="1"/>
      <c r="AB940" s="1"/>
      <c r="AC940" s="1"/>
      <c r="AD940" s="1"/>
      <c r="AE940" s="15"/>
      <c r="AF940" s="1"/>
      <c r="AG940" s="1"/>
      <c r="AH940" s="1"/>
      <c r="AI940" s="1"/>
      <c r="AJ940" s="15"/>
      <c r="AK940" s="1"/>
    </row>
    <row r="941" spans="1:37" ht="16.5" customHeight="1">
      <c r="A941" s="1"/>
      <c r="B941" s="1"/>
      <c r="C941" s="1"/>
      <c r="D941" s="15"/>
      <c r="E941" s="15"/>
      <c r="F941" s="15"/>
      <c r="G941" s="15"/>
      <c r="H941" s="1"/>
      <c r="I941" s="1"/>
      <c r="J941" s="1"/>
      <c r="K941" s="15"/>
      <c r="L941" s="1"/>
      <c r="M941" s="1"/>
      <c r="N941" s="1"/>
      <c r="O941" s="1"/>
      <c r="P941" s="15"/>
      <c r="Q941" s="1"/>
      <c r="R941" s="1"/>
      <c r="S941" s="1"/>
      <c r="T941" s="1"/>
      <c r="U941" s="15"/>
      <c r="V941" s="1"/>
      <c r="W941" s="1"/>
      <c r="X941" s="1"/>
      <c r="Y941" s="1"/>
      <c r="Z941" s="15"/>
      <c r="AA941" s="1"/>
      <c r="AB941" s="1"/>
      <c r="AC941" s="1"/>
      <c r="AD941" s="1"/>
      <c r="AE941" s="15"/>
      <c r="AF941" s="1"/>
      <c r="AG941" s="1"/>
      <c r="AH941" s="1"/>
      <c r="AI941" s="1"/>
      <c r="AJ941" s="15"/>
      <c r="AK941" s="1"/>
    </row>
    <row r="942" spans="1:37" ht="16.5" customHeight="1">
      <c r="A942" s="1"/>
      <c r="B942" s="1"/>
      <c r="C942" s="1"/>
      <c r="D942" s="15"/>
      <c r="E942" s="15"/>
      <c r="F942" s="15"/>
      <c r="G942" s="15"/>
      <c r="H942" s="1"/>
      <c r="I942" s="1"/>
      <c r="J942" s="1"/>
      <c r="K942" s="15"/>
      <c r="L942" s="1"/>
      <c r="M942" s="1"/>
      <c r="N942" s="1"/>
      <c r="O942" s="1"/>
      <c r="P942" s="15"/>
      <c r="Q942" s="1"/>
      <c r="R942" s="1"/>
      <c r="S942" s="1"/>
      <c r="T942" s="1"/>
      <c r="U942" s="15"/>
      <c r="V942" s="1"/>
      <c r="W942" s="1"/>
      <c r="X942" s="1"/>
      <c r="Y942" s="1"/>
      <c r="Z942" s="15"/>
      <c r="AA942" s="1"/>
      <c r="AB942" s="1"/>
      <c r="AC942" s="1"/>
      <c r="AD942" s="1"/>
      <c r="AE942" s="15"/>
      <c r="AF942" s="1"/>
      <c r="AG942" s="1"/>
      <c r="AH942" s="1"/>
      <c r="AI942" s="1"/>
      <c r="AJ942" s="15"/>
      <c r="AK942" s="1"/>
    </row>
    <row r="943" spans="1:37" ht="16.5" customHeight="1">
      <c r="A943" s="1"/>
      <c r="B943" s="1"/>
      <c r="C943" s="1"/>
      <c r="D943" s="15"/>
      <c r="E943" s="15"/>
      <c r="F943" s="15"/>
      <c r="G943" s="15"/>
      <c r="H943" s="1"/>
      <c r="I943" s="1"/>
      <c r="J943" s="1"/>
      <c r="K943" s="15"/>
      <c r="L943" s="1"/>
      <c r="M943" s="1"/>
      <c r="N943" s="1"/>
      <c r="O943" s="1"/>
      <c r="P943" s="15"/>
      <c r="Q943" s="1"/>
      <c r="R943" s="1"/>
      <c r="S943" s="1"/>
      <c r="T943" s="1"/>
      <c r="U943" s="15"/>
      <c r="V943" s="1"/>
      <c r="W943" s="1"/>
      <c r="X943" s="1"/>
      <c r="Y943" s="1"/>
      <c r="Z943" s="15"/>
      <c r="AA943" s="1"/>
      <c r="AB943" s="1"/>
      <c r="AC943" s="1"/>
      <c r="AD943" s="1"/>
      <c r="AE943" s="15"/>
      <c r="AF943" s="1"/>
      <c r="AG943" s="1"/>
      <c r="AH943" s="1"/>
      <c r="AI943" s="1"/>
      <c r="AJ943" s="15"/>
      <c r="AK943" s="1"/>
    </row>
    <row r="944" spans="1:37" ht="16.5" customHeight="1">
      <c r="A944" s="1"/>
      <c r="B944" s="1"/>
      <c r="C944" s="1"/>
      <c r="D944" s="15"/>
      <c r="E944" s="15"/>
      <c r="F944" s="15"/>
      <c r="G944" s="15"/>
      <c r="H944" s="1"/>
      <c r="I944" s="1"/>
      <c r="J944" s="1"/>
      <c r="K944" s="15"/>
      <c r="L944" s="1"/>
      <c r="M944" s="1"/>
      <c r="N944" s="1"/>
      <c r="O944" s="1"/>
      <c r="P944" s="15"/>
      <c r="Q944" s="1"/>
      <c r="R944" s="1"/>
      <c r="S944" s="1"/>
      <c r="T944" s="1"/>
      <c r="U944" s="15"/>
      <c r="V944" s="1"/>
      <c r="W944" s="1"/>
      <c r="X944" s="1"/>
      <c r="Y944" s="1"/>
      <c r="Z944" s="15"/>
      <c r="AA944" s="1"/>
      <c r="AB944" s="1"/>
      <c r="AC944" s="1"/>
      <c r="AD944" s="1"/>
      <c r="AE944" s="15"/>
      <c r="AF944" s="1"/>
      <c r="AG944" s="1"/>
      <c r="AH944" s="1"/>
      <c r="AI944" s="1"/>
      <c r="AJ944" s="15"/>
      <c r="AK944" s="1"/>
    </row>
    <row r="945" spans="1:37" ht="16.5" customHeight="1">
      <c r="A945" s="1"/>
      <c r="B945" s="1"/>
      <c r="C945" s="1"/>
      <c r="D945" s="15"/>
      <c r="E945" s="15"/>
      <c r="F945" s="15"/>
      <c r="G945" s="15"/>
      <c r="H945" s="1"/>
      <c r="I945" s="1"/>
      <c r="J945" s="1"/>
      <c r="K945" s="15"/>
      <c r="L945" s="1"/>
      <c r="M945" s="1"/>
      <c r="N945" s="1"/>
      <c r="O945" s="1"/>
      <c r="P945" s="15"/>
      <c r="Q945" s="1"/>
      <c r="R945" s="1"/>
      <c r="S945" s="1"/>
      <c r="T945" s="1"/>
      <c r="U945" s="15"/>
      <c r="V945" s="1"/>
      <c r="W945" s="1"/>
      <c r="X945" s="1"/>
      <c r="Y945" s="1"/>
      <c r="Z945" s="15"/>
      <c r="AA945" s="1"/>
      <c r="AB945" s="1"/>
      <c r="AC945" s="1"/>
      <c r="AD945" s="1"/>
      <c r="AE945" s="15"/>
      <c r="AF945" s="1"/>
      <c r="AG945" s="1"/>
      <c r="AH945" s="1"/>
      <c r="AI945" s="1"/>
      <c r="AJ945" s="15"/>
      <c r="AK945" s="1"/>
    </row>
    <row r="946" spans="1:37" ht="16.5" customHeight="1">
      <c r="A946" s="1"/>
      <c r="B946" s="1"/>
      <c r="C946" s="1"/>
      <c r="D946" s="15"/>
      <c r="E946" s="15"/>
      <c r="F946" s="15"/>
      <c r="G946" s="15"/>
      <c r="H946" s="1"/>
      <c r="I946" s="1"/>
      <c r="J946" s="1"/>
      <c r="K946" s="15"/>
      <c r="L946" s="1"/>
      <c r="M946" s="1"/>
      <c r="N946" s="1"/>
      <c r="O946" s="1"/>
      <c r="P946" s="15"/>
      <c r="Q946" s="1"/>
      <c r="R946" s="1"/>
      <c r="S946" s="1"/>
      <c r="T946" s="1"/>
      <c r="U946" s="15"/>
      <c r="V946" s="1"/>
      <c r="W946" s="1"/>
      <c r="X946" s="1"/>
      <c r="Y946" s="1"/>
      <c r="Z946" s="15"/>
      <c r="AA946" s="1"/>
      <c r="AB946" s="1"/>
      <c r="AC946" s="1"/>
      <c r="AD946" s="1"/>
      <c r="AE946" s="15"/>
      <c r="AF946" s="1"/>
      <c r="AG946" s="1"/>
      <c r="AH946" s="1"/>
      <c r="AI946" s="1"/>
      <c r="AJ946" s="15"/>
      <c r="AK946" s="1"/>
    </row>
    <row r="947" spans="1:37" ht="16.5" customHeight="1">
      <c r="A947" s="1"/>
      <c r="B947" s="1"/>
      <c r="C947" s="1"/>
      <c r="D947" s="15"/>
      <c r="E947" s="15"/>
      <c r="F947" s="15"/>
      <c r="G947" s="15"/>
      <c r="H947" s="1"/>
      <c r="I947" s="1"/>
      <c r="J947" s="1"/>
      <c r="K947" s="15"/>
      <c r="L947" s="1"/>
      <c r="M947" s="1"/>
      <c r="N947" s="1"/>
      <c r="O947" s="1"/>
      <c r="P947" s="15"/>
      <c r="Q947" s="1"/>
      <c r="R947" s="1"/>
      <c r="S947" s="1"/>
      <c r="T947" s="1"/>
      <c r="U947" s="15"/>
      <c r="V947" s="1"/>
      <c r="W947" s="1"/>
      <c r="X947" s="1"/>
      <c r="Y947" s="1"/>
      <c r="Z947" s="15"/>
      <c r="AA947" s="1"/>
      <c r="AB947" s="1"/>
      <c r="AC947" s="1"/>
      <c r="AD947" s="1"/>
      <c r="AE947" s="15"/>
      <c r="AF947" s="1"/>
      <c r="AG947" s="1"/>
      <c r="AH947" s="1"/>
      <c r="AI947" s="1"/>
      <c r="AJ947" s="15"/>
      <c r="AK947" s="1"/>
    </row>
    <row r="948" spans="1:37" ht="16.5" customHeight="1">
      <c r="A948" s="1"/>
      <c r="B948" s="1"/>
      <c r="C948" s="1"/>
      <c r="D948" s="15"/>
      <c r="E948" s="15"/>
      <c r="F948" s="15"/>
      <c r="G948" s="15"/>
      <c r="H948" s="1"/>
      <c r="I948" s="1"/>
      <c r="J948" s="1"/>
      <c r="K948" s="15"/>
      <c r="L948" s="1"/>
      <c r="M948" s="1"/>
      <c r="N948" s="1"/>
      <c r="O948" s="1"/>
      <c r="P948" s="15"/>
      <c r="Q948" s="1"/>
      <c r="R948" s="1"/>
      <c r="S948" s="1"/>
      <c r="T948" s="1"/>
      <c r="U948" s="15"/>
      <c r="V948" s="1"/>
      <c r="W948" s="1"/>
      <c r="X948" s="1"/>
      <c r="Y948" s="1"/>
      <c r="Z948" s="15"/>
      <c r="AA948" s="1"/>
      <c r="AB948" s="1"/>
      <c r="AC948" s="1"/>
      <c r="AD948" s="1"/>
      <c r="AE948" s="15"/>
      <c r="AF948" s="1"/>
      <c r="AG948" s="1"/>
      <c r="AH948" s="1"/>
      <c r="AI948" s="1"/>
      <c r="AJ948" s="15"/>
      <c r="AK948" s="1"/>
    </row>
    <row r="949" spans="1:37" ht="16.5" customHeight="1">
      <c r="A949" s="1"/>
      <c r="B949" s="1"/>
      <c r="C949" s="1"/>
      <c r="D949" s="15"/>
      <c r="E949" s="15"/>
      <c r="F949" s="15"/>
      <c r="G949" s="15"/>
      <c r="H949" s="1"/>
      <c r="I949" s="1"/>
      <c r="J949" s="1"/>
      <c r="K949" s="15"/>
      <c r="L949" s="1"/>
      <c r="M949" s="1"/>
      <c r="N949" s="1"/>
      <c r="O949" s="1"/>
      <c r="P949" s="15"/>
      <c r="Q949" s="1"/>
      <c r="R949" s="1"/>
      <c r="S949" s="1"/>
      <c r="T949" s="1"/>
      <c r="U949" s="15"/>
      <c r="V949" s="1"/>
      <c r="W949" s="1"/>
      <c r="X949" s="1"/>
      <c r="Y949" s="1"/>
      <c r="Z949" s="15"/>
      <c r="AA949" s="1"/>
      <c r="AB949" s="1"/>
      <c r="AC949" s="1"/>
      <c r="AD949" s="1"/>
      <c r="AE949" s="15"/>
      <c r="AF949" s="1"/>
      <c r="AG949" s="1"/>
      <c r="AH949" s="1"/>
      <c r="AI949" s="1"/>
      <c r="AJ949" s="15"/>
      <c r="AK949" s="1"/>
    </row>
    <row r="950" spans="1:37" ht="16.5" customHeight="1">
      <c r="A950" s="1"/>
      <c r="B950" s="1"/>
      <c r="C950" s="1"/>
      <c r="D950" s="15"/>
      <c r="E950" s="15"/>
      <c r="F950" s="15"/>
      <c r="G950" s="15"/>
      <c r="H950" s="1"/>
      <c r="I950" s="1"/>
      <c r="J950" s="1"/>
      <c r="K950" s="15"/>
      <c r="L950" s="1"/>
      <c r="M950" s="1"/>
      <c r="N950" s="1"/>
      <c r="O950" s="1"/>
      <c r="P950" s="15"/>
      <c r="Q950" s="1"/>
      <c r="R950" s="1"/>
      <c r="S950" s="1"/>
      <c r="T950" s="1"/>
      <c r="U950" s="15"/>
      <c r="V950" s="1"/>
      <c r="W950" s="1"/>
      <c r="X950" s="1"/>
      <c r="Y950" s="1"/>
      <c r="Z950" s="15"/>
      <c r="AA950" s="1"/>
      <c r="AB950" s="1"/>
      <c r="AC950" s="1"/>
      <c r="AD950" s="1"/>
      <c r="AE950" s="15"/>
      <c r="AF950" s="1"/>
      <c r="AG950" s="1"/>
      <c r="AH950" s="1"/>
      <c r="AI950" s="1"/>
      <c r="AJ950" s="15"/>
      <c r="AK950" s="1"/>
    </row>
    <row r="951" spans="1:37" ht="16.5" customHeight="1">
      <c r="A951" s="1"/>
      <c r="B951" s="1"/>
      <c r="C951" s="1"/>
      <c r="D951" s="15"/>
      <c r="E951" s="15"/>
      <c r="F951" s="15"/>
      <c r="G951" s="15"/>
      <c r="H951" s="1"/>
      <c r="I951" s="1"/>
      <c r="J951" s="1"/>
      <c r="K951" s="15"/>
      <c r="L951" s="1"/>
      <c r="M951" s="1"/>
      <c r="N951" s="1"/>
      <c r="O951" s="1"/>
      <c r="P951" s="15"/>
      <c r="Q951" s="1"/>
      <c r="R951" s="1"/>
      <c r="S951" s="1"/>
      <c r="T951" s="1"/>
      <c r="U951" s="15"/>
      <c r="V951" s="1"/>
      <c r="W951" s="1"/>
      <c r="X951" s="1"/>
      <c r="Y951" s="1"/>
      <c r="Z951" s="15"/>
      <c r="AA951" s="1"/>
      <c r="AB951" s="1"/>
      <c r="AC951" s="1"/>
      <c r="AD951" s="1"/>
      <c r="AE951" s="15"/>
      <c r="AF951" s="1"/>
      <c r="AG951" s="1"/>
      <c r="AH951" s="1"/>
      <c r="AI951" s="1"/>
      <c r="AJ951" s="15"/>
      <c r="AK951" s="1"/>
    </row>
    <row r="952" spans="1:37" ht="16.5" customHeight="1">
      <c r="A952" s="1"/>
      <c r="B952" s="1"/>
      <c r="C952" s="1"/>
      <c r="D952" s="15"/>
      <c r="E952" s="15"/>
      <c r="F952" s="15"/>
      <c r="G952" s="15"/>
      <c r="H952" s="1"/>
      <c r="I952" s="1"/>
      <c r="J952" s="1"/>
      <c r="K952" s="15"/>
      <c r="L952" s="1"/>
      <c r="M952" s="1"/>
      <c r="N952" s="1"/>
      <c r="O952" s="1"/>
      <c r="P952" s="15"/>
      <c r="Q952" s="1"/>
      <c r="R952" s="1"/>
      <c r="S952" s="1"/>
      <c r="T952" s="1"/>
      <c r="U952" s="15"/>
      <c r="V952" s="1"/>
      <c r="W952" s="1"/>
      <c r="X952" s="1"/>
      <c r="Y952" s="1"/>
      <c r="Z952" s="15"/>
      <c r="AA952" s="1"/>
      <c r="AB952" s="1"/>
      <c r="AC952" s="1"/>
      <c r="AD952" s="1"/>
      <c r="AE952" s="15"/>
      <c r="AF952" s="1"/>
      <c r="AG952" s="1"/>
      <c r="AH952" s="1"/>
      <c r="AI952" s="1"/>
      <c r="AJ952" s="15"/>
      <c r="AK952" s="1"/>
    </row>
    <row r="953" spans="1:37" ht="16.5" customHeight="1">
      <c r="A953" s="1"/>
      <c r="B953" s="1"/>
      <c r="C953" s="1"/>
      <c r="D953" s="15"/>
      <c r="E953" s="15"/>
      <c r="F953" s="15"/>
      <c r="G953" s="15"/>
      <c r="H953" s="1"/>
      <c r="I953" s="1"/>
      <c r="J953" s="1"/>
      <c r="K953" s="15"/>
      <c r="L953" s="1"/>
      <c r="M953" s="1"/>
      <c r="N953" s="1"/>
      <c r="O953" s="1"/>
      <c r="P953" s="15"/>
      <c r="Q953" s="1"/>
      <c r="R953" s="1"/>
      <c r="S953" s="1"/>
      <c r="T953" s="1"/>
      <c r="U953" s="15"/>
      <c r="V953" s="1"/>
      <c r="W953" s="1"/>
      <c r="X953" s="1"/>
      <c r="Y953" s="1"/>
      <c r="Z953" s="15"/>
      <c r="AA953" s="1"/>
      <c r="AB953" s="1"/>
      <c r="AC953" s="1"/>
      <c r="AD953" s="1"/>
      <c r="AE953" s="15"/>
      <c r="AF953" s="1"/>
      <c r="AG953" s="1"/>
      <c r="AH953" s="1"/>
      <c r="AI953" s="1"/>
      <c r="AJ953" s="15"/>
      <c r="AK953" s="1"/>
    </row>
    <row r="954" spans="1:37" ht="16.5" customHeight="1">
      <c r="A954" s="1"/>
      <c r="B954" s="1"/>
      <c r="C954" s="1"/>
      <c r="D954" s="15"/>
      <c r="E954" s="15"/>
      <c r="F954" s="15"/>
      <c r="G954" s="15"/>
      <c r="H954" s="1"/>
      <c r="I954" s="1"/>
      <c r="J954" s="1"/>
      <c r="K954" s="15"/>
      <c r="L954" s="1"/>
      <c r="M954" s="1"/>
      <c r="N954" s="1"/>
      <c r="O954" s="1"/>
      <c r="P954" s="15"/>
      <c r="Q954" s="1"/>
      <c r="R954" s="1"/>
      <c r="S954" s="1"/>
      <c r="T954" s="1"/>
      <c r="U954" s="15"/>
      <c r="V954" s="1"/>
      <c r="W954" s="1"/>
      <c r="X954" s="1"/>
      <c r="Y954" s="1"/>
      <c r="Z954" s="15"/>
      <c r="AA954" s="1"/>
      <c r="AB954" s="1"/>
      <c r="AC954" s="1"/>
      <c r="AD954" s="1"/>
      <c r="AE954" s="15"/>
      <c r="AF954" s="1"/>
      <c r="AG954" s="1"/>
      <c r="AH954" s="1"/>
      <c r="AI954" s="1"/>
      <c r="AJ954" s="15"/>
      <c r="AK954" s="1"/>
    </row>
    <row r="955" spans="1:37" ht="16.5" customHeight="1">
      <c r="A955" s="1"/>
      <c r="B955" s="1"/>
      <c r="C955" s="1"/>
      <c r="D955" s="15"/>
      <c r="E955" s="15"/>
      <c r="F955" s="15"/>
      <c r="G955" s="15"/>
      <c r="H955" s="1"/>
      <c r="I955" s="1"/>
      <c r="J955" s="1"/>
      <c r="K955" s="15"/>
      <c r="L955" s="1"/>
      <c r="M955" s="1"/>
      <c r="N955" s="1"/>
      <c r="O955" s="1"/>
      <c r="P955" s="15"/>
      <c r="Q955" s="1"/>
      <c r="R955" s="1"/>
      <c r="S955" s="1"/>
      <c r="T955" s="1"/>
      <c r="U955" s="15"/>
      <c r="V955" s="1"/>
      <c r="W955" s="1"/>
      <c r="X955" s="1"/>
      <c r="Y955" s="1"/>
      <c r="Z955" s="15"/>
      <c r="AA955" s="1"/>
      <c r="AB955" s="1"/>
      <c r="AC955" s="1"/>
      <c r="AD955" s="1"/>
      <c r="AE955" s="15"/>
      <c r="AF955" s="1"/>
      <c r="AG955" s="1"/>
      <c r="AH955" s="1"/>
      <c r="AI955" s="1"/>
      <c r="AJ955" s="15"/>
      <c r="AK955" s="1"/>
    </row>
    <row r="956" spans="1:37" ht="16.5" customHeight="1">
      <c r="A956" s="1"/>
      <c r="B956" s="1"/>
      <c r="C956" s="1"/>
      <c r="D956" s="15"/>
      <c r="E956" s="15"/>
      <c r="F956" s="15"/>
      <c r="G956" s="15"/>
      <c r="H956" s="1"/>
      <c r="I956" s="1"/>
      <c r="J956" s="1"/>
      <c r="K956" s="15"/>
      <c r="L956" s="1"/>
      <c r="M956" s="1"/>
      <c r="N956" s="1"/>
      <c r="O956" s="1"/>
      <c r="P956" s="15"/>
      <c r="Q956" s="1"/>
      <c r="R956" s="1"/>
      <c r="S956" s="1"/>
      <c r="T956" s="1"/>
      <c r="U956" s="15"/>
      <c r="V956" s="1"/>
      <c r="W956" s="1"/>
      <c r="X956" s="1"/>
      <c r="Y956" s="1"/>
      <c r="Z956" s="15"/>
      <c r="AA956" s="1"/>
      <c r="AB956" s="1"/>
      <c r="AC956" s="1"/>
      <c r="AD956" s="1"/>
      <c r="AE956" s="15"/>
      <c r="AF956" s="1"/>
      <c r="AG956" s="1"/>
      <c r="AH956" s="1"/>
      <c r="AI956" s="1"/>
      <c r="AJ956" s="15"/>
      <c r="AK956" s="1"/>
    </row>
    <row r="957" spans="1:37" ht="16.5" customHeight="1">
      <c r="A957" s="1"/>
      <c r="B957" s="1"/>
      <c r="C957" s="1"/>
      <c r="D957" s="15"/>
      <c r="E957" s="15"/>
      <c r="F957" s="15"/>
      <c r="G957" s="15"/>
      <c r="H957" s="1"/>
      <c r="I957" s="1"/>
      <c r="J957" s="1"/>
      <c r="K957" s="15"/>
      <c r="L957" s="1"/>
      <c r="M957" s="1"/>
      <c r="N957" s="1"/>
      <c r="O957" s="1"/>
      <c r="P957" s="15"/>
      <c r="Q957" s="1"/>
      <c r="R957" s="1"/>
      <c r="S957" s="1"/>
      <c r="T957" s="1"/>
      <c r="U957" s="15"/>
      <c r="V957" s="1"/>
      <c r="W957" s="1"/>
      <c r="X957" s="1"/>
      <c r="Y957" s="1"/>
      <c r="Z957" s="15"/>
      <c r="AA957" s="1"/>
      <c r="AB957" s="1"/>
      <c r="AC957" s="1"/>
      <c r="AD957" s="1"/>
      <c r="AE957" s="15"/>
      <c r="AF957" s="1"/>
      <c r="AG957" s="1"/>
      <c r="AH957" s="1"/>
      <c r="AI957" s="1"/>
      <c r="AJ957" s="15"/>
      <c r="AK957" s="1"/>
    </row>
    <row r="958" spans="1:37" ht="16.5" customHeight="1">
      <c r="A958" s="1"/>
      <c r="B958" s="1"/>
      <c r="C958" s="1"/>
      <c r="D958" s="15"/>
      <c r="E958" s="15"/>
      <c r="F958" s="15"/>
      <c r="G958" s="15"/>
      <c r="H958" s="1"/>
      <c r="I958" s="1"/>
      <c r="J958" s="1"/>
      <c r="K958" s="15"/>
      <c r="L958" s="1"/>
      <c r="M958" s="1"/>
      <c r="N958" s="1"/>
      <c r="O958" s="1"/>
      <c r="P958" s="15"/>
      <c r="Q958" s="1"/>
      <c r="R958" s="1"/>
      <c r="S958" s="1"/>
      <c r="T958" s="1"/>
      <c r="U958" s="15"/>
      <c r="V958" s="1"/>
      <c r="W958" s="1"/>
      <c r="X958" s="1"/>
      <c r="Y958" s="1"/>
      <c r="Z958" s="15"/>
      <c r="AA958" s="1"/>
      <c r="AB958" s="1"/>
      <c r="AC958" s="1"/>
      <c r="AD958" s="1"/>
      <c r="AE958" s="15"/>
      <c r="AF958" s="1"/>
      <c r="AG958" s="1"/>
      <c r="AH958" s="1"/>
      <c r="AI958" s="1"/>
      <c r="AJ958" s="15"/>
      <c r="AK958" s="1"/>
    </row>
    <row r="959" spans="1:37" ht="16.5" customHeight="1">
      <c r="A959" s="1"/>
      <c r="B959" s="1"/>
      <c r="C959" s="1"/>
      <c r="D959" s="15"/>
      <c r="E959" s="15"/>
      <c r="F959" s="15"/>
      <c r="G959" s="15"/>
      <c r="H959" s="1"/>
      <c r="I959" s="1"/>
      <c r="J959" s="1"/>
      <c r="K959" s="15"/>
      <c r="L959" s="1"/>
      <c r="M959" s="1"/>
      <c r="N959" s="1"/>
      <c r="O959" s="1"/>
      <c r="P959" s="15"/>
      <c r="Q959" s="1"/>
      <c r="R959" s="1"/>
      <c r="S959" s="1"/>
      <c r="T959" s="1"/>
      <c r="U959" s="15"/>
      <c r="V959" s="1"/>
      <c r="W959" s="1"/>
      <c r="X959" s="1"/>
      <c r="Y959" s="1"/>
      <c r="Z959" s="15"/>
      <c r="AA959" s="1"/>
      <c r="AB959" s="1"/>
      <c r="AC959" s="1"/>
      <c r="AD959" s="1"/>
      <c r="AE959" s="15"/>
      <c r="AF959" s="1"/>
      <c r="AG959" s="1"/>
      <c r="AH959" s="1"/>
      <c r="AI959" s="1"/>
      <c r="AJ959" s="15"/>
      <c r="AK959" s="1"/>
    </row>
    <row r="960" spans="1:37" ht="16.5" customHeight="1">
      <c r="A960" s="1"/>
      <c r="B960" s="1"/>
      <c r="C960" s="1"/>
      <c r="D960" s="15"/>
      <c r="E960" s="15"/>
      <c r="F960" s="15"/>
      <c r="G960" s="15"/>
      <c r="H960" s="1"/>
      <c r="I960" s="1"/>
      <c r="J960" s="1"/>
      <c r="K960" s="15"/>
      <c r="L960" s="1"/>
      <c r="M960" s="1"/>
      <c r="N960" s="1"/>
      <c r="O960" s="1"/>
      <c r="P960" s="15"/>
      <c r="Q960" s="1"/>
      <c r="R960" s="1"/>
      <c r="S960" s="1"/>
      <c r="T960" s="1"/>
      <c r="U960" s="15"/>
      <c r="V960" s="1"/>
      <c r="W960" s="1"/>
      <c r="X960" s="1"/>
      <c r="Y960" s="1"/>
      <c r="Z960" s="15"/>
      <c r="AA960" s="1"/>
      <c r="AB960" s="1"/>
      <c r="AC960" s="1"/>
      <c r="AD960" s="1"/>
      <c r="AE960" s="15"/>
      <c r="AF960" s="1"/>
      <c r="AG960" s="1"/>
      <c r="AH960" s="1"/>
      <c r="AI960" s="1"/>
      <c r="AJ960" s="15"/>
      <c r="AK960" s="1"/>
    </row>
    <row r="961" spans="1:37" ht="16.5" customHeight="1">
      <c r="A961" s="1"/>
      <c r="B961" s="1"/>
      <c r="C961" s="1"/>
      <c r="D961" s="15"/>
      <c r="E961" s="15"/>
      <c r="F961" s="15"/>
      <c r="G961" s="15"/>
      <c r="H961" s="1"/>
      <c r="I961" s="1"/>
      <c r="J961" s="1"/>
      <c r="K961" s="15"/>
      <c r="L961" s="1"/>
      <c r="M961" s="1"/>
      <c r="N961" s="1"/>
      <c r="O961" s="1"/>
      <c r="P961" s="15"/>
      <c r="Q961" s="1"/>
      <c r="R961" s="1"/>
      <c r="S961" s="1"/>
      <c r="T961" s="1"/>
      <c r="U961" s="15"/>
      <c r="V961" s="1"/>
      <c r="W961" s="1"/>
      <c r="X961" s="1"/>
      <c r="Y961" s="1"/>
      <c r="Z961" s="15"/>
      <c r="AA961" s="1"/>
      <c r="AB961" s="1"/>
      <c r="AC961" s="1"/>
      <c r="AD961" s="1"/>
      <c r="AE961" s="15"/>
      <c r="AF961" s="1"/>
      <c r="AG961" s="1"/>
      <c r="AH961" s="1"/>
      <c r="AI961" s="1"/>
      <c r="AJ961" s="15"/>
      <c r="AK961" s="1"/>
    </row>
    <row r="962" spans="1:37" ht="16.5" customHeight="1">
      <c r="A962" s="1"/>
      <c r="B962" s="1"/>
      <c r="C962" s="1"/>
      <c r="D962" s="15"/>
      <c r="E962" s="15"/>
      <c r="F962" s="15"/>
      <c r="G962" s="15"/>
      <c r="H962" s="1"/>
      <c r="I962" s="1"/>
      <c r="J962" s="1"/>
      <c r="K962" s="15"/>
      <c r="L962" s="1"/>
      <c r="M962" s="1"/>
      <c r="N962" s="1"/>
      <c r="O962" s="1"/>
      <c r="P962" s="15"/>
      <c r="Q962" s="1"/>
      <c r="R962" s="1"/>
      <c r="S962" s="1"/>
      <c r="T962" s="1"/>
      <c r="U962" s="15"/>
      <c r="V962" s="1"/>
      <c r="W962" s="1"/>
      <c r="X962" s="1"/>
      <c r="Y962" s="1"/>
      <c r="Z962" s="15"/>
      <c r="AA962" s="1"/>
      <c r="AB962" s="1"/>
      <c r="AC962" s="1"/>
      <c r="AD962" s="1"/>
      <c r="AE962" s="15"/>
      <c r="AF962" s="1"/>
      <c r="AG962" s="1"/>
      <c r="AH962" s="1"/>
      <c r="AI962" s="1"/>
      <c r="AJ962" s="15"/>
      <c r="AK962" s="1"/>
    </row>
    <row r="963" spans="1:37" ht="16.5" customHeight="1">
      <c r="A963" s="1"/>
      <c r="B963" s="1"/>
      <c r="C963" s="1"/>
      <c r="D963" s="15"/>
      <c r="E963" s="15"/>
      <c r="F963" s="15"/>
      <c r="G963" s="15"/>
      <c r="H963" s="1"/>
      <c r="I963" s="1"/>
      <c r="J963" s="1"/>
      <c r="K963" s="15"/>
      <c r="L963" s="1"/>
      <c r="M963" s="1"/>
      <c r="N963" s="1"/>
      <c r="O963" s="1"/>
      <c r="P963" s="15"/>
      <c r="Q963" s="1"/>
      <c r="R963" s="1"/>
      <c r="S963" s="1"/>
      <c r="T963" s="1"/>
      <c r="U963" s="15"/>
      <c r="V963" s="1"/>
      <c r="W963" s="1"/>
      <c r="X963" s="1"/>
      <c r="Y963" s="1"/>
      <c r="Z963" s="15"/>
      <c r="AA963" s="1"/>
      <c r="AB963" s="1"/>
      <c r="AC963" s="1"/>
      <c r="AD963" s="1"/>
      <c r="AE963" s="15"/>
      <c r="AF963" s="1"/>
      <c r="AG963" s="1"/>
      <c r="AH963" s="1"/>
      <c r="AI963" s="1"/>
      <c r="AJ963" s="15"/>
      <c r="AK963" s="1"/>
    </row>
    <row r="964" spans="1:37" ht="16.5" customHeight="1">
      <c r="A964" s="1"/>
      <c r="B964" s="1"/>
      <c r="C964" s="1"/>
      <c r="D964" s="15"/>
      <c r="E964" s="15"/>
      <c r="F964" s="15"/>
      <c r="G964" s="15"/>
      <c r="H964" s="1"/>
      <c r="I964" s="1"/>
      <c r="J964" s="1"/>
      <c r="K964" s="15"/>
      <c r="L964" s="1"/>
      <c r="M964" s="1"/>
      <c r="N964" s="1"/>
      <c r="O964" s="1"/>
      <c r="P964" s="15"/>
      <c r="Q964" s="1"/>
      <c r="R964" s="1"/>
      <c r="S964" s="1"/>
      <c r="T964" s="1"/>
      <c r="U964" s="15"/>
      <c r="V964" s="1"/>
      <c r="W964" s="1"/>
      <c r="X964" s="1"/>
      <c r="Y964" s="1"/>
      <c r="Z964" s="15"/>
      <c r="AA964" s="1"/>
      <c r="AB964" s="1"/>
      <c r="AC964" s="1"/>
      <c r="AD964" s="1"/>
      <c r="AE964" s="15"/>
      <c r="AF964" s="1"/>
      <c r="AG964" s="1"/>
      <c r="AH964" s="1"/>
      <c r="AI964" s="1"/>
      <c r="AJ964" s="15"/>
      <c r="AK964" s="1"/>
    </row>
    <row r="965" spans="1:37" ht="16.5" customHeight="1">
      <c r="A965" s="1"/>
      <c r="B965" s="1"/>
      <c r="C965" s="1"/>
      <c r="D965" s="15"/>
      <c r="E965" s="15"/>
      <c r="F965" s="15"/>
      <c r="G965" s="15"/>
      <c r="H965" s="1"/>
      <c r="I965" s="1"/>
      <c r="J965" s="1"/>
      <c r="K965" s="15"/>
      <c r="L965" s="1"/>
      <c r="M965" s="1"/>
      <c r="N965" s="1"/>
      <c r="O965" s="1"/>
      <c r="P965" s="15"/>
      <c r="Q965" s="1"/>
      <c r="R965" s="1"/>
      <c r="S965" s="1"/>
      <c r="T965" s="1"/>
      <c r="U965" s="15"/>
      <c r="V965" s="1"/>
      <c r="W965" s="1"/>
      <c r="X965" s="1"/>
      <c r="Y965" s="1"/>
      <c r="Z965" s="15"/>
      <c r="AA965" s="1"/>
      <c r="AB965" s="1"/>
      <c r="AC965" s="1"/>
      <c r="AD965" s="1"/>
      <c r="AE965" s="15"/>
      <c r="AF965" s="1"/>
      <c r="AG965" s="1"/>
      <c r="AH965" s="1"/>
      <c r="AI965" s="1"/>
      <c r="AJ965" s="15"/>
      <c r="AK965" s="1"/>
    </row>
    <row r="966" spans="1:37" ht="16.5" customHeight="1">
      <c r="A966" s="1"/>
      <c r="B966" s="1"/>
      <c r="C966" s="1"/>
      <c r="D966" s="15"/>
      <c r="E966" s="15"/>
      <c r="F966" s="15"/>
      <c r="G966" s="15"/>
      <c r="H966" s="1"/>
      <c r="I966" s="1"/>
      <c r="J966" s="1"/>
      <c r="K966" s="15"/>
      <c r="L966" s="1"/>
      <c r="M966" s="1"/>
      <c r="N966" s="1"/>
      <c r="O966" s="1"/>
      <c r="P966" s="15"/>
      <c r="Q966" s="1"/>
      <c r="R966" s="1"/>
      <c r="S966" s="1"/>
      <c r="T966" s="1"/>
      <c r="U966" s="15"/>
      <c r="V966" s="1"/>
      <c r="W966" s="1"/>
      <c r="X966" s="1"/>
      <c r="Y966" s="1"/>
      <c r="Z966" s="15"/>
      <c r="AA966" s="1"/>
      <c r="AB966" s="1"/>
      <c r="AC966" s="1"/>
      <c r="AD966" s="1"/>
      <c r="AE966" s="15"/>
      <c r="AF966" s="1"/>
      <c r="AG966" s="1"/>
      <c r="AH966" s="1"/>
      <c r="AI966" s="1"/>
      <c r="AJ966" s="15"/>
      <c r="AK966" s="1"/>
    </row>
    <row r="967" spans="1:37" ht="16.5" customHeight="1">
      <c r="A967" s="1"/>
      <c r="B967" s="1"/>
      <c r="C967" s="1"/>
      <c r="D967" s="15"/>
      <c r="E967" s="15"/>
      <c r="F967" s="15"/>
      <c r="G967" s="15"/>
      <c r="H967" s="1"/>
      <c r="I967" s="1"/>
      <c r="J967" s="1"/>
      <c r="K967" s="15"/>
      <c r="L967" s="1"/>
      <c r="M967" s="1"/>
      <c r="N967" s="1"/>
      <c r="O967" s="1"/>
      <c r="P967" s="15"/>
      <c r="Q967" s="1"/>
      <c r="R967" s="1"/>
      <c r="S967" s="1"/>
      <c r="T967" s="1"/>
      <c r="U967" s="15"/>
      <c r="V967" s="1"/>
      <c r="W967" s="1"/>
      <c r="X967" s="1"/>
      <c r="Y967" s="1"/>
      <c r="Z967" s="15"/>
      <c r="AA967" s="1"/>
      <c r="AB967" s="1"/>
      <c r="AC967" s="1"/>
      <c r="AD967" s="1"/>
      <c r="AE967" s="15"/>
      <c r="AF967" s="1"/>
      <c r="AG967" s="1"/>
      <c r="AH967" s="1"/>
      <c r="AI967" s="1"/>
      <c r="AJ967" s="15"/>
      <c r="AK967" s="1"/>
    </row>
    <row r="968" spans="1:37" ht="16.5" customHeight="1">
      <c r="A968" s="1"/>
      <c r="B968" s="1"/>
      <c r="C968" s="1"/>
      <c r="D968" s="15"/>
      <c r="E968" s="15"/>
      <c r="F968" s="15"/>
      <c r="G968" s="15"/>
      <c r="H968" s="1"/>
      <c r="I968" s="1"/>
      <c r="J968" s="1"/>
      <c r="K968" s="15"/>
      <c r="L968" s="1"/>
      <c r="M968" s="1"/>
      <c r="N968" s="1"/>
      <c r="O968" s="1"/>
      <c r="P968" s="15"/>
      <c r="Q968" s="1"/>
      <c r="R968" s="1"/>
      <c r="S968" s="1"/>
      <c r="T968" s="1"/>
      <c r="U968" s="15"/>
      <c r="V968" s="1"/>
      <c r="W968" s="1"/>
      <c r="X968" s="1"/>
      <c r="Y968" s="1"/>
      <c r="Z968" s="15"/>
      <c r="AA968" s="1"/>
      <c r="AB968" s="1"/>
      <c r="AC968" s="1"/>
      <c r="AD968" s="1"/>
      <c r="AE968" s="15"/>
      <c r="AF968" s="1"/>
      <c r="AG968" s="1"/>
      <c r="AH968" s="1"/>
      <c r="AI968" s="1"/>
      <c r="AJ968" s="15"/>
      <c r="AK968" s="1"/>
    </row>
    <row r="969" spans="1:37" ht="16.5" customHeight="1">
      <c r="A969" s="1"/>
      <c r="B969" s="1"/>
      <c r="C969" s="1"/>
      <c r="D969" s="15"/>
      <c r="E969" s="15"/>
      <c r="F969" s="15"/>
      <c r="G969" s="15"/>
      <c r="H969" s="1"/>
      <c r="I969" s="1"/>
      <c r="J969" s="1"/>
      <c r="K969" s="15"/>
      <c r="L969" s="1"/>
      <c r="M969" s="1"/>
      <c r="N969" s="1"/>
      <c r="O969" s="1"/>
      <c r="P969" s="15"/>
      <c r="Q969" s="1"/>
      <c r="R969" s="1"/>
      <c r="S969" s="1"/>
      <c r="T969" s="1"/>
      <c r="U969" s="15"/>
      <c r="V969" s="1"/>
      <c r="W969" s="1"/>
      <c r="X969" s="1"/>
      <c r="Y969" s="1"/>
      <c r="Z969" s="15"/>
      <c r="AA969" s="1"/>
      <c r="AB969" s="1"/>
      <c r="AC969" s="1"/>
      <c r="AD969" s="1"/>
      <c r="AE969" s="15"/>
      <c r="AF969" s="1"/>
      <c r="AG969" s="1"/>
      <c r="AH969" s="1"/>
      <c r="AI969" s="1"/>
      <c r="AJ969" s="15"/>
      <c r="AK969" s="1"/>
    </row>
    <row r="970" spans="1:37" ht="16.5" customHeight="1">
      <c r="A970" s="1"/>
      <c r="B970" s="1"/>
      <c r="C970" s="1"/>
      <c r="D970" s="15"/>
      <c r="E970" s="15"/>
      <c r="F970" s="15"/>
      <c r="G970" s="15"/>
      <c r="H970" s="1"/>
      <c r="I970" s="1"/>
      <c r="J970" s="1"/>
      <c r="K970" s="15"/>
      <c r="L970" s="1"/>
      <c r="M970" s="1"/>
      <c r="N970" s="1"/>
      <c r="O970" s="1"/>
      <c r="P970" s="15"/>
      <c r="Q970" s="1"/>
      <c r="R970" s="1"/>
      <c r="S970" s="1"/>
      <c r="T970" s="1"/>
      <c r="U970" s="15"/>
      <c r="V970" s="1"/>
      <c r="W970" s="1"/>
      <c r="X970" s="1"/>
      <c r="Y970" s="1"/>
      <c r="Z970" s="15"/>
      <c r="AA970" s="1"/>
      <c r="AB970" s="1"/>
      <c r="AC970" s="1"/>
      <c r="AD970" s="1"/>
      <c r="AE970" s="15"/>
      <c r="AF970" s="1"/>
      <c r="AG970" s="1"/>
      <c r="AH970" s="1"/>
      <c r="AI970" s="1"/>
      <c r="AJ970" s="15"/>
      <c r="AK970" s="1"/>
    </row>
    <row r="971" spans="1:37" ht="16.5" customHeight="1">
      <c r="A971" s="1"/>
      <c r="B971" s="1"/>
      <c r="C971" s="1"/>
      <c r="D971" s="15"/>
      <c r="E971" s="15"/>
      <c r="F971" s="15"/>
      <c r="G971" s="15"/>
      <c r="H971" s="1"/>
      <c r="I971" s="1"/>
      <c r="J971" s="1"/>
      <c r="K971" s="15"/>
      <c r="L971" s="1"/>
      <c r="M971" s="1"/>
      <c r="N971" s="1"/>
      <c r="O971" s="1"/>
      <c r="P971" s="15"/>
      <c r="Q971" s="1"/>
      <c r="R971" s="1"/>
      <c r="S971" s="1"/>
      <c r="T971" s="1"/>
      <c r="U971" s="15"/>
      <c r="V971" s="1"/>
      <c r="W971" s="1"/>
      <c r="X971" s="1"/>
      <c r="Y971" s="1"/>
      <c r="Z971" s="15"/>
      <c r="AA971" s="1"/>
      <c r="AB971" s="1"/>
      <c r="AC971" s="1"/>
      <c r="AD971" s="1"/>
      <c r="AE971" s="15"/>
      <c r="AF971" s="1"/>
      <c r="AG971" s="1"/>
      <c r="AH971" s="1"/>
      <c r="AI971" s="1"/>
      <c r="AJ971" s="15"/>
      <c r="AK971" s="1"/>
    </row>
    <row r="972" spans="1:37" ht="16.5" customHeight="1">
      <c r="A972" s="1"/>
      <c r="B972" s="1"/>
      <c r="C972" s="1"/>
      <c r="D972" s="15"/>
      <c r="E972" s="15"/>
      <c r="F972" s="15"/>
      <c r="G972" s="15"/>
      <c r="H972" s="1"/>
      <c r="I972" s="1"/>
      <c r="J972" s="1"/>
      <c r="K972" s="15"/>
      <c r="L972" s="1"/>
      <c r="M972" s="1"/>
      <c r="N972" s="1"/>
      <c r="O972" s="1"/>
      <c r="P972" s="15"/>
      <c r="Q972" s="1"/>
      <c r="R972" s="1"/>
      <c r="S972" s="1"/>
      <c r="T972" s="1"/>
      <c r="U972" s="15"/>
      <c r="V972" s="1"/>
      <c r="W972" s="1"/>
      <c r="X972" s="1"/>
      <c r="Y972" s="1"/>
      <c r="Z972" s="15"/>
      <c r="AA972" s="1"/>
      <c r="AB972" s="1"/>
      <c r="AC972" s="1"/>
      <c r="AD972" s="1"/>
      <c r="AE972" s="15"/>
      <c r="AF972" s="1"/>
      <c r="AG972" s="1"/>
      <c r="AH972" s="1"/>
      <c r="AI972" s="1"/>
      <c r="AJ972" s="15"/>
      <c r="AK972" s="1"/>
    </row>
    <row r="973" spans="1:37" ht="16.5" customHeight="1">
      <c r="A973" s="1"/>
      <c r="B973" s="1"/>
      <c r="C973" s="1"/>
      <c r="D973" s="15"/>
      <c r="E973" s="15"/>
      <c r="F973" s="15"/>
      <c r="G973" s="15"/>
      <c r="H973" s="1"/>
      <c r="I973" s="1"/>
      <c r="J973" s="1"/>
      <c r="K973" s="15"/>
      <c r="L973" s="1"/>
      <c r="M973" s="1"/>
      <c r="N973" s="1"/>
      <c r="O973" s="1"/>
      <c r="P973" s="15"/>
      <c r="Q973" s="1"/>
      <c r="R973" s="1"/>
      <c r="S973" s="1"/>
      <c r="T973" s="1"/>
      <c r="U973" s="15"/>
      <c r="V973" s="1"/>
      <c r="W973" s="1"/>
      <c r="X973" s="1"/>
      <c r="Y973" s="1"/>
      <c r="Z973" s="15"/>
      <c r="AA973" s="1"/>
      <c r="AB973" s="1"/>
      <c r="AC973" s="1"/>
      <c r="AD973" s="1"/>
      <c r="AE973" s="15"/>
      <c r="AF973" s="1"/>
      <c r="AG973" s="1"/>
      <c r="AH973" s="1"/>
      <c r="AI973" s="1"/>
      <c r="AJ973" s="15"/>
      <c r="AK973" s="1"/>
    </row>
    <row r="974" spans="1:37" ht="16.5" customHeight="1">
      <c r="A974" s="1"/>
      <c r="B974" s="1"/>
      <c r="C974" s="1"/>
      <c r="D974" s="15"/>
      <c r="E974" s="15"/>
      <c r="F974" s="15"/>
      <c r="G974" s="15"/>
      <c r="H974" s="1"/>
      <c r="I974" s="1"/>
      <c r="J974" s="1"/>
      <c r="K974" s="15"/>
      <c r="L974" s="1"/>
      <c r="M974" s="1"/>
      <c r="N974" s="1"/>
      <c r="O974" s="1"/>
      <c r="P974" s="15"/>
      <c r="Q974" s="1"/>
      <c r="R974" s="1"/>
      <c r="S974" s="1"/>
      <c r="T974" s="1"/>
      <c r="U974" s="15"/>
      <c r="V974" s="1"/>
      <c r="W974" s="1"/>
      <c r="X974" s="1"/>
      <c r="Y974" s="1"/>
      <c r="Z974" s="15"/>
      <c r="AA974" s="1"/>
      <c r="AB974" s="1"/>
      <c r="AC974" s="1"/>
      <c r="AD974" s="1"/>
      <c r="AE974" s="15"/>
      <c r="AF974" s="1"/>
      <c r="AG974" s="1"/>
      <c r="AH974" s="1"/>
      <c r="AI974" s="1"/>
      <c r="AJ974" s="15"/>
      <c r="AK974" s="1"/>
    </row>
    <row r="975" spans="1:37" ht="16.5" customHeight="1">
      <c r="A975" s="1"/>
      <c r="B975" s="1"/>
      <c r="C975" s="1"/>
      <c r="D975" s="15"/>
      <c r="E975" s="15"/>
      <c r="F975" s="15"/>
      <c r="G975" s="15"/>
      <c r="H975" s="1"/>
      <c r="I975" s="1"/>
      <c r="J975" s="1"/>
      <c r="K975" s="15"/>
      <c r="L975" s="1"/>
      <c r="M975" s="1"/>
      <c r="N975" s="1"/>
      <c r="O975" s="1"/>
      <c r="P975" s="15"/>
      <c r="Q975" s="1"/>
      <c r="R975" s="1"/>
      <c r="S975" s="1"/>
      <c r="T975" s="1"/>
      <c r="U975" s="15"/>
      <c r="V975" s="1"/>
      <c r="W975" s="1"/>
      <c r="X975" s="1"/>
      <c r="Y975" s="1"/>
      <c r="Z975" s="15"/>
      <c r="AA975" s="1"/>
      <c r="AB975" s="1"/>
      <c r="AC975" s="1"/>
      <c r="AD975" s="1"/>
      <c r="AE975" s="15"/>
      <c r="AF975" s="1"/>
      <c r="AG975" s="1"/>
      <c r="AH975" s="1"/>
      <c r="AI975" s="1"/>
      <c r="AJ975" s="15"/>
      <c r="AK975" s="1"/>
    </row>
    <row r="976" spans="1:37" ht="16.5" customHeight="1">
      <c r="A976" s="1"/>
      <c r="B976" s="1"/>
      <c r="C976" s="1"/>
      <c r="D976" s="15"/>
      <c r="E976" s="15"/>
      <c r="F976" s="15"/>
      <c r="G976" s="15"/>
      <c r="H976" s="1"/>
      <c r="I976" s="1"/>
      <c r="J976" s="1"/>
      <c r="K976" s="15"/>
      <c r="L976" s="1"/>
      <c r="M976" s="1"/>
      <c r="N976" s="1"/>
      <c r="O976" s="1"/>
      <c r="P976" s="15"/>
      <c r="Q976" s="1"/>
      <c r="R976" s="1"/>
      <c r="S976" s="1"/>
      <c r="T976" s="1"/>
      <c r="U976" s="15"/>
      <c r="V976" s="1"/>
      <c r="W976" s="1"/>
      <c r="X976" s="1"/>
      <c r="Y976" s="1"/>
      <c r="Z976" s="15"/>
      <c r="AA976" s="1"/>
      <c r="AB976" s="1"/>
      <c r="AC976" s="1"/>
      <c r="AD976" s="1"/>
      <c r="AE976" s="15"/>
      <c r="AF976" s="1"/>
      <c r="AG976" s="1"/>
      <c r="AH976" s="1"/>
      <c r="AI976" s="1"/>
      <c r="AJ976" s="15"/>
      <c r="AK976" s="1"/>
    </row>
    <row r="977" spans="1:37" ht="16.5" customHeight="1">
      <c r="A977" s="1"/>
      <c r="B977" s="1"/>
      <c r="C977" s="1"/>
      <c r="D977" s="15"/>
      <c r="E977" s="15"/>
      <c r="F977" s="15"/>
      <c r="G977" s="15"/>
      <c r="H977" s="1"/>
      <c r="I977" s="1"/>
      <c r="J977" s="1"/>
      <c r="K977" s="15"/>
      <c r="L977" s="1"/>
      <c r="M977" s="1"/>
      <c r="N977" s="1"/>
      <c r="O977" s="1"/>
      <c r="P977" s="15"/>
      <c r="Q977" s="1"/>
      <c r="R977" s="1"/>
      <c r="S977" s="1"/>
      <c r="T977" s="1"/>
      <c r="U977" s="15"/>
      <c r="V977" s="1"/>
      <c r="W977" s="1"/>
      <c r="X977" s="1"/>
      <c r="Y977" s="1"/>
      <c r="Z977" s="15"/>
      <c r="AA977" s="1"/>
      <c r="AB977" s="1"/>
      <c r="AC977" s="1"/>
      <c r="AD977" s="1"/>
      <c r="AE977" s="15"/>
      <c r="AF977" s="1"/>
      <c r="AG977" s="1"/>
      <c r="AH977" s="1"/>
      <c r="AI977" s="1"/>
      <c r="AJ977" s="15"/>
      <c r="AK977" s="1"/>
    </row>
    <row r="978" spans="1:37" ht="16.5" customHeight="1">
      <c r="A978" s="1"/>
      <c r="B978" s="1"/>
      <c r="C978" s="1"/>
      <c r="D978" s="15"/>
      <c r="E978" s="15"/>
      <c r="F978" s="15"/>
      <c r="G978" s="15"/>
      <c r="H978" s="1"/>
      <c r="I978" s="1"/>
      <c r="J978" s="1"/>
      <c r="K978" s="15"/>
      <c r="L978" s="1"/>
      <c r="M978" s="1"/>
      <c r="N978" s="1"/>
      <c r="O978" s="1"/>
      <c r="P978" s="15"/>
      <c r="Q978" s="1"/>
      <c r="R978" s="1"/>
      <c r="S978" s="1"/>
      <c r="T978" s="1"/>
      <c r="U978" s="15"/>
      <c r="V978" s="1"/>
      <c r="W978" s="1"/>
      <c r="X978" s="1"/>
      <c r="Y978" s="1"/>
      <c r="Z978" s="15"/>
      <c r="AA978" s="1"/>
      <c r="AB978" s="1"/>
      <c r="AC978" s="1"/>
      <c r="AD978" s="1"/>
      <c r="AE978" s="15"/>
      <c r="AF978" s="1"/>
      <c r="AG978" s="1"/>
      <c r="AH978" s="1"/>
      <c r="AI978" s="1"/>
      <c r="AJ978" s="15"/>
      <c r="AK978" s="1"/>
    </row>
    <row r="979" spans="1:37" ht="16.5" customHeight="1">
      <c r="A979" s="1"/>
      <c r="B979" s="1"/>
      <c r="C979" s="1"/>
      <c r="D979" s="15"/>
      <c r="E979" s="15"/>
      <c r="F979" s="15"/>
      <c r="G979" s="15"/>
      <c r="H979" s="1"/>
      <c r="I979" s="1"/>
      <c r="J979" s="1"/>
      <c r="K979" s="15"/>
      <c r="L979" s="1"/>
      <c r="M979" s="1"/>
      <c r="N979" s="1"/>
      <c r="O979" s="1"/>
      <c r="P979" s="15"/>
      <c r="Q979" s="1"/>
      <c r="R979" s="1"/>
      <c r="S979" s="1"/>
      <c r="T979" s="1"/>
      <c r="U979" s="15"/>
      <c r="V979" s="1"/>
      <c r="W979" s="1"/>
      <c r="X979" s="1"/>
      <c r="Y979" s="1"/>
      <c r="Z979" s="15"/>
      <c r="AA979" s="1"/>
      <c r="AB979" s="1"/>
      <c r="AC979" s="1"/>
      <c r="AD979" s="1"/>
      <c r="AE979" s="15"/>
      <c r="AF979" s="1"/>
      <c r="AG979" s="1"/>
      <c r="AH979" s="1"/>
      <c r="AI979" s="1"/>
      <c r="AJ979" s="15"/>
      <c r="AK979" s="1"/>
    </row>
    <row r="980" spans="1:37" ht="16.5" customHeight="1">
      <c r="A980" s="1"/>
      <c r="B980" s="1"/>
      <c r="C980" s="1"/>
      <c r="D980" s="15"/>
      <c r="E980" s="15"/>
      <c r="F980" s="15"/>
      <c r="G980" s="15"/>
      <c r="H980" s="1"/>
      <c r="I980" s="1"/>
      <c r="J980" s="1"/>
      <c r="K980" s="15"/>
      <c r="L980" s="1"/>
      <c r="M980" s="1"/>
      <c r="N980" s="1"/>
      <c r="O980" s="1"/>
      <c r="P980" s="15"/>
      <c r="Q980" s="1"/>
      <c r="R980" s="1"/>
      <c r="S980" s="1"/>
      <c r="T980" s="1"/>
      <c r="U980" s="15"/>
      <c r="V980" s="1"/>
      <c r="W980" s="1"/>
      <c r="X980" s="1"/>
      <c r="Y980" s="1"/>
      <c r="Z980" s="15"/>
      <c r="AA980" s="1"/>
      <c r="AB980" s="1"/>
      <c r="AC980" s="1"/>
      <c r="AD980" s="1"/>
      <c r="AE980" s="15"/>
      <c r="AF980" s="1"/>
      <c r="AG980" s="1"/>
      <c r="AH980" s="1"/>
      <c r="AI980" s="1"/>
      <c r="AJ980" s="15"/>
      <c r="AK980" s="1"/>
    </row>
    <row r="981" spans="1:37" ht="16.5" customHeight="1">
      <c r="A981" s="1"/>
      <c r="B981" s="1"/>
      <c r="C981" s="1"/>
      <c r="D981" s="15"/>
      <c r="E981" s="15"/>
      <c r="F981" s="15"/>
      <c r="G981" s="15"/>
      <c r="H981" s="1"/>
      <c r="I981" s="1"/>
      <c r="J981" s="1"/>
      <c r="K981" s="15"/>
      <c r="L981" s="1"/>
      <c r="M981" s="1"/>
      <c r="N981" s="1"/>
      <c r="O981" s="1"/>
      <c r="P981" s="15"/>
      <c r="Q981" s="1"/>
      <c r="R981" s="1"/>
      <c r="S981" s="1"/>
      <c r="T981" s="1"/>
      <c r="U981" s="15"/>
      <c r="V981" s="1"/>
      <c r="W981" s="1"/>
      <c r="X981" s="1"/>
      <c r="Y981" s="1"/>
      <c r="Z981" s="15"/>
      <c r="AA981" s="1"/>
      <c r="AB981" s="1"/>
      <c r="AC981" s="1"/>
      <c r="AD981" s="1"/>
      <c r="AE981" s="15"/>
      <c r="AF981" s="1"/>
      <c r="AG981" s="1"/>
      <c r="AH981" s="1"/>
      <c r="AI981" s="1"/>
      <c r="AJ981" s="15"/>
      <c r="AK981" s="1"/>
    </row>
    <row r="982" spans="1:37" ht="16.5" customHeight="1">
      <c r="A982" s="1"/>
      <c r="B982" s="1"/>
      <c r="C982" s="1"/>
      <c r="D982" s="15"/>
      <c r="E982" s="15"/>
      <c r="F982" s="15"/>
      <c r="G982" s="15"/>
      <c r="H982" s="1"/>
      <c r="I982" s="1"/>
      <c r="J982" s="1"/>
      <c r="K982" s="15"/>
      <c r="L982" s="1"/>
      <c r="M982" s="1"/>
      <c r="N982" s="1"/>
      <c r="O982" s="1"/>
      <c r="P982" s="15"/>
      <c r="Q982" s="1"/>
      <c r="R982" s="1"/>
      <c r="S982" s="1"/>
      <c r="T982" s="1"/>
      <c r="U982" s="15"/>
      <c r="V982" s="1"/>
      <c r="W982" s="1"/>
      <c r="X982" s="1"/>
      <c r="Y982" s="1"/>
      <c r="Z982" s="15"/>
      <c r="AA982" s="1"/>
      <c r="AB982" s="1"/>
      <c r="AC982" s="1"/>
      <c r="AD982" s="1"/>
      <c r="AE982" s="15"/>
      <c r="AF982" s="1"/>
      <c r="AG982" s="1"/>
      <c r="AH982" s="1"/>
      <c r="AI982" s="1"/>
      <c r="AJ982" s="15"/>
      <c r="AK982" s="1"/>
    </row>
    <row r="983" spans="1:37" ht="16.5" customHeight="1">
      <c r="A983" s="1"/>
      <c r="B983" s="1"/>
      <c r="C983" s="1"/>
      <c r="D983" s="15"/>
      <c r="E983" s="15"/>
      <c r="F983" s="15"/>
      <c r="G983" s="15"/>
      <c r="H983" s="1"/>
      <c r="I983" s="1"/>
      <c r="J983" s="1"/>
      <c r="K983" s="15"/>
      <c r="L983" s="1"/>
      <c r="M983" s="1"/>
      <c r="N983" s="1"/>
      <c r="O983" s="1"/>
      <c r="P983" s="15"/>
      <c r="Q983" s="1"/>
      <c r="R983" s="1"/>
      <c r="S983" s="1"/>
      <c r="T983" s="1"/>
      <c r="U983" s="15"/>
      <c r="V983" s="1"/>
      <c r="W983" s="1"/>
      <c r="X983" s="1"/>
      <c r="Y983" s="1"/>
      <c r="Z983" s="15"/>
      <c r="AA983" s="1"/>
      <c r="AB983" s="1"/>
      <c r="AC983" s="1"/>
      <c r="AD983" s="1"/>
      <c r="AE983" s="15"/>
      <c r="AF983" s="1"/>
      <c r="AG983" s="1"/>
      <c r="AH983" s="1"/>
      <c r="AI983" s="1"/>
      <c r="AJ983" s="15"/>
      <c r="AK983" s="1"/>
    </row>
    <row r="984" spans="1:37" ht="16.5" customHeight="1">
      <c r="A984" s="1"/>
      <c r="B984" s="1"/>
      <c r="C984" s="1"/>
      <c r="D984" s="15"/>
      <c r="E984" s="15"/>
      <c r="F984" s="15"/>
      <c r="G984" s="15"/>
      <c r="H984" s="1"/>
      <c r="I984" s="1"/>
      <c r="J984" s="1"/>
      <c r="K984" s="15"/>
      <c r="L984" s="1"/>
      <c r="M984" s="1"/>
      <c r="N984" s="1"/>
      <c r="O984" s="1"/>
      <c r="P984" s="15"/>
      <c r="Q984" s="1"/>
      <c r="R984" s="1"/>
      <c r="S984" s="1"/>
      <c r="T984" s="1"/>
      <c r="U984" s="15"/>
      <c r="V984" s="1"/>
      <c r="W984" s="1"/>
      <c r="X984" s="1"/>
      <c r="Y984" s="1"/>
      <c r="Z984" s="15"/>
      <c r="AA984" s="1"/>
      <c r="AB984" s="1"/>
      <c r="AC984" s="1"/>
      <c r="AD984" s="1"/>
      <c r="AE984" s="15"/>
      <c r="AF984" s="1"/>
      <c r="AG984" s="1"/>
      <c r="AH984" s="1"/>
      <c r="AI984" s="1"/>
      <c r="AJ984" s="15"/>
      <c r="AK984" s="1"/>
    </row>
    <row r="985" spans="1:37" ht="16.5" customHeight="1">
      <c r="A985" s="1"/>
      <c r="B985" s="1"/>
      <c r="C985" s="1"/>
      <c r="D985" s="15"/>
      <c r="E985" s="15"/>
      <c r="F985" s="15"/>
      <c r="G985" s="15"/>
      <c r="H985" s="1"/>
      <c r="I985" s="1"/>
      <c r="J985" s="1"/>
      <c r="K985" s="15"/>
      <c r="L985" s="1"/>
      <c r="M985" s="1"/>
      <c r="N985" s="1"/>
      <c r="O985" s="1"/>
      <c r="P985" s="15"/>
      <c r="Q985" s="1"/>
      <c r="R985" s="1"/>
      <c r="S985" s="1"/>
      <c r="T985" s="1"/>
      <c r="U985" s="15"/>
      <c r="V985" s="1"/>
      <c r="W985" s="1"/>
      <c r="X985" s="1"/>
      <c r="Y985" s="1"/>
      <c r="Z985" s="15"/>
      <c r="AA985" s="1"/>
      <c r="AB985" s="1"/>
      <c r="AC985" s="1"/>
      <c r="AD985" s="1"/>
      <c r="AE985" s="15"/>
      <c r="AF985" s="1"/>
      <c r="AG985" s="1"/>
      <c r="AH985" s="1"/>
      <c r="AI985" s="1"/>
      <c r="AJ985" s="15"/>
      <c r="AK985" s="1"/>
    </row>
    <row r="986" spans="1:37" ht="16.5" customHeight="1">
      <c r="A986" s="1"/>
      <c r="B986" s="1"/>
      <c r="C986" s="1"/>
      <c r="D986" s="15"/>
      <c r="E986" s="15"/>
      <c r="F986" s="15"/>
      <c r="G986" s="15"/>
      <c r="H986" s="1"/>
      <c r="I986" s="1"/>
      <c r="J986" s="1"/>
      <c r="K986" s="15"/>
      <c r="L986" s="1"/>
      <c r="M986" s="1"/>
      <c r="N986" s="1"/>
      <c r="O986" s="1"/>
      <c r="P986" s="15"/>
      <c r="Q986" s="1"/>
      <c r="R986" s="1"/>
      <c r="S986" s="1"/>
      <c r="T986" s="1"/>
      <c r="U986" s="15"/>
      <c r="V986" s="1"/>
      <c r="W986" s="1"/>
      <c r="X986" s="1"/>
      <c r="Y986" s="1"/>
      <c r="Z986" s="15"/>
      <c r="AA986" s="1"/>
      <c r="AB986" s="1"/>
      <c r="AC986" s="1"/>
      <c r="AD986" s="1"/>
      <c r="AE986" s="15"/>
      <c r="AF986" s="1"/>
      <c r="AG986" s="1"/>
      <c r="AH986" s="1"/>
      <c r="AI986" s="1"/>
      <c r="AJ986" s="15"/>
      <c r="AK986" s="1"/>
    </row>
    <row r="987" spans="1:37" ht="16.5" customHeight="1">
      <c r="A987" s="1"/>
      <c r="B987" s="1"/>
      <c r="C987" s="1"/>
      <c r="D987" s="15"/>
      <c r="E987" s="15"/>
      <c r="F987" s="15"/>
      <c r="G987" s="15"/>
      <c r="H987" s="1"/>
      <c r="I987" s="1"/>
      <c r="J987" s="1"/>
      <c r="K987" s="15"/>
      <c r="L987" s="1"/>
      <c r="M987" s="1"/>
      <c r="N987" s="1"/>
      <c r="O987" s="1"/>
      <c r="P987" s="15"/>
      <c r="Q987" s="1"/>
      <c r="R987" s="1"/>
      <c r="S987" s="1"/>
      <c r="T987" s="1"/>
      <c r="U987" s="15"/>
      <c r="V987" s="1"/>
      <c r="W987" s="1"/>
      <c r="X987" s="1"/>
      <c r="Y987" s="1"/>
      <c r="Z987" s="15"/>
      <c r="AA987" s="1"/>
      <c r="AB987" s="1"/>
      <c r="AC987" s="1"/>
      <c r="AD987" s="1"/>
      <c r="AE987" s="15"/>
      <c r="AF987" s="1"/>
      <c r="AG987" s="1"/>
      <c r="AH987" s="1"/>
      <c r="AI987" s="1"/>
      <c r="AJ987" s="15"/>
      <c r="AK987" s="1"/>
    </row>
    <row r="988" spans="1:37" ht="16.5" customHeight="1">
      <c r="A988" s="1"/>
      <c r="B988" s="1"/>
      <c r="C988" s="1"/>
      <c r="D988" s="15"/>
      <c r="E988" s="15"/>
      <c r="F988" s="15"/>
      <c r="G988" s="15"/>
      <c r="H988" s="1"/>
      <c r="I988" s="1"/>
      <c r="J988" s="1"/>
      <c r="K988" s="15"/>
      <c r="L988" s="1"/>
      <c r="M988" s="1"/>
      <c r="N988" s="1"/>
      <c r="O988" s="1"/>
      <c r="P988" s="15"/>
      <c r="Q988" s="1"/>
      <c r="R988" s="1"/>
      <c r="S988" s="1"/>
      <c r="T988" s="1"/>
      <c r="U988" s="15"/>
      <c r="V988" s="1"/>
      <c r="W988" s="1"/>
      <c r="X988" s="1"/>
      <c r="Y988" s="1"/>
      <c r="Z988" s="15"/>
      <c r="AA988" s="1"/>
      <c r="AB988" s="1"/>
      <c r="AC988" s="1"/>
      <c r="AD988" s="1"/>
      <c r="AE988" s="15"/>
      <c r="AF988" s="1"/>
      <c r="AG988" s="1"/>
      <c r="AH988" s="1"/>
      <c r="AI988" s="1"/>
      <c r="AJ988" s="15"/>
      <c r="AK988" s="1"/>
    </row>
    <row r="989" spans="1:37" ht="16.5" customHeight="1">
      <c r="A989" s="1"/>
      <c r="B989" s="1"/>
      <c r="C989" s="1"/>
      <c r="D989" s="15"/>
      <c r="E989" s="15"/>
      <c r="F989" s="15"/>
      <c r="G989" s="15"/>
      <c r="H989" s="1"/>
      <c r="I989" s="1"/>
      <c r="J989" s="1"/>
      <c r="K989" s="15"/>
      <c r="L989" s="1"/>
      <c r="M989" s="1"/>
      <c r="N989" s="1"/>
      <c r="O989" s="1"/>
      <c r="P989" s="15"/>
      <c r="Q989" s="1"/>
      <c r="R989" s="1"/>
      <c r="S989" s="1"/>
      <c r="T989" s="1"/>
      <c r="U989" s="15"/>
      <c r="V989" s="1"/>
      <c r="W989" s="1"/>
      <c r="X989" s="1"/>
      <c r="Y989" s="1"/>
      <c r="Z989" s="15"/>
      <c r="AA989" s="1"/>
      <c r="AB989" s="1"/>
      <c r="AC989" s="1"/>
      <c r="AD989" s="1"/>
      <c r="AE989" s="15"/>
      <c r="AF989" s="1"/>
      <c r="AG989" s="1"/>
      <c r="AH989" s="1"/>
      <c r="AI989" s="1"/>
      <c r="AJ989" s="15"/>
      <c r="AK989" s="1"/>
    </row>
    <row r="990" spans="1:37" ht="16.5" customHeight="1">
      <c r="A990" s="1"/>
      <c r="B990" s="1"/>
      <c r="C990" s="1"/>
      <c r="D990" s="15"/>
      <c r="E990" s="15"/>
      <c r="F990" s="15"/>
      <c r="G990" s="15"/>
      <c r="H990" s="1"/>
      <c r="I990" s="1"/>
      <c r="J990" s="1"/>
      <c r="K990" s="15"/>
      <c r="L990" s="1"/>
      <c r="M990" s="1"/>
      <c r="N990" s="1"/>
      <c r="O990" s="1"/>
      <c r="P990" s="15"/>
      <c r="Q990" s="1"/>
      <c r="R990" s="1"/>
      <c r="S990" s="1"/>
      <c r="T990" s="1"/>
      <c r="U990" s="15"/>
      <c r="V990" s="1"/>
      <c r="W990" s="1"/>
      <c r="X990" s="1"/>
      <c r="Y990" s="1"/>
      <c r="Z990" s="15"/>
      <c r="AA990" s="1"/>
      <c r="AB990" s="1"/>
      <c r="AC990" s="1"/>
      <c r="AD990" s="1"/>
      <c r="AE990" s="15"/>
      <c r="AF990" s="1"/>
      <c r="AG990" s="1"/>
      <c r="AH990" s="1"/>
      <c r="AI990" s="1"/>
      <c r="AJ990" s="15"/>
      <c r="AK990" s="1"/>
    </row>
    <row r="991" spans="1:37" ht="16.5" customHeight="1">
      <c r="A991" s="1"/>
      <c r="B991" s="1"/>
      <c r="C991" s="1"/>
      <c r="D991" s="15"/>
      <c r="E991" s="15"/>
      <c r="F991" s="15"/>
      <c r="G991" s="15"/>
      <c r="H991" s="1"/>
      <c r="I991" s="1"/>
      <c r="J991" s="1"/>
      <c r="K991" s="15"/>
      <c r="L991" s="1"/>
      <c r="M991" s="1"/>
      <c r="N991" s="1"/>
      <c r="O991" s="1"/>
      <c r="P991" s="15"/>
      <c r="Q991" s="1"/>
      <c r="R991" s="1"/>
      <c r="S991" s="1"/>
      <c r="T991" s="1"/>
      <c r="U991" s="15"/>
      <c r="V991" s="1"/>
      <c r="W991" s="1"/>
      <c r="X991" s="1"/>
      <c r="Y991" s="1"/>
      <c r="Z991" s="15"/>
      <c r="AA991" s="1"/>
      <c r="AB991" s="1"/>
      <c r="AC991" s="1"/>
      <c r="AD991" s="1"/>
      <c r="AE991" s="15"/>
      <c r="AF991" s="1"/>
      <c r="AG991" s="1"/>
      <c r="AH991" s="1"/>
      <c r="AI991" s="1"/>
      <c r="AJ991" s="15"/>
      <c r="AK991" s="1"/>
    </row>
    <row r="992" spans="1:37" ht="16.5" customHeight="1">
      <c r="A992" s="1"/>
      <c r="B992" s="1"/>
      <c r="C992" s="1"/>
      <c r="D992" s="15"/>
      <c r="E992" s="15"/>
      <c r="F992" s="15"/>
      <c r="G992" s="15"/>
      <c r="H992" s="1"/>
      <c r="I992" s="1"/>
      <c r="J992" s="1"/>
      <c r="K992" s="15"/>
      <c r="L992" s="1"/>
      <c r="M992" s="1"/>
      <c r="N992" s="1"/>
      <c r="O992" s="1"/>
      <c r="P992" s="15"/>
      <c r="Q992" s="1"/>
      <c r="R992" s="1"/>
      <c r="S992" s="1"/>
      <c r="T992" s="1"/>
      <c r="U992" s="15"/>
      <c r="V992" s="1"/>
      <c r="W992" s="1"/>
      <c r="X992" s="1"/>
      <c r="Y992" s="1"/>
      <c r="Z992" s="15"/>
      <c r="AA992" s="1"/>
      <c r="AB992" s="1"/>
      <c r="AC992" s="1"/>
      <c r="AD992" s="1"/>
      <c r="AE992" s="15"/>
      <c r="AF992" s="1"/>
      <c r="AG992" s="1"/>
      <c r="AH992" s="1"/>
      <c r="AI992" s="1"/>
      <c r="AJ992" s="15"/>
      <c r="AK992" s="1"/>
    </row>
    <row r="993" spans="1:37" ht="16.5" customHeight="1">
      <c r="A993" s="1"/>
      <c r="B993" s="1"/>
      <c r="C993" s="1"/>
      <c r="D993" s="15"/>
      <c r="E993" s="15"/>
      <c r="F993" s="15"/>
      <c r="G993" s="15"/>
      <c r="H993" s="1"/>
      <c r="I993" s="1"/>
      <c r="J993" s="1"/>
      <c r="K993" s="15"/>
      <c r="L993" s="1"/>
      <c r="M993" s="1"/>
      <c r="N993" s="1"/>
      <c r="O993" s="1"/>
      <c r="P993" s="15"/>
      <c r="Q993" s="1"/>
      <c r="R993" s="1"/>
      <c r="S993" s="1"/>
      <c r="T993" s="1"/>
      <c r="U993" s="15"/>
      <c r="V993" s="1"/>
      <c r="W993" s="1"/>
      <c r="X993" s="1"/>
      <c r="Y993" s="1"/>
      <c r="Z993" s="15"/>
      <c r="AA993" s="1"/>
      <c r="AB993" s="1"/>
      <c r="AC993" s="1"/>
      <c r="AD993" s="1"/>
      <c r="AE993" s="15"/>
      <c r="AF993" s="1"/>
      <c r="AG993" s="1"/>
      <c r="AH993" s="1"/>
      <c r="AI993" s="1"/>
      <c r="AJ993" s="15"/>
      <c r="AK993" s="1"/>
    </row>
    <row r="994" spans="1:37" ht="16.5" customHeight="1">
      <c r="A994" s="1"/>
      <c r="B994" s="1"/>
      <c r="C994" s="1"/>
      <c r="D994" s="15"/>
      <c r="E994" s="15"/>
      <c r="F994" s="15"/>
      <c r="G994" s="15"/>
      <c r="H994" s="1"/>
      <c r="I994" s="1"/>
      <c r="J994" s="1"/>
      <c r="K994" s="15"/>
      <c r="L994" s="1"/>
      <c r="M994" s="1"/>
      <c r="N994" s="1"/>
      <c r="O994" s="1"/>
      <c r="P994" s="15"/>
      <c r="Q994" s="1"/>
      <c r="R994" s="1"/>
      <c r="S994" s="1"/>
      <c r="T994" s="1"/>
      <c r="U994" s="15"/>
      <c r="V994" s="1"/>
      <c r="W994" s="1"/>
      <c r="X994" s="1"/>
      <c r="Y994" s="1"/>
      <c r="Z994" s="15"/>
      <c r="AA994" s="1"/>
      <c r="AB994" s="1"/>
      <c r="AC994" s="1"/>
      <c r="AD994" s="1"/>
      <c r="AE994" s="15"/>
      <c r="AF994" s="1"/>
      <c r="AG994" s="1"/>
      <c r="AH994" s="1"/>
      <c r="AI994" s="1"/>
      <c r="AJ994" s="15"/>
      <c r="AK994" s="1"/>
    </row>
    <row r="995" spans="1:37" ht="16.5" customHeight="1">
      <c r="A995" s="1"/>
      <c r="B995" s="1"/>
      <c r="C995" s="1"/>
      <c r="D995" s="15"/>
      <c r="E995" s="15"/>
      <c r="F995" s="15"/>
      <c r="G995" s="15"/>
      <c r="H995" s="1"/>
      <c r="I995" s="1"/>
      <c r="J995" s="1"/>
      <c r="K995" s="15"/>
      <c r="L995" s="1"/>
      <c r="M995" s="1"/>
      <c r="N995" s="1"/>
      <c r="O995" s="1"/>
      <c r="P995" s="15"/>
      <c r="Q995" s="1"/>
      <c r="R995" s="1"/>
      <c r="S995" s="1"/>
      <c r="T995" s="1"/>
      <c r="U995" s="15"/>
      <c r="V995" s="1"/>
      <c r="W995" s="1"/>
      <c r="X995" s="1"/>
      <c r="Y995" s="1"/>
      <c r="Z995" s="15"/>
      <c r="AA995" s="1"/>
      <c r="AB995" s="1"/>
      <c r="AC995" s="1"/>
      <c r="AD995" s="1"/>
      <c r="AE995" s="15"/>
      <c r="AF995" s="1"/>
      <c r="AG995" s="1"/>
      <c r="AH995" s="1"/>
      <c r="AI995" s="1"/>
      <c r="AJ995" s="15"/>
      <c r="AK995" s="1"/>
    </row>
    <row r="996" spans="1:37" ht="16.5" customHeight="1">
      <c r="A996" s="1"/>
      <c r="B996" s="1"/>
      <c r="C996" s="1"/>
      <c r="D996" s="15"/>
      <c r="E996" s="15"/>
      <c r="F996" s="15"/>
      <c r="G996" s="15"/>
      <c r="H996" s="1"/>
      <c r="I996" s="1"/>
      <c r="J996" s="1"/>
      <c r="K996" s="15"/>
      <c r="L996" s="1"/>
      <c r="M996" s="1"/>
      <c r="N996" s="1"/>
      <c r="O996" s="1"/>
      <c r="P996" s="15"/>
      <c r="Q996" s="1"/>
      <c r="R996" s="1"/>
      <c r="S996" s="1"/>
      <c r="T996" s="1"/>
      <c r="U996" s="15"/>
      <c r="V996" s="1"/>
      <c r="W996" s="1"/>
      <c r="X996" s="1"/>
      <c r="Y996" s="1"/>
      <c r="Z996" s="15"/>
      <c r="AA996" s="1"/>
      <c r="AB996" s="1"/>
      <c r="AC996" s="1"/>
      <c r="AD996" s="1"/>
      <c r="AE996" s="15"/>
      <c r="AF996" s="1"/>
      <c r="AG996" s="1"/>
      <c r="AH996" s="1"/>
      <c r="AI996" s="1"/>
      <c r="AJ996" s="15"/>
      <c r="AK996" s="1"/>
    </row>
    <row r="997" spans="1:37" ht="16.5" customHeight="1">
      <c r="A997" s="1"/>
      <c r="B997" s="1"/>
      <c r="C997" s="1"/>
      <c r="D997" s="15"/>
      <c r="E997" s="15"/>
      <c r="F997" s="15"/>
      <c r="G997" s="15"/>
      <c r="H997" s="1"/>
      <c r="I997" s="1"/>
      <c r="J997" s="1"/>
      <c r="K997" s="15"/>
      <c r="L997" s="1"/>
      <c r="M997" s="1"/>
      <c r="N997" s="1"/>
      <c r="O997" s="1"/>
      <c r="P997" s="15"/>
      <c r="Q997" s="1"/>
      <c r="R997" s="1"/>
      <c r="S997" s="1"/>
      <c r="T997" s="1"/>
      <c r="U997" s="15"/>
      <c r="V997" s="1"/>
      <c r="W997" s="1"/>
      <c r="X997" s="1"/>
      <c r="Y997" s="1"/>
      <c r="Z997" s="15"/>
      <c r="AA997" s="1"/>
      <c r="AB997" s="1"/>
      <c r="AC997" s="1"/>
      <c r="AD997" s="1"/>
      <c r="AE997" s="15"/>
      <c r="AF997" s="1"/>
      <c r="AG997" s="1"/>
      <c r="AH997" s="1"/>
      <c r="AI997" s="1"/>
      <c r="AJ997" s="15"/>
      <c r="AK997" s="1"/>
    </row>
    <row r="998" spans="1:37" ht="16.5" customHeight="1">
      <c r="A998" s="1"/>
      <c r="B998" s="1"/>
      <c r="C998" s="1"/>
      <c r="D998" s="15"/>
      <c r="E998" s="15"/>
      <c r="F998" s="15"/>
      <c r="G998" s="15"/>
      <c r="H998" s="1"/>
      <c r="I998" s="1"/>
      <c r="J998" s="1"/>
      <c r="K998" s="15"/>
      <c r="L998" s="1"/>
      <c r="M998" s="1"/>
      <c r="N998" s="1"/>
      <c r="O998" s="1"/>
      <c r="P998" s="15"/>
      <c r="Q998" s="1"/>
      <c r="R998" s="1"/>
      <c r="S998" s="1"/>
      <c r="T998" s="1"/>
      <c r="U998" s="15"/>
      <c r="V998" s="1"/>
      <c r="W998" s="1"/>
      <c r="X998" s="1"/>
      <c r="Y998" s="1"/>
      <c r="Z998" s="15"/>
      <c r="AA998" s="1"/>
      <c r="AB998" s="1"/>
      <c r="AC998" s="1"/>
      <c r="AD998" s="1"/>
      <c r="AE998" s="15"/>
      <c r="AF998" s="1"/>
      <c r="AG998" s="1"/>
      <c r="AH998" s="1"/>
      <c r="AI998" s="1"/>
      <c r="AJ998" s="15"/>
      <c r="AK998" s="1"/>
    </row>
    <row r="999" spans="1:37" ht="16.5" customHeight="1">
      <c r="A999" s="1"/>
      <c r="B999" s="1"/>
      <c r="C999" s="1"/>
      <c r="D999" s="15"/>
      <c r="E999" s="15"/>
      <c r="F999" s="15"/>
      <c r="G999" s="15"/>
      <c r="H999" s="1"/>
      <c r="I999" s="1"/>
      <c r="J999" s="1"/>
      <c r="K999" s="15"/>
      <c r="L999" s="1"/>
      <c r="M999" s="1"/>
      <c r="N999" s="1"/>
      <c r="O999" s="1"/>
      <c r="P999" s="15"/>
      <c r="Q999" s="1"/>
      <c r="R999" s="1"/>
      <c r="S999" s="1"/>
      <c r="T999" s="1"/>
      <c r="U999" s="15"/>
      <c r="V999" s="1"/>
      <c r="W999" s="1"/>
      <c r="X999" s="1"/>
      <c r="Y999" s="1"/>
      <c r="Z999" s="15"/>
      <c r="AA999" s="1"/>
      <c r="AB999" s="1"/>
      <c r="AC999" s="1"/>
      <c r="AD999" s="1"/>
      <c r="AE999" s="15"/>
      <c r="AF999" s="1"/>
      <c r="AG999" s="1"/>
      <c r="AH999" s="1"/>
      <c r="AI999" s="1"/>
      <c r="AJ999" s="15"/>
      <c r="AK999" s="1"/>
    </row>
    <row r="1000" spans="1:37" ht="16.5" customHeight="1">
      <c r="A1000" s="1"/>
      <c r="B1000" s="1"/>
      <c r="C1000" s="1"/>
      <c r="D1000" s="15"/>
      <c r="E1000" s="15"/>
      <c r="F1000" s="15"/>
      <c r="G1000" s="15"/>
      <c r="H1000" s="1"/>
      <c r="I1000" s="1"/>
      <c r="J1000" s="1"/>
      <c r="K1000" s="15"/>
      <c r="L1000" s="1"/>
      <c r="M1000" s="1"/>
      <c r="N1000" s="1"/>
      <c r="O1000" s="1"/>
      <c r="P1000" s="15"/>
      <c r="Q1000" s="1"/>
      <c r="R1000" s="1"/>
      <c r="S1000" s="1"/>
      <c r="T1000" s="1"/>
      <c r="U1000" s="15"/>
      <c r="V1000" s="1"/>
      <c r="W1000" s="1"/>
      <c r="X1000" s="1"/>
      <c r="Y1000" s="1"/>
      <c r="Z1000" s="15"/>
      <c r="AA1000" s="1"/>
      <c r="AB1000" s="1"/>
      <c r="AC1000" s="1"/>
      <c r="AD1000" s="1"/>
      <c r="AE1000" s="15"/>
      <c r="AF1000" s="1"/>
      <c r="AG1000" s="1"/>
      <c r="AH1000" s="1"/>
      <c r="AI1000" s="1"/>
      <c r="AJ1000" s="15"/>
      <c r="AK1000" s="1"/>
    </row>
  </sheetData>
  <autoFilter ref="A1:AK324" xr:uid="{00000000-0009-0000-0000-00000F000000}"/>
  <hyperlinks>
    <hyperlink ref="C110" r:id="rId1" location="gsc.tab=0"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L1027"/>
  <sheetViews>
    <sheetView workbookViewId="0"/>
  </sheetViews>
  <sheetFormatPr defaultColWidth="12.6640625" defaultRowHeight="15" customHeight="1"/>
  <cols>
    <col min="1" max="1" width="4.44140625" customWidth="1"/>
    <col min="2" max="2" width="2.44140625" customWidth="1"/>
    <col min="3" max="3" width="39.44140625" customWidth="1"/>
    <col min="4" max="36" width="13.77734375" customWidth="1"/>
    <col min="37" max="37" width="3.44140625" customWidth="1"/>
    <col min="38" max="38" width="12.44140625" customWidth="1"/>
  </cols>
  <sheetData>
    <row r="1" spans="1:38" ht="14.2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c r="AL1" s="1"/>
    </row>
    <row r="2" spans="1:38" ht="14.25" customHeight="1">
      <c r="A2" s="619"/>
      <c r="B2" s="619"/>
      <c r="C2" s="4"/>
      <c r="D2" s="619"/>
      <c r="E2" s="619"/>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c r="AL2" s="1"/>
    </row>
    <row r="3" spans="1:38" ht="14.2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c r="AL3" s="1"/>
    </row>
    <row r="4" spans="1:38" ht="14.25" customHeight="1">
      <c r="A4" s="619"/>
      <c r="B4" s="155"/>
      <c r="C4" s="156" t="s">
        <v>7</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c r="AL4" s="1"/>
    </row>
    <row r="5" spans="1:38" ht="14.25" customHeight="1">
      <c r="A5" s="3"/>
      <c r="B5" s="202"/>
      <c r="C5" s="160" t="s">
        <v>754</v>
      </c>
      <c r="D5" s="620"/>
      <c r="E5" s="620"/>
      <c r="F5" s="620"/>
      <c r="G5" s="620"/>
      <c r="H5" s="620"/>
      <c r="I5" s="620"/>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473"/>
      <c r="AL5" s="1"/>
    </row>
    <row r="6" spans="1:38" ht="14.25" customHeight="1">
      <c r="A6" s="619">
        <v>1</v>
      </c>
      <c r="B6" s="155"/>
      <c r="C6" s="164" t="s">
        <v>755</v>
      </c>
      <c r="D6" s="204">
        <v>1632</v>
      </c>
      <c r="E6" s="204">
        <v>1303</v>
      </c>
      <c r="F6" s="204">
        <v>1338</v>
      </c>
      <c r="G6" s="204">
        <v>1370</v>
      </c>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142"/>
      <c r="AL6" s="1"/>
    </row>
    <row r="7" spans="1:38" ht="14.25" customHeight="1">
      <c r="A7" s="619">
        <v>1</v>
      </c>
      <c r="B7" s="155"/>
      <c r="C7" s="164" t="s">
        <v>756</v>
      </c>
      <c r="D7" s="204">
        <v>165715</v>
      </c>
      <c r="E7" s="204">
        <v>154326</v>
      </c>
      <c r="F7" s="204">
        <v>139690</v>
      </c>
      <c r="G7" s="204">
        <v>149113</v>
      </c>
      <c r="H7" s="204"/>
      <c r="I7" s="204"/>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c r="AK7" s="142"/>
      <c r="AL7" s="1"/>
    </row>
    <row r="8" spans="1:38" ht="14.25" customHeight="1">
      <c r="A8" s="619"/>
      <c r="B8" s="155"/>
      <c r="C8" s="164" t="s">
        <v>757</v>
      </c>
      <c r="D8" s="204" t="s">
        <v>186</v>
      </c>
      <c r="E8" s="204" t="s">
        <v>186</v>
      </c>
      <c r="F8" s="204" t="s">
        <v>186</v>
      </c>
      <c r="G8" s="204" t="s">
        <v>186</v>
      </c>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142"/>
      <c r="AL8" s="1"/>
    </row>
    <row r="9" spans="1:38" ht="14.25" customHeight="1">
      <c r="A9" s="619"/>
      <c r="B9" s="155"/>
      <c r="C9" s="164" t="s">
        <v>12</v>
      </c>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142"/>
      <c r="AL9" s="1"/>
    </row>
    <row r="10" spans="1:38" ht="14.25" customHeight="1">
      <c r="A10" s="619"/>
      <c r="B10" s="155"/>
      <c r="C10" s="164" t="s">
        <v>13</v>
      </c>
      <c r="D10" s="204">
        <f t="shared" ref="D10:F10" si="0">SUM(D6:D8)</f>
        <v>167347</v>
      </c>
      <c r="E10" s="204">
        <f t="shared" si="0"/>
        <v>155629</v>
      </c>
      <c r="F10" s="204">
        <f t="shared" si="0"/>
        <v>141028</v>
      </c>
      <c r="G10" s="204">
        <f t="shared" ref="G10:AJ10" si="1">SUM(G6:G7)</f>
        <v>150483</v>
      </c>
      <c r="H10" s="204">
        <f t="shared" si="1"/>
        <v>0</v>
      </c>
      <c r="I10" s="204">
        <f t="shared" si="1"/>
        <v>0</v>
      </c>
      <c r="J10" s="204">
        <f t="shared" si="1"/>
        <v>0</v>
      </c>
      <c r="K10" s="204">
        <f t="shared" si="1"/>
        <v>0</v>
      </c>
      <c r="L10" s="204">
        <f t="shared" si="1"/>
        <v>0</v>
      </c>
      <c r="M10" s="204">
        <f t="shared" si="1"/>
        <v>0</v>
      </c>
      <c r="N10" s="204">
        <f t="shared" si="1"/>
        <v>0</v>
      </c>
      <c r="O10" s="204">
        <f t="shared" si="1"/>
        <v>0</v>
      </c>
      <c r="P10" s="204">
        <f t="shared" si="1"/>
        <v>0</v>
      </c>
      <c r="Q10" s="204">
        <f t="shared" si="1"/>
        <v>0</v>
      </c>
      <c r="R10" s="204">
        <f t="shared" si="1"/>
        <v>0</v>
      </c>
      <c r="S10" s="204">
        <f t="shared" si="1"/>
        <v>0</v>
      </c>
      <c r="T10" s="204">
        <f t="shared" si="1"/>
        <v>0</v>
      </c>
      <c r="U10" s="204">
        <f t="shared" si="1"/>
        <v>0</v>
      </c>
      <c r="V10" s="204">
        <f t="shared" si="1"/>
        <v>0</v>
      </c>
      <c r="W10" s="204">
        <f t="shared" si="1"/>
        <v>0</v>
      </c>
      <c r="X10" s="204">
        <f t="shared" si="1"/>
        <v>0</v>
      </c>
      <c r="Y10" s="204">
        <f t="shared" si="1"/>
        <v>0</v>
      </c>
      <c r="Z10" s="204">
        <f t="shared" si="1"/>
        <v>0</v>
      </c>
      <c r="AA10" s="204">
        <f t="shared" si="1"/>
        <v>0</v>
      </c>
      <c r="AB10" s="204">
        <f t="shared" si="1"/>
        <v>0</v>
      </c>
      <c r="AC10" s="204">
        <f t="shared" si="1"/>
        <v>0</v>
      </c>
      <c r="AD10" s="204">
        <f t="shared" si="1"/>
        <v>0</v>
      </c>
      <c r="AE10" s="204">
        <f t="shared" si="1"/>
        <v>0</v>
      </c>
      <c r="AF10" s="204">
        <f t="shared" si="1"/>
        <v>0</v>
      </c>
      <c r="AG10" s="204">
        <f t="shared" si="1"/>
        <v>0</v>
      </c>
      <c r="AH10" s="204">
        <f t="shared" si="1"/>
        <v>0</v>
      </c>
      <c r="AI10" s="204">
        <f t="shared" si="1"/>
        <v>0</v>
      </c>
      <c r="AJ10" s="204">
        <f t="shared" si="1"/>
        <v>0</v>
      </c>
      <c r="AK10" s="142"/>
      <c r="AL10" s="1"/>
    </row>
    <row r="11" spans="1:38" ht="14.25" customHeight="1">
      <c r="A11" s="619"/>
      <c r="B11" s="155"/>
      <c r="C11" s="355"/>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2"/>
      <c r="AL11" s="1"/>
    </row>
    <row r="12" spans="1:38" ht="14.25" customHeight="1">
      <c r="A12" s="3"/>
      <c r="B12" s="202"/>
      <c r="C12" s="160" t="s">
        <v>14</v>
      </c>
      <c r="D12" s="620"/>
      <c r="E12" s="620"/>
      <c r="F12" s="620"/>
      <c r="G12" s="620"/>
      <c r="H12" s="620"/>
      <c r="I12" s="620"/>
      <c r="J12" s="620"/>
      <c r="K12" s="620"/>
      <c r="L12" s="620"/>
      <c r="M12" s="620"/>
      <c r="N12" s="620"/>
      <c r="O12" s="620"/>
      <c r="P12" s="620"/>
      <c r="Q12" s="620"/>
      <c r="R12" s="620"/>
      <c r="S12" s="620"/>
      <c r="T12" s="620"/>
      <c r="U12" s="620"/>
      <c r="V12" s="620"/>
      <c r="W12" s="620"/>
      <c r="X12" s="620"/>
      <c r="Y12" s="620"/>
      <c r="Z12" s="620"/>
      <c r="AA12" s="620"/>
      <c r="AB12" s="620"/>
      <c r="AC12" s="620"/>
      <c r="AD12" s="620"/>
      <c r="AE12" s="620"/>
      <c r="AF12" s="620"/>
      <c r="AG12" s="620"/>
      <c r="AH12" s="620"/>
      <c r="AI12" s="620"/>
      <c r="AJ12" s="620"/>
      <c r="AK12" s="473"/>
      <c r="AL12" s="1"/>
    </row>
    <row r="13" spans="1:38" ht="14.25" customHeight="1">
      <c r="A13" s="619">
        <v>1</v>
      </c>
      <c r="B13" s="155"/>
      <c r="C13" s="164" t="s">
        <v>758</v>
      </c>
      <c r="D13" s="204">
        <v>2695</v>
      </c>
      <c r="E13" s="204">
        <v>2239</v>
      </c>
      <c r="F13" s="204">
        <v>2257</v>
      </c>
      <c r="G13" s="204">
        <v>2061</v>
      </c>
      <c r="H13" s="204"/>
      <c r="I13" s="204"/>
      <c r="J13" s="204"/>
      <c r="K13" s="204"/>
      <c r="L13" s="204"/>
      <c r="M13" s="204"/>
      <c r="N13" s="204"/>
      <c r="O13" s="204"/>
      <c r="P13" s="204"/>
      <c r="Q13" s="204"/>
      <c r="R13" s="204"/>
      <c r="S13" s="204"/>
      <c r="T13" s="204"/>
      <c r="U13" s="204"/>
      <c r="V13" s="204"/>
      <c r="W13" s="204"/>
      <c r="X13" s="204"/>
      <c r="Y13" s="204"/>
      <c r="Z13" s="204"/>
      <c r="AA13" s="204"/>
      <c r="AB13" s="204"/>
      <c r="AC13" s="204"/>
      <c r="AD13" s="204"/>
      <c r="AE13" s="204"/>
      <c r="AF13" s="204"/>
      <c r="AG13" s="204"/>
      <c r="AH13" s="204"/>
      <c r="AI13" s="204"/>
      <c r="AJ13" s="204"/>
      <c r="AK13" s="142"/>
      <c r="AL13" s="1"/>
    </row>
    <row r="14" spans="1:38" ht="14.25" customHeight="1">
      <c r="A14" s="619">
        <v>1</v>
      </c>
      <c r="B14" s="155"/>
      <c r="C14" s="164" t="s">
        <v>759</v>
      </c>
      <c r="D14" s="204">
        <v>1478</v>
      </c>
      <c r="E14" s="204">
        <v>1701</v>
      </c>
      <c r="F14" s="204">
        <v>1764</v>
      </c>
      <c r="G14" s="204">
        <v>1221</v>
      </c>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142"/>
      <c r="AL14" s="1"/>
    </row>
    <row r="15" spans="1:38" ht="14.25" customHeight="1">
      <c r="A15" s="619">
        <v>1</v>
      </c>
      <c r="B15" s="155"/>
      <c r="C15" s="164" t="s">
        <v>760</v>
      </c>
      <c r="D15" s="204">
        <v>761</v>
      </c>
      <c r="E15" s="204">
        <v>771</v>
      </c>
      <c r="F15" s="204">
        <v>761</v>
      </c>
      <c r="G15" s="204">
        <v>835</v>
      </c>
      <c r="H15" s="204"/>
      <c r="I15" s="204"/>
      <c r="J15" s="204"/>
      <c r="K15" s="204"/>
      <c r="L15" s="204"/>
      <c r="M15" s="204"/>
      <c r="N15" s="204"/>
      <c r="O15" s="204"/>
      <c r="P15" s="204"/>
      <c r="Q15" s="204"/>
      <c r="R15" s="204"/>
      <c r="S15" s="204"/>
      <c r="T15" s="204"/>
      <c r="U15" s="204"/>
      <c r="V15" s="204"/>
      <c r="W15" s="204"/>
      <c r="X15" s="204"/>
      <c r="Y15" s="204"/>
      <c r="Z15" s="204"/>
      <c r="AA15" s="204"/>
      <c r="AB15" s="204"/>
      <c r="AC15" s="204"/>
      <c r="AD15" s="204"/>
      <c r="AE15" s="204"/>
      <c r="AF15" s="204"/>
      <c r="AG15" s="204"/>
      <c r="AH15" s="204"/>
      <c r="AI15" s="204"/>
      <c r="AJ15" s="204"/>
      <c r="AK15" s="142"/>
      <c r="AL15" s="1"/>
    </row>
    <row r="16" spans="1:38" ht="14.25" customHeight="1">
      <c r="A16" s="619"/>
      <c r="B16" s="155"/>
      <c r="C16" s="160"/>
      <c r="D16" s="204"/>
      <c r="E16" s="204"/>
      <c r="F16" s="204"/>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142"/>
      <c r="AL16" s="1"/>
    </row>
    <row r="17" spans="1:38" ht="14.25" customHeight="1">
      <c r="A17" s="619"/>
      <c r="B17" s="155"/>
      <c r="C17" s="160" t="s">
        <v>18</v>
      </c>
      <c r="D17" s="204"/>
      <c r="E17" s="204"/>
      <c r="F17" s="204"/>
      <c r="G17" s="204"/>
      <c r="H17" s="204"/>
      <c r="I17" s="204"/>
      <c r="J17" s="204"/>
      <c r="K17" s="204"/>
      <c r="L17" s="204"/>
      <c r="M17" s="204"/>
      <c r="N17" s="204"/>
      <c r="O17" s="204"/>
      <c r="P17" s="204"/>
      <c r="Q17" s="204"/>
      <c r="R17" s="204"/>
      <c r="S17" s="204"/>
      <c r="T17" s="204"/>
      <c r="U17" s="204"/>
      <c r="V17" s="204"/>
      <c r="W17" s="204"/>
      <c r="X17" s="204"/>
      <c r="Y17" s="204"/>
      <c r="Z17" s="204"/>
      <c r="AA17" s="204"/>
      <c r="AB17" s="204"/>
      <c r="AC17" s="204"/>
      <c r="AD17" s="204"/>
      <c r="AE17" s="204"/>
      <c r="AF17" s="204"/>
      <c r="AG17" s="204"/>
      <c r="AH17" s="204"/>
      <c r="AI17" s="204"/>
      <c r="AJ17" s="204"/>
      <c r="AK17" s="142"/>
      <c r="AL17" s="1"/>
    </row>
    <row r="18" spans="1:38" ht="14.25" customHeight="1">
      <c r="A18" s="619">
        <v>1</v>
      </c>
      <c r="B18" s="155"/>
      <c r="C18" s="164" t="s">
        <v>761</v>
      </c>
      <c r="D18" s="204">
        <v>456474</v>
      </c>
      <c r="E18" s="204">
        <v>431432</v>
      </c>
      <c r="F18" s="204">
        <v>416372</v>
      </c>
      <c r="G18" s="204">
        <v>425794</v>
      </c>
      <c r="H18" s="204"/>
      <c r="I18" s="204"/>
      <c r="J18" s="204"/>
      <c r="K18" s="204"/>
      <c r="L18" s="204"/>
      <c r="M18" s="204"/>
      <c r="N18" s="204"/>
      <c r="O18" s="204"/>
      <c r="P18" s="204"/>
      <c r="Q18" s="204"/>
      <c r="R18" s="204"/>
      <c r="S18" s="204"/>
      <c r="T18" s="204"/>
      <c r="U18" s="204"/>
      <c r="V18" s="204"/>
      <c r="W18" s="204"/>
      <c r="X18" s="204"/>
      <c r="Y18" s="204"/>
      <c r="Z18" s="204"/>
      <c r="AA18" s="204"/>
      <c r="AB18" s="204"/>
      <c r="AC18" s="204"/>
      <c r="AD18" s="204"/>
      <c r="AE18" s="204"/>
      <c r="AF18" s="204"/>
      <c r="AG18" s="204"/>
      <c r="AH18" s="204"/>
      <c r="AI18" s="204"/>
      <c r="AJ18" s="204"/>
      <c r="AK18" s="142"/>
      <c r="AL18" s="1"/>
    </row>
    <row r="19" spans="1:38" ht="14.25" customHeight="1">
      <c r="A19" s="619">
        <v>1</v>
      </c>
      <c r="B19" s="155"/>
      <c r="C19" s="164" t="s">
        <v>762</v>
      </c>
      <c r="D19" s="204">
        <v>0</v>
      </c>
      <c r="E19" s="204">
        <v>0</v>
      </c>
      <c r="F19" s="204">
        <v>0</v>
      </c>
      <c r="G19" s="204">
        <v>0</v>
      </c>
      <c r="H19" s="228"/>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142"/>
      <c r="AL19" s="1"/>
    </row>
    <row r="20" spans="1:38" ht="14.25" customHeight="1">
      <c r="A20" s="619">
        <v>1</v>
      </c>
      <c r="B20" s="155"/>
      <c r="C20" s="164" t="s">
        <v>763</v>
      </c>
      <c r="D20" s="204">
        <v>0</v>
      </c>
      <c r="E20" s="204">
        <v>0</v>
      </c>
      <c r="F20" s="204">
        <v>0</v>
      </c>
      <c r="G20" s="204">
        <v>0</v>
      </c>
      <c r="H20" s="204"/>
      <c r="I20" s="204"/>
      <c r="J20" s="204"/>
      <c r="K20" s="204"/>
      <c r="L20" s="204"/>
      <c r="M20" s="204"/>
      <c r="N20" s="204"/>
      <c r="O20" s="204"/>
      <c r="P20" s="204"/>
      <c r="Q20" s="204"/>
      <c r="R20" s="204"/>
      <c r="S20" s="204"/>
      <c r="T20" s="204"/>
      <c r="U20" s="204"/>
      <c r="V20" s="204"/>
      <c r="W20" s="204"/>
      <c r="X20" s="204"/>
      <c r="Y20" s="204"/>
      <c r="Z20" s="204"/>
      <c r="AA20" s="204"/>
      <c r="AB20" s="204"/>
      <c r="AC20" s="204"/>
      <c r="AD20" s="204"/>
      <c r="AE20" s="204"/>
      <c r="AF20" s="204"/>
      <c r="AG20" s="204"/>
      <c r="AH20" s="204"/>
      <c r="AI20" s="204"/>
      <c r="AJ20" s="204"/>
      <c r="AK20" s="142"/>
      <c r="AL20" s="1"/>
    </row>
    <row r="21" spans="1:38" ht="14.25" customHeight="1">
      <c r="A21" s="619"/>
      <c r="B21" s="155"/>
      <c r="C21" s="355"/>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2"/>
      <c r="AL21" s="1"/>
    </row>
    <row r="22" spans="1:38" ht="14.25" customHeight="1">
      <c r="A22" s="3"/>
      <c r="B22" s="202"/>
      <c r="C22" s="160" t="s">
        <v>20</v>
      </c>
      <c r="D22" s="620"/>
      <c r="E22" s="620"/>
      <c r="F22" s="620"/>
      <c r="G22" s="620"/>
      <c r="H22" s="620"/>
      <c r="I22" s="620"/>
      <c r="J22" s="620"/>
      <c r="K22" s="620"/>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473"/>
      <c r="AL22" s="1"/>
    </row>
    <row r="23" spans="1:38" ht="14.25" customHeight="1">
      <c r="A23" s="619">
        <v>2</v>
      </c>
      <c r="B23" s="155"/>
      <c r="C23" s="164" t="s">
        <v>764</v>
      </c>
      <c r="D23" s="165">
        <v>189075.67841752499</v>
      </c>
      <c r="E23" s="165">
        <v>194106.80730376847</v>
      </c>
      <c r="F23" s="165">
        <v>175714.31102148001</v>
      </c>
      <c r="G23" s="165">
        <v>172857.47357056054</v>
      </c>
      <c r="H23" s="204"/>
      <c r="I23" s="204"/>
      <c r="J23" s="204"/>
      <c r="K23" s="204"/>
      <c r="L23" s="204"/>
      <c r="M23" s="204"/>
      <c r="N23" s="204"/>
      <c r="O23" s="204"/>
      <c r="P23" s="204"/>
      <c r="Q23" s="204"/>
      <c r="R23" s="204"/>
      <c r="S23" s="204"/>
      <c r="T23" s="204"/>
      <c r="U23" s="204"/>
      <c r="V23" s="204"/>
      <c r="W23" s="204"/>
      <c r="X23" s="204"/>
      <c r="Y23" s="204"/>
      <c r="Z23" s="204"/>
      <c r="AA23" s="204"/>
      <c r="AB23" s="204"/>
      <c r="AC23" s="204"/>
      <c r="AD23" s="204"/>
      <c r="AE23" s="204"/>
      <c r="AF23" s="204"/>
      <c r="AG23" s="204"/>
      <c r="AH23" s="204"/>
      <c r="AI23" s="204"/>
      <c r="AJ23" s="204"/>
      <c r="AK23" s="142"/>
      <c r="AL23" s="1"/>
    </row>
    <row r="24" spans="1:38" ht="14.25" customHeight="1">
      <c r="A24" s="619">
        <v>2</v>
      </c>
      <c r="B24" s="155"/>
      <c r="C24" s="164" t="s">
        <v>765</v>
      </c>
      <c r="D24" s="165">
        <v>9102.7225219745105</v>
      </c>
      <c r="E24" s="165">
        <v>8677.2758492090798</v>
      </c>
      <c r="F24" s="165">
        <v>7734.4925245407358</v>
      </c>
      <c r="G24" s="165">
        <v>7809.3587586725998</v>
      </c>
      <c r="H24" s="204"/>
      <c r="I24" s="204"/>
      <c r="J24" s="204"/>
      <c r="K24" s="204"/>
      <c r="L24" s="204"/>
      <c r="M24" s="204"/>
      <c r="N24" s="204"/>
      <c r="O24" s="204"/>
      <c r="P24" s="204"/>
      <c r="Q24" s="204"/>
      <c r="R24" s="204"/>
      <c r="S24" s="204"/>
      <c r="T24" s="204"/>
      <c r="U24" s="204"/>
      <c r="V24" s="204"/>
      <c r="W24" s="204"/>
      <c r="X24" s="204"/>
      <c r="Y24" s="204"/>
      <c r="Z24" s="204"/>
      <c r="AA24" s="204"/>
      <c r="AB24" s="204"/>
      <c r="AC24" s="204"/>
      <c r="AD24" s="204"/>
      <c r="AE24" s="204"/>
      <c r="AF24" s="204"/>
      <c r="AG24" s="204"/>
      <c r="AH24" s="204"/>
      <c r="AI24" s="204"/>
      <c r="AJ24" s="204"/>
      <c r="AK24" s="142"/>
      <c r="AL24" s="1"/>
    </row>
    <row r="25" spans="1:38" ht="14.25" customHeight="1">
      <c r="A25" s="619"/>
      <c r="B25" s="155"/>
      <c r="C25" s="164" t="s">
        <v>766</v>
      </c>
      <c r="D25" s="204" t="s">
        <v>186</v>
      </c>
      <c r="E25" s="204" t="s">
        <v>186</v>
      </c>
      <c r="F25" s="204" t="s">
        <v>186</v>
      </c>
      <c r="G25" s="204" t="s">
        <v>186</v>
      </c>
      <c r="H25" s="204"/>
      <c r="I25" s="204"/>
      <c r="J25" s="204"/>
      <c r="K25" s="204"/>
      <c r="L25" s="204"/>
      <c r="M25" s="204"/>
      <c r="N25" s="204"/>
      <c r="O25" s="204"/>
      <c r="P25" s="204"/>
      <c r="Q25" s="204"/>
      <c r="R25" s="204"/>
      <c r="S25" s="204"/>
      <c r="T25" s="204"/>
      <c r="U25" s="204"/>
      <c r="V25" s="204"/>
      <c r="W25" s="204"/>
      <c r="X25" s="204"/>
      <c r="Y25" s="204"/>
      <c r="Z25" s="204"/>
      <c r="AA25" s="204"/>
      <c r="AB25" s="204"/>
      <c r="AC25" s="204"/>
      <c r="AD25" s="204"/>
      <c r="AE25" s="204"/>
      <c r="AF25" s="204"/>
      <c r="AG25" s="204"/>
      <c r="AH25" s="204"/>
      <c r="AI25" s="204"/>
      <c r="AJ25" s="204"/>
      <c r="AK25" s="142"/>
      <c r="AL25" s="1"/>
    </row>
    <row r="26" spans="1:38" ht="14.25" customHeight="1">
      <c r="A26" s="619"/>
      <c r="B26" s="155"/>
      <c r="C26" s="164" t="s">
        <v>22</v>
      </c>
      <c r="D26" s="204"/>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04"/>
      <c r="AJ26" s="204"/>
      <c r="AK26" s="142"/>
      <c r="AL26" s="1"/>
    </row>
    <row r="27" spans="1:38" ht="14.25" customHeight="1">
      <c r="A27" s="619"/>
      <c r="B27" s="155"/>
      <c r="C27" s="164"/>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142"/>
      <c r="AL27" s="1"/>
    </row>
    <row r="28" spans="1:38" ht="14.25" customHeight="1">
      <c r="A28" s="619"/>
      <c r="B28" s="155"/>
      <c r="C28" s="164" t="s">
        <v>767</v>
      </c>
      <c r="D28" s="165">
        <f t="shared" ref="D28:AJ28" si="2">SUM(D23:D24)</f>
        <v>198178.40093949949</v>
      </c>
      <c r="E28" s="165">
        <f t="shared" si="2"/>
        <v>202784.08315297755</v>
      </c>
      <c r="F28" s="165">
        <f t="shared" si="2"/>
        <v>183448.80354602076</v>
      </c>
      <c r="G28" s="165">
        <f t="shared" si="2"/>
        <v>180666.83232923315</v>
      </c>
      <c r="H28" s="204">
        <f t="shared" si="2"/>
        <v>0</v>
      </c>
      <c r="I28" s="204">
        <f t="shared" si="2"/>
        <v>0</v>
      </c>
      <c r="J28" s="204">
        <f t="shared" si="2"/>
        <v>0</v>
      </c>
      <c r="K28" s="204">
        <f t="shared" si="2"/>
        <v>0</v>
      </c>
      <c r="L28" s="204">
        <f t="shared" si="2"/>
        <v>0</v>
      </c>
      <c r="M28" s="204">
        <f t="shared" si="2"/>
        <v>0</v>
      </c>
      <c r="N28" s="204">
        <f t="shared" si="2"/>
        <v>0</v>
      </c>
      <c r="O28" s="204">
        <f t="shared" si="2"/>
        <v>0</v>
      </c>
      <c r="P28" s="204">
        <f t="shared" si="2"/>
        <v>0</v>
      </c>
      <c r="Q28" s="204">
        <f t="shared" si="2"/>
        <v>0</v>
      </c>
      <c r="R28" s="204">
        <f t="shared" si="2"/>
        <v>0</v>
      </c>
      <c r="S28" s="204">
        <f t="shared" si="2"/>
        <v>0</v>
      </c>
      <c r="T28" s="204">
        <f t="shared" si="2"/>
        <v>0</v>
      </c>
      <c r="U28" s="204">
        <f t="shared" si="2"/>
        <v>0</v>
      </c>
      <c r="V28" s="204">
        <f t="shared" si="2"/>
        <v>0</v>
      </c>
      <c r="W28" s="204">
        <f t="shared" si="2"/>
        <v>0</v>
      </c>
      <c r="X28" s="204">
        <f t="shared" si="2"/>
        <v>0</v>
      </c>
      <c r="Y28" s="204">
        <f t="shared" si="2"/>
        <v>0</v>
      </c>
      <c r="Z28" s="204">
        <f t="shared" si="2"/>
        <v>0</v>
      </c>
      <c r="AA28" s="204">
        <f t="shared" si="2"/>
        <v>0</v>
      </c>
      <c r="AB28" s="204">
        <f t="shared" si="2"/>
        <v>0</v>
      </c>
      <c r="AC28" s="204">
        <f t="shared" si="2"/>
        <v>0</v>
      </c>
      <c r="AD28" s="204">
        <f t="shared" si="2"/>
        <v>0</v>
      </c>
      <c r="AE28" s="204">
        <f t="shared" si="2"/>
        <v>0</v>
      </c>
      <c r="AF28" s="204">
        <f t="shared" si="2"/>
        <v>0</v>
      </c>
      <c r="AG28" s="204">
        <f t="shared" si="2"/>
        <v>0</v>
      </c>
      <c r="AH28" s="204">
        <f t="shared" si="2"/>
        <v>0</v>
      </c>
      <c r="AI28" s="204">
        <f t="shared" si="2"/>
        <v>0</v>
      </c>
      <c r="AJ28" s="204">
        <f t="shared" si="2"/>
        <v>0</v>
      </c>
      <c r="AK28" s="142"/>
      <c r="AL28" s="1"/>
    </row>
    <row r="29" spans="1:38" ht="14.25" customHeight="1">
      <c r="A29" s="619"/>
      <c r="B29" s="155"/>
      <c r="C29" s="355"/>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2"/>
      <c r="AL29" s="1"/>
    </row>
    <row r="30" spans="1:38" ht="14.25" customHeight="1">
      <c r="A30" s="3"/>
      <c r="B30" s="202"/>
      <c r="C30" s="160" t="s">
        <v>768</v>
      </c>
      <c r="D30" s="620"/>
      <c r="E30" s="620"/>
      <c r="F30" s="620"/>
      <c r="G30" s="620"/>
      <c r="H30" s="620"/>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473"/>
      <c r="AL30" s="1"/>
    </row>
    <row r="31" spans="1:38" ht="14.25" customHeight="1">
      <c r="A31" s="619"/>
      <c r="B31" s="155"/>
      <c r="C31" s="164" t="s">
        <v>21</v>
      </c>
      <c r="D31" s="204" t="s">
        <v>186</v>
      </c>
      <c r="E31" s="204" t="s">
        <v>186</v>
      </c>
      <c r="F31" s="204" t="s">
        <v>186</v>
      </c>
      <c r="G31" s="204" t="s">
        <v>186</v>
      </c>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142"/>
      <c r="AL31" s="1"/>
    </row>
    <row r="32" spans="1:38" ht="14.25" customHeight="1">
      <c r="A32" s="619"/>
      <c r="B32" s="155"/>
      <c r="C32" s="164" t="s">
        <v>10</v>
      </c>
      <c r="D32" s="204" t="s">
        <v>186</v>
      </c>
      <c r="E32" s="204" t="s">
        <v>186</v>
      </c>
      <c r="F32" s="204" t="s">
        <v>186</v>
      </c>
      <c r="G32" s="204" t="s">
        <v>186</v>
      </c>
      <c r="H32" s="204"/>
      <c r="I32" s="204"/>
      <c r="J32" s="204"/>
      <c r="K32" s="204"/>
      <c r="L32" s="204"/>
      <c r="M32" s="204"/>
      <c r="N32" s="204"/>
      <c r="O32" s="204"/>
      <c r="P32" s="204"/>
      <c r="Q32" s="204"/>
      <c r="R32" s="204"/>
      <c r="S32" s="204"/>
      <c r="T32" s="204"/>
      <c r="U32" s="204"/>
      <c r="V32" s="204"/>
      <c r="W32" s="204"/>
      <c r="X32" s="204"/>
      <c r="Y32" s="204"/>
      <c r="Z32" s="204"/>
      <c r="AA32" s="204"/>
      <c r="AB32" s="204"/>
      <c r="AC32" s="204"/>
      <c r="AD32" s="204"/>
      <c r="AE32" s="204"/>
      <c r="AF32" s="204"/>
      <c r="AG32" s="204"/>
      <c r="AH32" s="204"/>
      <c r="AI32" s="204"/>
      <c r="AJ32" s="204"/>
      <c r="AK32" s="142"/>
      <c r="AL32" s="1"/>
    </row>
    <row r="33" spans="1:38" ht="14.25" customHeight="1">
      <c r="A33" s="619"/>
      <c r="B33" s="155"/>
      <c r="C33" s="164" t="s">
        <v>11</v>
      </c>
      <c r="D33" s="204" t="s">
        <v>186</v>
      </c>
      <c r="E33" s="204" t="s">
        <v>186</v>
      </c>
      <c r="F33" s="204" t="s">
        <v>186</v>
      </c>
      <c r="G33" s="204" t="s">
        <v>186</v>
      </c>
      <c r="H33" s="204"/>
      <c r="I33" s="204"/>
      <c r="J33" s="204"/>
      <c r="K33" s="204"/>
      <c r="L33" s="204"/>
      <c r="M33" s="204"/>
      <c r="N33" s="204"/>
      <c r="O33" s="204"/>
      <c r="P33" s="204"/>
      <c r="Q33" s="204"/>
      <c r="R33" s="204"/>
      <c r="S33" s="204"/>
      <c r="T33" s="204"/>
      <c r="U33" s="204"/>
      <c r="V33" s="204"/>
      <c r="W33" s="204"/>
      <c r="X33" s="204"/>
      <c r="Y33" s="204"/>
      <c r="Z33" s="204"/>
      <c r="AA33" s="204"/>
      <c r="AB33" s="204"/>
      <c r="AC33" s="204"/>
      <c r="AD33" s="204"/>
      <c r="AE33" s="204"/>
      <c r="AF33" s="204"/>
      <c r="AG33" s="204"/>
      <c r="AH33" s="204"/>
      <c r="AI33" s="204"/>
      <c r="AJ33" s="204"/>
      <c r="AK33" s="142"/>
      <c r="AL33" s="1"/>
    </row>
    <row r="34" spans="1:38" ht="14.25" customHeight="1">
      <c r="A34" s="619"/>
      <c r="B34" s="155"/>
      <c r="C34" s="164" t="s">
        <v>22</v>
      </c>
      <c r="D34" s="204"/>
      <c r="E34" s="204"/>
      <c r="F34" s="204"/>
      <c r="G34" s="204"/>
      <c r="H34" s="204"/>
      <c r="I34" s="204"/>
      <c r="J34" s="204"/>
      <c r="K34" s="204"/>
      <c r="L34" s="204"/>
      <c r="M34" s="204"/>
      <c r="N34" s="204"/>
      <c r="O34" s="204"/>
      <c r="P34" s="204"/>
      <c r="Q34" s="204"/>
      <c r="R34" s="204"/>
      <c r="S34" s="204"/>
      <c r="T34" s="204"/>
      <c r="U34" s="204"/>
      <c r="V34" s="204"/>
      <c r="W34" s="204"/>
      <c r="X34" s="204"/>
      <c r="Y34" s="204"/>
      <c r="Z34" s="204"/>
      <c r="AA34" s="204"/>
      <c r="AB34" s="204"/>
      <c r="AC34" s="204"/>
      <c r="AD34" s="204"/>
      <c r="AE34" s="204"/>
      <c r="AF34" s="204"/>
      <c r="AG34" s="204"/>
      <c r="AH34" s="204"/>
      <c r="AI34" s="204"/>
      <c r="AJ34" s="204"/>
      <c r="AK34" s="142"/>
      <c r="AL34" s="1"/>
    </row>
    <row r="35" spans="1:38" ht="14.25" customHeight="1">
      <c r="A35" s="619"/>
      <c r="B35" s="155"/>
      <c r="C35" s="164"/>
      <c r="D35" s="204"/>
      <c r="E35" s="204"/>
      <c r="F35" s="204"/>
      <c r="G35" s="204"/>
      <c r="H35" s="204"/>
      <c r="I35" s="204"/>
      <c r="J35" s="204"/>
      <c r="K35" s="204"/>
      <c r="L35" s="204"/>
      <c r="M35" s="204"/>
      <c r="N35" s="204"/>
      <c r="O35" s="204"/>
      <c r="P35" s="204"/>
      <c r="Q35" s="204"/>
      <c r="R35" s="204"/>
      <c r="S35" s="204"/>
      <c r="T35" s="204"/>
      <c r="U35" s="204"/>
      <c r="V35" s="204"/>
      <c r="W35" s="204"/>
      <c r="X35" s="204"/>
      <c r="Y35" s="204"/>
      <c r="Z35" s="204"/>
      <c r="AA35" s="204"/>
      <c r="AB35" s="204"/>
      <c r="AC35" s="204"/>
      <c r="AD35" s="204"/>
      <c r="AE35" s="204"/>
      <c r="AF35" s="204"/>
      <c r="AG35" s="204"/>
      <c r="AH35" s="204"/>
      <c r="AI35" s="204"/>
      <c r="AJ35" s="204"/>
      <c r="AK35" s="142"/>
      <c r="AL35" s="1"/>
    </row>
    <row r="36" spans="1:38" ht="14.25" customHeight="1">
      <c r="A36" s="619"/>
      <c r="B36" s="155"/>
      <c r="C36" s="164" t="s">
        <v>13</v>
      </c>
      <c r="D36" s="204">
        <f t="shared" ref="D36:AJ36" si="3">SUM(D31:D32)</f>
        <v>0</v>
      </c>
      <c r="E36" s="204">
        <f t="shared" si="3"/>
        <v>0</v>
      </c>
      <c r="F36" s="204">
        <f t="shared" si="3"/>
        <v>0</v>
      </c>
      <c r="G36" s="204">
        <f t="shared" si="3"/>
        <v>0</v>
      </c>
      <c r="H36" s="204">
        <f t="shared" si="3"/>
        <v>0</v>
      </c>
      <c r="I36" s="204">
        <f t="shared" si="3"/>
        <v>0</v>
      </c>
      <c r="J36" s="204">
        <f t="shared" si="3"/>
        <v>0</v>
      </c>
      <c r="K36" s="204">
        <f t="shared" si="3"/>
        <v>0</v>
      </c>
      <c r="L36" s="204">
        <f t="shared" si="3"/>
        <v>0</v>
      </c>
      <c r="M36" s="204">
        <f t="shared" si="3"/>
        <v>0</v>
      </c>
      <c r="N36" s="204">
        <f t="shared" si="3"/>
        <v>0</v>
      </c>
      <c r="O36" s="204">
        <f t="shared" si="3"/>
        <v>0</v>
      </c>
      <c r="P36" s="204">
        <f t="shared" si="3"/>
        <v>0</v>
      </c>
      <c r="Q36" s="204">
        <f t="shared" si="3"/>
        <v>0</v>
      </c>
      <c r="R36" s="204">
        <f t="shared" si="3"/>
        <v>0</v>
      </c>
      <c r="S36" s="204">
        <f t="shared" si="3"/>
        <v>0</v>
      </c>
      <c r="T36" s="204">
        <f t="shared" si="3"/>
        <v>0</v>
      </c>
      <c r="U36" s="204">
        <f t="shared" si="3"/>
        <v>0</v>
      </c>
      <c r="V36" s="204">
        <f t="shared" si="3"/>
        <v>0</v>
      </c>
      <c r="W36" s="204">
        <f t="shared" si="3"/>
        <v>0</v>
      </c>
      <c r="X36" s="204">
        <f t="shared" si="3"/>
        <v>0</v>
      </c>
      <c r="Y36" s="204">
        <f t="shared" si="3"/>
        <v>0</v>
      </c>
      <c r="Z36" s="204">
        <f t="shared" si="3"/>
        <v>0</v>
      </c>
      <c r="AA36" s="204">
        <f t="shared" si="3"/>
        <v>0</v>
      </c>
      <c r="AB36" s="204">
        <f t="shared" si="3"/>
        <v>0</v>
      </c>
      <c r="AC36" s="204">
        <f t="shared" si="3"/>
        <v>0</v>
      </c>
      <c r="AD36" s="204">
        <f t="shared" si="3"/>
        <v>0</v>
      </c>
      <c r="AE36" s="204">
        <f t="shared" si="3"/>
        <v>0</v>
      </c>
      <c r="AF36" s="204">
        <f t="shared" si="3"/>
        <v>0</v>
      </c>
      <c r="AG36" s="204">
        <f t="shared" si="3"/>
        <v>0</v>
      </c>
      <c r="AH36" s="204">
        <f t="shared" si="3"/>
        <v>0</v>
      </c>
      <c r="AI36" s="204">
        <f t="shared" si="3"/>
        <v>0</v>
      </c>
      <c r="AJ36" s="204">
        <f t="shared" si="3"/>
        <v>0</v>
      </c>
      <c r="AK36" s="142"/>
      <c r="AL36" s="1"/>
    </row>
    <row r="37" spans="1:38" ht="14.25" customHeight="1">
      <c r="A37" s="619"/>
      <c r="B37" s="155"/>
      <c r="C37" s="355"/>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2"/>
      <c r="AL37" s="1"/>
    </row>
    <row r="38" spans="1:38" ht="14.25" customHeight="1">
      <c r="A38" s="3"/>
      <c r="B38" s="202"/>
      <c r="C38" s="160" t="s">
        <v>26</v>
      </c>
      <c r="D38" s="620"/>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473"/>
      <c r="AL38" s="1"/>
    </row>
    <row r="39" spans="1:38" ht="14.25" customHeight="1">
      <c r="A39" s="619">
        <v>2</v>
      </c>
      <c r="B39" s="202"/>
      <c r="C39" s="164" t="s">
        <v>765</v>
      </c>
      <c r="D39" s="225">
        <v>4347.8</v>
      </c>
      <c r="E39" s="225">
        <v>4431.3999999999996</v>
      </c>
      <c r="F39" s="225">
        <v>4127.7</v>
      </c>
      <c r="G39" s="225">
        <v>4005</v>
      </c>
      <c r="H39" s="620"/>
      <c r="I39" s="620"/>
      <c r="J39" s="620"/>
      <c r="K39" s="620"/>
      <c r="L39" s="620"/>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473"/>
      <c r="AL39" s="1"/>
    </row>
    <row r="40" spans="1:38" ht="14.25" customHeight="1">
      <c r="A40" s="619"/>
      <c r="B40" s="155"/>
      <c r="C40" s="355"/>
      <c r="D40" s="143"/>
      <c r="E40" s="143"/>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43"/>
      <c r="AH40" s="143"/>
      <c r="AI40" s="143"/>
      <c r="AJ40" s="143"/>
      <c r="AK40" s="142"/>
      <c r="AL40" s="1"/>
    </row>
    <row r="41" spans="1:38" ht="14.25" customHeight="1">
      <c r="A41" s="3"/>
      <c r="B41" s="202"/>
      <c r="C41" s="160" t="s">
        <v>27</v>
      </c>
      <c r="D41" s="620"/>
      <c r="E41" s="620"/>
      <c r="F41" s="620"/>
      <c r="G41" s="620"/>
      <c r="H41" s="620"/>
      <c r="I41" s="620"/>
      <c r="J41" s="620"/>
      <c r="K41" s="620"/>
      <c r="L41" s="620"/>
      <c r="M41" s="620"/>
      <c r="N41" s="620"/>
      <c r="O41" s="620"/>
      <c r="P41" s="620"/>
      <c r="Q41" s="620"/>
      <c r="R41" s="620"/>
      <c r="S41" s="620"/>
      <c r="T41" s="620"/>
      <c r="U41" s="620"/>
      <c r="V41" s="620"/>
      <c r="W41" s="620"/>
      <c r="X41" s="620"/>
      <c r="Y41" s="620"/>
      <c r="Z41" s="620"/>
      <c r="AA41" s="620"/>
      <c r="AB41" s="620"/>
      <c r="AC41" s="620"/>
      <c r="AD41" s="620"/>
      <c r="AE41" s="620"/>
      <c r="AF41" s="620"/>
      <c r="AG41" s="620"/>
      <c r="AH41" s="620"/>
      <c r="AI41" s="620"/>
      <c r="AJ41" s="620"/>
      <c r="AK41" s="473"/>
      <c r="AL41" s="1"/>
    </row>
    <row r="42" spans="1:38" ht="14.25" customHeight="1">
      <c r="A42" s="619"/>
      <c r="B42" s="155"/>
      <c r="C42" s="164" t="s">
        <v>769</v>
      </c>
      <c r="D42" s="204" t="s">
        <v>186</v>
      </c>
      <c r="E42" s="204" t="s">
        <v>186</v>
      </c>
      <c r="F42" s="204" t="s">
        <v>186</v>
      </c>
      <c r="G42" s="204" t="s">
        <v>186</v>
      </c>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42"/>
      <c r="AL42" s="1"/>
    </row>
    <row r="43" spans="1:38" ht="14.25" customHeight="1">
      <c r="A43" s="619">
        <v>2</v>
      </c>
      <c r="B43" s="155"/>
      <c r="C43" s="164" t="s">
        <v>770</v>
      </c>
      <c r="D43" s="165">
        <v>20280.618464650001</v>
      </c>
      <c r="E43" s="165">
        <v>21429.095840510003</v>
      </c>
      <c r="F43" s="165">
        <v>18644.302607059995</v>
      </c>
      <c r="G43" s="165">
        <v>23555.024907935003</v>
      </c>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42"/>
      <c r="AL43" s="1"/>
    </row>
    <row r="44" spans="1:38" ht="14.25" customHeight="1">
      <c r="A44" s="619">
        <v>2</v>
      </c>
      <c r="B44" s="155"/>
      <c r="C44" s="164" t="s">
        <v>771</v>
      </c>
      <c r="D44" s="165">
        <v>15776.647149737999</v>
      </c>
      <c r="E44" s="165">
        <v>18243.464340036007</v>
      </c>
      <c r="F44" s="165">
        <v>13604.810243118001</v>
      </c>
      <c r="G44" s="165">
        <v>16024.160349893999</v>
      </c>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42"/>
      <c r="AL44" s="1"/>
    </row>
    <row r="45" spans="1:38" ht="14.25" customHeight="1">
      <c r="A45" s="619">
        <v>2</v>
      </c>
      <c r="B45" s="155"/>
      <c r="C45" s="164" t="s">
        <v>772</v>
      </c>
      <c r="D45" s="165">
        <v>7472.555465247</v>
      </c>
      <c r="E45" s="165">
        <v>8141.5759944559986</v>
      </c>
      <c r="F45" s="165">
        <v>8320.4433482920012</v>
      </c>
      <c r="G45" s="165">
        <v>8589.9799965389993</v>
      </c>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42"/>
      <c r="AL45" s="1"/>
    </row>
    <row r="46" spans="1:38" ht="14.25" customHeight="1">
      <c r="A46" s="619">
        <v>2</v>
      </c>
      <c r="B46" s="155"/>
      <c r="C46" s="164" t="s">
        <v>773</v>
      </c>
      <c r="D46" s="165">
        <v>4146.7521155200002</v>
      </c>
      <c r="E46" s="165">
        <v>4395.6063585279999</v>
      </c>
      <c r="F46" s="165">
        <v>3071.1038924160002</v>
      </c>
      <c r="G46" s="165">
        <v>2387.2161604480002</v>
      </c>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42"/>
      <c r="AL46" s="1"/>
    </row>
    <row r="47" spans="1:38" ht="14.25" customHeight="1">
      <c r="A47" s="619">
        <v>2</v>
      </c>
      <c r="B47" s="155"/>
      <c r="C47" s="164" t="s">
        <v>774</v>
      </c>
      <c r="D47" s="204" t="s">
        <v>186</v>
      </c>
      <c r="E47" s="204" t="s">
        <v>186</v>
      </c>
      <c r="F47" s="165">
        <v>161.533223341</v>
      </c>
      <c r="G47" s="204" t="s">
        <v>186</v>
      </c>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42"/>
      <c r="AL47" s="1"/>
    </row>
    <row r="48" spans="1:38" ht="14.25" customHeight="1">
      <c r="A48" s="619">
        <v>2</v>
      </c>
      <c r="B48" s="155"/>
      <c r="C48" s="538" t="s">
        <v>775</v>
      </c>
      <c r="D48" s="165">
        <v>958.68917970000018</v>
      </c>
      <c r="E48" s="165">
        <v>766.59909549999998</v>
      </c>
      <c r="F48" s="165">
        <v>884.32902390000004</v>
      </c>
      <c r="G48" s="165">
        <v>976.87803360000009</v>
      </c>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42"/>
      <c r="AL48" s="1"/>
    </row>
    <row r="49" spans="1:38" ht="14.25" customHeight="1">
      <c r="A49" s="619"/>
      <c r="B49" s="155"/>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42"/>
      <c r="AL49" s="1"/>
    </row>
    <row r="50" spans="1:38" ht="14.25" customHeight="1">
      <c r="A50" s="619"/>
      <c r="B50" s="155"/>
      <c r="C50" s="164" t="s">
        <v>767</v>
      </c>
      <c r="D50" s="165">
        <f t="shared" ref="D50:G50" si="4">SUM(D42:D48)</f>
        <v>48635.262374855003</v>
      </c>
      <c r="E50" s="165">
        <f t="shared" si="4"/>
        <v>52976.341629030008</v>
      </c>
      <c r="F50" s="165">
        <f t="shared" si="4"/>
        <v>44686.522338126997</v>
      </c>
      <c r="G50" s="165">
        <f t="shared" si="4"/>
        <v>51533.259448415993</v>
      </c>
      <c r="H50" s="204">
        <f t="shared" ref="H50:AJ50" si="5">SUM(H43:H47)</f>
        <v>0</v>
      </c>
      <c r="I50" s="204">
        <f t="shared" si="5"/>
        <v>0</v>
      </c>
      <c r="J50" s="204">
        <f t="shared" si="5"/>
        <v>0</v>
      </c>
      <c r="K50" s="204">
        <f t="shared" si="5"/>
        <v>0</v>
      </c>
      <c r="L50" s="204">
        <f t="shared" si="5"/>
        <v>0</v>
      </c>
      <c r="M50" s="204">
        <f t="shared" si="5"/>
        <v>0</v>
      </c>
      <c r="N50" s="204">
        <f t="shared" si="5"/>
        <v>0</v>
      </c>
      <c r="O50" s="204">
        <f t="shared" si="5"/>
        <v>0</v>
      </c>
      <c r="P50" s="204">
        <f t="shared" si="5"/>
        <v>0</v>
      </c>
      <c r="Q50" s="204">
        <f t="shared" si="5"/>
        <v>0</v>
      </c>
      <c r="R50" s="204">
        <f t="shared" si="5"/>
        <v>0</v>
      </c>
      <c r="S50" s="204">
        <f t="shared" si="5"/>
        <v>0</v>
      </c>
      <c r="T50" s="204">
        <f t="shared" si="5"/>
        <v>0</v>
      </c>
      <c r="U50" s="204">
        <f t="shared" si="5"/>
        <v>0</v>
      </c>
      <c r="V50" s="204">
        <f t="shared" si="5"/>
        <v>0</v>
      </c>
      <c r="W50" s="204">
        <f t="shared" si="5"/>
        <v>0</v>
      </c>
      <c r="X50" s="204">
        <f t="shared" si="5"/>
        <v>0</v>
      </c>
      <c r="Y50" s="204">
        <f t="shared" si="5"/>
        <v>0</v>
      </c>
      <c r="Z50" s="204">
        <f t="shared" si="5"/>
        <v>0</v>
      </c>
      <c r="AA50" s="204">
        <f t="shared" si="5"/>
        <v>0</v>
      </c>
      <c r="AB50" s="204">
        <f t="shared" si="5"/>
        <v>0</v>
      </c>
      <c r="AC50" s="204">
        <f t="shared" si="5"/>
        <v>0</v>
      </c>
      <c r="AD50" s="204">
        <f t="shared" si="5"/>
        <v>0</v>
      </c>
      <c r="AE50" s="204">
        <f t="shared" si="5"/>
        <v>0</v>
      </c>
      <c r="AF50" s="204">
        <f t="shared" si="5"/>
        <v>0</v>
      </c>
      <c r="AG50" s="204">
        <f t="shared" si="5"/>
        <v>0</v>
      </c>
      <c r="AH50" s="204">
        <f t="shared" si="5"/>
        <v>0</v>
      </c>
      <c r="AI50" s="204">
        <f t="shared" si="5"/>
        <v>0</v>
      </c>
      <c r="AJ50" s="204">
        <f t="shared" si="5"/>
        <v>0</v>
      </c>
      <c r="AK50" s="142"/>
      <c r="AL50" s="1"/>
    </row>
    <row r="51" spans="1:38" ht="14.25" customHeight="1">
      <c r="A51" s="619"/>
      <c r="B51" s="155"/>
      <c r="C51" s="355"/>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2"/>
      <c r="AL51" s="1"/>
    </row>
    <row r="52" spans="1:38" ht="14.25" customHeight="1">
      <c r="A52" s="3"/>
      <c r="B52" s="202"/>
      <c r="C52" s="160" t="s">
        <v>35</v>
      </c>
      <c r="D52" s="620"/>
      <c r="E52" s="620"/>
      <c r="F52" s="620"/>
      <c r="G52" s="620"/>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473"/>
      <c r="AL52" s="1"/>
    </row>
    <row r="53" spans="1:38" ht="14.25" customHeight="1">
      <c r="A53" s="619"/>
      <c r="B53" s="155"/>
      <c r="C53" s="164"/>
      <c r="D53" s="204"/>
      <c r="E53" s="204"/>
      <c r="F53" s="204"/>
      <c r="G53" s="204"/>
      <c r="H53" s="204"/>
      <c r="I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4"/>
      <c r="AG53" s="204"/>
      <c r="AH53" s="204"/>
      <c r="AI53" s="204"/>
      <c r="AJ53" s="204"/>
      <c r="AK53" s="142"/>
      <c r="AL53" s="1"/>
    </row>
    <row r="54" spans="1:38" ht="14.25" customHeight="1">
      <c r="A54" s="619"/>
      <c r="B54" s="155"/>
      <c r="C54" s="160" t="s">
        <v>36</v>
      </c>
      <c r="D54" s="204"/>
      <c r="E54" s="204"/>
      <c r="F54" s="204"/>
      <c r="G54" s="204"/>
      <c r="H54" s="204"/>
      <c r="I54" s="204"/>
      <c r="J54" s="204"/>
      <c r="K54" s="204"/>
      <c r="L54" s="204"/>
      <c r="M54" s="204"/>
      <c r="N54" s="204"/>
      <c r="O54" s="204"/>
      <c r="P54" s="204"/>
      <c r="Q54" s="204"/>
      <c r="R54" s="204"/>
      <c r="S54" s="204"/>
      <c r="T54" s="204"/>
      <c r="U54" s="204"/>
      <c r="V54" s="204"/>
      <c r="W54" s="204"/>
      <c r="X54" s="204"/>
      <c r="Y54" s="204"/>
      <c r="Z54" s="204"/>
      <c r="AA54" s="204"/>
      <c r="AB54" s="204"/>
      <c r="AC54" s="204"/>
      <c r="AD54" s="204"/>
      <c r="AE54" s="204"/>
      <c r="AF54" s="204"/>
      <c r="AG54" s="204"/>
      <c r="AH54" s="204"/>
      <c r="AI54" s="204"/>
      <c r="AJ54" s="204"/>
      <c r="AK54" s="142"/>
      <c r="AL54" s="1"/>
    </row>
    <row r="55" spans="1:38" ht="14.25" customHeight="1">
      <c r="A55" s="619">
        <v>2</v>
      </c>
      <c r="B55" s="155"/>
      <c r="C55" s="164" t="s">
        <v>764</v>
      </c>
      <c r="D55" s="165">
        <v>-35445.300708585004</v>
      </c>
      <c r="E55" s="165">
        <v>-32203.332299475016</v>
      </c>
      <c r="F55" s="165">
        <v>-26319.067862585001</v>
      </c>
      <c r="G55" s="165">
        <v>-32950.003969485006</v>
      </c>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4"/>
      <c r="AG55" s="204"/>
      <c r="AH55" s="204"/>
      <c r="AI55" s="204"/>
      <c r="AJ55" s="204"/>
      <c r="AK55" s="142"/>
      <c r="AL55" s="1"/>
    </row>
    <row r="56" spans="1:38" ht="14.25" customHeight="1">
      <c r="A56" s="619"/>
      <c r="B56" s="155"/>
      <c r="C56" s="164"/>
      <c r="D56" s="165"/>
      <c r="E56" s="165"/>
      <c r="F56" s="165"/>
      <c r="G56" s="165"/>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c r="AK56" s="142"/>
      <c r="AL56" s="1"/>
    </row>
    <row r="57" spans="1:38" ht="14.25" customHeight="1">
      <c r="A57" s="619"/>
      <c r="B57" s="155"/>
      <c r="C57" s="160" t="s">
        <v>37</v>
      </c>
      <c r="D57" s="165"/>
      <c r="E57" s="165"/>
      <c r="F57" s="165"/>
      <c r="G57" s="165"/>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142"/>
      <c r="AL57" s="1"/>
    </row>
    <row r="58" spans="1:38" ht="14.25" customHeight="1">
      <c r="A58" s="619">
        <v>2</v>
      </c>
      <c r="B58" s="155"/>
      <c r="C58" s="164" t="s">
        <v>764</v>
      </c>
      <c r="D58" s="165">
        <v>-15582.858278500002</v>
      </c>
      <c r="E58" s="165">
        <v>-13583.229327500001</v>
      </c>
      <c r="F58" s="165">
        <v>-10482.424086000001</v>
      </c>
      <c r="G58" s="165">
        <v>-13536.534390000001</v>
      </c>
      <c r="H58" s="204"/>
      <c r="I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142"/>
      <c r="AL58" s="1"/>
    </row>
    <row r="59" spans="1:38" ht="14.25" customHeight="1">
      <c r="A59" s="619">
        <v>2</v>
      </c>
      <c r="B59" s="155"/>
      <c r="C59" s="164" t="s">
        <v>776</v>
      </c>
      <c r="D59" s="165">
        <v>-1.7028752563080001</v>
      </c>
      <c r="E59" s="165">
        <v>-1.64374526625228</v>
      </c>
      <c r="F59" s="165">
        <v>0</v>
      </c>
      <c r="G59" s="165">
        <v>-2.7097679958000001</v>
      </c>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c r="AK59" s="142"/>
      <c r="AL59" s="1"/>
    </row>
    <row r="60" spans="1:38" ht="14.25" customHeight="1">
      <c r="A60" s="619"/>
      <c r="B60" s="155"/>
      <c r="C60" s="164"/>
      <c r="D60" s="165"/>
      <c r="E60" s="165"/>
      <c r="F60" s="165"/>
      <c r="G60" s="165"/>
      <c r="H60" s="204"/>
      <c r="I60" s="204"/>
      <c r="J60" s="204"/>
      <c r="K60" s="204"/>
      <c r="L60" s="204"/>
      <c r="M60" s="204"/>
      <c r="N60" s="204"/>
      <c r="O60" s="204"/>
      <c r="P60" s="204"/>
      <c r="Q60" s="204"/>
      <c r="R60" s="204"/>
      <c r="S60" s="204"/>
      <c r="T60" s="204"/>
      <c r="U60" s="204"/>
      <c r="V60" s="204"/>
      <c r="W60" s="204"/>
      <c r="X60" s="204"/>
      <c r="Y60" s="204"/>
      <c r="Z60" s="204"/>
      <c r="AA60" s="204"/>
      <c r="AB60" s="204"/>
      <c r="AC60" s="204"/>
      <c r="AD60" s="204"/>
      <c r="AE60" s="204"/>
      <c r="AF60" s="204"/>
      <c r="AG60" s="204"/>
      <c r="AH60" s="204"/>
      <c r="AI60" s="204"/>
      <c r="AJ60" s="204"/>
      <c r="AK60" s="142"/>
      <c r="AL60" s="1"/>
    </row>
    <row r="61" spans="1:38" ht="14.25" customHeight="1">
      <c r="A61" s="619"/>
      <c r="B61" s="155"/>
      <c r="C61" s="160" t="s">
        <v>40</v>
      </c>
      <c r="D61" s="165"/>
      <c r="E61" s="165"/>
      <c r="F61" s="165"/>
      <c r="G61" s="165"/>
      <c r="H61" s="204"/>
      <c r="I61" s="204"/>
      <c r="J61" s="204"/>
      <c r="K61" s="204"/>
      <c r="L61" s="204"/>
      <c r="M61" s="204"/>
      <c r="N61" s="204"/>
      <c r="O61" s="204"/>
      <c r="P61" s="204"/>
      <c r="Q61" s="204"/>
      <c r="R61" s="204"/>
      <c r="S61" s="204"/>
      <c r="T61" s="204"/>
      <c r="U61" s="204"/>
      <c r="V61" s="204"/>
      <c r="W61" s="204"/>
      <c r="X61" s="204"/>
      <c r="Y61" s="204"/>
      <c r="Z61" s="204"/>
      <c r="AA61" s="204"/>
      <c r="AB61" s="204"/>
      <c r="AC61" s="204"/>
      <c r="AD61" s="204"/>
      <c r="AE61" s="204"/>
      <c r="AF61" s="204"/>
      <c r="AG61" s="204"/>
      <c r="AH61" s="204"/>
      <c r="AI61" s="204"/>
      <c r="AJ61" s="204"/>
      <c r="AK61" s="142"/>
      <c r="AL61" s="1"/>
    </row>
    <row r="62" spans="1:38" ht="14.25" customHeight="1">
      <c r="A62" s="619">
        <v>2</v>
      </c>
      <c r="B62" s="155"/>
      <c r="C62" s="164" t="s">
        <v>764</v>
      </c>
      <c r="D62" s="165">
        <v>-7187.4213946150003</v>
      </c>
      <c r="E62" s="165">
        <v>-6720.1751549850005</v>
      </c>
      <c r="F62" s="165">
        <v>-6021.2021558200004</v>
      </c>
      <c r="G62" s="165">
        <v>-7063.4959749</v>
      </c>
      <c r="H62" s="204"/>
      <c r="I62" s="204"/>
      <c r="J62" s="204"/>
      <c r="K62" s="204"/>
      <c r="L62" s="204"/>
      <c r="M62" s="204"/>
      <c r="N62" s="204"/>
      <c r="O62" s="204"/>
      <c r="P62" s="204"/>
      <c r="Q62" s="204"/>
      <c r="R62" s="204"/>
      <c r="S62" s="204"/>
      <c r="T62" s="204"/>
      <c r="U62" s="204"/>
      <c r="V62" s="204"/>
      <c r="W62" s="204"/>
      <c r="X62" s="204"/>
      <c r="Y62" s="204"/>
      <c r="Z62" s="204"/>
      <c r="AA62" s="204"/>
      <c r="AB62" s="204"/>
      <c r="AC62" s="204"/>
      <c r="AD62" s="204"/>
      <c r="AE62" s="204"/>
      <c r="AF62" s="204"/>
      <c r="AG62" s="204"/>
      <c r="AH62" s="204"/>
      <c r="AI62" s="204"/>
      <c r="AJ62" s="204"/>
      <c r="AK62" s="142"/>
      <c r="AL62" s="1"/>
    </row>
    <row r="63" spans="1:38" ht="14.25" customHeight="1">
      <c r="A63" s="619"/>
      <c r="B63" s="155"/>
      <c r="C63" s="164"/>
      <c r="D63" s="165"/>
      <c r="E63" s="165"/>
      <c r="F63" s="165"/>
      <c r="G63" s="165"/>
      <c r="H63" s="204"/>
      <c r="I63" s="204"/>
      <c r="J63" s="204"/>
      <c r="K63" s="204"/>
      <c r="L63" s="204"/>
      <c r="M63" s="204"/>
      <c r="N63" s="204"/>
      <c r="O63" s="204"/>
      <c r="P63" s="204"/>
      <c r="Q63" s="204"/>
      <c r="R63" s="204"/>
      <c r="S63" s="204"/>
      <c r="T63" s="204"/>
      <c r="U63" s="204"/>
      <c r="V63" s="204"/>
      <c r="W63" s="204"/>
      <c r="X63" s="204"/>
      <c r="Y63" s="204"/>
      <c r="Z63" s="204"/>
      <c r="AA63" s="204"/>
      <c r="AB63" s="204"/>
      <c r="AC63" s="204"/>
      <c r="AD63" s="204"/>
      <c r="AE63" s="204"/>
      <c r="AF63" s="204"/>
      <c r="AG63" s="204"/>
      <c r="AH63" s="204"/>
      <c r="AI63" s="204"/>
      <c r="AJ63" s="204"/>
      <c r="AK63" s="142"/>
      <c r="AL63" s="1"/>
    </row>
    <row r="64" spans="1:38" ht="14.25" customHeight="1">
      <c r="A64" s="619"/>
      <c r="B64" s="155"/>
      <c r="C64" s="160" t="s">
        <v>41</v>
      </c>
      <c r="D64" s="165"/>
      <c r="E64" s="165"/>
      <c r="F64" s="165"/>
      <c r="G64" s="165"/>
      <c r="H64" s="204"/>
      <c r="I64" s="204"/>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4"/>
      <c r="AG64" s="204"/>
      <c r="AH64" s="204"/>
      <c r="AI64" s="204"/>
      <c r="AJ64" s="204"/>
      <c r="AK64" s="142"/>
      <c r="AL64" s="1"/>
    </row>
    <row r="65" spans="1:38" ht="14.25" customHeight="1">
      <c r="A65" s="619">
        <v>2</v>
      </c>
      <c r="B65" s="155"/>
      <c r="C65" s="164" t="s">
        <v>764</v>
      </c>
      <c r="D65" s="165">
        <v>-3482.9801152049999</v>
      </c>
      <c r="E65" s="165">
        <v>-3591.834932875</v>
      </c>
      <c r="F65" s="165">
        <v>-3310.6159562050002</v>
      </c>
      <c r="G65" s="165">
        <v>-3405.1962641800001</v>
      </c>
      <c r="H65" s="204"/>
      <c r="I65" s="204"/>
      <c r="J65" s="204"/>
      <c r="K65" s="204"/>
      <c r="L65" s="204"/>
      <c r="M65" s="204"/>
      <c r="N65" s="204"/>
      <c r="O65" s="204"/>
      <c r="P65" s="204"/>
      <c r="Q65" s="204"/>
      <c r="R65" s="204"/>
      <c r="S65" s="204"/>
      <c r="T65" s="204"/>
      <c r="U65" s="204"/>
      <c r="V65" s="204"/>
      <c r="W65" s="204"/>
      <c r="X65" s="204"/>
      <c r="Y65" s="204"/>
      <c r="Z65" s="204"/>
      <c r="AA65" s="204"/>
      <c r="AB65" s="204"/>
      <c r="AC65" s="204"/>
      <c r="AD65" s="204"/>
      <c r="AE65" s="204"/>
      <c r="AF65" s="204"/>
      <c r="AG65" s="204"/>
      <c r="AH65" s="204"/>
      <c r="AI65" s="204"/>
      <c r="AJ65" s="204"/>
      <c r="AK65" s="142"/>
      <c r="AL65" s="1"/>
    </row>
    <row r="66" spans="1:38" ht="14.25" customHeight="1">
      <c r="A66" s="619">
        <v>2</v>
      </c>
      <c r="B66" s="155"/>
      <c r="C66" s="164" t="s">
        <v>776</v>
      </c>
      <c r="D66" s="165">
        <v>-113.309300538819</v>
      </c>
      <c r="E66" s="165">
        <v>-120.828108058702</v>
      </c>
      <c r="F66" s="165">
        <v>-105.48527806302999</v>
      </c>
      <c r="G66" s="165">
        <v>-100.65048148104999</v>
      </c>
      <c r="H66" s="204"/>
      <c r="I66" s="204"/>
      <c r="J66" s="204"/>
      <c r="K66" s="204"/>
      <c r="L66" s="204"/>
      <c r="M66" s="204"/>
      <c r="N66" s="204"/>
      <c r="O66" s="204"/>
      <c r="P66" s="204"/>
      <c r="Q66" s="204"/>
      <c r="R66" s="204"/>
      <c r="S66" s="204"/>
      <c r="T66" s="204"/>
      <c r="U66" s="204"/>
      <c r="V66" s="204"/>
      <c r="W66" s="204"/>
      <c r="X66" s="204"/>
      <c r="Y66" s="204"/>
      <c r="Z66" s="204"/>
      <c r="AA66" s="204"/>
      <c r="AB66" s="204"/>
      <c r="AC66" s="204"/>
      <c r="AD66" s="204"/>
      <c r="AE66" s="204"/>
      <c r="AF66" s="204"/>
      <c r="AG66" s="204"/>
      <c r="AH66" s="204"/>
      <c r="AI66" s="204"/>
      <c r="AJ66" s="204"/>
      <c r="AK66" s="142"/>
      <c r="AL66" s="1"/>
    </row>
    <row r="67" spans="1:38" ht="14.25" customHeight="1">
      <c r="A67" s="619"/>
      <c r="B67" s="155"/>
      <c r="C67" s="355"/>
      <c r="D67" s="143"/>
      <c r="E67" s="143"/>
      <c r="F67" s="143"/>
      <c r="G67" s="143"/>
      <c r="H67" s="143"/>
      <c r="I67" s="143"/>
      <c r="J67" s="143"/>
      <c r="K67" s="143"/>
      <c r="L67" s="143"/>
      <c r="M67" s="143"/>
      <c r="N67" s="143"/>
      <c r="O67" s="143"/>
      <c r="P67" s="143"/>
      <c r="Q67" s="143"/>
      <c r="R67" s="143"/>
      <c r="S67" s="143"/>
      <c r="T67" s="143"/>
      <c r="U67" s="143"/>
      <c r="V67" s="143"/>
      <c r="W67" s="143"/>
      <c r="X67" s="143"/>
      <c r="Y67" s="143"/>
      <c r="Z67" s="143"/>
      <c r="AA67" s="143"/>
      <c r="AB67" s="143"/>
      <c r="AC67" s="143"/>
      <c r="AD67" s="143"/>
      <c r="AE67" s="143"/>
      <c r="AF67" s="143"/>
      <c r="AG67" s="143"/>
      <c r="AH67" s="143"/>
      <c r="AI67" s="143"/>
      <c r="AJ67" s="143"/>
      <c r="AK67" s="142"/>
      <c r="AL67" s="1"/>
    </row>
    <row r="68" spans="1:38" ht="14.25" customHeight="1">
      <c r="A68" s="3"/>
      <c r="B68" s="202"/>
      <c r="C68" s="160" t="s">
        <v>42</v>
      </c>
      <c r="D68" s="620"/>
      <c r="E68" s="620"/>
      <c r="F68" s="620"/>
      <c r="G68" s="620"/>
      <c r="H68" s="620"/>
      <c r="I68" s="620"/>
      <c r="J68" s="620"/>
      <c r="K68" s="620"/>
      <c r="L68" s="620"/>
      <c r="M68" s="620"/>
      <c r="N68" s="620"/>
      <c r="O68" s="620"/>
      <c r="P68" s="620"/>
      <c r="Q68" s="620"/>
      <c r="R68" s="620"/>
      <c r="S68" s="620"/>
      <c r="T68" s="620"/>
      <c r="U68" s="620"/>
      <c r="V68" s="620"/>
      <c r="W68" s="620"/>
      <c r="X68" s="620"/>
      <c r="Y68" s="620"/>
      <c r="Z68" s="620"/>
      <c r="AA68" s="620"/>
      <c r="AB68" s="620"/>
      <c r="AC68" s="620"/>
      <c r="AD68" s="620"/>
      <c r="AE68" s="620"/>
      <c r="AF68" s="620"/>
      <c r="AG68" s="620"/>
      <c r="AH68" s="620"/>
      <c r="AI68" s="620"/>
      <c r="AJ68" s="620"/>
      <c r="AK68" s="473"/>
      <c r="AL68" s="1"/>
    </row>
    <row r="69" spans="1:38" ht="14.25" customHeight="1">
      <c r="A69" s="619"/>
      <c r="B69" s="155"/>
      <c r="C69" s="164"/>
      <c r="D69" s="204"/>
      <c r="E69" s="204"/>
      <c r="F69" s="204"/>
      <c r="G69" s="204"/>
      <c r="H69" s="204"/>
      <c r="I69" s="204"/>
      <c r="J69" s="204"/>
      <c r="K69" s="204"/>
      <c r="L69" s="204"/>
      <c r="M69" s="204"/>
      <c r="N69" s="204"/>
      <c r="O69" s="204"/>
      <c r="P69" s="204"/>
      <c r="Q69" s="204"/>
      <c r="R69" s="204"/>
      <c r="S69" s="204"/>
      <c r="T69" s="204"/>
      <c r="U69" s="204"/>
      <c r="V69" s="204"/>
      <c r="W69" s="204"/>
      <c r="X69" s="204"/>
      <c r="Y69" s="204"/>
      <c r="Z69" s="204"/>
      <c r="AA69" s="204"/>
      <c r="AB69" s="204"/>
      <c r="AC69" s="204"/>
      <c r="AD69" s="204"/>
      <c r="AE69" s="204"/>
      <c r="AF69" s="204"/>
      <c r="AG69" s="204"/>
      <c r="AH69" s="204"/>
      <c r="AI69" s="204"/>
      <c r="AJ69" s="204"/>
      <c r="AK69" s="142"/>
      <c r="AL69" s="1"/>
    </row>
    <row r="70" spans="1:38" ht="14.25" customHeight="1">
      <c r="A70" s="619"/>
      <c r="B70" s="155"/>
      <c r="C70" s="160" t="s">
        <v>36</v>
      </c>
      <c r="D70" s="204"/>
      <c r="E70" s="204"/>
      <c r="F70" s="204"/>
      <c r="G70" s="204"/>
      <c r="H70" s="204"/>
      <c r="I70" s="204"/>
      <c r="J70" s="204"/>
      <c r="K70" s="204"/>
      <c r="L70" s="204"/>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c r="AK70" s="142"/>
      <c r="AL70" s="1"/>
    </row>
    <row r="71" spans="1:38" ht="14.25" customHeight="1">
      <c r="A71" s="619">
        <v>2</v>
      </c>
      <c r="B71" s="155"/>
      <c r="C71" s="164" t="s">
        <v>770</v>
      </c>
      <c r="D71" s="165">
        <v>7967.9536894899984</v>
      </c>
      <c r="E71" s="165">
        <v>7872.9163570050005</v>
      </c>
      <c r="F71" s="165">
        <v>5318.0091060599998</v>
      </c>
      <c r="G71" s="165">
        <v>7030.5653529499996</v>
      </c>
      <c r="H71" s="204"/>
      <c r="I71" s="204"/>
      <c r="J71" s="204"/>
      <c r="K71" s="204"/>
      <c r="L71" s="204"/>
      <c r="M71" s="204"/>
      <c r="N71" s="204"/>
      <c r="O71" s="204"/>
      <c r="P71" s="204"/>
      <c r="Q71" s="204"/>
      <c r="R71" s="204"/>
      <c r="S71" s="204"/>
      <c r="T71" s="204"/>
      <c r="U71" s="204"/>
      <c r="V71" s="204"/>
      <c r="W71" s="204"/>
      <c r="X71" s="204"/>
      <c r="Y71" s="204"/>
      <c r="Z71" s="204"/>
      <c r="AA71" s="204"/>
      <c r="AB71" s="204"/>
      <c r="AC71" s="204"/>
      <c r="AD71" s="204"/>
      <c r="AE71" s="204"/>
      <c r="AF71" s="204"/>
      <c r="AG71" s="204"/>
      <c r="AH71" s="204"/>
      <c r="AI71" s="204"/>
      <c r="AJ71" s="204"/>
      <c r="AK71" s="142"/>
      <c r="AL71" s="1"/>
    </row>
    <row r="72" spans="1:38" ht="14.25" customHeight="1">
      <c r="A72" s="619">
        <v>2</v>
      </c>
      <c r="B72" s="155"/>
      <c r="C72" s="164" t="s">
        <v>771</v>
      </c>
      <c r="D72" s="165">
        <v>8188.7104428599996</v>
      </c>
      <c r="E72" s="165">
        <v>7596.5377124485703</v>
      </c>
      <c r="F72" s="165">
        <v>5712.3388130639987</v>
      </c>
      <c r="G72" s="165">
        <v>6525.157233162</v>
      </c>
      <c r="H72" s="204"/>
      <c r="I72" s="204"/>
      <c r="J72" s="204"/>
      <c r="K72" s="204"/>
      <c r="L72" s="204"/>
      <c r="M72" s="204"/>
      <c r="N72" s="204"/>
      <c r="O72" s="204"/>
      <c r="P72" s="204"/>
      <c r="Q72" s="204"/>
      <c r="R72" s="204"/>
      <c r="S72" s="204"/>
      <c r="T72" s="204"/>
      <c r="U72" s="204"/>
      <c r="V72" s="204"/>
      <c r="W72" s="204"/>
      <c r="X72" s="204"/>
      <c r="Y72" s="204"/>
      <c r="Z72" s="204"/>
      <c r="AA72" s="204"/>
      <c r="AB72" s="204"/>
      <c r="AC72" s="204"/>
      <c r="AD72" s="204"/>
      <c r="AE72" s="204"/>
      <c r="AF72" s="204"/>
      <c r="AG72" s="204"/>
      <c r="AH72" s="204"/>
      <c r="AI72" s="204"/>
      <c r="AJ72" s="204"/>
      <c r="AK72" s="142"/>
      <c r="AL72" s="1"/>
    </row>
    <row r="73" spans="1:38" ht="14.25" customHeight="1">
      <c r="A73" s="619">
        <v>2</v>
      </c>
      <c r="B73" s="155"/>
      <c r="C73" s="164" t="s">
        <v>772</v>
      </c>
      <c r="D73" s="165">
        <v>981.78914802599991</v>
      </c>
      <c r="E73" s="165">
        <v>562.75485162699999</v>
      </c>
      <c r="F73" s="165">
        <v>661.99268793400006</v>
      </c>
      <c r="G73" s="165">
        <v>688.84379596400015</v>
      </c>
      <c r="H73" s="204"/>
      <c r="I73" s="204"/>
      <c r="J73" s="204"/>
      <c r="K73" s="204"/>
      <c r="L73" s="204"/>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c r="AK73" s="142"/>
      <c r="AL73" s="1"/>
    </row>
    <row r="74" spans="1:38" ht="14.25" customHeight="1">
      <c r="A74" s="619">
        <v>2</v>
      </c>
      <c r="B74" s="155"/>
      <c r="C74" s="164" t="s">
        <v>773</v>
      </c>
      <c r="D74" s="165">
        <v>13621.409080383999</v>
      </c>
      <c r="E74" s="165">
        <v>9566.57812896</v>
      </c>
      <c r="F74" s="165">
        <v>10299.825746560002</v>
      </c>
      <c r="G74" s="165">
        <v>13433.031589376</v>
      </c>
      <c r="H74" s="204"/>
      <c r="I74" s="204"/>
      <c r="J74" s="204"/>
      <c r="K74" s="204"/>
      <c r="L74" s="204"/>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c r="AK74" s="142"/>
      <c r="AL74" s="1"/>
    </row>
    <row r="75" spans="1:38" ht="14.25" customHeight="1">
      <c r="A75" s="619">
        <v>2</v>
      </c>
      <c r="B75" s="155"/>
      <c r="C75" s="164" t="s">
        <v>774</v>
      </c>
      <c r="D75" s="165">
        <v>2263.3801934940007</v>
      </c>
      <c r="E75" s="165">
        <v>2228.4651654720001</v>
      </c>
      <c r="F75" s="165">
        <v>1338.6032716000002</v>
      </c>
      <c r="G75" s="165">
        <v>1949.035704679</v>
      </c>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c r="AF75" s="204"/>
      <c r="AG75" s="204"/>
      <c r="AH75" s="204"/>
      <c r="AI75" s="204"/>
      <c r="AJ75" s="204"/>
      <c r="AK75" s="142"/>
      <c r="AL75" s="1"/>
    </row>
    <row r="76" spans="1:38" ht="14.25" customHeight="1">
      <c r="A76" s="619">
        <v>2</v>
      </c>
      <c r="B76" s="155"/>
      <c r="C76" s="538" t="s">
        <v>777</v>
      </c>
      <c r="D76" s="165">
        <v>403.09656950553102</v>
      </c>
      <c r="E76" s="165">
        <v>387.99773783442555</v>
      </c>
      <c r="F76" s="165">
        <v>312.00881532645923</v>
      </c>
      <c r="G76" s="165">
        <v>345.30297603185318</v>
      </c>
      <c r="H76" s="204"/>
      <c r="I76" s="204"/>
      <c r="J76" s="204"/>
      <c r="K76" s="204"/>
      <c r="L76" s="204"/>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c r="AK76" s="142"/>
      <c r="AL76" s="1"/>
    </row>
    <row r="77" spans="1:38" ht="14.25" customHeight="1">
      <c r="A77" s="619">
        <v>2</v>
      </c>
      <c r="B77" s="155"/>
      <c r="C77" s="538" t="s">
        <v>778</v>
      </c>
      <c r="D77" s="165">
        <v>1369.8821991679999</v>
      </c>
      <c r="E77" s="165">
        <v>1325.2623345919999</v>
      </c>
      <c r="F77" s="165">
        <v>997.00081017600007</v>
      </c>
      <c r="G77" s="165">
        <v>1203.0472294400001</v>
      </c>
      <c r="H77" s="204"/>
      <c r="I77" s="204"/>
      <c r="J77" s="204"/>
      <c r="K77" s="204"/>
      <c r="L77" s="204"/>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c r="AK77" s="142"/>
      <c r="AL77" s="1"/>
    </row>
    <row r="78" spans="1:38" ht="14.25" customHeight="1">
      <c r="A78" s="619"/>
      <c r="B78" s="155"/>
      <c r="C78" s="16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c r="AD78" s="204"/>
      <c r="AE78" s="204"/>
      <c r="AF78" s="204"/>
      <c r="AG78" s="204"/>
      <c r="AH78" s="204"/>
      <c r="AI78" s="204"/>
      <c r="AJ78" s="204"/>
      <c r="AK78" s="142"/>
      <c r="AL78" s="1"/>
    </row>
    <row r="79" spans="1:38" ht="14.25" customHeight="1">
      <c r="A79" s="619"/>
      <c r="B79" s="155"/>
      <c r="C79" s="160" t="s">
        <v>37</v>
      </c>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c r="AK79" s="142"/>
      <c r="AL79" s="1"/>
    </row>
    <row r="80" spans="1:38" ht="14.25" customHeight="1">
      <c r="A80" s="619">
        <v>2</v>
      </c>
      <c r="B80" s="155"/>
      <c r="C80" s="164" t="s">
        <v>770</v>
      </c>
      <c r="D80" s="165">
        <v>2804.4081818049999</v>
      </c>
      <c r="E80" s="165">
        <v>2339.9855913050001</v>
      </c>
      <c r="F80" s="165">
        <v>1991.1963310150002</v>
      </c>
      <c r="G80" s="165">
        <v>2527.3575182400004</v>
      </c>
      <c r="H80" s="204"/>
      <c r="I80" s="204"/>
      <c r="J80" s="204"/>
      <c r="K80" s="204"/>
      <c r="L80" s="204"/>
      <c r="M80" s="204"/>
      <c r="N80" s="204"/>
      <c r="O80" s="204"/>
      <c r="P80" s="204"/>
      <c r="Q80" s="204"/>
      <c r="R80" s="204"/>
      <c r="S80" s="204"/>
      <c r="T80" s="204"/>
      <c r="U80" s="204"/>
      <c r="V80" s="204"/>
      <c r="W80" s="204"/>
      <c r="X80" s="204"/>
      <c r="Y80" s="204"/>
      <c r="Z80" s="204"/>
      <c r="AA80" s="204"/>
      <c r="AB80" s="204"/>
      <c r="AC80" s="204"/>
      <c r="AD80" s="204"/>
      <c r="AE80" s="204"/>
      <c r="AF80" s="204"/>
      <c r="AG80" s="204"/>
      <c r="AH80" s="204"/>
      <c r="AI80" s="204"/>
      <c r="AJ80" s="204"/>
      <c r="AK80" s="142"/>
      <c r="AL80" s="1"/>
    </row>
    <row r="81" spans="1:38" ht="14.25" customHeight="1">
      <c r="A81" s="619">
        <v>2</v>
      </c>
      <c r="B81" s="155"/>
      <c r="C81" s="164" t="s">
        <v>771</v>
      </c>
      <c r="D81" s="165">
        <v>2016.0900379200002</v>
      </c>
      <c r="E81" s="165">
        <v>1751.9734811999999</v>
      </c>
      <c r="F81" s="165">
        <v>1252.8281405939997</v>
      </c>
      <c r="G81" s="165">
        <v>1661.76652584</v>
      </c>
      <c r="H81" s="204"/>
      <c r="I81" s="204"/>
      <c r="J81" s="204"/>
      <c r="K81" s="204"/>
      <c r="L81" s="204"/>
      <c r="M81" s="204"/>
      <c r="N81" s="204"/>
      <c r="O81" s="204"/>
      <c r="P81" s="204"/>
      <c r="Q81" s="204"/>
      <c r="R81" s="204"/>
      <c r="S81" s="204"/>
      <c r="T81" s="204"/>
      <c r="U81" s="204"/>
      <c r="V81" s="204"/>
      <c r="W81" s="204"/>
      <c r="X81" s="204"/>
      <c r="Y81" s="204"/>
      <c r="Z81" s="204"/>
      <c r="AA81" s="204"/>
      <c r="AB81" s="204"/>
      <c r="AC81" s="204"/>
      <c r="AD81" s="204"/>
      <c r="AE81" s="204"/>
      <c r="AF81" s="204"/>
      <c r="AG81" s="204"/>
      <c r="AH81" s="204"/>
      <c r="AI81" s="204"/>
      <c r="AJ81" s="204"/>
      <c r="AK81" s="142"/>
      <c r="AL81" s="1"/>
    </row>
    <row r="82" spans="1:38" ht="14.25" customHeight="1">
      <c r="A82" s="619">
        <v>2</v>
      </c>
      <c r="B82" s="155"/>
      <c r="C82" s="164" t="s">
        <v>772</v>
      </c>
      <c r="D82" s="165">
        <v>17.449980285999999</v>
      </c>
      <c r="E82" s="165">
        <v>13.962846895999997</v>
      </c>
      <c r="F82" s="165">
        <v>3.5027936270000009</v>
      </c>
      <c r="G82" s="165">
        <v>1.7657403040000004</v>
      </c>
      <c r="H82" s="204"/>
      <c r="I82" s="204"/>
      <c r="J82" s="204"/>
      <c r="K82" s="204"/>
      <c r="L82" s="204"/>
      <c r="M82" s="204"/>
      <c r="N82" s="204"/>
      <c r="O82" s="204"/>
      <c r="P82" s="204"/>
      <c r="Q82" s="204"/>
      <c r="R82" s="204"/>
      <c r="S82" s="204"/>
      <c r="T82" s="204"/>
      <c r="U82" s="204"/>
      <c r="V82" s="204"/>
      <c r="W82" s="204"/>
      <c r="X82" s="204"/>
      <c r="Y82" s="204"/>
      <c r="Z82" s="204"/>
      <c r="AA82" s="204"/>
      <c r="AB82" s="204"/>
      <c r="AC82" s="204"/>
      <c r="AD82" s="204"/>
      <c r="AE82" s="204"/>
      <c r="AF82" s="204"/>
      <c r="AG82" s="204"/>
      <c r="AH82" s="204"/>
      <c r="AI82" s="204"/>
      <c r="AJ82" s="204"/>
      <c r="AK82" s="142"/>
      <c r="AL82" s="1"/>
    </row>
    <row r="83" spans="1:38" ht="14.25" customHeight="1">
      <c r="A83" s="619">
        <v>2</v>
      </c>
      <c r="B83" s="155"/>
      <c r="C83" s="164" t="s">
        <v>773</v>
      </c>
      <c r="D83" s="165">
        <v>9722.6177377280001</v>
      </c>
      <c r="E83" s="165">
        <v>8582.8470631679993</v>
      </c>
      <c r="F83" s="165">
        <v>6785.4280914560013</v>
      </c>
      <c r="G83" s="165">
        <v>8728.9772989439989</v>
      </c>
      <c r="H83" s="204"/>
      <c r="I83" s="204"/>
      <c r="J83" s="204"/>
      <c r="K83" s="204"/>
      <c r="L83" s="204"/>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142"/>
      <c r="AL83" s="1"/>
    </row>
    <row r="84" spans="1:38" ht="14.25" customHeight="1">
      <c r="A84" s="619">
        <v>2</v>
      </c>
      <c r="B84" s="155"/>
      <c r="C84" s="164" t="s">
        <v>774</v>
      </c>
      <c r="D84" s="165">
        <v>557.53462764999995</v>
      </c>
      <c r="E84" s="165">
        <v>536.23277819299994</v>
      </c>
      <c r="F84" s="165">
        <v>134.66989900000002</v>
      </c>
      <c r="G84" s="165">
        <v>181.17593925900002</v>
      </c>
      <c r="H84" s="204"/>
      <c r="I84" s="204"/>
      <c r="J84" s="204"/>
      <c r="K84" s="204"/>
      <c r="L84" s="204"/>
      <c r="M84" s="204"/>
      <c r="N84" s="204"/>
      <c r="O84" s="204"/>
      <c r="P84" s="204"/>
      <c r="Q84" s="204"/>
      <c r="R84" s="204"/>
      <c r="S84" s="204"/>
      <c r="T84" s="204"/>
      <c r="U84" s="204"/>
      <c r="V84" s="204"/>
      <c r="W84" s="204"/>
      <c r="X84" s="204"/>
      <c r="Y84" s="204"/>
      <c r="Z84" s="204"/>
      <c r="AA84" s="204"/>
      <c r="AB84" s="204"/>
      <c r="AC84" s="204"/>
      <c r="AD84" s="204"/>
      <c r="AE84" s="204"/>
      <c r="AF84" s="204"/>
      <c r="AG84" s="204"/>
      <c r="AH84" s="204"/>
      <c r="AI84" s="204"/>
      <c r="AJ84" s="204"/>
      <c r="AK84" s="142"/>
      <c r="AL84" s="1"/>
    </row>
    <row r="85" spans="1:38" ht="14.25" customHeight="1">
      <c r="A85" s="619">
        <v>2</v>
      </c>
      <c r="B85" s="155"/>
      <c r="C85" s="538" t="s">
        <v>778</v>
      </c>
      <c r="D85" s="165">
        <v>173.4647488</v>
      </c>
      <c r="E85" s="165">
        <v>151.48180364800004</v>
      </c>
      <c r="F85" s="165">
        <v>143.64784761600001</v>
      </c>
      <c r="G85" s="165">
        <v>169.49642079999998</v>
      </c>
      <c r="H85" s="204"/>
      <c r="I85" s="204"/>
      <c r="J85" s="204"/>
      <c r="K85" s="204"/>
      <c r="L85" s="204"/>
      <c r="M85" s="204"/>
      <c r="N85" s="204"/>
      <c r="O85" s="204"/>
      <c r="P85" s="204"/>
      <c r="Q85" s="204"/>
      <c r="R85" s="204"/>
      <c r="S85" s="204"/>
      <c r="T85" s="204"/>
      <c r="U85" s="204"/>
      <c r="V85" s="204"/>
      <c r="W85" s="204"/>
      <c r="X85" s="204"/>
      <c r="Y85" s="204"/>
      <c r="Z85" s="204"/>
      <c r="AA85" s="204"/>
      <c r="AB85" s="204"/>
      <c r="AC85" s="204"/>
      <c r="AD85" s="204"/>
      <c r="AE85" s="204"/>
      <c r="AF85" s="204"/>
      <c r="AG85" s="204"/>
      <c r="AH85" s="204"/>
      <c r="AI85" s="204"/>
      <c r="AJ85" s="204"/>
      <c r="AK85" s="142"/>
      <c r="AL85" s="1"/>
    </row>
    <row r="86" spans="1:38" ht="14.25" customHeight="1">
      <c r="A86" s="619"/>
      <c r="B86" s="155"/>
      <c r="C86" s="164"/>
      <c r="D86" s="204"/>
      <c r="E86" s="204"/>
      <c r="F86" s="204"/>
      <c r="G86" s="204"/>
      <c r="H86" s="204"/>
      <c r="I86" s="204"/>
      <c r="J86" s="204"/>
      <c r="K86" s="204"/>
      <c r="L86" s="204"/>
      <c r="M86" s="204"/>
      <c r="N86" s="204"/>
      <c r="O86" s="204"/>
      <c r="P86" s="204"/>
      <c r="Q86" s="204"/>
      <c r="R86" s="204"/>
      <c r="S86" s="204"/>
      <c r="T86" s="204"/>
      <c r="U86" s="204"/>
      <c r="V86" s="204"/>
      <c r="W86" s="204"/>
      <c r="X86" s="204"/>
      <c r="Y86" s="204"/>
      <c r="Z86" s="204"/>
      <c r="AA86" s="204"/>
      <c r="AB86" s="204"/>
      <c r="AC86" s="204"/>
      <c r="AD86" s="204"/>
      <c r="AE86" s="204"/>
      <c r="AF86" s="204"/>
      <c r="AG86" s="204"/>
      <c r="AH86" s="204"/>
      <c r="AI86" s="204"/>
      <c r="AJ86" s="204"/>
      <c r="AK86" s="142"/>
      <c r="AL86" s="1"/>
    </row>
    <row r="87" spans="1:38" ht="14.25" customHeight="1">
      <c r="A87" s="619"/>
      <c r="B87" s="155"/>
      <c r="C87" s="160" t="s">
        <v>40</v>
      </c>
      <c r="D87" s="204"/>
      <c r="E87" s="204"/>
      <c r="F87" s="204"/>
      <c r="G87" s="204"/>
      <c r="H87" s="204"/>
      <c r="I87" s="204"/>
      <c r="J87" s="204"/>
      <c r="K87" s="204"/>
      <c r="L87" s="204"/>
      <c r="M87" s="204"/>
      <c r="N87" s="204"/>
      <c r="O87" s="204"/>
      <c r="P87" s="204"/>
      <c r="Q87" s="204"/>
      <c r="R87" s="204"/>
      <c r="S87" s="204"/>
      <c r="T87" s="204"/>
      <c r="U87" s="204"/>
      <c r="V87" s="204"/>
      <c r="W87" s="204"/>
      <c r="X87" s="204"/>
      <c r="Y87" s="204"/>
      <c r="Z87" s="204"/>
      <c r="AA87" s="204"/>
      <c r="AB87" s="204"/>
      <c r="AC87" s="204"/>
      <c r="AD87" s="204"/>
      <c r="AE87" s="204"/>
      <c r="AF87" s="204"/>
      <c r="AG87" s="204"/>
      <c r="AH87" s="204"/>
      <c r="AI87" s="204"/>
      <c r="AJ87" s="204"/>
      <c r="AK87" s="142"/>
      <c r="AL87" s="1"/>
    </row>
    <row r="88" spans="1:38" ht="14.25" customHeight="1">
      <c r="A88" s="619">
        <v>2</v>
      </c>
      <c r="B88" s="155"/>
      <c r="C88" s="164" t="s">
        <v>770</v>
      </c>
      <c r="D88" s="165">
        <v>2106.0874696050005</v>
      </c>
      <c r="E88" s="165">
        <v>2055.0483355699998</v>
      </c>
      <c r="F88" s="165">
        <v>1793.0588899950001</v>
      </c>
      <c r="G88" s="165">
        <v>2289.7687088000002</v>
      </c>
      <c r="H88" s="204"/>
      <c r="I88" s="204"/>
      <c r="J88" s="204"/>
      <c r="K88" s="204"/>
      <c r="L88" s="204"/>
      <c r="M88" s="204"/>
      <c r="N88" s="204"/>
      <c r="O88" s="204"/>
      <c r="P88" s="204"/>
      <c r="Q88" s="204"/>
      <c r="R88" s="204"/>
      <c r="S88" s="204"/>
      <c r="T88" s="204"/>
      <c r="U88" s="204"/>
      <c r="V88" s="204"/>
      <c r="W88" s="204"/>
      <c r="X88" s="204"/>
      <c r="Y88" s="204"/>
      <c r="Z88" s="204"/>
      <c r="AA88" s="204"/>
      <c r="AB88" s="204"/>
      <c r="AC88" s="204"/>
      <c r="AD88" s="204"/>
      <c r="AE88" s="204"/>
      <c r="AF88" s="204"/>
      <c r="AG88" s="204"/>
      <c r="AH88" s="204"/>
      <c r="AI88" s="204"/>
      <c r="AJ88" s="204"/>
      <c r="AK88" s="142"/>
      <c r="AL88" s="1"/>
    </row>
    <row r="89" spans="1:38" ht="14.25" customHeight="1">
      <c r="A89" s="619">
        <v>2</v>
      </c>
      <c r="B89" s="155"/>
      <c r="C89" s="164" t="s">
        <v>771</v>
      </c>
      <c r="D89" s="165">
        <v>1048.2846662279999</v>
      </c>
      <c r="E89" s="165">
        <v>1004.9981676</v>
      </c>
      <c r="F89" s="165">
        <v>956.97708673800003</v>
      </c>
      <c r="G89" s="165">
        <v>939.47352782640007</v>
      </c>
      <c r="H89" s="204"/>
      <c r="I89" s="204"/>
      <c r="J89" s="204"/>
      <c r="K89" s="204"/>
      <c r="L89" s="204"/>
      <c r="M89" s="204"/>
      <c r="N89" s="204"/>
      <c r="O89" s="204"/>
      <c r="P89" s="204"/>
      <c r="Q89" s="204"/>
      <c r="R89" s="204"/>
      <c r="S89" s="204"/>
      <c r="T89" s="204"/>
      <c r="U89" s="204"/>
      <c r="V89" s="204"/>
      <c r="W89" s="204"/>
      <c r="X89" s="204"/>
      <c r="Y89" s="204"/>
      <c r="Z89" s="204"/>
      <c r="AA89" s="204"/>
      <c r="AB89" s="204"/>
      <c r="AC89" s="204"/>
      <c r="AD89" s="204"/>
      <c r="AE89" s="204"/>
      <c r="AF89" s="204"/>
      <c r="AG89" s="204"/>
      <c r="AH89" s="204"/>
      <c r="AI89" s="204"/>
      <c r="AJ89" s="204"/>
      <c r="AK89" s="142"/>
      <c r="AL89" s="1"/>
    </row>
    <row r="90" spans="1:38" ht="14.25" customHeight="1">
      <c r="A90" s="619">
        <v>2</v>
      </c>
      <c r="B90" s="155"/>
      <c r="C90" s="164" t="s">
        <v>772</v>
      </c>
      <c r="D90" s="165" t="s">
        <v>186</v>
      </c>
      <c r="E90" s="165" t="s">
        <v>186</v>
      </c>
      <c r="F90" s="165" t="s">
        <v>186</v>
      </c>
      <c r="G90" s="165" t="s">
        <v>186</v>
      </c>
      <c r="H90" s="204"/>
      <c r="I90" s="204"/>
      <c r="J90" s="204"/>
      <c r="K90" s="204"/>
      <c r="L90" s="204"/>
      <c r="M90" s="204"/>
      <c r="N90" s="204"/>
      <c r="O90" s="204"/>
      <c r="P90" s="204"/>
      <c r="Q90" s="204"/>
      <c r="R90" s="204"/>
      <c r="S90" s="204"/>
      <c r="T90" s="204"/>
      <c r="U90" s="204"/>
      <c r="V90" s="204"/>
      <c r="W90" s="204"/>
      <c r="X90" s="204"/>
      <c r="Y90" s="204"/>
      <c r="Z90" s="204"/>
      <c r="AA90" s="204"/>
      <c r="AB90" s="204"/>
      <c r="AC90" s="204"/>
      <c r="AD90" s="204"/>
      <c r="AE90" s="204"/>
      <c r="AF90" s="204"/>
      <c r="AG90" s="204"/>
      <c r="AH90" s="204"/>
      <c r="AI90" s="204"/>
      <c r="AJ90" s="204"/>
      <c r="AK90" s="142"/>
      <c r="AL90" s="1"/>
    </row>
    <row r="91" spans="1:38" ht="14.25" customHeight="1">
      <c r="A91" s="619">
        <v>2</v>
      </c>
      <c r="B91" s="155"/>
      <c r="C91" s="164" t="s">
        <v>773</v>
      </c>
      <c r="D91" s="165">
        <v>375.51849171199996</v>
      </c>
      <c r="E91" s="165">
        <v>241.92364895999995</v>
      </c>
      <c r="F91" s="165">
        <v>229.45505676799999</v>
      </c>
      <c r="G91" s="165">
        <v>286.40360582400001</v>
      </c>
      <c r="H91" s="204"/>
      <c r="I91" s="204"/>
      <c r="J91" s="204"/>
      <c r="K91" s="204"/>
      <c r="L91" s="204"/>
      <c r="M91" s="204"/>
      <c r="N91" s="204"/>
      <c r="O91" s="204"/>
      <c r="P91" s="204"/>
      <c r="Q91" s="204"/>
      <c r="R91" s="204"/>
      <c r="S91" s="204"/>
      <c r="T91" s="204"/>
      <c r="U91" s="204"/>
      <c r="V91" s="204"/>
      <c r="W91" s="204"/>
      <c r="X91" s="204"/>
      <c r="Y91" s="204"/>
      <c r="Z91" s="204"/>
      <c r="AA91" s="204"/>
      <c r="AB91" s="204"/>
      <c r="AC91" s="204"/>
      <c r="AD91" s="204"/>
      <c r="AE91" s="204"/>
      <c r="AF91" s="204"/>
      <c r="AG91" s="204"/>
      <c r="AH91" s="204"/>
      <c r="AI91" s="204"/>
      <c r="AJ91" s="204"/>
      <c r="AK91" s="142"/>
      <c r="AL91" s="1"/>
    </row>
    <row r="92" spans="1:38" ht="14.25" customHeight="1">
      <c r="A92" s="619">
        <v>2</v>
      </c>
      <c r="B92" s="155"/>
      <c r="C92" s="164" t="s">
        <v>774</v>
      </c>
      <c r="D92" s="165" t="s">
        <v>186</v>
      </c>
      <c r="E92" s="165">
        <v>14.661990000000001</v>
      </c>
      <c r="F92" s="165" t="s">
        <v>186</v>
      </c>
      <c r="G92" s="165" t="s">
        <v>186</v>
      </c>
      <c r="H92" s="204"/>
      <c r="I92" s="204"/>
      <c r="J92" s="204"/>
      <c r="K92" s="204"/>
      <c r="L92" s="204"/>
      <c r="M92" s="204"/>
      <c r="N92" s="204"/>
      <c r="O92" s="204"/>
      <c r="P92" s="204"/>
      <c r="Q92" s="204"/>
      <c r="R92" s="204"/>
      <c r="S92" s="204"/>
      <c r="T92" s="204"/>
      <c r="U92" s="204"/>
      <c r="V92" s="204"/>
      <c r="W92" s="204"/>
      <c r="X92" s="204"/>
      <c r="Y92" s="204"/>
      <c r="Z92" s="204"/>
      <c r="AA92" s="204"/>
      <c r="AB92" s="204"/>
      <c r="AC92" s="204"/>
      <c r="AD92" s="204"/>
      <c r="AE92" s="204"/>
      <c r="AF92" s="204"/>
      <c r="AG92" s="204"/>
      <c r="AH92" s="204"/>
      <c r="AI92" s="204"/>
      <c r="AJ92" s="204"/>
      <c r="AK92" s="142"/>
      <c r="AL92" s="1"/>
    </row>
    <row r="93" spans="1:38" ht="14.25" customHeight="1">
      <c r="A93" s="619">
        <v>2</v>
      </c>
      <c r="B93" s="155"/>
      <c r="C93" s="538" t="s">
        <v>779</v>
      </c>
      <c r="D93" s="165">
        <v>3510.1232158719995</v>
      </c>
      <c r="E93" s="165">
        <v>3246.3014855040001</v>
      </c>
      <c r="F93" s="165">
        <v>2937.4734287359997</v>
      </c>
      <c r="G93" s="165">
        <v>3399.2629126399993</v>
      </c>
      <c r="H93" s="204"/>
      <c r="I93" s="204"/>
      <c r="J93" s="204"/>
      <c r="K93" s="204"/>
      <c r="L93" s="204"/>
      <c r="M93" s="204"/>
      <c r="N93" s="204"/>
      <c r="O93" s="204"/>
      <c r="P93" s="204"/>
      <c r="Q93" s="204"/>
      <c r="R93" s="204"/>
      <c r="S93" s="204"/>
      <c r="T93" s="204"/>
      <c r="U93" s="204"/>
      <c r="V93" s="204"/>
      <c r="W93" s="204"/>
      <c r="X93" s="204"/>
      <c r="Y93" s="204"/>
      <c r="Z93" s="204"/>
      <c r="AA93" s="204"/>
      <c r="AB93" s="204"/>
      <c r="AC93" s="204"/>
      <c r="AD93" s="204"/>
      <c r="AE93" s="204"/>
      <c r="AF93" s="204"/>
      <c r="AG93" s="204"/>
      <c r="AH93" s="204"/>
      <c r="AI93" s="204"/>
      <c r="AJ93" s="204"/>
      <c r="AK93" s="142"/>
      <c r="AL93" s="1"/>
    </row>
    <row r="94" spans="1:38" ht="14.25" customHeight="1">
      <c r="A94" s="619"/>
      <c r="B94" s="155"/>
      <c r="C94" s="164"/>
      <c r="D94" s="204"/>
      <c r="E94" s="204"/>
      <c r="F94" s="204"/>
      <c r="G94" s="204"/>
      <c r="H94" s="204"/>
      <c r="I94" s="204"/>
      <c r="J94" s="204"/>
      <c r="K94" s="204"/>
      <c r="L94" s="204"/>
      <c r="M94" s="204"/>
      <c r="N94" s="204"/>
      <c r="O94" s="204"/>
      <c r="P94" s="204"/>
      <c r="Q94" s="204"/>
      <c r="R94" s="204"/>
      <c r="S94" s="204"/>
      <c r="T94" s="204"/>
      <c r="U94" s="204"/>
      <c r="V94" s="204"/>
      <c r="W94" s="204"/>
      <c r="X94" s="204"/>
      <c r="Y94" s="204"/>
      <c r="Z94" s="204"/>
      <c r="AA94" s="204"/>
      <c r="AB94" s="204"/>
      <c r="AC94" s="204"/>
      <c r="AD94" s="204"/>
      <c r="AE94" s="204"/>
      <c r="AF94" s="204"/>
      <c r="AG94" s="204"/>
      <c r="AH94" s="204"/>
      <c r="AI94" s="204"/>
      <c r="AJ94" s="204"/>
      <c r="AK94" s="142"/>
      <c r="AL94" s="1"/>
    </row>
    <row r="95" spans="1:38" ht="14.25" customHeight="1">
      <c r="A95" s="619"/>
      <c r="B95" s="155"/>
      <c r="C95" s="160" t="s">
        <v>41</v>
      </c>
      <c r="D95" s="204"/>
      <c r="E95" s="204"/>
      <c r="F95" s="204"/>
      <c r="G95" s="204"/>
      <c r="H95" s="204"/>
      <c r="I95" s="204"/>
      <c r="J95" s="204"/>
      <c r="K95" s="204"/>
      <c r="L95" s="204"/>
      <c r="M95" s="204"/>
      <c r="N95" s="204"/>
      <c r="O95" s="204"/>
      <c r="P95" s="204"/>
      <c r="Q95" s="204"/>
      <c r="R95" s="204"/>
      <c r="S95" s="204"/>
      <c r="T95" s="204"/>
      <c r="U95" s="204"/>
      <c r="V95" s="204"/>
      <c r="W95" s="204"/>
      <c r="X95" s="204"/>
      <c r="Y95" s="204"/>
      <c r="Z95" s="204"/>
      <c r="AA95" s="204"/>
      <c r="AB95" s="204"/>
      <c r="AC95" s="204"/>
      <c r="AD95" s="204"/>
      <c r="AE95" s="204"/>
      <c r="AF95" s="204"/>
      <c r="AG95" s="204"/>
      <c r="AH95" s="204"/>
      <c r="AI95" s="204"/>
      <c r="AJ95" s="204"/>
      <c r="AK95" s="142"/>
      <c r="AL95" s="1"/>
    </row>
    <row r="96" spans="1:38" ht="14.25" customHeight="1">
      <c r="A96" s="619">
        <v>2</v>
      </c>
      <c r="B96" s="155"/>
      <c r="C96" s="164" t="s">
        <v>770</v>
      </c>
      <c r="D96" s="165">
        <v>773.80374717000018</v>
      </c>
      <c r="E96" s="165">
        <v>792.28263398500007</v>
      </c>
      <c r="F96" s="165">
        <v>724.64808411000013</v>
      </c>
      <c r="G96" s="165">
        <v>748.44624789000011</v>
      </c>
      <c r="H96" s="204"/>
      <c r="I96" s="204"/>
      <c r="J96" s="204"/>
      <c r="K96" s="204"/>
      <c r="L96" s="204"/>
      <c r="M96" s="204"/>
      <c r="N96" s="204"/>
      <c r="O96" s="204"/>
      <c r="P96" s="204"/>
      <c r="Q96" s="204"/>
      <c r="R96" s="204"/>
      <c r="S96" s="204"/>
      <c r="T96" s="204"/>
      <c r="U96" s="204"/>
      <c r="V96" s="204"/>
      <c r="W96" s="204"/>
      <c r="X96" s="204"/>
      <c r="Y96" s="204"/>
      <c r="Z96" s="204"/>
      <c r="AA96" s="204"/>
      <c r="AB96" s="204"/>
      <c r="AC96" s="204"/>
      <c r="AD96" s="204"/>
      <c r="AE96" s="204"/>
      <c r="AF96" s="204"/>
      <c r="AG96" s="204"/>
      <c r="AH96" s="204"/>
      <c r="AI96" s="204"/>
      <c r="AJ96" s="204"/>
      <c r="AK96" s="142"/>
      <c r="AL96" s="1"/>
    </row>
    <row r="97" spans="1:38" ht="14.25" customHeight="1">
      <c r="A97" s="619">
        <v>2</v>
      </c>
      <c r="B97" s="155"/>
      <c r="C97" s="164" t="s">
        <v>771</v>
      </c>
      <c r="D97" s="165">
        <v>114.31093202999999</v>
      </c>
      <c r="E97" s="165">
        <v>119.97621371400001</v>
      </c>
      <c r="F97" s="165">
        <v>107.76937682399999</v>
      </c>
      <c r="G97" s="165">
        <v>147.26886006000004</v>
      </c>
      <c r="H97" s="204"/>
      <c r="I97" s="204"/>
      <c r="J97" s="204"/>
      <c r="K97" s="204"/>
      <c r="L97" s="204"/>
      <c r="M97" s="204"/>
      <c r="N97" s="204"/>
      <c r="O97" s="204"/>
      <c r="P97" s="204"/>
      <c r="Q97" s="204"/>
      <c r="R97" s="204"/>
      <c r="S97" s="204"/>
      <c r="T97" s="204"/>
      <c r="U97" s="204"/>
      <c r="V97" s="204"/>
      <c r="W97" s="204"/>
      <c r="X97" s="204"/>
      <c r="Y97" s="204"/>
      <c r="Z97" s="204"/>
      <c r="AA97" s="204"/>
      <c r="AB97" s="204"/>
      <c r="AC97" s="204"/>
      <c r="AD97" s="204"/>
      <c r="AE97" s="204"/>
      <c r="AF97" s="204"/>
      <c r="AG97" s="204"/>
      <c r="AH97" s="204"/>
      <c r="AI97" s="204"/>
      <c r="AJ97" s="204"/>
      <c r="AK97" s="142"/>
      <c r="AL97" s="1"/>
    </row>
    <row r="98" spans="1:38" ht="14.25" customHeight="1">
      <c r="A98" s="619">
        <v>2</v>
      </c>
      <c r="B98" s="155"/>
      <c r="C98" s="164" t="s">
        <v>772</v>
      </c>
      <c r="D98" s="165">
        <v>133.98323831399998</v>
      </c>
      <c r="E98" s="165">
        <v>109.49537195400001</v>
      </c>
      <c r="F98" s="165">
        <v>113.67181041000002</v>
      </c>
      <c r="G98" s="165">
        <v>107.10476340000001</v>
      </c>
      <c r="H98" s="204"/>
      <c r="I98" s="204"/>
      <c r="J98" s="204"/>
      <c r="K98" s="204"/>
      <c r="L98" s="204"/>
      <c r="M98" s="204"/>
      <c r="N98" s="204"/>
      <c r="O98" s="204"/>
      <c r="P98" s="204"/>
      <c r="Q98" s="204"/>
      <c r="R98" s="204"/>
      <c r="S98" s="204"/>
      <c r="T98" s="204"/>
      <c r="U98" s="204"/>
      <c r="V98" s="204"/>
      <c r="W98" s="204"/>
      <c r="X98" s="204"/>
      <c r="Y98" s="204"/>
      <c r="Z98" s="204"/>
      <c r="AA98" s="204"/>
      <c r="AB98" s="204"/>
      <c r="AC98" s="204"/>
      <c r="AD98" s="204"/>
      <c r="AE98" s="204"/>
      <c r="AF98" s="204"/>
      <c r="AG98" s="204"/>
      <c r="AH98" s="204"/>
      <c r="AI98" s="204"/>
      <c r="AJ98" s="204"/>
      <c r="AK98" s="142"/>
      <c r="AL98" s="1"/>
    </row>
    <row r="99" spans="1:38" ht="14.25" customHeight="1">
      <c r="A99" s="619">
        <v>2</v>
      </c>
      <c r="B99" s="155"/>
      <c r="C99" s="164" t="s">
        <v>773</v>
      </c>
      <c r="D99" s="165" t="s">
        <v>186</v>
      </c>
      <c r="E99" s="165" t="s">
        <v>186</v>
      </c>
      <c r="F99" s="165" t="s">
        <v>186</v>
      </c>
      <c r="G99" s="165" t="s">
        <v>186</v>
      </c>
      <c r="H99" s="204"/>
      <c r="I99" s="204"/>
      <c r="J99" s="204"/>
      <c r="K99" s="204"/>
      <c r="L99" s="204"/>
      <c r="M99" s="204"/>
      <c r="N99" s="204"/>
      <c r="O99" s="204"/>
      <c r="P99" s="204"/>
      <c r="Q99" s="204"/>
      <c r="R99" s="204"/>
      <c r="S99" s="204"/>
      <c r="T99" s="204"/>
      <c r="U99" s="204"/>
      <c r="V99" s="204"/>
      <c r="W99" s="204"/>
      <c r="X99" s="204"/>
      <c r="Y99" s="204"/>
      <c r="Z99" s="204"/>
      <c r="AA99" s="204"/>
      <c r="AB99" s="204"/>
      <c r="AC99" s="204"/>
      <c r="AD99" s="204"/>
      <c r="AE99" s="204"/>
      <c r="AF99" s="204"/>
      <c r="AG99" s="204"/>
      <c r="AH99" s="204"/>
      <c r="AI99" s="204"/>
      <c r="AJ99" s="204"/>
      <c r="AK99" s="142"/>
      <c r="AL99" s="1"/>
    </row>
    <row r="100" spans="1:38" ht="14.25" customHeight="1">
      <c r="A100" s="619">
        <v>2</v>
      </c>
      <c r="B100" s="155"/>
      <c r="C100" s="164" t="s">
        <v>774</v>
      </c>
      <c r="D100" s="165">
        <v>21.427588</v>
      </c>
      <c r="E100" s="165">
        <v>24.555661276999999</v>
      </c>
      <c r="F100" s="165">
        <v>22.336995534</v>
      </c>
      <c r="G100" s="165">
        <v>24.144378082999999</v>
      </c>
      <c r="H100" s="204"/>
      <c r="I100" s="204"/>
      <c r="J100" s="204"/>
      <c r="K100" s="204"/>
      <c r="L100" s="204"/>
      <c r="M100" s="204"/>
      <c r="N100" s="204"/>
      <c r="O100" s="204"/>
      <c r="P100" s="204"/>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142"/>
      <c r="AL100" s="1"/>
    </row>
    <row r="101" spans="1:38" ht="14.25" customHeight="1">
      <c r="A101" s="619">
        <v>2</v>
      </c>
      <c r="B101" s="155"/>
      <c r="C101" s="538" t="s">
        <v>779</v>
      </c>
      <c r="D101" s="165">
        <v>2515.1297382399998</v>
      </c>
      <c r="E101" s="165">
        <v>2609.9565022719999</v>
      </c>
      <c r="F101" s="165">
        <v>2441.7676075519998</v>
      </c>
      <c r="G101" s="165">
        <v>2490.987064384</v>
      </c>
      <c r="H101" s="204"/>
      <c r="I101" s="204"/>
      <c r="J101" s="204"/>
      <c r="K101" s="204"/>
      <c r="L101" s="204"/>
      <c r="M101" s="204"/>
      <c r="N101" s="204"/>
      <c r="O101" s="204"/>
      <c r="P101" s="204"/>
      <c r="Q101" s="204"/>
      <c r="R101" s="204"/>
      <c r="S101" s="204"/>
      <c r="T101" s="204"/>
      <c r="U101" s="204"/>
      <c r="V101" s="204"/>
      <c r="W101" s="204"/>
      <c r="X101" s="204"/>
      <c r="Y101" s="204"/>
      <c r="Z101" s="204"/>
      <c r="AA101" s="204"/>
      <c r="AB101" s="204"/>
      <c r="AC101" s="204"/>
      <c r="AD101" s="204"/>
      <c r="AE101" s="204"/>
      <c r="AF101" s="204"/>
      <c r="AG101" s="204"/>
      <c r="AH101" s="204"/>
      <c r="AI101" s="204"/>
      <c r="AJ101" s="204"/>
      <c r="AK101" s="142"/>
      <c r="AL101" s="1"/>
    </row>
    <row r="102" spans="1:38" ht="14.25" customHeight="1">
      <c r="A102" s="619">
        <v>2</v>
      </c>
      <c r="B102" s="155"/>
      <c r="C102" s="538" t="s">
        <v>777</v>
      </c>
      <c r="D102" s="165">
        <v>9.8016430436454787</v>
      </c>
      <c r="E102" s="165">
        <v>9.4631241101823775</v>
      </c>
      <c r="F102" s="165">
        <v>6.707502988175186</v>
      </c>
      <c r="G102" s="165">
        <v>7.0792045411187772</v>
      </c>
      <c r="H102" s="204"/>
      <c r="I102" s="204"/>
      <c r="J102" s="204"/>
      <c r="K102" s="204"/>
      <c r="L102" s="204"/>
      <c r="M102" s="204"/>
      <c r="N102" s="204"/>
      <c r="O102" s="204"/>
      <c r="P102" s="204"/>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142"/>
      <c r="AL102" s="1"/>
    </row>
    <row r="103" spans="1:38" ht="14.25" customHeight="1">
      <c r="A103" s="619"/>
      <c r="B103" s="155"/>
      <c r="C103" s="164"/>
      <c r="D103" s="204"/>
      <c r="E103" s="204"/>
      <c r="F103" s="204"/>
      <c r="G103" s="204"/>
      <c r="H103" s="204"/>
      <c r="I103" s="204"/>
      <c r="J103" s="204"/>
      <c r="K103" s="204"/>
      <c r="L103" s="204"/>
      <c r="M103" s="204"/>
      <c r="N103" s="204"/>
      <c r="O103" s="204"/>
      <c r="P103" s="204"/>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142"/>
      <c r="AL103" s="1"/>
    </row>
    <row r="104" spans="1:38" ht="14.25" customHeight="1">
      <c r="A104" s="619"/>
      <c r="B104" s="155"/>
      <c r="C104" s="164" t="s">
        <v>767</v>
      </c>
      <c r="D104" s="165">
        <f t="shared" ref="D104:G104" si="6">SUM(D71:D102)</f>
        <v>60696.257367331178</v>
      </c>
      <c r="E104" s="165">
        <f t="shared" si="6"/>
        <v>53145.658987295181</v>
      </c>
      <c r="F104" s="165">
        <f t="shared" si="6"/>
        <v>44284.918193683625</v>
      </c>
      <c r="G104" s="165">
        <f t="shared" si="6"/>
        <v>54885.462598438382</v>
      </c>
      <c r="H104" s="204">
        <f t="shared" ref="H104:AJ104" si="7">SUM(H71:H75)</f>
        <v>0</v>
      </c>
      <c r="I104" s="204">
        <f t="shared" si="7"/>
        <v>0</v>
      </c>
      <c r="J104" s="204">
        <f t="shared" si="7"/>
        <v>0</v>
      </c>
      <c r="K104" s="204">
        <f t="shared" si="7"/>
        <v>0</v>
      </c>
      <c r="L104" s="204">
        <f t="shared" si="7"/>
        <v>0</v>
      </c>
      <c r="M104" s="204">
        <f t="shared" si="7"/>
        <v>0</v>
      </c>
      <c r="N104" s="204">
        <f t="shared" si="7"/>
        <v>0</v>
      </c>
      <c r="O104" s="204">
        <f t="shared" si="7"/>
        <v>0</v>
      </c>
      <c r="P104" s="204">
        <f t="shared" si="7"/>
        <v>0</v>
      </c>
      <c r="Q104" s="204">
        <f t="shared" si="7"/>
        <v>0</v>
      </c>
      <c r="R104" s="204">
        <f t="shared" si="7"/>
        <v>0</v>
      </c>
      <c r="S104" s="204">
        <f t="shared" si="7"/>
        <v>0</v>
      </c>
      <c r="T104" s="204">
        <f t="shared" si="7"/>
        <v>0</v>
      </c>
      <c r="U104" s="204">
        <f t="shared" si="7"/>
        <v>0</v>
      </c>
      <c r="V104" s="204">
        <f t="shared" si="7"/>
        <v>0</v>
      </c>
      <c r="W104" s="204">
        <f t="shared" si="7"/>
        <v>0</v>
      </c>
      <c r="X104" s="204">
        <f t="shared" si="7"/>
        <v>0</v>
      </c>
      <c r="Y104" s="204">
        <f t="shared" si="7"/>
        <v>0</v>
      </c>
      <c r="Z104" s="204">
        <f t="shared" si="7"/>
        <v>0</v>
      </c>
      <c r="AA104" s="204">
        <f t="shared" si="7"/>
        <v>0</v>
      </c>
      <c r="AB104" s="204">
        <f t="shared" si="7"/>
        <v>0</v>
      </c>
      <c r="AC104" s="204">
        <f t="shared" si="7"/>
        <v>0</v>
      </c>
      <c r="AD104" s="204">
        <f t="shared" si="7"/>
        <v>0</v>
      </c>
      <c r="AE104" s="204">
        <f t="shared" si="7"/>
        <v>0</v>
      </c>
      <c r="AF104" s="204">
        <f t="shared" si="7"/>
        <v>0</v>
      </c>
      <c r="AG104" s="204">
        <f t="shared" si="7"/>
        <v>0</v>
      </c>
      <c r="AH104" s="204">
        <f t="shared" si="7"/>
        <v>0</v>
      </c>
      <c r="AI104" s="204">
        <f t="shared" si="7"/>
        <v>0</v>
      </c>
      <c r="AJ104" s="204">
        <f t="shared" si="7"/>
        <v>0</v>
      </c>
      <c r="AK104" s="142"/>
      <c r="AL104" s="1"/>
    </row>
    <row r="105" spans="1:38" ht="14.25" customHeight="1">
      <c r="A105" s="619"/>
      <c r="B105" s="155"/>
      <c r="C105" s="355"/>
      <c r="D105" s="539"/>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2"/>
      <c r="AL105" s="1"/>
    </row>
    <row r="106" spans="1:38" ht="14.25" customHeight="1">
      <c r="A106" s="3"/>
      <c r="B106" s="202"/>
      <c r="C106" s="160" t="s">
        <v>780</v>
      </c>
      <c r="D106" s="620"/>
      <c r="E106" s="620"/>
      <c r="F106" s="620"/>
      <c r="G106" s="620"/>
      <c r="H106" s="620"/>
      <c r="I106" s="620"/>
      <c r="J106" s="620"/>
      <c r="K106" s="620"/>
      <c r="L106" s="620"/>
      <c r="M106" s="620"/>
      <c r="N106" s="620"/>
      <c r="O106" s="620"/>
      <c r="P106" s="620"/>
      <c r="Q106" s="620"/>
      <c r="R106" s="620"/>
      <c r="S106" s="620"/>
      <c r="T106" s="620"/>
      <c r="U106" s="620"/>
      <c r="V106" s="620"/>
      <c r="W106" s="620"/>
      <c r="X106" s="620"/>
      <c r="Y106" s="620"/>
      <c r="Z106" s="620"/>
      <c r="AA106" s="620"/>
      <c r="AB106" s="620"/>
      <c r="AC106" s="620"/>
      <c r="AD106" s="620"/>
      <c r="AE106" s="620"/>
      <c r="AF106" s="620"/>
      <c r="AG106" s="620"/>
      <c r="AH106" s="620"/>
      <c r="AI106" s="620"/>
      <c r="AJ106" s="620"/>
      <c r="AK106" s="473"/>
      <c r="AL106" s="1"/>
    </row>
    <row r="107" spans="1:38" ht="14.25" customHeight="1">
      <c r="A107" s="619"/>
      <c r="B107" s="155"/>
      <c r="C107" s="164" t="s">
        <v>29</v>
      </c>
      <c r="D107" s="204"/>
      <c r="E107" s="204"/>
      <c r="F107" s="204"/>
      <c r="G107" s="204"/>
      <c r="H107" s="204"/>
      <c r="I107" s="204"/>
      <c r="J107" s="204"/>
      <c r="K107" s="204"/>
      <c r="L107" s="204"/>
      <c r="M107" s="204"/>
      <c r="N107" s="204"/>
      <c r="O107" s="204"/>
      <c r="P107" s="204"/>
      <c r="Q107" s="204"/>
      <c r="R107" s="204"/>
      <c r="S107" s="204"/>
      <c r="T107" s="204"/>
      <c r="U107" s="204"/>
      <c r="V107" s="204"/>
      <c r="W107" s="204"/>
      <c r="X107" s="204"/>
      <c r="Y107" s="204"/>
      <c r="Z107" s="204"/>
      <c r="AA107" s="204"/>
      <c r="AB107" s="204"/>
      <c r="AC107" s="204"/>
      <c r="AD107" s="204"/>
      <c r="AE107" s="204"/>
      <c r="AF107" s="204"/>
      <c r="AG107" s="204"/>
      <c r="AH107" s="204"/>
      <c r="AI107" s="204"/>
      <c r="AJ107" s="204"/>
      <c r="AK107" s="142"/>
      <c r="AL107" s="1"/>
    </row>
    <row r="108" spans="1:38" ht="14.25" customHeight="1">
      <c r="A108" s="619"/>
      <c r="B108" s="155"/>
      <c r="C108" s="164" t="s">
        <v>30</v>
      </c>
      <c r="D108" s="204"/>
      <c r="E108" s="204"/>
      <c r="F108" s="204"/>
      <c r="G108" s="204"/>
      <c r="H108" s="204"/>
      <c r="I108" s="204"/>
      <c r="J108" s="204"/>
      <c r="K108" s="204"/>
      <c r="L108" s="204"/>
      <c r="M108" s="204"/>
      <c r="N108" s="204"/>
      <c r="O108" s="204"/>
      <c r="P108" s="204"/>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142"/>
      <c r="AL108" s="1"/>
    </row>
    <row r="109" spans="1:38" ht="14.25" customHeight="1">
      <c r="A109" s="619"/>
      <c r="B109" s="155"/>
      <c r="C109" s="164" t="s">
        <v>31</v>
      </c>
      <c r="D109" s="204"/>
      <c r="E109" s="204"/>
      <c r="F109" s="204"/>
      <c r="G109" s="204"/>
      <c r="H109" s="204"/>
      <c r="I109" s="204"/>
      <c r="J109" s="204"/>
      <c r="K109" s="204"/>
      <c r="L109" s="204"/>
      <c r="M109" s="204"/>
      <c r="N109" s="204"/>
      <c r="O109" s="204"/>
      <c r="P109" s="204"/>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142"/>
      <c r="AL109" s="1"/>
    </row>
    <row r="110" spans="1:38" ht="14.25" customHeight="1">
      <c r="A110" s="619"/>
      <c r="B110" s="155"/>
      <c r="C110" s="164" t="s">
        <v>32</v>
      </c>
      <c r="D110" s="204"/>
      <c r="E110" s="204"/>
      <c r="F110" s="204"/>
      <c r="G110" s="204"/>
      <c r="H110" s="204"/>
      <c r="I110" s="204"/>
      <c r="J110" s="204"/>
      <c r="K110" s="204"/>
      <c r="L110" s="204"/>
      <c r="M110" s="204"/>
      <c r="N110" s="204"/>
      <c r="O110" s="204"/>
      <c r="P110" s="204"/>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142"/>
      <c r="AL110" s="1"/>
    </row>
    <row r="111" spans="1:38" ht="14.25" customHeight="1">
      <c r="A111" s="619"/>
      <c r="B111" s="155"/>
      <c r="C111" s="164" t="s">
        <v>33</v>
      </c>
      <c r="D111" s="204"/>
      <c r="E111" s="204"/>
      <c r="F111" s="204"/>
      <c r="G111" s="204"/>
      <c r="H111" s="204"/>
      <c r="I111" s="204"/>
      <c r="J111" s="204"/>
      <c r="K111" s="204"/>
      <c r="L111" s="204"/>
      <c r="M111" s="204"/>
      <c r="N111" s="204"/>
      <c r="O111" s="204"/>
      <c r="P111" s="204"/>
      <c r="Q111" s="204"/>
      <c r="R111" s="204"/>
      <c r="S111" s="204"/>
      <c r="T111" s="204"/>
      <c r="U111" s="204"/>
      <c r="V111" s="204"/>
      <c r="W111" s="204"/>
      <c r="X111" s="204"/>
      <c r="Y111" s="204"/>
      <c r="Z111" s="204"/>
      <c r="AA111" s="204"/>
      <c r="AB111" s="204"/>
      <c r="AC111" s="204"/>
      <c r="AD111" s="204"/>
      <c r="AE111" s="204"/>
      <c r="AF111" s="204"/>
      <c r="AG111" s="204"/>
      <c r="AH111" s="204"/>
      <c r="AI111" s="204"/>
      <c r="AJ111" s="204"/>
      <c r="AK111" s="142"/>
      <c r="AL111" s="1"/>
    </row>
    <row r="112" spans="1:38" ht="14.25" customHeight="1">
      <c r="A112" s="619"/>
      <c r="B112" s="155"/>
      <c r="C112" s="164" t="s">
        <v>781</v>
      </c>
      <c r="D112" s="204"/>
      <c r="E112" s="204"/>
      <c r="F112" s="204"/>
      <c r="G112" s="204"/>
      <c r="H112" s="204"/>
      <c r="I112" s="204"/>
      <c r="J112" s="204"/>
      <c r="K112" s="204"/>
      <c r="L112" s="204"/>
      <c r="M112" s="204"/>
      <c r="N112" s="204"/>
      <c r="O112" s="204"/>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142"/>
      <c r="AL112" s="1"/>
    </row>
    <row r="113" spans="1:38" ht="14.25" customHeight="1">
      <c r="A113" s="619"/>
      <c r="B113" s="155"/>
      <c r="C113" s="164"/>
      <c r="D113" s="204"/>
      <c r="E113" s="204"/>
      <c r="F113" s="204"/>
      <c r="G113" s="204"/>
      <c r="H113" s="204"/>
      <c r="I113" s="204"/>
      <c r="J113" s="204"/>
      <c r="K113" s="204"/>
      <c r="L113" s="204"/>
      <c r="M113" s="204"/>
      <c r="N113" s="204"/>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142"/>
      <c r="AL113" s="1"/>
    </row>
    <row r="114" spans="1:38" ht="14.25" customHeight="1">
      <c r="A114" s="619"/>
      <c r="B114" s="155"/>
      <c r="C114" s="164" t="s">
        <v>13</v>
      </c>
      <c r="D114" s="204">
        <f t="shared" ref="D114:AJ114" si="8">SUM(D107:D111)</f>
        <v>0</v>
      </c>
      <c r="E114" s="204">
        <f t="shared" si="8"/>
        <v>0</v>
      </c>
      <c r="F114" s="204">
        <f t="shared" si="8"/>
        <v>0</v>
      </c>
      <c r="G114" s="204">
        <f t="shared" si="8"/>
        <v>0</v>
      </c>
      <c r="H114" s="204">
        <f t="shared" si="8"/>
        <v>0</v>
      </c>
      <c r="I114" s="204">
        <f t="shared" si="8"/>
        <v>0</v>
      </c>
      <c r="J114" s="204">
        <f t="shared" si="8"/>
        <v>0</v>
      </c>
      <c r="K114" s="204">
        <f t="shared" si="8"/>
        <v>0</v>
      </c>
      <c r="L114" s="204">
        <f t="shared" si="8"/>
        <v>0</v>
      </c>
      <c r="M114" s="204">
        <f t="shared" si="8"/>
        <v>0</v>
      </c>
      <c r="N114" s="204">
        <f t="shared" si="8"/>
        <v>0</v>
      </c>
      <c r="O114" s="204">
        <f t="shared" si="8"/>
        <v>0</v>
      </c>
      <c r="P114" s="204">
        <f t="shared" si="8"/>
        <v>0</v>
      </c>
      <c r="Q114" s="204">
        <f t="shared" si="8"/>
        <v>0</v>
      </c>
      <c r="R114" s="204">
        <f t="shared" si="8"/>
        <v>0</v>
      </c>
      <c r="S114" s="204">
        <f t="shared" si="8"/>
        <v>0</v>
      </c>
      <c r="T114" s="204">
        <f t="shared" si="8"/>
        <v>0</v>
      </c>
      <c r="U114" s="204">
        <f t="shared" si="8"/>
        <v>0</v>
      </c>
      <c r="V114" s="204">
        <f t="shared" si="8"/>
        <v>0</v>
      </c>
      <c r="W114" s="204">
        <f t="shared" si="8"/>
        <v>0</v>
      </c>
      <c r="X114" s="204">
        <f t="shared" si="8"/>
        <v>0</v>
      </c>
      <c r="Y114" s="204">
        <f t="shared" si="8"/>
        <v>0</v>
      </c>
      <c r="Z114" s="204">
        <f t="shared" si="8"/>
        <v>0</v>
      </c>
      <c r="AA114" s="204">
        <f t="shared" si="8"/>
        <v>0</v>
      </c>
      <c r="AB114" s="204">
        <f t="shared" si="8"/>
        <v>0</v>
      </c>
      <c r="AC114" s="204">
        <f t="shared" si="8"/>
        <v>0</v>
      </c>
      <c r="AD114" s="204">
        <f t="shared" si="8"/>
        <v>0</v>
      </c>
      <c r="AE114" s="204">
        <f t="shared" si="8"/>
        <v>0</v>
      </c>
      <c r="AF114" s="204">
        <f t="shared" si="8"/>
        <v>0</v>
      </c>
      <c r="AG114" s="204">
        <f t="shared" si="8"/>
        <v>0</v>
      </c>
      <c r="AH114" s="204">
        <f t="shared" si="8"/>
        <v>0</v>
      </c>
      <c r="AI114" s="204">
        <f t="shared" si="8"/>
        <v>0</v>
      </c>
      <c r="AJ114" s="204">
        <f t="shared" si="8"/>
        <v>0</v>
      </c>
      <c r="AK114" s="142"/>
      <c r="AL114" s="1"/>
    </row>
    <row r="115" spans="1:38" ht="14.25" customHeight="1">
      <c r="A115" s="619"/>
      <c r="B115" s="155"/>
      <c r="C115" s="355"/>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c r="AA115" s="143"/>
      <c r="AB115" s="143"/>
      <c r="AC115" s="143"/>
      <c r="AD115" s="143"/>
      <c r="AE115" s="143"/>
      <c r="AF115" s="143"/>
      <c r="AG115" s="143"/>
      <c r="AH115" s="143"/>
      <c r="AI115" s="143"/>
      <c r="AJ115" s="143"/>
      <c r="AK115" s="142"/>
      <c r="AL115" s="1"/>
    </row>
    <row r="116" spans="1:38" ht="14.25" customHeight="1">
      <c r="A116" s="3"/>
      <c r="B116" s="202"/>
      <c r="C116" s="160" t="s">
        <v>52</v>
      </c>
      <c r="D116" s="620"/>
      <c r="E116" s="620"/>
      <c r="F116" s="620"/>
      <c r="G116" s="620"/>
      <c r="H116" s="620"/>
      <c r="I116" s="620"/>
      <c r="J116" s="620"/>
      <c r="K116" s="620"/>
      <c r="L116" s="620"/>
      <c r="M116" s="620"/>
      <c r="N116" s="620"/>
      <c r="O116" s="620"/>
      <c r="P116" s="620"/>
      <c r="Q116" s="620"/>
      <c r="R116" s="620"/>
      <c r="S116" s="620"/>
      <c r="T116" s="620"/>
      <c r="U116" s="620"/>
      <c r="V116" s="620"/>
      <c r="W116" s="620"/>
      <c r="X116" s="620"/>
      <c r="Y116" s="620"/>
      <c r="Z116" s="620"/>
      <c r="AA116" s="620"/>
      <c r="AB116" s="620"/>
      <c r="AC116" s="620"/>
      <c r="AD116" s="620"/>
      <c r="AE116" s="620"/>
      <c r="AF116" s="620"/>
      <c r="AG116" s="620"/>
      <c r="AH116" s="620"/>
      <c r="AI116" s="620"/>
      <c r="AJ116" s="620"/>
      <c r="AK116" s="473"/>
      <c r="AL116" s="1"/>
    </row>
    <row r="117" spans="1:38" ht="14.25" customHeight="1">
      <c r="A117" s="619">
        <v>2</v>
      </c>
      <c r="B117" s="155"/>
      <c r="C117" s="164" t="s">
        <v>776</v>
      </c>
      <c r="D117" s="165">
        <v>-964.45568092703843</v>
      </c>
      <c r="E117" s="165">
        <v>-937.04878316286499</v>
      </c>
      <c r="F117" s="165">
        <v>-933.81892987102901</v>
      </c>
      <c r="G117" s="165">
        <v>-1009.8238527472466</v>
      </c>
      <c r="H117" s="204"/>
      <c r="I117" s="204"/>
      <c r="J117" s="204"/>
      <c r="K117" s="204"/>
      <c r="L117" s="204"/>
      <c r="M117" s="204"/>
      <c r="N117" s="204"/>
      <c r="O117" s="204"/>
      <c r="P117" s="204"/>
      <c r="Q117" s="204"/>
      <c r="R117" s="204"/>
      <c r="S117" s="204"/>
      <c r="T117" s="204"/>
      <c r="U117" s="204"/>
      <c r="V117" s="204"/>
      <c r="W117" s="204"/>
      <c r="X117" s="204"/>
      <c r="Y117" s="204"/>
      <c r="Z117" s="204"/>
      <c r="AA117" s="204"/>
      <c r="AB117" s="204"/>
      <c r="AC117" s="204"/>
      <c r="AD117" s="204"/>
      <c r="AE117" s="204"/>
      <c r="AF117" s="204"/>
      <c r="AG117" s="204"/>
      <c r="AH117" s="204"/>
      <c r="AI117" s="204"/>
      <c r="AJ117" s="204"/>
      <c r="AK117" s="142"/>
      <c r="AL117" s="1"/>
    </row>
    <row r="118" spans="1:38" ht="14.25" customHeight="1">
      <c r="A118" s="619">
        <v>2</v>
      </c>
      <c r="B118" s="155"/>
      <c r="C118" s="164" t="s">
        <v>782</v>
      </c>
      <c r="D118" s="165">
        <v>-989.78325762040186</v>
      </c>
      <c r="E118" s="165">
        <v>-910.98463801562832</v>
      </c>
      <c r="F118" s="165">
        <v>-799.00580364359996</v>
      </c>
      <c r="G118" s="165">
        <v>-883.41793860928794</v>
      </c>
      <c r="H118" s="204"/>
      <c r="I118" s="204"/>
      <c r="J118" s="204"/>
      <c r="K118" s="204"/>
      <c r="L118" s="204"/>
      <c r="M118" s="204"/>
      <c r="N118" s="204"/>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142"/>
      <c r="AL118" s="1"/>
    </row>
    <row r="119" spans="1:38" ht="14.25" customHeight="1">
      <c r="A119" s="619"/>
      <c r="B119" s="155"/>
      <c r="C119" s="164"/>
      <c r="D119" s="165"/>
      <c r="E119" s="165"/>
      <c r="F119" s="165"/>
      <c r="G119" s="165"/>
      <c r="H119" s="204"/>
      <c r="I119" s="204"/>
      <c r="J119" s="204"/>
      <c r="K119" s="204"/>
      <c r="L119" s="204"/>
      <c r="M119" s="204"/>
      <c r="N119" s="204"/>
      <c r="O119" s="204"/>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142"/>
      <c r="AL119" s="1"/>
    </row>
    <row r="120" spans="1:38" ht="14.25" customHeight="1">
      <c r="A120" s="619"/>
      <c r="B120" s="155"/>
      <c r="C120" s="164" t="s">
        <v>767</v>
      </c>
      <c r="D120" s="165">
        <f t="shared" ref="D120:AJ120" si="9">SUM(D117:D118)</f>
        <v>-1954.2389385474403</v>
      </c>
      <c r="E120" s="165">
        <f t="shared" si="9"/>
        <v>-1848.0334211784934</v>
      </c>
      <c r="F120" s="165">
        <f t="shared" si="9"/>
        <v>-1732.8247335146289</v>
      </c>
      <c r="G120" s="165">
        <f t="shared" si="9"/>
        <v>-1893.2417913565346</v>
      </c>
      <c r="H120" s="165">
        <f t="shared" si="9"/>
        <v>0</v>
      </c>
      <c r="I120" s="165">
        <f t="shared" si="9"/>
        <v>0</v>
      </c>
      <c r="J120" s="165">
        <f t="shared" si="9"/>
        <v>0</v>
      </c>
      <c r="K120" s="165">
        <f t="shared" si="9"/>
        <v>0</v>
      </c>
      <c r="L120" s="165">
        <f t="shared" si="9"/>
        <v>0</v>
      </c>
      <c r="M120" s="165">
        <f t="shared" si="9"/>
        <v>0</v>
      </c>
      <c r="N120" s="165">
        <f t="shared" si="9"/>
        <v>0</v>
      </c>
      <c r="O120" s="165">
        <f t="shared" si="9"/>
        <v>0</v>
      </c>
      <c r="P120" s="165">
        <f t="shared" si="9"/>
        <v>0</v>
      </c>
      <c r="Q120" s="165">
        <f t="shared" si="9"/>
        <v>0</v>
      </c>
      <c r="R120" s="165">
        <f t="shared" si="9"/>
        <v>0</v>
      </c>
      <c r="S120" s="165">
        <f t="shared" si="9"/>
        <v>0</v>
      </c>
      <c r="T120" s="165">
        <f t="shared" si="9"/>
        <v>0</v>
      </c>
      <c r="U120" s="165">
        <f t="shared" si="9"/>
        <v>0</v>
      </c>
      <c r="V120" s="165">
        <f t="shared" si="9"/>
        <v>0</v>
      </c>
      <c r="W120" s="165">
        <f t="shared" si="9"/>
        <v>0</v>
      </c>
      <c r="X120" s="165">
        <f t="shared" si="9"/>
        <v>0</v>
      </c>
      <c r="Y120" s="165">
        <f t="shared" si="9"/>
        <v>0</v>
      </c>
      <c r="Z120" s="165">
        <f t="shared" si="9"/>
        <v>0</v>
      </c>
      <c r="AA120" s="165">
        <f t="shared" si="9"/>
        <v>0</v>
      </c>
      <c r="AB120" s="165">
        <f t="shared" si="9"/>
        <v>0</v>
      </c>
      <c r="AC120" s="165">
        <f t="shared" si="9"/>
        <v>0</v>
      </c>
      <c r="AD120" s="165">
        <f t="shared" si="9"/>
        <v>0</v>
      </c>
      <c r="AE120" s="165">
        <f t="shared" si="9"/>
        <v>0</v>
      </c>
      <c r="AF120" s="165">
        <f t="shared" si="9"/>
        <v>0</v>
      </c>
      <c r="AG120" s="165">
        <f t="shared" si="9"/>
        <v>0</v>
      </c>
      <c r="AH120" s="165">
        <f t="shared" si="9"/>
        <v>0</v>
      </c>
      <c r="AI120" s="165">
        <f t="shared" si="9"/>
        <v>0</v>
      </c>
      <c r="AJ120" s="165">
        <f t="shared" si="9"/>
        <v>0</v>
      </c>
      <c r="AK120" s="142"/>
      <c r="AL120" s="1"/>
    </row>
    <row r="121" spans="1:38" ht="14.25" customHeight="1">
      <c r="A121" s="619"/>
      <c r="B121" s="155"/>
      <c r="C121" s="355"/>
      <c r="D121" s="143"/>
      <c r="E121" s="539"/>
      <c r="F121" s="539"/>
      <c r="G121" s="539"/>
      <c r="H121" s="143"/>
      <c r="I121" s="143"/>
      <c r="J121" s="143"/>
      <c r="K121" s="143"/>
      <c r="L121" s="143"/>
      <c r="M121" s="143"/>
      <c r="N121" s="143"/>
      <c r="O121" s="143"/>
      <c r="P121" s="143"/>
      <c r="Q121" s="143"/>
      <c r="R121" s="143"/>
      <c r="S121" s="143"/>
      <c r="T121" s="143"/>
      <c r="U121" s="143"/>
      <c r="V121" s="143"/>
      <c r="W121" s="143"/>
      <c r="X121" s="143"/>
      <c r="Y121" s="143"/>
      <c r="Z121" s="143"/>
      <c r="AA121" s="143"/>
      <c r="AB121" s="143"/>
      <c r="AC121" s="143"/>
      <c r="AD121" s="143"/>
      <c r="AE121" s="143"/>
      <c r="AF121" s="143"/>
      <c r="AG121" s="143"/>
      <c r="AH121" s="143"/>
      <c r="AI121" s="143"/>
      <c r="AJ121" s="143"/>
      <c r="AK121" s="142"/>
      <c r="AL121" s="1"/>
    </row>
    <row r="122" spans="1:38" ht="14.25" customHeight="1">
      <c r="A122" s="3"/>
      <c r="B122" s="202"/>
      <c r="C122" s="160" t="s">
        <v>54</v>
      </c>
      <c r="D122" s="620"/>
      <c r="E122" s="488"/>
      <c r="F122" s="488"/>
      <c r="G122" s="488"/>
      <c r="H122" s="620"/>
      <c r="I122" s="620"/>
      <c r="J122" s="620"/>
      <c r="K122" s="620"/>
      <c r="L122" s="620"/>
      <c r="M122" s="620"/>
      <c r="N122" s="620"/>
      <c r="O122" s="620"/>
      <c r="P122" s="620"/>
      <c r="Q122" s="620"/>
      <c r="R122" s="620"/>
      <c r="S122" s="620"/>
      <c r="T122" s="620"/>
      <c r="U122" s="620"/>
      <c r="V122" s="620"/>
      <c r="W122" s="620"/>
      <c r="X122" s="620"/>
      <c r="Y122" s="620"/>
      <c r="Z122" s="620"/>
      <c r="AA122" s="620"/>
      <c r="AB122" s="620"/>
      <c r="AC122" s="620"/>
      <c r="AD122" s="620"/>
      <c r="AE122" s="620"/>
      <c r="AF122" s="620"/>
      <c r="AG122" s="620"/>
      <c r="AH122" s="620"/>
      <c r="AI122" s="620"/>
      <c r="AJ122" s="620"/>
      <c r="AK122" s="473"/>
      <c r="AL122" s="1"/>
    </row>
    <row r="123" spans="1:38" ht="14.25" customHeight="1">
      <c r="A123" s="619">
        <v>2</v>
      </c>
      <c r="B123" s="155"/>
      <c r="C123" s="164" t="s">
        <v>772</v>
      </c>
      <c r="D123" s="165">
        <v>778.64313304999996</v>
      </c>
      <c r="E123" s="165">
        <v>711.58163586500007</v>
      </c>
      <c r="F123" s="165">
        <v>613.76358733500012</v>
      </c>
      <c r="G123" s="165">
        <v>740.87100996099991</v>
      </c>
      <c r="H123" s="204"/>
      <c r="I123" s="204"/>
      <c r="J123" s="204"/>
      <c r="K123" s="204"/>
      <c r="L123" s="204"/>
      <c r="M123" s="204"/>
      <c r="N123" s="204"/>
      <c r="O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142"/>
      <c r="AL123" s="1"/>
    </row>
    <row r="124" spans="1:38" ht="14.25" customHeight="1">
      <c r="A124" s="619">
        <v>2</v>
      </c>
      <c r="B124" s="155"/>
      <c r="C124" s="164" t="s">
        <v>771</v>
      </c>
      <c r="D124" s="165">
        <v>600.35927878799987</v>
      </c>
      <c r="E124" s="165">
        <v>548.77946797361267</v>
      </c>
      <c r="F124" s="165">
        <v>546.93633523199981</v>
      </c>
      <c r="G124" s="165">
        <v>580.94702348700002</v>
      </c>
      <c r="H124" s="204"/>
      <c r="I124" s="204"/>
      <c r="J124" s="204"/>
      <c r="K124" s="204"/>
      <c r="L124" s="204"/>
      <c r="M124" s="204"/>
      <c r="N124" s="204"/>
      <c r="O124" s="204"/>
      <c r="P124" s="204"/>
      <c r="Q124" s="204"/>
      <c r="R124" s="204"/>
      <c r="S124" s="204"/>
      <c r="T124" s="204"/>
      <c r="U124" s="204"/>
      <c r="V124" s="204"/>
      <c r="W124" s="204"/>
      <c r="X124" s="204"/>
      <c r="Y124" s="204"/>
      <c r="Z124" s="204"/>
      <c r="AA124" s="204"/>
      <c r="AB124" s="204"/>
      <c r="AC124" s="204"/>
      <c r="AD124" s="204"/>
      <c r="AE124" s="204"/>
      <c r="AF124" s="204"/>
      <c r="AG124" s="204"/>
      <c r="AH124" s="204"/>
      <c r="AI124" s="204"/>
      <c r="AJ124" s="204"/>
      <c r="AK124" s="142"/>
      <c r="AL124" s="1"/>
    </row>
    <row r="125" spans="1:38" ht="14.25" customHeight="1">
      <c r="A125" s="619">
        <v>2</v>
      </c>
      <c r="B125" s="155"/>
      <c r="C125" s="164" t="s">
        <v>783</v>
      </c>
      <c r="D125" s="165">
        <v>278.35411386284676</v>
      </c>
      <c r="E125" s="165">
        <v>269.84695953855828</v>
      </c>
      <c r="F125" s="165">
        <v>254.75602002516854</v>
      </c>
      <c r="G125" s="165">
        <v>259.77737102999731</v>
      </c>
      <c r="H125" s="204"/>
      <c r="I125" s="204"/>
      <c r="J125" s="204"/>
      <c r="K125" s="204"/>
      <c r="L125" s="204"/>
      <c r="M125" s="204"/>
      <c r="N125" s="204"/>
      <c r="O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142"/>
      <c r="AL125" s="1"/>
    </row>
    <row r="126" spans="1:38" ht="14.25" customHeight="1">
      <c r="A126" s="619"/>
      <c r="B126" s="155"/>
      <c r="C126" s="164"/>
      <c r="D126" s="165"/>
      <c r="E126" s="165"/>
      <c r="F126" s="165"/>
      <c r="G126" s="165"/>
      <c r="H126" s="204"/>
      <c r="I126" s="204"/>
      <c r="J126" s="204"/>
      <c r="K126" s="204"/>
      <c r="L126" s="204"/>
      <c r="M126" s="204"/>
      <c r="N126" s="204"/>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142"/>
      <c r="AL126" s="1"/>
    </row>
    <row r="127" spans="1:38" ht="14.25" customHeight="1">
      <c r="A127" s="619"/>
      <c r="B127" s="155"/>
      <c r="C127" s="164" t="s">
        <v>767</v>
      </c>
      <c r="D127" s="165">
        <f t="shared" ref="D127:AJ127" si="10">SUM(D123:D125)</f>
        <v>1657.3565257008465</v>
      </c>
      <c r="E127" s="165">
        <f t="shared" si="10"/>
        <v>1530.2080633771711</v>
      </c>
      <c r="F127" s="165">
        <f t="shared" si="10"/>
        <v>1415.4559425921684</v>
      </c>
      <c r="G127" s="165">
        <f t="shared" si="10"/>
        <v>1581.5954044779971</v>
      </c>
      <c r="H127" s="204">
        <f t="shared" si="10"/>
        <v>0</v>
      </c>
      <c r="I127" s="204">
        <f t="shared" si="10"/>
        <v>0</v>
      </c>
      <c r="J127" s="204">
        <f t="shared" si="10"/>
        <v>0</v>
      </c>
      <c r="K127" s="204">
        <f t="shared" si="10"/>
        <v>0</v>
      </c>
      <c r="L127" s="204">
        <f t="shared" si="10"/>
        <v>0</v>
      </c>
      <c r="M127" s="204">
        <f t="shared" si="10"/>
        <v>0</v>
      </c>
      <c r="N127" s="204">
        <f t="shared" si="10"/>
        <v>0</v>
      </c>
      <c r="O127" s="204">
        <f t="shared" si="10"/>
        <v>0</v>
      </c>
      <c r="P127" s="204">
        <f t="shared" si="10"/>
        <v>0</v>
      </c>
      <c r="Q127" s="204">
        <f t="shared" si="10"/>
        <v>0</v>
      </c>
      <c r="R127" s="204">
        <f t="shared" si="10"/>
        <v>0</v>
      </c>
      <c r="S127" s="204">
        <f t="shared" si="10"/>
        <v>0</v>
      </c>
      <c r="T127" s="204">
        <f t="shared" si="10"/>
        <v>0</v>
      </c>
      <c r="U127" s="204">
        <f t="shared" si="10"/>
        <v>0</v>
      </c>
      <c r="V127" s="204">
        <f t="shared" si="10"/>
        <v>0</v>
      </c>
      <c r="W127" s="204">
        <f t="shared" si="10"/>
        <v>0</v>
      </c>
      <c r="X127" s="204">
        <f t="shared" si="10"/>
        <v>0</v>
      </c>
      <c r="Y127" s="204">
        <f t="shared" si="10"/>
        <v>0</v>
      </c>
      <c r="Z127" s="204">
        <f t="shared" si="10"/>
        <v>0</v>
      </c>
      <c r="AA127" s="204">
        <f t="shared" si="10"/>
        <v>0</v>
      </c>
      <c r="AB127" s="204">
        <f t="shared" si="10"/>
        <v>0</v>
      </c>
      <c r="AC127" s="204">
        <f t="shared" si="10"/>
        <v>0</v>
      </c>
      <c r="AD127" s="204">
        <f t="shared" si="10"/>
        <v>0</v>
      </c>
      <c r="AE127" s="204">
        <f t="shared" si="10"/>
        <v>0</v>
      </c>
      <c r="AF127" s="204">
        <f t="shared" si="10"/>
        <v>0</v>
      </c>
      <c r="AG127" s="204">
        <f t="shared" si="10"/>
        <v>0</v>
      </c>
      <c r="AH127" s="204">
        <f t="shared" si="10"/>
        <v>0</v>
      </c>
      <c r="AI127" s="204">
        <f t="shared" si="10"/>
        <v>0</v>
      </c>
      <c r="AJ127" s="204">
        <f t="shared" si="10"/>
        <v>0</v>
      </c>
      <c r="AK127" s="142"/>
      <c r="AL127" s="1"/>
    </row>
    <row r="128" spans="1:38" ht="14.25" customHeight="1">
      <c r="A128" s="619"/>
      <c r="B128" s="155"/>
      <c r="C128" s="355"/>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c r="AA128" s="143"/>
      <c r="AB128" s="143"/>
      <c r="AC128" s="143"/>
      <c r="AD128" s="143"/>
      <c r="AE128" s="143"/>
      <c r="AF128" s="143"/>
      <c r="AG128" s="143"/>
      <c r="AH128" s="143"/>
      <c r="AI128" s="143"/>
      <c r="AJ128" s="143"/>
      <c r="AK128" s="142"/>
      <c r="AL128" s="1"/>
    </row>
    <row r="129" spans="1:38" ht="14.25" customHeight="1">
      <c r="A129" s="3"/>
      <c r="B129" s="202"/>
      <c r="C129" s="160" t="s">
        <v>57</v>
      </c>
      <c r="D129" s="620"/>
      <c r="E129" s="620"/>
      <c r="F129" s="620"/>
      <c r="G129" s="620"/>
      <c r="H129" s="620"/>
      <c r="I129" s="620"/>
      <c r="J129" s="620"/>
      <c r="K129" s="620"/>
      <c r="L129" s="620"/>
      <c r="M129" s="620"/>
      <c r="N129" s="620"/>
      <c r="O129" s="620"/>
      <c r="P129" s="620"/>
      <c r="Q129" s="620"/>
      <c r="R129" s="620"/>
      <c r="S129" s="620"/>
      <c r="T129" s="620"/>
      <c r="U129" s="620"/>
      <c r="V129" s="620"/>
      <c r="W129" s="620"/>
      <c r="X129" s="620"/>
      <c r="Y129" s="620"/>
      <c r="Z129" s="620"/>
      <c r="AA129" s="620"/>
      <c r="AB129" s="620"/>
      <c r="AC129" s="620"/>
      <c r="AD129" s="620"/>
      <c r="AE129" s="620"/>
      <c r="AF129" s="620"/>
      <c r="AG129" s="620"/>
      <c r="AH129" s="620"/>
      <c r="AI129" s="620"/>
      <c r="AJ129" s="620"/>
      <c r="AK129" s="473"/>
      <c r="AL129" s="1"/>
    </row>
    <row r="130" spans="1:38" ht="14.25" customHeight="1">
      <c r="A130" s="619">
        <v>2</v>
      </c>
      <c r="B130" s="155"/>
      <c r="C130" s="164" t="s">
        <v>769</v>
      </c>
      <c r="D130" s="165">
        <v>129839.46257261994</v>
      </c>
      <c r="E130" s="165">
        <v>137253.46618150995</v>
      </c>
      <c r="F130" s="165">
        <v>126632.01530767004</v>
      </c>
      <c r="G130" s="165">
        <v>117622.74507281499</v>
      </c>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42"/>
      <c r="AL130" s="1"/>
    </row>
    <row r="131" spans="1:38" ht="14.25" customHeight="1">
      <c r="A131" s="619">
        <v>2</v>
      </c>
      <c r="B131" s="155"/>
      <c r="C131" s="164" t="s">
        <v>770</v>
      </c>
      <c r="D131" s="165"/>
      <c r="E131" s="165">
        <v>21.443164190476192</v>
      </c>
      <c r="F131" s="165"/>
      <c r="G131" s="165">
        <v>677.87973665999994</v>
      </c>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42"/>
      <c r="AL131" s="1"/>
    </row>
    <row r="132" spans="1:38" ht="14.25" customHeight="1">
      <c r="A132" s="619">
        <v>2</v>
      </c>
      <c r="B132" s="155"/>
      <c r="C132" s="164" t="s">
        <v>771</v>
      </c>
      <c r="D132" s="165"/>
      <c r="E132" s="165">
        <v>29.848749257142863</v>
      </c>
      <c r="F132" s="165"/>
      <c r="G132" s="165"/>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42"/>
      <c r="AL132" s="1"/>
    </row>
    <row r="133" spans="1:38" ht="14.25" customHeight="1">
      <c r="A133" s="619">
        <v>2</v>
      </c>
      <c r="B133" s="155"/>
      <c r="C133" s="164" t="s">
        <v>772</v>
      </c>
      <c r="D133" s="165"/>
      <c r="E133" s="165"/>
      <c r="F133" s="165"/>
      <c r="G133" s="165"/>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42"/>
      <c r="AL133" s="1"/>
    </row>
    <row r="134" spans="1:38" ht="14.25" customHeight="1">
      <c r="A134" s="619">
        <v>2</v>
      </c>
      <c r="B134" s="155"/>
      <c r="C134" s="164" t="s">
        <v>773</v>
      </c>
      <c r="D134" s="165">
        <v>15863.4624064</v>
      </c>
      <c r="E134" s="165">
        <v>14759.809539328002</v>
      </c>
      <c r="F134" s="165">
        <v>14667.191592255998</v>
      </c>
      <c r="G134" s="165">
        <v>15318.800117376002</v>
      </c>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42"/>
      <c r="AL134" s="1"/>
    </row>
    <row r="135" spans="1:38" ht="14.25" customHeight="1">
      <c r="A135" s="619">
        <v>2</v>
      </c>
      <c r="B135" s="155"/>
      <c r="C135" s="164" t="s">
        <v>774</v>
      </c>
      <c r="D135" s="165"/>
      <c r="E135" s="165"/>
      <c r="F135" s="165"/>
      <c r="G135" s="165"/>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42"/>
      <c r="AL135" s="1"/>
    </row>
    <row r="136" spans="1:38" ht="14.25" customHeight="1">
      <c r="A136" s="619">
        <v>2</v>
      </c>
      <c r="B136" s="155"/>
      <c r="C136" s="538" t="s">
        <v>779</v>
      </c>
      <c r="D136" s="165">
        <v>5323.4913947226705</v>
      </c>
      <c r="E136" s="165">
        <v>5473.1509782202365</v>
      </c>
      <c r="F136" s="165">
        <v>5143.9887659797714</v>
      </c>
      <c r="G136" s="165">
        <v>5598.2630148480002</v>
      </c>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42"/>
      <c r="AL136" s="1"/>
    </row>
    <row r="137" spans="1:38" ht="14.25" customHeight="1">
      <c r="A137" s="619"/>
      <c r="B137" s="155"/>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42"/>
      <c r="AL137" s="1"/>
    </row>
    <row r="138" spans="1:38" ht="14.25" customHeight="1">
      <c r="A138" s="619"/>
      <c r="B138" s="155"/>
      <c r="C138" s="164" t="s">
        <v>767</v>
      </c>
      <c r="D138" s="165">
        <f t="shared" ref="D138:G138" si="11">SUM(D130:D136)</f>
        <v>151026.4163737426</v>
      </c>
      <c r="E138" s="165">
        <f t="shared" si="11"/>
        <v>157537.71861250582</v>
      </c>
      <c r="F138" s="165">
        <f t="shared" si="11"/>
        <v>146443.19566590581</v>
      </c>
      <c r="G138" s="165">
        <f t="shared" si="11"/>
        <v>139217.687941699</v>
      </c>
      <c r="H138" s="164">
        <f t="shared" ref="H138:AJ138" si="12">SUM(H131:H135)</f>
        <v>0</v>
      </c>
      <c r="I138" s="164">
        <f t="shared" si="12"/>
        <v>0</v>
      </c>
      <c r="J138" s="164">
        <f t="shared" si="12"/>
        <v>0</v>
      </c>
      <c r="K138" s="164">
        <f t="shared" si="12"/>
        <v>0</v>
      </c>
      <c r="L138" s="164">
        <f t="shared" si="12"/>
        <v>0</v>
      </c>
      <c r="M138" s="164">
        <f t="shared" si="12"/>
        <v>0</v>
      </c>
      <c r="N138" s="164">
        <f t="shared" si="12"/>
        <v>0</v>
      </c>
      <c r="O138" s="164">
        <f t="shared" si="12"/>
        <v>0</v>
      </c>
      <c r="P138" s="164">
        <f t="shared" si="12"/>
        <v>0</v>
      </c>
      <c r="Q138" s="164">
        <f t="shared" si="12"/>
        <v>0</v>
      </c>
      <c r="R138" s="164">
        <f t="shared" si="12"/>
        <v>0</v>
      </c>
      <c r="S138" s="164">
        <f t="shared" si="12"/>
        <v>0</v>
      </c>
      <c r="T138" s="164">
        <f t="shared" si="12"/>
        <v>0</v>
      </c>
      <c r="U138" s="164">
        <f t="shared" si="12"/>
        <v>0</v>
      </c>
      <c r="V138" s="164">
        <f t="shared" si="12"/>
        <v>0</v>
      </c>
      <c r="W138" s="164">
        <f t="shared" si="12"/>
        <v>0</v>
      </c>
      <c r="X138" s="164">
        <f t="shared" si="12"/>
        <v>0</v>
      </c>
      <c r="Y138" s="164">
        <f t="shared" si="12"/>
        <v>0</v>
      </c>
      <c r="Z138" s="164">
        <f t="shared" si="12"/>
        <v>0</v>
      </c>
      <c r="AA138" s="164">
        <f t="shared" si="12"/>
        <v>0</v>
      </c>
      <c r="AB138" s="164">
        <f t="shared" si="12"/>
        <v>0</v>
      </c>
      <c r="AC138" s="164">
        <f t="shared" si="12"/>
        <v>0</v>
      </c>
      <c r="AD138" s="164">
        <f t="shared" si="12"/>
        <v>0</v>
      </c>
      <c r="AE138" s="164">
        <f t="shared" si="12"/>
        <v>0</v>
      </c>
      <c r="AF138" s="164">
        <f t="shared" si="12"/>
        <v>0</v>
      </c>
      <c r="AG138" s="164">
        <f t="shared" si="12"/>
        <v>0</v>
      </c>
      <c r="AH138" s="164">
        <f t="shared" si="12"/>
        <v>0</v>
      </c>
      <c r="AI138" s="164">
        <f t="shared" si="12"/>
        <v>0</v>
      </c>
      <c r="AJ138" s="164">
        <f t="shared" si="12"/>
        <v>0</v>
      </c>
      <c r="AK138" s="142"/>
      <c r="AL138" s="1"/>
    </row>
    <row r="139" spans="1:38" ht="14.25" customHeight="1">
      <c r="A139" s="619"/>
      <c r="B139" s="155"/>
      <c r="C139" s="355"/>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2"/>
      <c r="AL139" s="1"/>
    </row>
    <row r="140" spans="1:38" ht="14.25" customHeight="1">
      <c r="A140" s="3"/>
      <c r="B140" s="202"/>
      <c r="C140" s="160" t="s">
        <v>58</v>
      </c>
      <c r="D140" s="620"/>
      <c r="E140" s="620"/>
      <c r="F140" s="620"/>
      <c r="G140" s="620"/>
      <c r="H140" s="620"/>
      <c r="I140" s="620"/>
      <c r="J140" s="620"/>
      <c r="K140" s="620"/>
      <c r="L140" s="620"/>
      <c r="M140" s="620"/>
      <c r="N140" s="620"/>
      <c r="O140" s="620"/>
      <c r="P140" s="620"/>
      <c r="Q140" s="620"/>
      <c r="R140" s="620"/>
      <c r="S140" s="620"/>
      <c r="T140" s="620"/>
      <c r="U140" s="620"/>
      <c r="V140" s="620"/>
      <c r="W140" s="620"/>
      <c r="X140" s="620"/>
      <c r="Y140" s="620"/>
      <c r="Z140" s="620"/>
      <c r="AA140" s="620"/>
      <c r="AB140" s="620"/>
      <c r="AC140" s="620"/>
      <c r="AD140" s="620"/>
      <c r="AE140" s="620"/>
      <c r="AF140" s="620"/>
      <c r="AG140" s="620"/>
      <c r="AH140" s="620"/>
      <c r="AI140" s="620"/>
      <c r="AJ140" s="620"/>
      <c r="AK140" s="473"/>
      <c r="AL140" s="1"/>
    </row>
    <row r="141" spans="1:38" ht="14.25" customHeight="1">
      <c r="A141" s="619">
        <v>3</v>
      </c>
      <c r="B141" s="155"/>
      <c r="C141" s="164" t="s">
        <v>59</v>
      </c>
      <c r="D141" s="164">
        <v>70</v>
      </c>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42"/>
      <c r="AL141" s="1"/>
    </row>
    <row r="142" spans="1:38" ht="14.25" customHeight="1">
      <c r="A142" s="619"/>
      <c r="B142" s="167"/>
      <c r="C142" s="222"/>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c r="AA142" s="230"/>
      <c r="AB142" s="230"/>
      <c r="AC142" s="230"/>
      <c r="AD142" s="230"/>
      <c r="AE142" s="230"/>
      <c r="AF142" s="230"/>
      <c r="AG142" s="230"/>
      <c r="AH142" s="230"/>
      <c r="AI142" s="230"/>
      <c r="AJ142" s="230"/>
      <c r="AK142" s="231"/>
      <c r="AL142" s="1"/>
    </row>
    <row r="143" spans="1:38" ht="14.25" customHeight="1">
      <c r="A143" s="619"/>
      <c r="B143" s="619"/>
      <c r="C143" s="4"/>
      <c r="D143" s="619"/>
      <c r="E143" s="619"/>
      <c r="F143" s="619"/>
      <c r="G143" s="619"/>
      <c r="H143" s="619"/>
      <c r="I143" s="619"/>
      <c r="J143" s="619"/>
      <c r="K143" s="619"/>
      <c r="L143" s="619"/>
      <c r="M143" s="619"/>
      <c r="N143" s="619"/>
      <c r="O143" s="619"/>
      <c r="P143" s="619"/>
      <c r="Q143" s="619"/>
      <c r="R143" s="619"/>
      <c r="S143" s="619"/>
      <c r="T143" s="619"/>
      <c r="U143" s="619"/>
      <c r="V143" s="619"/>
      <c r="W143" s="619"/>
      <c r="X143" s="619"/>
      <c r="Y143" s="619"/>
      <c r="Z143" s="619"/>
      <c r="AA143" s="619"/>
      <c r="AB143" s="619"/>
      <c r="AC143" s="619"/>
      <c r="AD143" s="619"/>
      <c r="AE143" s="619"/>
      <c r="AF143" s="619"/>
      <c r="AG143" s="619"/>
      <c r="AH143" s="619"/>
      <c r="AI143" s="619"/>
      <c r="AJ143" s="619"/>
      <c r="AK143" s="619"/>
      <c r="AL143" s="1"/>
    </row>
    <row r="144" spans="1:38" ht="14.25" customHeight="1">
      <c r="A144" s="619"/>
      <c r="B144" s="6"/>
      <c r="C144" s="152"/>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c r="AK144" s="201"/>
      <c r="AL144" s="1"/>
    </row>
    <row r="145" spans="1:38" ht="14.25" customHeight="1">
      <c r="A145" s="619"/>
      <c r="B145" s="155"/>
      <c r="C145" s="156" t="s">
        <v>60</v>
      </c>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2"/>
      <c r="AL145" s="1"/>
    </row>
    <row r="146" spans="1:38" ht="14.25" customHeight="1">
      <c r="A146" s="619"/>
      <c r="B146" s="202"/>
      <c r="C146" s="160" t="s">
        <v>61</v>
      </c>
      <c r="D146" s="620"/>
      <c r="E146" s="620"/>
      <c r="F146" s="620"/>
      <c r="G146" s="620"/>
      <c r="H146" s="620"/>
      <c r="I146" s="620"/>
      <c r="J146" s="620"/>
      <c r="K146" s="620"/>
      <c r="L146" s="620"/>
      <c r="M146" s="620"/>
      <c r="N146" s="620"/>
      <c r="O146" s="620"/>
      <c r="P146" s="620"/>
      <c r="Q146" s="620"/>
      <c r="R146" s="620"/>
      <c r="S146" s="620"/>
      <c r="T146" s="620"/>
      <c r="U146" s="620"/>
      <c r="V146" s="620"/>
      <c r="W146" s="620"/>
      <c r="X146" s="620"/>
      <c r="Y146" s="620"/>
      <c r="Z146" s="620"/>
      <c r="AA146" s="620"/>
      <c r="AB146" s="620"/>
      <c r="AC146" s="620"/>
      <c r="AD146" s="620"/>
      <c r="AE146" s="620"/>
      <c r="AF146" s="620"/>
      <c r="AG146" s="620"/>
      <c r="AH146" s="620"/>
      <c r="AI146" s="620"/>
      <c r="AJ146" s="620"/>
      <c r="AK146" s="473"/>
      <c r="AL146" s="1"/>
    </row>
    <row r="147" spans="1:38" ht="14.25" customHeight="1">
      <c r="A147" s="619">
        <v>2</v>
      </c>
      <c r="B147" s="155"/>
      <c r="C147" s="164" t="s">
        <v>784</v>
      </c>
      <c r="D147" s="165">
        <v>1743.0487278799999</v>
      </c>
      <c r="E147" s="165">
        <v>1689.3687004376</v>
      </c>
      <c r="F147" s="165">
        <v>1629.3440644463519</v>
      </c>
      <c r="G147" s="165">
        <v>1565.4419277352788</v>
      </c>
      <c r="H147" s="204"/>
      <c r="I147" s="204"/>
      <c r="J147" s="204"/>
      <c r="K147" s="204"/>
      <c r="L147" s="204"/>
      <c r="M147" s="204"/>
      <c r="N147" s="204"/>
      <c r="O147" s="204"/>
      <c r="P147" s="204"/>
      <c r="Q147" s="204"/>
      <c r="R147" s="204"/>
      <c r="S147" s="204"/>
      <c r="T147" s="204"/>
      <c r="U147" s="204"/>
      <c r="V147" s="204"/>
      <c r="W147" s="204"/>
      <c r="X147" s="204"/>
      <c r="Y147" s="204"/>
      <c r="Z147" s="204"/>
      <c r="AA147" s="204"/>
      <c r="AB147" s="204"/>
      <c r="AC147" s="204"/>
      <c r="AD147" s="204"/>
      <c r="AE147" s="204"/>
      <c r="AF147" s="204"/>
      <c r="AG147" s="204"/>
      <c r="AH147" s="204"/>
      <c r="AI147" s="204"/>
      <c r="AJ147" s="204"/>
      <c r="AK147" s="142"/>
      <c r="AL147" s="1"/>
    </row>
    <row r="148" spans="1:38" ht="14.25" customHeight="1">
      <c r="A148" s="619">
        <v>2</v>
      </c>
      <c r="B148" s="155"/>
      <c r="C148" s="164" t="s">
        <v>785</v>
      </c>
      <c r="D148" s="165">
        <v>2094.687339223417</v>
      </c>
      <c r="E148" s="165">
        <v>2327.7090213259494</v>
      </c>
      <c r="F148" s="165">
        <v>2230.5056457740893</v>
      </c>
      <c r="G148" s="165">
        <v>2005.8714709716241</v>
      </c>
      <c r="H148" s="204"/>
      <c r="I148" s="204"/>
      <c r="J148" s="204"/>
      <c r="K148" s="204"/>
      <c r="L148" s="204"/>
      <c r="M148" s="204"/>
      <c r="N148" s="204"/>
      <c r="O148" s="204"/>
      <c r="P148" s="204"/>
      <c r="Q148" s="204"/>
      <c r="R148" s="204"/>
      <c r="S148" s="204"/>
      <c r="T148" s="204"/>
      <c r="U148" s="204"/>
      <c r="V148" s="204"/>
      <c r="W148" s="204"/>
      <c r="X148" s="204"/>
      <c r="Y148" s="204"/>
      <c r="Z148" s="204"/>
      <c r="AA148" s="204"/>
      <c r="AB148" s="204"/>
      <c r="AC148" s="204"/>
      <c r="AD148" s="204"/>
      <c r="AE148" s="204"/>
      <c r="AF148" s="204"/>
      <c r="AG148" s="204"/>
      <c r="AH148" s="204"/>
      <c r="AI148" s="204"/>
      <c r="AJ148" s="204"/>
      <c r="AK148" s="142"/>
      <c r="AL148" s="1"/>
    </row>
    <row r="149" spans="1:38" ht="14.25" customHeight="1">
      <c r="A149" s="619"/>
      <c r="B149" s="155"/>
      <c r="C149" s="164" t="s">
        <v>786</v>
      </c>
      <c r="D149" s="165" t="s">
        <v>186</v>
      </c>
      <c r="E149" s="165" t="s">
        <v>186</v>
      </c>
      <c r="F149" s="165" t="s">
        <v>186</v>
      </c>
      <c r="G149" s="165" t="s">
        <v>186</v>
      </c>
      <c r="H149" s="204"/>
      <c r="I149" s="204"/>
      <c r="J149" s="204"/>
      <c r="K149" s="204"/>
      <c r="L149" s="204"/>
      <c r="M149" s="204"/>
      <c r="N149" s="204"/>
      <c r="O149" s="204"/>
      <c r="P149" s="204"/>
      <c r="Q149" s="204"/>
      <c r="R149" s="204"/>
      <c r="S149" s="204"/>
      <c r="T149" s="204"/>
      <c r="U149" s="204"/>
      <c r="V149" s="204"/>
      <c r="W149" s="204"/>
      <c r="X149" s="204"/>
      <c r="Y149" s="204"/>
      <c r="Z149" s="204"/>
      <c r="AA149" s="204"/>
      <c r="AB149" s="204"/>
      <c r="AC149" s="204"/>
      <c r="AD149" s="204"/>
      <c r="AE149" s="204"/>
      <c r="AF149" s="204"/>
      <c r="AG149" s="204"/>
      <c r="AH149" s="204"/>
      <c r="AI149" s="204"/>
      <c r="AJ149" s="204"/>
      <c r="AK149" s="142"/>
      <c r="AL149" s="1"/>
    </row>
    <row r="150" spans="1:38" ht="14.25" customHeight="1">
      <c r="A150" s="619"/>
      <c r="B150" s="155"/>
      <c r="C150" s="164" t="s">
        <v>787</v>
      </c>
      <c r="D150" s="165" t="s">
        <v>186</v>
      </c>
      <c r="E150" s="165" t="s">
        <v>186</v>
      </c>
      <c r="F150" s="165" t="s">
        <v>186</v>
      </c>
      <c r="G150" s="165" t="s">
        <v>186</v>
      </c>
      <c r="H150" s="204"/>
      <c r="I150" s="204"/>
      <c r="J150" s="204"/>
      <c r="K150" s="204"/>
      <c r="L150" s="204"/>
      <c r="M150" s="204"/>
      <c r="N150" s="204"/>
      <c r="O150" s="204"/>
      <c r="P150" s="204"/>
      <c r="Q150" s="204"/>
      <c r="R150" s="204"/>
      <c r="S150" s="204"/>
      <c r="T150" s="204"/>
      <c r="U150" s="204"/>
      <c r="V150" s="204"/>
      <c r="W150" s="204"/>
      <c r="X150" s="204"/>
      <c r="Y150" s="204"/>
      <c r="Z150" s="204"/>
      <c r="AA150" s="204"/>
      <c r="AB150" s="204"/>
      <c r="AC150" s="204"/>
      <c r="AD150" s="204"/>
      <c r="AE150" s="204"/>
      <c r="AF150" s="204"/>
      <c r="AG150" s="204"/>
      <c r="AH150" s="204"/>
      <c r="AI150" s="204"/>
      <c r="AJ150" s="204"/>
      <c r="AK150" s="142"/>
      <c r="AL150" s="1"/>
    </row>
    <row r="151" spans="1:38" ht="14.25" customHeight="1">
      <c r="A151" s="619"/>
      <c r="B151" s="155"/>
      <c r="C151" s="164" t="s">
        <v>12</v>
      </c>
      <c r="D151" s="204"/>
      <c r="E151" s="204"/>
      <c r="F151" s="204"/>
      <c r="G151" s="204"/>
      <c r="H151" s="204"/>
      <c r="I151" s="204"/>
      <c r="J151" s="204"/>
      <c r="K151" s="204"/>
      <c r="L151" s="204"/>
      <c r="M151" s="204"/>
      <c r="N151" s="204"/>
      <c r="O151" s="204"/>
      <c r="P151" s="204"/>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142"/>
      <c r="AL151" s="1"/>
    </row>
    <row r="152" spans="1:38" ht="14.25" customHeight="1">
      <c r="A152" s="619"/>
      <c r="B152" s="155"/>
      <c r="C152" s="164" t="s">
        <v>767</v>
      </c>
      <c r="D152" s="165">
        <f t="shared" ref="D152:G152" si="13">SUM(D147:D150)</f>
        <v>3837.7360671034166</v>
      </c>
      <c r="E152" s="165">
        <f t="shared" si="13"/>
        <v>4017.0777217635496</v>
      </c>
      <c r="F152" s="165">
        <f t="shared" si="13"/>
        <v>3859.849710220441</v>
      </c>
      <c r="G152" s="165">
        <f t="shared" si="13"/>
        <v>3571.3133987069032</v>
      </c>
      <c r="H152" s="204">
        <f t="shared" ref="H152:AJ152" si="14">SUM(H147)</f>
        <v>0</v>
      </c>
      <c r="I152" s="204">
        <f t="shared" si="14"/>
        <v>0</v>
      </c>
      <c r="J152" s="204">
        <f t="shared" si="14"/>
        <v>0</v>
      </c>
      <c r="K152" s="204">
        <f t="shared" si="14"/>
        <v>0</v>
      </c>
      <c r="L152" s="204">
        <f t="shared" si="14"/>
        <v>0</v>
      </c>
      <c r="M152" s="204">
        <f t="shared" si="14"/>
        <v>0</v>
      </c>
      <c r="N152" s="204">
        <f t="shared" si="14"/>
        <v>0</v>
      </c>
      <c r="O152" s="204">
        <f t="shared" si="14"/>
        <v>0</v>
      </c>
      <c r="P152" s="204">
        <f t="shared" si="14"/>
        <v>0</v>
      </c>
      <c r="Q152" s="204">
        <f t="shared" si="14"/>
        <v>0</v>
      </c>
      <c r="R152" s="204">
        <f t="shared" si="14"/>
        <v>0</v>
      </c>
      <c r="S152" s="204">
        <f t="shared" si="14"/>
        <v>0</v>
      </c>
      <c r="T152" s="204">
        <f t="shared" si="14"/>
        <v>0</v>
      </c>
      <c r="U152" s="204">
        <f t="shared" si="14"/>
        <v>0</v>
      </c>
      <c r="V152" s="204">
        <f t="shared" si="14"/>
        <v>0</v>
      </c>
      <c r="W152" s="204">
        <f t="shared" si="14"/>
        <v>0</v>
      </c>
      <c r="X152" s="204">
        <f t="shared" si="14"/>
        <v>0</v>
      </c>
      <c r="Y152" s="204">
        <f t="shared" si="14"/>
        <v>0</v>
      </c>
      <c r="Z152" s="204">
        <f t="shared" si="14"/>
        <v>0</v>
      </c>
      <c r="AA152" s="204">
        <f t="shared" si="14"/>
        <v>0</v>
      </c>
      <c r="AB152" s="204">
        <f t="shared" si="14"/>
        <v>0</v>
      </c>
      <c r="AC152" s="204">
        <f t="shared" si="14"/>
        <v>0</v>
      </c>
      <c r="AD152" s="204">
        <f t="shared" si="14"/>
        <v>0</v>
      </c>
      <c r="AE152" s="204">
        <f t="shared" si="14"/>
        <v>0</v>
      </c>
      <c r="AF152" s="204">
        <f t="shared" si="14"/>
        <v>0</v>
      </c>
      <c r="AG152" s="204">
        <f t="shared" si="14"/>
        <v>0</v>
      </c>
      <c r="AH152" s="204">
        <f t="shared" si="14"/>
        <v>0</v>
      </c>
      <c r="AI152" s="204">
        <f t="shared" si="14"/>
        <v>0</v>
      </c>
      <c r="AJ152" s="204">
        <f t="shared" si="14"/>
        <v>0</v>
      </c>
      <c r="AK152" s="142"/>
      <c r="AL152" s="1"/>
    </row>
    <row r="153" spans="1:38" ht="14.25" customHeight="1">
      <c r="A153" s="619"/>
      <c r="B153" s="167"/>
      <c r="C153" s="222"/>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c r="AA153" s="230"/>
      <c r="AB153" s="230"/>
      <c r="AC153" s="230"/>
      <c r="AD153" s="230"/>
      <c r="AE153" s="230"/>
      <c r="AF153" s="230"/>
      <c r="AG153" s="230"/>
      <c r="AH153" s="230"/>
      <c r="AI153" s="230"/>
      <c r="AJ153" s="230"/>
      <c r="AK153" s="231"/>
      <c r="AL153" s="1"/>
    </row>
    <row r="154" spans="1:38" ht="14.25" customHeight="1">
      <c r="A154" s="619"/>
      <c r="B154" s="619"/>
      <c r="C154" s="4"/>
      <c r="D154" s="619"/>
      <c r="E154" s="619"/>
      <c r="F154" s="619"/>
      <c r="G154" s="619"/>
      <c r="H154" s="619"/>
      <c r="I154" s="619"/>
      <c r="J154" s="619"/>
      <c r="K154" s="619"/>
      <c r="L154" s="619"/>
      <c r="M154" s="619"/>
      <c r="N154" s="619"/>
      <c r="O154" s="619"/>
      <c r="P154" s="619"/>
      <c r="Q154" s="619"/>
      <c r="R154" s="619"/>
      <c r="S154" s="619"/>
      <c r="T154" s="619"/>
      <c r="U154" s="619"/>
      <c r="V154" s="619"/>
      <c r="W154" s="619"/>
      <c r="X154" s="619"/>
      <c r="Y154" s="619"/>
      <c r="Z154" s="619"/>
      <c r="AA154" s="619"/>
      <c r="AB154" s="619"/>
      <c r="AC154" s="619"/>
      <c r="AD154" s="619"/>
      <c r="AE154" s="619"/>
      <c r="AF154" s="619"/>
      <c r="AG154" s="619"/>
      <c r="AH154" s="619"/>
      <c r="AI154" s="619"/>
      <c r="AJ154" s="619"/>
      <c r="AK154" s="619"/>
      <c r="AL154" s="1"/>
    </row>
    <row r="155" spans="1:38" ht="14.25" customHeight="1">
      <c r="A155" s="619"/>
      <c r="B155" s="6"/>
      <c r="C155" s="152"/>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c r="AK155" s="201"/>
      <c r="AL155" s="1"/>
    </row>
    <row r="156" spans="1:38" ht="14.25" customHeight="1">
      <c r="A156" s="619"/>
      <c r="B156" s="155"/>
      <c r="C156" s="156" t="s">
        <v>71</v>
      </c>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2"/>
      <c r="AL156" s="1"/>
    </row>
    <row r="157" spans="1:38" ht="14.25" customHeight="1">
      <c r="A157" s="619">
        <v>2</v>
      </c>
      <c r="B157" s="155"/>
      <c r="C157" s="160" t="s">
        <v>788</v>
      </c>
      <c r="D157" s="160">
        <v>2668</v>
      </c>
      <c r="E157" s="160">
        <v>2812</v>
      </c>
      <c r="F157" s="160">
        <v>2833</v>
      </c>
      <c r="G157" s="160">
        <v>2739</v>
      </c>
      <c r="H157" s="160"/>
      <c r="I157" s="160"/>
      <c r="J157" s="160"/>
      <c r="K157" s="160"/>
      <c r="L157" s="160"/>
      <c r="M157" s="160"/>
      <c r="N157" s="160"/>
      <c r="O157" s="160"/>
      <c r="P157" s="160"/>
      <c r="Q157" s="160"/>
      <c r="R157" s="160"/>
      <c r="S157" s="160"/>
      <c r="T157" s="160"/>
      <c r="U157" s="160"/>
      <c r="V157" s="160"/>
      <c r="W157" s="160"/>
      <c r="X157" s="160"/>
      <c r="Y157" s="160"/>
      <c r="Z157" s="160"/>
      <c r="AA157" s="160"/>
      <c r="AB157" s="160"/>
      <c r="AC157" s="160"/>
      <c r="AD157" s="160"/>
      <c r="AE157" s="160"/>
      <c r="AF157" s="160"/>
      <c r="AG157" s="160"/>
      <c r="AH157" s="160"/>
      <c r="AI157" s="160"/>
      <c r="AJ157" s="160"/>
      <c r="AK157" s="142"/>
      <c r="AL157" s="1"/>
    </row>
    <row r="158" spans="1:38" ht="14.25" customHeight="1">
      <c r="A158" s="619">
        <v>2</v>
      </c>
      <c r="B158" s="155"/>
      <c r="C158" s="160" t="s">
        <v>789</v>
      </c>
      <c r="D158" s="160">
        <v>3423</v>
      </c>
      <c r="E158" s="160">
        <v>3059</v>
      </c>
      <c r="F158" s="160">
        <v>2642</v>
      </c>
      <c r="G158" s="160">
        <v>2632</v>
      </c>
      <c r="H158" s="160"/>
      <c r="I158" s="160"/>
      <c r="J158" s="160"/>
      <c r="K158" s="160"/>
      <c r="L158" s="160"/>
      <c r="M158" s="160"/>
      <c r="N158" s="160"/>
      <c r="O158" s="160"/>
      <c r="P158" s="160"/>
      <c r="Q158" s="160"/>
      <c r="R158" s="160"/>
      <c r="S158" s="160"/>
      <c r="T158" s="160"/>
      <c r="U158" s="160"/>
      <c r="V158" s="160"/>
      <c r="W158" s="160"/>
      <c r="X158" s="160"/>
      <c r="Y158" s="160"/>
      <c r="Z158" s="160"/>
      <c r="AA158" s="160"/>
      <c r="AB158" s="160"/>
      <c r="AC158" s="160"/>
      <c r="AD158" s="160"/>
      <c r="AE158" s="160"/>
      <c r="AF158" s="160"/>
      <c r="AG158" s="160"/>
      <c r="AH158" s="160"/>
      <c r="AI158" s="160"/>
      <c r="AJ158" s="160"/>
      <c r="AK158" s="142"/>
      <c r="AL158" s="1"/>
    </row>
    <row r="159" spans="1:38" ht="14.25" customHeight="1">
      <c r="A159" s="619"/>
      <c r="B159" s="155"/>
      <c r="C159" s="160" t="s">
        <v>790</v>
      </c>
      <c r="D159" s="160">
        <v>470</v>
      </c>
      <c r="E159" s="160">
        <v>508</v>
      </c>
      <c r="F159" s="160">
        <v>524</v>
      </c>
      <c r="G159" s="160">
        <v>458</v>
      </c>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60"/>
      <c r="AH159" s="160"/>
      <c r="AI159" s="160"/>
      <c r="AJ159" s="160"/>
      <c r="AK159" s="142"/>
      <c r="AL159" s="1"/>
    </row>
    <row r="160" spans="1:38" ht="14.25" customHeight="1">
      <c r="A160" s="619"/>
      <c r="B160" s="155"/>
      <c r="C160" s="160" t="s">
        <v>791</v>
      </c>
      <c r="D160" s="160">
        <v>126</v>
      </c>
      <c r="E160" s="160">
        <v>101</v>
      </c>
      <c r="F160" s="160">
        <v>106</v>
      </c>
      <c r="G160" s="160">
        <v>99</v>
      </c>
      <c r="H160" s="160"/>
      <c r="I160" s="160"/>
      <c r="J160" s="160"/>
      <c r="K160" s="160"/>
      <c r="L160" s="160"/>
      <c r="M160" s="160"/>
      <c r="N160" s="160"/>
      <c r="O160" s="160"/>
      <c r="P160" s="160"/>
      <c r="Q160" s="160"/>
      <c r="R160" s="160"/>
      <c r="S160" s="160"/>
      <c r="T160" s="160"/>
      <c r="U160" s="160"/>
      <c r="V160" s="160"/>
      <c r="W160" s="160"/>
      <c r="X160" s="160"/>
      <c r="Y160" s="160"/>
      <c r="Z160" s="160"/>
      <c r="AA160" s="160"/>
      <c r="AB160" s="160"/>
      <c r="AC160" s="160"/>
      <c r="AD160" s="160"/>
      <c r="AE160" s="160"/>
      <c r="AF160" s="160"/>
      <c r="AG160" s="160"/>
      <c r="AH160" s="160"/>
      <c r="AI160" s="160"/>
      <c r="AJ160" s="160"/>
      <c r="AK160" s="142"/>
      <c r="AL160" s="1"/>
    </row>
    <row r="161" spans="1:38" ht="14.25" customHeight="1">
      <c r="A161" s="619"/>
      <c r="B161" s="155"/>
      <c r="C161" s="160" t="s">
        <v>792</v>
      </c>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c r="AA161" s="160"/>
      <c r="AB161" s="160"/>
      <c r="AC161" s="160"/>
      <c r="AD161" s="160"/>
      <c r="AE161" s="160"/>
      <c r="AF161" s="160"/>
      <c r="AG161" s="160"/>
      <c r="AH161" s="160"/>
      <c r="AI161" s="160"/>
      <c r="AJ161" s="160"/>
      <c r="AK161" s="142"/>
      <c r="AL161" s="1"/>
    </row>
    <row r="162" spans="1:38" ht="14.25" customHeight="1">
      <c r="A162" s="619"/>
      <c r="B162" s="155"/>
      <c r="C162" s="160" t="s">
        <v>793</v>
      </c>
      <c r="D162" s="160">
        <v>2726</v>
      </c>
      <c r="E162" s="160">
        <v>3035</v>
      </c>
      <c r="F162" s="160">
        <v>2875</v>
      </c>
      <c r="G162" s="160">
        <v>2993</v>
      </c>
      <c r="H162" s="160">
        <f t="shared" ref="H162:AJ162" si="15">SUM(H157)</f>
        <v>0</v>
      </c>
      <c r="I162" s="160">
        <f t="shared" si="15"/>
        <v>0</v>
      </c>
      <c r="J162" s="160">
        <f t="shared" si="15"/>
        <v>0</v>
      </c>
      <c r="K162" s="160">
        <f t="shared" si="15"/>
        <v>0</v>
      </c>
      <c r="L162" s="160">
        <f t="shared" si="15"/>
        <v>0</v>
      </c>
      <c r="M162" s="160">
        <f t="shared" si="15"/>
        <v>0</v>
      </c>
      <c r="N162" s="160">
        <f t="shared" si="15"/>
        <v>0</v>
      </c>
      <c r="O162" s="160">
        <f t="shared" si="15"/>
        <v>0</v>
      </c>
      <c r="P162" s="160">
        <f t="shared" si="15"/>
        <v>0</v>
      </c>
      <c r="Q162" s="160">
        <f t="shared" si="15"/>
        <v>0</v>
      </c>
      <c r="R162" s="160">
        <f t="shared" si="15"/>
        <v>0</v>
      </c>
      <c r="S162" s="160">
        <f t="shared" si="15"/>
        <v>0</v>
      </c>
      <c r="T162" s="160">
        <f t="shared" si="15"/>
        <v>0</v>
      </c>
      <c r="U162" s="160">
        <f t="shared" si="15"/>
        <v>0</v>
      </c>
      <c r="V162" s="160">
        <f t="shared" si="15"/>
        <v>0</v>
      </c>
      <c r="W162" s="160">
        <f t="shared" si="15"/>
        <v>0</v>
      </c>
      <c r="X162" s="160">
        <f t="shared" si="15"/>
        <v>0</v>
      </c>
      <c r="Y162" s="160">
        <f t="shared" si="15"/>
        <v>0</v>
      </c>
      <c r="Z162" s="160">
        <f t="shared" si="15"/>
        <v>0</v>
      </c>
      <c r="AA162" s="160">
        <f t="shared" si="15"/>
        <v>0</v>
      </c>
      <c r="AB162" s="160">
        <f t="shared" si="15"/>
        <v>0</v>
      </c>
      <c r="AC162" s="160">
        <f t="shared" si="15"/>
        <v>0</v>
      </c>
      <c r="AD162" s="160">
        <f t="shared" si="15"/>
        <v>0</v>
      </c>
      <c r="AE162" s="160">
        <f t="shared" si="15"/>
        <v>0</v>
      </c>
      <c r="AF162" s="160">
        <f t="shared" si="15"/>
        <v>0</v>
      </c>
      <c r="AG162" s="160">
        <f t="shared" si="15"/>
        <v>0</v>
      </c>
      <c r="AH162" s="160">
        <f t="shared" si="15"/>
        <v>0</v>
      </c>
      <c r="AI162" s="160">
        <f t="shared" si="15"/>
        <v>0</v>
      </c>
      <c r="AJ162" s="160">
        <f t="shared" si="15"/>
        <v>0</v>
      </c>
      <c r="AK162" s="142"/>
      <c r="AL162" s="1"/>
    </row>
    <row r="163" spans="1:38" ht="14.25" customHeight="1">
      <c r="A163" s="619"/>
      <c r="B163" s="155"/>
      <c r="C163" s="160" t="s">
        <v>794</v>
      </c>
      <c r="D163" s="160">
        <v>4563</v>
      </c>
      <c r="E163" s="160">
        <v>3288</v>
      </c>
      <c r="F163" s="160">
        <v>2560</v>
      </c>
      <c r="G163" s="160">
        <v>2292</v>
      </c>
      <c r="H163" s="160"/>
      <c r="I163" s="160"/>
      <c r="J163" s="160"/>
      <c r="K163" s="160"/>
      <c r="L163" s="160"/>
      <c r="M163" s="160"/>
      <c r="N163" s="160"/>
      <c r="O163" s="160"/>
      <c r="P163" s="160"/>
      <c r="Q163" s="160"/>
      <c r="R163" s="160"/>
      <c r="S163" s="160"/>
      <c r="T163" s="160"/>
      <c r="U163" s="160"/>
      <c r="V163" s="160"/>
      <c r="W163" s="160"/>
      <c r="X163" s="160"/>
      <c r="Y163" s="160"/>
      <c r="Z163" s="160"/>
      <c r="AA163" s="160"/>
      <c r="AB163" s="160"/>
      <c r="AC163" s="160"/>
      <c r="AD163" s="160"/>
      <c r="AE163" s="160"/>
      <c r="AF163" s="160"/>
      <c r="AG163" s="160"/>
      <c r="AH163" s="160"/>
      <c r="AI163" s="160"/>
      <c r="AJ163" s="160"/>
      <c r="AK163" s="142"/>
      <c r="AL163" s="1"/>
    </row>
    <row r="164" spans="1:38" ht="14.25" customHeight="1">
      <c r="A164" s="619"/>
      <c r="B164" s="155"/>
      <c r="C164" s="160" t="s">
        <v>795</v>
      </c>
      <c r="D164" s="160">
        <v>702</v>
      </c>
      <c r="E164" s="160">
        <v>383</v>
      </c>
      <c r="F164" s="160">
        <v>235</v>
      </c>
      <c r="G164" s="160">
        <v>292</v>
      </c>
      <c r="H164" s="160"/>
      <c r="I164" s="160"/>
      <c r="J164" s="160"/>
      <c r="K164" s="160"/>
      <c r="L164" s="160"/>
      <c r="M164" s="160"/>
      <c r="N164" s="160"/>
      <c r="O164" s="160"/>
      <c r="P164" s="160"/>
      <c r="Q164" s="160"/>
      <c r="R164" s="160"/>
      <c r="S164" s="160"/>
      <c r="T164" s="160"/>
      <c r="U164" s="160"/>
      <c r="V164" s="160"/>
      <c r="W164" s="160"/>
      <c r="X164" s="160"/>
      <c r="Y164" s="160"/>
      <c r="Z164" s="160"/>
      <c r="AA164" s="160"/>
      <c r="AB164" s="160"/>
      <c r="AC164" s="160"/>
      <c r="AD164" s="160"/>
      <c r="AE164" s="160"/>
      <c r="AF164" s="160"/>
      <c r="AG164" s="160"/>
      <c r="AH164" s="160"/>
      <c r="AI164" s="160"/>
      <c r="AJ164" s="160"/>
      <c r="AK164" s="142"/>
      <c r="AL164" s="1"/>
    </row>
    <row r="165" spans="1:38" ht="14.25" customHeight="1">
      <c r="A165" s="619"/>
      <c r="B165" s="155"/>
      <c r="C165" s="160" t="s">
        <v>93</v>
      </c>
      <c r="D165" s="160">
        <v>159</v>
      </c>
      <c r="E165" s="160">
        <v>149</v>
      </c>
      <c r="F165" s="160">
        <v>160</v>
      </c>
      <c r="G165" s="160">
        <v>152</v>
      </c>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60"/>
      <c r="AH165" s="160"/>
      <c r="AI165" s="160"/>
      <c r="AJ165" s="160"/>
      <c r="AK165" s="142"/>
      <c r="AL165" s="1"/>
    </row>
    <row r="166" spans="1:38" ht="14.25" customHeight="1">
      <c r="A166" s="619"/>
      <c r="B166" s="155"/>
      <c r="C166" s="160" t="s">
        <v>796</v>
      </c>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c r="AA166" s="160"/>
      <c r="AB166" s="160"/>
      <c r="AC166" s="160"/>
      <c r="AD166" s="160"/>
      <c r="AE166" s="160"/>
      <c r="AF166" s="160"/>
      <c r="AG166" s="160"/>
      <c r="AH166" s="160"/>
      <c r="AI166" s="160"/>
      <c r="AJ166" s="160"/>
      <c r="AK166" s="142"/>
      <c r="AL166" s="1"/>
    </row>
    <row r="167" spans="1:38" ht="14.25" customHeight="1">
      <c r="A167" s="619"/>
      <c r="B167" s="155"/>
      <c r="C167" s="160" t="s">
        <v>39</v>
      </c>
      <c r="D167" s="160">
        <f t="shared" ref="D167:G167" si="16">SUM(D157:D165)</f>
        <v>14837</v>
      </c>
      <c r="E167" s="160">
        <f t="shared" si="16"/>
        <v>13335</v>
      </c>
      <c r="F167" s="160">
        <f t="shared" si="16"/>
        <v>11935</v>
      </c>
      <c r="G167" s="160">
        <f t="shared" si="16"/>
        <v>11657</v>
      </c>
      <c r="H167" s="160"/>
      <c r="I167" s="160"/>
      <c r="J167" s="160"/>
      <c r="K167" s="160"/>
      <c r="L167" s="160"/>
      <c r="M167" s="160"/>
      <c r="N167" s="160"/>
      <c r="O167" s="160"/>
      <c r="P167" s="160"/>
      <c r="Q167" s="160"/>
      <c r="R167" s="160"/>
      <c r="S167" s="160"/>
      <c r="T167" s="160"/>
      <c r="U167" s="160"/>
      <c r="V167" s="160"/>
      <c r="W167" s="160"/>
      <c r="X167" s="160"/>
      <c r="Y167" s="160"/>
      <c r="Z167" s="160"/>
      <c r="AA167" s="160"/>
      <c r="AB167" s="160"/>
      <c r="AC167" s="160"/>
      <c r="AD167" s="160"/>
      <c r="AE167" s="160"/>
      <c r="AF167" s="160"/>
      <c r="AG167" s="160"/>
      <c r="AH167" s="160"/>
      <c r="AI167" s="160"/>
      <c r="AJ167" s="160"/>
      <c r="AK167" s="142"/>
      <c r="AL167" s="1"/>
    </row>
    <row r="168" spans="1:38" ht="14.25" customHeight="1">
      <c r="A168" s="619"/>
      <c r="B168" s="167"/>
      <c r="C168" s="222"/>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c r="AA168" s="230"/>
      <c r="AB168" s="230"/>
      <c r="AC168" s="230"/>
      <c r="AD168" s="230"/>
      <c r="AE168" s="230"/>
      <c r="AF168" s="230"/>
      <c r="AG168" s="230"/>
      <c r="AH168" s="230"/>
      <c r="AI168" s="230"/>
      <c r="AJ168" s="230"/>
      <c r="AK168" s="231"/>
      <c r="AL168" s="1"/>
    </row>
    <row r="169" spans="1:38" ht="14.25" customHeight="1">
      <c r="A169" s="619"/>
      <c r="B169" s="619"/>
      <c r="C169" s="4"/>
      <c r="D169" s="619"/>
      <c r="E169" s="619"/>
      <c r="F169" s="619"/>
      <c r="G169" s="619"/>
      <c r="H169" s="619"/>
      <c r="I169" s="619"/>
      <c r="J169" s="619"/>
      <c r="K169" s="619"/>
      <c r="L169" s="619"/>
      <c r="M169" s="619"/>
      <c r="N169" s="619"/>
      <c r="O169" s="619"/>
      <c r="P169" s="619"/>
      <c r="Q169" s="619"/>
      <c r="R169" s="619"/>
      <c r="S169" s="619"/>
      <c r="T169" s="619"/>
      <c r="U169" s="619"/>
      <c r="V169" s="619"/>
      <c r="W169" s="619"/>
      <c r="X169" s="619"/>
      <c r="Y169" s="619"/>
      <c r="Z169" s="619"/>
      <c r="AA169" s="619"/>
      <c r="AB169" s="619"/>
      <c r="AC169" s="619"/>
      <c r="AD169" s="619"/>
      <c r="AE169" s="619"/>
      <c r="AF169" s="619"/>
      <c r="AG169" s="619"/>
      <c r="AH169" s="619"/>
      <c r="AI169" s="619"/>
      <c r="AJ169" s="619"/>
      <c r="AK169" s="619"/>
      <c r="AL169" s="1"/>
    </row>
    <row r="170" spans="1:38" ht="14.25" customHeight="1">
      <c r="A170" s="619"/>
      <c r="B170" s="6"/>
      <c r="C170" s="152"/>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c r="AK170" s="201"/>
      <c r="AL170" s="1"/>
    </row>
    <row r="171" spans="1:38" ht="23.25" customHeight="1">
      <c r="A171" s="619"/>
      <c r="B171" s="155"/>
      <c r="C171" s="156" t="s">
        <v>66</v>
      </c>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c r="AH171" s="143"/>
      <c r="AI171" s="143"/>
      <c r="AJ171" s="143"/>
      <c r="AK171" s="142"/>
      <c r="AL171" s="1"/>
    </row>
    <row r="172" spans="1:38" ht="14.25" customHeight="1">
      <c r="A172" s="619"/>
      <c r="B172" s="155"/>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c r="AA172" s="160"/>
      <c r="AB172" s="160"/>
      <c r="AC172" s="160"/>
      <c r="AD172" s="160"/>
      <c r="AE172" s="160"/>
      <c r="AF172" s="160"/>
      <c r="AG172" s="160"/>
      <c r="AH172" s="160"/>
      <c r="AI172" s="160"/>
      <c r="AJ172" s="160"/>
      <c r="AK172" s="142"/>
      <c r="AL172" s="1"/>
    </row>
    <row r="173" spans="1:38" ht="14.25" customHeight="1">
      <c r="A173" s="619"/>
      <c r="B173" s="155"/>
      <c r="C173" s="164" t="s">
        <v>797</v>
      </c>
      <c r="D173" s="540">
        <v>698965</v>
      </c>
      <c r="E173" s="540">
        <v>722358</v>
      </c>
      <c r="F173" s="540">
        <v>674839</v>
      </c>
      <c r="G173" s="540">
        <v>635493</v>
      </c>
      <c r="H173" s="160"/>
      <c r="I173" s="160"/>
      <c r="J173" s="160"/>
      <c r="K173" s="160"/>
      <c r="L173" s="160"/>
      <c r="M173" s="160"/>
      <c r="N173" s="160"/>
      <c r="O173" s="160"/>
      <c r="P173" s="160"/>
      <c r="Q173" s="160"/>
      <c r="R173" s="160"/>
      <c r="S173" s="160"/>
      <c r="T173" s="160"/>
      <c r="U173" s="160"/>
      <c r="V173" s="160"/>
      <c r="W173" s="160"/>
      <c r="X173" s="160"/>
      <c r="Y173" s="160"/>
      <c r="Z173" s="160"/>
      <c r="AA173" s="160"/>
      <c r="AB173" s="160"/>
      <c r="AC173" s="160"/>
      <c r="AD173" s="160"/>
      <c r="AE173" s="160"/>
      <c r="AF173" s="160"/>
      <c r="AG173" s="160"/>
      <c r="AH173" s="160"/>
      <c r="AI173" s="160"/>
      <c r="AJ173" s="160"/>
      <c r="AK173" s="142"/>
      <c r="AL173" s="1"/>
    </row>
    <row r="174" spans="1:38" ht="14.25" customHeight="1">
      <c r="A174" s="619"/>
      <c r="B174" s="155"/>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c r="AA174" s="160"/>
      <c r="AB174" s="160"/>
      <c r="AC174" s="160"/>
      <c r="AD174" s="160"/>
      <c r="AE174" s="160"/>
      <c r="AF174" s="160"/>
      <c r="AG174" s="160"/>
      <c r="AH174" s="160"/>
      <c r="AI174" s="160"/>
      <c r="AJ174" s="160"/>
      <c r="AK174" s="142"/>
      <c r="AL174" s="1"/>
    </row>
    <row r="175" spans="1:38" ht="28.9">
      <c r="A175" s="619"/>
      <c r="B175" s="155"/>
      <c r="C175" s="227" t="s">
        <v>798</v>
      </c>
      <c r="D175" s="540">
        <v>186735227</v>
      </c>
      <c r="E175" s="540">
        <v>192734509</v>
      </c>
      <c r="F175" s="540">
        <v>172286041</v>
      </c>
      <c r="G175" s="540">
        <v>164985608</v>
      </c>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60"/>
      <c r="AH175" s="160"/>
      <c r="AI175" s="160"/>
      <c r="AJ175" s="160"/>
      <c r="AK175" s="142"/>
      <c r="AL175" s="1"/>
    </row>
    <row r="176" spans="1:38" ht="14.25" customHeight="1">
      <c r="A176" s="619"/>
      <c r="B176" s="155"/>
      <c r="C176" s="164"/>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c r="AA176" s="160"/>
      <c r="AB176" s="160"/>
      <c r="AC176" s="160"/>
      <c r="AD176" s="160"/>
      <c r="AE176" s="160"/>
      <c r="AF176" s="160"/>
      <c r="AG176" s="160"/>
      <c r="AH176" s="160"/>
      <c r="AI176" s="160"/>
      <c r="AJ176" s="160"/>
      <c r="AK176" s="142"/>
      <c r="AL176" s="1"/>
    </row>
    <row r="177" spans="1:38" ht="28.9">
      <c r="A177" s="619"/>
      <c r="B177" s="155"/>
      <c r="C177" s="227" t="s">
        <v>69</v>
      </c>
      <c r="D177" s="540">
        <v>101150</v>
      </c>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c r="AA177" s="160"/>
      <c r="AB177" s="160"/>
      <c r="AC177" s="160"/>
      <c r="AD177" s="160"/>
      <c r="AE177" s="160"/>
      <c r="AF177" s="160"/>
      <c r="AG177" s="160"/>
      <c r="AH177" s="160"/>
      <c r="AI177" s="160"/>
      <c r="AJ177" s="160"/>
      <c r="AK177" s="142"/>
      <c r="AL177" s="1"/>
    </row>
    <row r="178" spans="1:38" ht="14.25" customHeight="1">
      <c r="A178" s="619"/>
      <c r="B178" s="155"/>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c r="AA178" s="160"/>
      <c r="AB178" s="160"/>
      <c r="AC178" s="160"/>
      <c r="AD178" s="160"/>
      <c r="AE178" s="160"/>
      <c r="AF178" s="160"/>
      <c r="AG178" s="160"/>
      <c r="AH178" s="160"/>
      <c r="AI178" s="160"/>
      <c r="AJ178" s="160"/>
      <c r="AK178" s="142"/>
      <c r="AL178" s="1"/>
    </row>
    <row r="179" spans="1:38" ht="14.25" customHeight="1">
      <c r="A179" s="619"/>
      <c r="B179" s="167"/>
      <c r="C179" s="222"/>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c r="AA179" s="230"/>
      <c r="AB179" s="230"/>
      <c r="AC179" s="230"/>
      <c r="AD179" s="230"/>
      <c r="AE179" s="230"/>
      <c r="AF179" s="230"/>
      <c r="AG179" s="230"/>
      <c r="AH179" s="230"/>
      <c r="AI179" s="230"/>
      <c r="AJ179" s="230"/>
      <c r="AK179" s="231"/>
      <c r="AL179" s="1"/>
    </row>
    <row r="180" spans="1:38" ht="14.25" customHeight="1">
      <c r="A180" s="619"/>
      <c r="B180" s="619"/>
      <c r="C180" s="4"/>
      <c r="D180" s="619"/>
      <c r="E180" s="619"/>
      <c r="F180" s="619"/>
      <c r="G180" s="619"/>
      <c r="H180" s="619"/>
      <c r="I180" s="619"/>
      <c r="J180" s="619"/>
      <c r="K180" s="619"/>
      <c r="L180" s="619"/>
      <c r="M180" s="619"/>
      <c r="N180" s="619"/>
      <c r="O180" s="619"/>
      <c r="P180" s="619"/>
      <c r="Q180" s="619"/>
      <c r="R180" s="619"/>
      <c r="S180" s="619"/>
      <c r="T180" s="619"/>
      <c r="U180" s="619"/>
      <c r="V180" s="619"/>
      <c r="W180" s="619"/>
      <c r="X180" s="619"/>
      <c r="Y180" s="619"/>
      <c r="Z180" s="619"/>
      <c r="AA180" s="619"/>
      <c r="AB180" s="619"/>
      <c r="AC180" s="619"/>
      <c r="AD180" s="619"/>
      <c r="AE180" s="619"/>
      <c r="AF180" s="619"/>
      <c r="AG180" s="619"/>
      <c r="AH180" s="619"/>
      <c r="AI180" s="619"/>
      <c r="AJ180" s="619"/>
      <c r="AK180" s="619"/>
      <c r="AL180" s="1"/>
    </row>
    <row r="181" spans="1:38" ht="14.25" customHeight="1">
      <c r="A181" s="619"/>
      <c r="B181" s="619"/>
      <c r="C181" s="4"/>
      <c r="D181" s="619"/>
      <c r="E181" s="619"/>
      <c r="F181" s="619"/>
      <c r="G181" s="619"/>
      <c r="H181" s="619"/>
      <c r="I181" s="619"/>
      <c r="J181" s="619"/>
      <c r="K181" s="619"/>
      <c r="L181" s="619"/>
      <c r="M181" s="619"/>
      <c r="N181" s="619"/>
      <c r="O181" s="619"/>
      <c r="P181" s="619"/>
      <c r="Q181" s="619"/>
      <c r="R181" s="619"/>
      <c r="S181" s="619"/>
      <c r="T181" s="619"/>
      <c r="U181" s="619"/>
      <c r="V181" s="619"/>
      <c r="W181" s="619"/>
      <c r="X181" s="619"/>
      <c r="Y181" s="619"/>
      <c r="Z181" s="619"/>
      <c r="AA181" s="619"/>
      <c r="AB181" s="619"/>
      <c r="AC181" s="619"/>
      <c r="AD181" s="619"/>
      <c r="AE181" s="619"/>
      <c r="AF181" s="619"/>
      <c r="AG181" s="619"/>
      <c r="AH181" s="619"/>
      <c r="AI181" s="619"/>
      <c r="AJ181" s="619"/>
      <c r="AK181" s="619"/>
      <c r="AL181" s="1"/>
    </row>
    <row r="182" spans="1:38" ht="14.25" customHeight="1">
      <c r="A182" s="619"/>
      <c r="B182" s="619"/>
      <c r="C182" s="4" t="s">
        <v>799</v>
      </c>
      <c r="D182" s="619"/>
      <c r="E182" s="619"/>
      <c r="F182" s="619"/>
      <c r="G182" s="619"/>
      <c r="H182" s="619"/>
      <c r="I182" s="619"/>
      <c r="J182" s="619"/>
      <c r="K182" s="619"/>
      <c r="L182" s="619"/>
      <c r="M182" s="619"/>
      <c r="N182" s="619"/>
      <c r="O182" s="619"/>
      <c r="P182" s="619"/>
      <c r="Q182" s="619"/>
      <c r="R182" s="619"/>
      <c r="S182" s="619"/>
      <c r="T182" s="619"/>
      <c r="U182" s="619"/>
      <c r="V182" s="619"/>
      <c r="W182" s="619"/>
      <c r="X182" s="619"/>
      <c r="Y182" s="619"/>
      <c r="Z182" s="619"/>
      <c r="AA182" s="619"/>
      <c r="AB182" s="619"/>
      <c r="AC182" s="619"/>
      <c r="AD182" s="619"/>
      <c r="AE182" s="619"/>
      <c r="AF182" s="619"/>
      <c r="AG182" s="619"/>
      <c r="AH182" s="619"/>
      <c r="AI182" s="619"/>
      <c r="AJ182" s="619"/>
      <c r="AK182" s="619"/>
      <c r="AL182" s="1"/>
    </row>
    <row r="183" spans="1:38" ht="14.25" customHeight="1">
      <c r="A183" s="619"/>
      <c r="B183" s="619"/>
      <c r="C183" s="4" t="s">
        <v>800</v>
      </c>
      <c r="D183" s="619"/>
      <c r="E183" s="619"/>
      <c r="F183" s="619"/>
      <c r="G183" s="619"/>
      <c r="H183" s="619"/>
      <c r="I183" s="619"/>
      <c r="J183" s="619"/>
      <c r="K183" s="619"/>
      <c r="L183" s="619"/>
      <c r="M183" s="619"/>
      <c r="N183" s="619"/>
      <c r="O183" s="619"/>
      <c r="P183" s="619"/>
      <c r="Q183" s="619"/>
      <c r="R183" s="619"/>
      <c r="S183" s="619"/>
      <c r="T183" s="619"/>
      <c r="U183" s="619"/>
      <c r="V183" s="619"/>
      <c r="W183" s="619"/>
      <c r="X183" s="619"/>
      <c r="Y183" s="619"/>
      <c r="Z183" s="619"/>
      <c r="AA183" s="619"/>
      <c r="AB183" s="619"/>
      <c r="AC183" s="619"/>
      <c r="AD183" s="619"/>
      <c r="AE183" s="619"/>
      <c r="AF183" s="619"/>
      <c r="AG183" s="619"/>
      <c r="AH183" s="619"/>
      <c r="AI183" s="619"/>
      <c r="AJ183" s="619"/>
      <c r="AK183" s="619"/>
      <c r="AL183" s="1"/>
    </row>
    <row r="184" spans="1:38" ht="14.25" customHeight="1">
      <c r="A184" s="619"/>
      <c r="B184" s="619"/>
      <c r="C184" s="4"/>
      <c r="D184" s="619"/>
      <c r="E184" s="619"/>
      <c r="F184" s="619"/>
      <c r="G184" s="619"/>
      <c r="H184" s="619"/>
      <c r="I184" s="619"/>
      <c r="J184" s="619"/>
      <c r="K184" s="619"/>
      <c r="L184" s="619"/>
      <c r="M184" s="619"/>
      <c r="N184" s="619"/>
      <c r="O184" s="619"/>
      <c r="P184" s="619"/>
      <c r="Q184" s="619"/>
      <c r="R184" s="619"/>
      <c r="S184" s="619"/>
      <c r="T184" s="619"/>
      <c r="U184" s="619"/>
      <c r="V184" s="619"/>
      <c r="W184" s="619"/>
      <c r="X184" s="619"/>
      <c r="Y184" s="619"/>
      <c r="Z184" s="619"/>
      <c r="AA184" s="619"/>
      <c r="AB184" s="619"/>
      <c r="AC184" s="619"/>
      <c r="AD184" s="619"/>
      <c r="AE184" s="619"/>
      <c r="AF184" s="619"/>
      <c r="AG184" s="619"/>
      <c r="AH184" s="619"/>
      <c r="AI184" s="619"/>
      <c r="AJ184" s="619"/>
      <c r="AK184" s="619"/>
      <c r="AL184" s="1"/>
    </row>
    <row r="185" spans="1:38" ht="14.25" customHeight="1">
      <c r="A185" s="619"/>
      <c r="B185" s="619"/>
      <c r="C185" s="12" t="s">
        <v>561</v>
      </c>
      <c r="D185" s="619"/>
      <c r="E185" s="619"/>
      <c r="F185" s="619"/>
      <c r="G185" s="619"/>
      <c r="H185" s="619"/>
      <c r="I185" s="619"/>
      <c r="J185" s="619"/>
      <c r="K185" s="619"/>
      <c r="L185" s="619"/>
      <c r="M185" s="619"/>
      <c r="N185" s="619"/>
      <c r="O185" s="619"/>
      <c r="P185" s="619"/>
      <c r="Q185" s="619"/>
      <c r="R185" s="619"/>
      <c r="S185" s="619"/>
      <c r="T185" s="619"/>
      <c r="U185" s="619"/>
      <c r="V185" s="619"/>
      <c r="W185" s="619"/>
      <c r="X185" s="619"/>
      <c r="Y185" s="619"/>
      <c r="Z185" s="619"/>
      <c r="AA185" s="619"/>
      <c r="AB185" s="619"/>
      <c r="AC185" s="619"/>
      <c r="AD185" s="619"/>
      <c r="AE185" s="619"/>
      <c r="AF185" s="619"/>
      <c r="AG185" s="619"/>
      <c r="AH185" s="619"/>
      <c r="AI185" s="619"/>
      <c r="AJ185" s="619"/>
      <c r="AK185" s="619"/>
      <c r="AL185" s="1"/>
    </row>
    <row r="186" spans="1:38" ht="14.25" customHeight="1">
      <c r="A186" s="619"/>
      <c r="B186" s="619">
        <v>1</v>
      </c>
      <c r="C186" s="4" t="s">
        <v>801</v>
      </c>
      <c r="D186" s="14">
        <v>2018</v>
      </c>
      <c r="E186" s="541">
        <v>2019</v>
      </c>
      <c r="F186" s="541">
        <v>2020</v>
      </c>
      <c r="G186" s="1"/>
      <c r="H186" s="619"/>
      <c r="I186" s="619"/>
      <c r="J186" s="619"/>
      <c r="K186" s="619"/>
      <c r="L186" s="619"/>
      <c r="M186" s="619"/>
      <c r="N186" s="619"/>
      <c r="O186" s="619"/>
      <c r="P186" s="619"/>
      <c r="Q186" s="619"/>
      <c r="R186" s="619"/>
      <c r="S186" s="619"/>
      <c r="T186" s="619"/>
      <c r="U186" s="619"/>
      <c r="V186" s="619"/>
      <c r="W186" s="619"/>
      <c r="X186" s="619"/>
      <c r="Y186" s="619"/>
      <c r="Z186" s="619"/>
      <c r="AA186" s="619"/>
      <c r="AB186" s="619"/>
      <c r="AC186" s="619"/>
      <c r="AD186" s="619"/>
      <c r="AE186" s="619"/>
      <c r="AF186" s="619"/>
      <c r="AG186" s="619"/>
      <c r="AH186" s="619"/>
      <c r="AI186" s="619"/>
      <c r="AJ186" s="619"/>
      <c r="AK186" s="619"/>
      <c r="AL186" s="1"/>
    </row>
    <row r="187" spans="1:38" ht="14.25" customHeight="1">
      <c r="A187" s="619"/>
      <c r="B187" s="619">
        <v>2</v>
      </c>
      <c r="C187" s="542" t="s">
        <v>802</v>
      </c>
      <c r="D187" s="619"/>
      <c r="E187" s="619"/>
      <c r="F187" s="619"/>
      <c r="G187" s="619"/>
      <c r="H187" s="619"/>
      <c r="I187" s="619"/>
      <c r="J187" s="619"/>
      <c r="K187" s="619"/>
      <c r="L187" s="619"/>
      <c r="M187" s="619"/>
      <c r="N187" s="619"/>
      <c r="O187" s="619"/>
      <c r="P187" s="619"/>
      <c r="Q187" s="619"/>
      <c r="R187" s="619"/>
      <c r="S187" s="619"/>
      <c r="T187" s="619"/>
      <c r="U187" s="619"/>
      <c r="V187" s="619"/>
      <c r="W187" s="619"/>
      <c r="X187" s="619"/>
      <c r="Y187" s="619"/>
      <c r="Z187" s="619"/>
      <c r="AA187" s="619"/>
      <c r="AB187" s="619"/>
      <c r="AC187" s="619"/>
      <c r="AD187" s="619"/>
      <c r="AE187" s="619"/>
      <c r="AF187" s="619"/>
      <c r="AG187" s="619"/>
      <c r="AH187" s="619"/>
      <c r="AI187" s="619"/>
      <c r="AJ187" s="619"/>
      <c r="AK187" s="619"/>
      <c r="AL187" s="1"/>
    </row>
    <row r="188" spans="1:38" ht="15.75" customHeight="1">
      <c r="A188" s="619"/>
      <c r="B188" s="619">
        <v>3</v>
      </c>
      <c r="C188" s="543" t="s">
        <v>803</v>
      </c>
      <c r="D188" s="619"/>
      <c r="E188" s="619"/>
      <c r="F188" s="619"/>
      <c r="G188" s="619"/>
      <c r="H188" s="619"/>
      <c r="I188" s="619"/>
      <c r="J188" s="619"/>
      <c r="K188" s="619"/>
      <c r="L188" s="619"/>
      <c r="M188" s="619"/>
      <c r="N188" s="619"/>
      <c r="O188" s="619"/>
      <c r="P188" s="619"/>
      <c r="Q188" s="619"/>
      <c r="R188" s="619"/>
      <c r="S188" s="619"/>
      <c r="T188" s="619"/>
      <c r="U188" s="619"/>
      <c r="V188" s="619"/>
      <c r="W188" s="619"/>
      <c r="X188" s="619"/>
      <c r="Y188" s="619"/>
      <c r="Z188" s="619"/>
      <c r="AA188" s="619"/>
      <c r="AB188" s="619"/>
      <c r="AC188" s="619"/>
      <c r="AD188" s="619"/>
      <c r="AE188" s="619"/>
      <c r="AF188" s="619"/>
      <c r="AG188" s="619"/>
      <c r="AH188" s="619"/>
      <c r="AI188" s="619"/>
      <c r="AJ188" s="619"/>
      <c r="AK188" s="619"/>
      <c r="AL188" s="1"/>
    </row>
    <row r="189" spans="1:38" ht="14.25" customHeight="1">
      <c r="A189" s="619"/>
      <c r="B189" s="619"/>
      <c r="C189" s="4"/>
      <c r="D189" s="619"/>
      <c r="E189" s="619"/>
      <c r="F189" s="619"/>
      <c r="G189" s="619"/>
      <c r="H189" s="619"/>
      <c r="I189" s="619"/>
      <c r="J189" s="619"/>
      <c r="K189" s="619"/>
      <c r="L189" s="619"/>
      <c r="M189" s="619"/>
      <c r="N189" s="619"/>
      <c r="O189" s="619"/>
      <c r="P189" s="619"/>
      <c r="Q189" s="619"/>
      <c r="R189" s="619"/>
      <c r="S189" s="619"/>
      <c r="T189" s="619"/>
      <c r="U189" s="619"/>
      <c r="V189" s="619"/>
      <c r="W189" s="619"/>
      <c r="X189" s="619"/>
      <c r="Y189" s="619"/>
      <c r="Z189" s="619"/>
      <c r="AA189" s="619"/>
      <c r="AB189" s="619"/>
      <c r="AC189" s="619"/>
      <c r="AD189" s="619"/>
      <c r="AE189" s="619"/>
      <c r="AF189" s="619"/>
      <c r="AG189" s="619"/>
      <c r="AH189" s="619"/>
      <c r="AI189" s="619"/>
      <c r="AJ189" s="619"/>
      <c r="AK189" s="619"/>
      <c r="AL189" s="1"/>
    </row>
    <row r="190" spans="1:38" ht="14.25" customHeight="1">
      <c r="A190" s="619"/>
      <c r="B190" s="619"/>
      <c r="C190" s="4"/>
      <c r="D190" s="619"/>
      <c r="E190" s="619"/>
      <c r="F190" s="619"/>
      <c r="G190" s="619"/>
      <c r="H190" s="619"/>
      <c r="I190" s="619"/>
      <c r="J190" s="619"/>
      <c r="K190" s="619"/>
      <c r="L190" s="619"/>
      <c r="M190" s="619"/>
      <c r="N190" s="619"/>
      <c r="O190" s="619"/>
      <c r="P190" s="619"/>
      <c r="Q190" s="619"/>
      <c r="R190" s="619"/>
      <c r="S190" s="619"/>
      <c r="T190" s="619"/>
      <c r="U190" s="619"/>
      <c r="V190" s="619"/>
      <c r="W190" s="619"/>
      <c r="X190" s="619"/>
      <c r="Y190" s="619"/>
      <c r="Z190" s="619"/>
      <c r="AA190" s="619"/>
      <c r="AB190" s="619"/>
      <c r="AC190" s="619"/>
      <c r="AD190" s="619"/>
      <c r="AE190" s="619"/>
      <c r="AF190" s="619"/>
      <c r="AG190" s="619"/>
      <c r="AH190" s="619"/>
      <c r="AI190" s="619"/>
      <c r="AJ190" s="619"/>
      <c r="AK190" s="619"/>
      <c r="AL190" s="1"/>
    </row>
    <row r="191" spans="1:38" ht="14.25" customHeight="1">
      <c r="A191" s="619"/>
      <c r="B191" s="619"/>
      <c r="C191" s="4"/>
      <c r="D191" s="619"/>
      <c r="E191" s="619"/>
      <c r="F191" s="619"/>
      <c r="G191" s="619"/>
      <c r="H191" s="619"/>
      <c r="I191" s="619"/>
      <c r="J191" s="619"/>
      <c r="K191" s="619"/>
      <c r="L191" s="619"/>
      <c r="M191" s="619"/>
      <c r="N191" s="619"/>
      <c r="O191" s="619"/>
      <c r="P191" s="619"/>
      <c r="Q191" s="619"/>
      <c r="R191" s="619"/>
      <c r="S191" s="619"/>
      <c r="T191" s="619"/>
      <c r="U191" s="619"/>
      <c r="V191" s="619"/>
      <c r="W191" s="619"/>
      <c r="X191" s="619"/>
      <c r="Y191" s="619"/>
      <c r="Z191" s="619"/>
      <c r="AA191" s="619"/>
      <c r="AB191" s="619"/>
      <c r="AC191" s="619"/>
      <c r="AD191" s="619"/>
      <c r="AE191" s="619"/>
      <c r="AF191" s="619"/>
      <c r="AG191" s="619"/>
      <c r="AH191" s="619"/>
      <c r="AI191" s="619"/>
      <c r="AJ191" s="619"/>
      <c r="AK191" s="619"/>
      <c r="AL191" s="1"/>
    </row>
    <row r="192" spans="1:38" ht="14.25" customHeight="1">
      <c r="A192" s="619"/>
      <c r="B192" s="619"/>
      <c r="C192" s="4"/>
      <c r="D192" s="619"/>
      <c r="E192" s="619"/>
      <c r="F192" s="619"/>
      <c r="G192" s="619"/>
      <c r="H192" s="619"/>
      <c r="I192" s="619"/>
      <c r="J192" s="619"/>
      <c r="K192" s="619"/>
      <c r="L192" s="619"/>
      <c r="M192" s="619"/>
      <c r="N192" s="619"/>
      <c r="O192" s="619"/>
      <c r="P192" s="619"/>
      <c r="Q192" s="619"/>
      <c r="R192" s="619"/>
      <c r="S192" s="619"/>
      <c r="T192" s="619"/>
      <c r="U192" s="619"/>
      <c r="V192" s="619"/>
      <c r="W192" s="619"/>
      <c r="X192" s="619"/>
      <c r="Y192" s="619"/>
      <c r="Z192" s="619"/>
      <c r="AA192" s="619"/>
      <c r="AB192" s="619"/>
      <c r="AC192" s="619"/>
      <c r="AD192" s="619"/>
      <c r="AE192" s="619"/>
      <c r="AF192" s="619"/>
      <c r="AG192" s="619"/>
      <c r="AH192" s="619"/>
      <c r="AI192" s="619"/>
      <c r="AJ192" s="619"/>
      <c r="AK192" s="619"/>
      <c r="AL192" s="1"/>
    </row>
    <row r="193" spans="1:38" ht="14.25" customHeight="1">
      <c r="A193" s="619"/>
      <c r="B193" s="619"/>
      <c r="C193" s="4"/>
      <c r="D193" s="619"/>
      <c r="E193" s="619"/>
      <c r="F193" s="619"/>
      <c r="G193" s="619"/>
      <c r="H193" s="619"/>
      <c r="I193" s="619"/>
      <c r="J193" s="619"/>
      <c r="K193" s="619"/>
      <c r="L193" s="619"/>
      <c r="M193" s="619"/>
      <c r="N193" s="619"/>
      <c r="O193" s="619"/>
      <c r="P193" s="619"/>
      <c r="Q193" s="619"/>
      <c r="R193" s="619"/>
      <c r="S193" s="619"/>
      <c r="T193" s="619"/>
      <c r="U193" s="619"/>
      <c r="V193" s="619"/>
      <c r="W193" s="619"/>
      <c r="X193" s="619"/>
      <c r="Y193" s="619"/>
      <c r="Z193" s="619"/>
      <c r="AA193" s="619"/>
      <c r="AB193" s="619"/>
      <c r="AC193" s="619"/>
      <c r="AD193" s="619"/>
      <c r="AE193" s="619"/>
      <c r="AF193" s="619"/>
      <c r="AG193" s="619"/>
      <c r="AH193" s="619"/>
      <c r="AI193" s="619"/>
      <c r="AJ193" s="619"/>
      <c r="AK193" s="619"/>
      <c r="AL193" s="1"/>
    </row>
    <row r="194" spans="1:38" ht="14.25" customHeight="1">
      <c r="A194" s="619"/>
      <c r="B194" s="619"/>
      <c r="C194" s="4"/>
      <c r="D194" s="619"/>
      <c r="E194" s="619"/>
      <c r="F194" s="619"/>
      <c r="G194" s="619"/>
      <c r="H194" s="619"/>
      <c r="I194" s="619"/>
      <c r="J194" s="619"/>
      <c r="K194" s="619"/>
      <c r="L194" s="619"/>
      <c r="M194" s="619"/>
      <c r="N194" s="619"/>
      <c r="O194" s="619"/>
      <c r="P194" s="619"/>
      <c r="Q194" s="619"/>
      <c r="R194" s="619"/>
      <c r="S194" s="619"/>
      <c r="T194" s="619"/>
      <c r="U194" s="619"/>
      <c r="V194" s="619"/>
      <c r="W194" s="619"/>
      <c r="X194" s="619"/>
      <c r="Y194" s="619"/>
      <c r="Z194" s="619"/>
      <c r="AA194" s="619"/>
      <c r="AB194" s="619"/>
      <c r="AC194" s="619"/>
      <c r="AD194" s="619"/>
      <c r="AE194" s="619"/>
      <c r="AF194" s="619"/>
      <c r="AG194" s="619"/>
      <c r="AH194" s="619"/>
      <c r="AI194" s="619"/>
      <c r="AJ194" s="619"/>
      <c r="AK194" s="619"/>
      <c r="AL194" s="1"/>
    </row>
    <row r="195" spans="1:38" ht="14.25" customHeight="1">
      <c r="A195" s="619"/>
      <c r="B195" s="619"/>
      <c r="C195" s="4"/>
      <c r="D195" s="619"/>
      <c r="E195" s="619"/>
      <c r="F195" s="619"/>
      <c r="G195" s="619"/>
      <c r="H195" s="619"/>
      <c r="I195" s="619"/>
      <c r="J195" s="619"/>
      <c r="K195" s="619"/>
      <c r="L195" s="619"/>
      <c r="M195" s="619"/>
      <c r="N195" s="619"/>
      <c r="O195" s="619"/>
      <c r="P195" s="619"/>
      <c r="Q195" s="619"/>
      <c r="R195" s="619"/>
      <c r="S195" s="619"/>
      <c r="T195" s="619"/>
      <c r="U195" s="619"/>
      <c r="V195" s="619"/>
      <c r="W195" s="619"/>
      <c r="X195" s="619"/>
      <c r="Y195" s="619"/>
      <c r="Z195" s="619"/>
      <c r="AA195" s="619"/>
      <c r="AB195" s="619"/>
      <c r="AC195" s="619"/>
      <c r="AD195" s="619"/>
      <c r="AE195" s="619"/>
      <c r="AF195" s="619"/>
      <c r="AG195" s="619"/>
      <c r="AH195" s="619"/>
      <c r="AI195" s="619"/>
      <c r="AJ195" s="619"/>
      <c r="AK195" s="619"/>
      <c r="AL195" s="1"/>
    </row>
    <row r="196" spans="1:38" ht="14.25" customHeight="1">
      <c r="A196" s="619"/>
      <c r="B196" s="619"/>
      <c r="C196" s="4"/>
      <c r="D196" s="619"/>
      <c r="E196" s="619"/>
      <c r="F196" s="619"/>
      <c r="G196" s="619"/>
      <c r="H196" s="619"/>
      <c r="I196" s="619"/>
      <c r="J196" s="619"/>
      <c r="K196" s="619"/>
      <c r="L196" s="619"/>
      <c r="M196" s="619"/>
      <c r="N196" s="619"/>
      <c r="O196" s="619"/>
      <c r="P196" s="619"/>
      <c r="Q196" s="619"/>
      <c r="R196" s="619"/>
      <c r="S196" s="619"/>
      <c r="T196" s="619"/>
      <c r="U196" s="619"/>
      <c r="V196" s="619"/>
      <c r="W196" s="619"/>
      <c r="X196" s="619"/>
      <c r="Y196" s="619"/>
      <c r="Z196" s="619"/>
      <c r="AA196" s="619"/>
      <c r="AB196" s="619"/>
      <c r="AC196" s="619"/>
      <c r="AD196" s="619"/>
      <c r="AE196" s="619"/>
      <c r="AF196" s="619"/>
      <c r="AG196" s="619"/>
      <c r="AH196" s="619"/>
      <c r="AI196" s="619"/>
      <c r="AJ196" s="619"/>
      <c r="AK196" s="619"/>
      <c r="AL196" s="1"/>
    </row>
    <row r="197" spans="1:38" ht="14.25" customHeight="1">
      <c r="A197" s="619"/>
      <c r="B197" s="619"/>
      <c r="C197" s="4"/>
      <c r="D197" s="619"/>
      <c r="E197" s="619"/>
      <c r="F197" s="619"/>
      <c r="G197" s="619"/>
      <c r="H197" s="619"/>
      <c r="I197" s="619"/>
      <c r="J197" s="619"/>
      <c r="K197" s="619"/>
      <c r="L197" s="619"/>
      <c r="M197" s="619"/>
      <c r="N197" s="619"/>
      <c r="O197" s="619"/>
      <c r="P197" s="619"/>
      <c r="Q197" s="619"/>
      <c r="R197" s="619"/>
      <c r="S197" s="619"/>
      <c r="T197" s="619"/>
      <c r="U197" s="619"/>
      <c r="V197" s="619"/>
      <c r="W197" s="619"/>
      <c r="X197" s="619"/>
      <c r="Y197" s="619"/>
      <c r="Z197" s="619"/>
      <c r="AA197" s="619"/>
      <c r="AB197" s="619"/>
      <c r="AC197" s="619"/>
      <c r="AD197" s="619"/>
      <c r="AE197" s="619"/>
      <c r="AF197" s="619"/>
      <c r="AG197" s="619"/>
      <c r="AH197" s="619"/>
      <c r="AI197" s="619"/>
      <c r="AJ197" s="619"/>
      <c r="AK197" s="619"/>
      <c r="AL197" s="1"/>
    </row>
    <row r="198" spans="1:38" ht="14.25" customHeight="1">
      <c r="A198" s="619"/>
      <c r="B198" s="619"/>
      <c r="C198" s="4"/>
      <c r="D198" s="619"/>
      <c r="E198" s="619"/>
      <c r="F198" s="619"/>
      <c r="G198" s="619"/>
      <c r="H198" s="619"/>
      <c r="I198" s="619"/>
      <c r="J198" s="619"/>
      <c r="K198" s="619"/>
      <c r="L198" s="619"/>
      <c r="M198" s="619"/>
      <c r="N198" s="619"/>
      <c r="O198" s="619"/>
      <c r="P198" s="619"/>
      <c r="Q198" s="619"/>
      <c r="R198" s="619"/>
      <c r="S198" s="619"/>
      <c r="T198" s="619"/>
      <c r="U198" s="619"/>
      <c r="V198" s="619"/>
      <c r="W198" s="619"/>
      <c r="X198" s="619"/>
      <c r="Y198" s="619"/>
      <c r="Z198" s="619"/>
      <c r="AA198" s="619"/>
      <c r="AB198" s="619"/>
      <c r="AC198" s="619"/>
      <c r="AD198" s="619"/>
      <c r="AE198" s="619"/>
      <c r="AF198" s="619"/>
      <c r="AG198" s="619"/>
      <c r="AH198" s="619"/>
      <c r="AI198" s="619"/>
      <c r="AJ198" s="619"/>
      <c r="AK198" s="619"/>
      <c r="AL198" s="1"/>
    </row>
    <row r="199" spans="1:38" ht="14.25" customHeight="1">
      <c r="A199" s="619"/>
      <c r="B199" s="619"/>
      <c r="C199" s="4"/>
      <c r="D199" s="619"/>
      <c r="E199" s="619"/>
      <c r="F199" s="619"/>
      <c r="G199" s="619"/>
      <c r="H199" s="619"/>
      <c r="I199" s="619"/>
      <c r="J199" s="619"/>
      <c r="K199" s="619"/>
      <c r="L199" s="619"/>
      <c r="M199" s="619"/>
      <c r="N199" s="619"/>
      <c r="O199" s="619"/>
      <c r="P199" s="619"/>
      <c r="Q199" s="619"/>
      <c r="R199" s="619"/>
      <c r="S199" s="619"/>
      <c r="T199" s="619"/>
      <c r="U199" s="619"/>
      <c r="V199" s="619"/>
      <c r="W199" s="619"/>
      <c r="X199" s="619"/>
      <c r="Y199" s="619"/>
      <c r="Z199" s="619"/>
      <c r="AA199" s="619"/>
      <c r="AB199" s="619"/>
      <c r="AC199" s="619"/>
      <c r="AD199" s="619"/>
      <c r="AE199" s="619"/>
      <c r="AF199" s="619"/>
      <c r="AG199" s="619"/>
      <c r="AH199" s="619"/>
      <c r="AI199" s="619"/>
      <c r="AJ199" s="619"/>
      <c r="AK199" s="619"/>
      <c r="AL199" s="1"/>
    </row>
    <row r="200" spans="1:38" ht="14.25" customHeight="1">
      <c r="A200" s="619"/>
      <c r="B200" s="619"/>
      <c r="C200" s="4"/>
      <c r="D200" s="619"/>
      <c r="E200" s="619"/>
      <c r="F200" s="619"/>
      <c r="G200" s="619"/>
      <c r="H200" s="619"/>
      <c r="I200" s="619"/>
      <c r="J200" s="619"/>
      <c r="K200" s="619"/>
      <c r="L200" s="619"/>
      <c r="M200" s="619"/>
      <c r="N200" s="619"/>
      <c r="O200" s="619"/>
      <c r="P200" s="619"/>
      <c r="Q200" s="619"/>
      <c r="R200" s="619"/>
      <c r="S200" s="619"/>
      <c r="T200" s="619"/>
      <c r="U200" s="619"/>
      <c r="V200" s="619"/>
      <c r="W200" s="619"/>
      <c r="X200" s="619"/>
      <c r="Y200" s="619"/>
      <c r="Z200" s="619"/>
      <c r="AA200" s="619"/>
      <c r="AB200" s="619"/>
      <c r="AC200" s="619"/>
      <c r="AD200" s="619"/>
      <c r="AE200" s="619"/>
      <c r="AF200" s="619"/>
      <c r="AG200" s="619"/>
      <c r="AH200" s="619"/>
      <c r="AI200" s="619"/>
      <c r="AJ200" s="619"/>
      <c r="AK200" s="619"/>
      <c r="AL200" s="1"/>
    </row>
    <row r="201" spans="1:38" ht="14.25" customHeight="1">
      <c r="A201" s="619"/>
      <c r="B201" s="619"/>
      <c r="C201" s="4"/>
      <c r="D201" s="619"/>
      <c r="E201" s="619"/>
      <c r="F201" s="619"/>
      <c r="G201" s="619"/>
      <c r="H201" s="619"/>
      <c r="I201" s="619"/>
      <c r="J201" s="619"/>
      <c r="K201" s="619"/>
      <c r="L201" s="619"/>
      <c r="M201" s="619"/>
      <c r="N201" s="619"/>
      <c r="O201" s="619"/>
      <c r="P201" s="619"/>
      <c r="Q201" s="619"/>
      <c r="R201" s="619"/>
      <c r="S201" s="619"/>
      <c r="T201" s="619"/>
      <c r="U201" s="619"/>
      <c r="V201" s="619"/>
      <c r="W201" s="619"/>
      <c r="X201" s="619"/>
      <c r="Y201" s="619"/>
      <c r="Z201" s="619"/>
      <c r="AA201" s="619"/>
      <c r="AB201" s="619"/>
      <c r="AC201" s="619"/>
      <c r="AD201" s="619"/>
      <c r="AE201" s="619"/>
      <c r="AF201" s="619"/>
      <c r="AG201" s="619"/>
      <c r="AH201" s="619"/>
      <c r="AI201" s="619"/>
      <c r="AJ201" s="619"/>
      <c r="AK201" s="619"/>
      <c r="AL201" s="1"/>
    </row>
    <row r="202" spans="1:38" ht="14.25" customHeight="1">
      <c r="A202" s="619"/>
      <c r="B202" s="619"/>
      <c r="C202" s="4"/>
      <c r="D202" s="619"/>
      <c r="E202" s="619"/>
      <c r="F202" s="619"/>
      <c r="G202" s="619"/>
      <c r="H202" s="619"/>
      <c r="I202" s="619"/>
      <c r="J202" s="619"/>
      <c r="K202" s="619"/>
      <c r="L202" s="619"/>
      <c r="M202" s="619"/>
      <c r="N202" s="619"/>
      <c r="O202" s="619"/>
      <c r="P202" s="619"/>
      <c r="Q202" s="619"/>
      <c r="R202" s="619"/>
      <c r="S202" s="619"/>
      <c r="T202" s="619"/>
      <c r="U202" s="619"/>
      <c r="V202" s="619"/>
      <c r="W202" s="619"/>
      <c r="X202" s="619"/>
      <c r="Y202" s="619"/>
      <c r="Z202" s="619"/>
      <c r="AA202" s="619"/>
      <c r="AB202" s="619"/>
      <c r="AC202" s="619"/>
      <c r="AD202" s="619"/>
      <c r="AE202" s="619"/>
      <c r="AF202" s="619"/>
      <c r="AG202" s="619"/>
      <c r="AH202" s="619"/>
      <c r="AI202" s="619"/>
      <c r="AJ202" s="619"/>
      <c r="AK202" s="619"/>
      <c r="AL202" s="1"/>
    </row>
    <row r="203" spans="1:38" ht="14.25" customHeight="1">
      <c r="A203" s="619"/>
      <c r="B203" s="619"/>
      <c r="C203" s="4"/>
      <c r="D203" s="619"/>
      <c r="E203" s="619"/>
      <c r="F203" s="619"/>
      <c r="G203" s="619"/>
      <c r="H203" s="619"/>
      <c r="I203" s="619"/>
      <c r="J203" s="619"/>
      <c r="K203" s="619"/>
      <c r="L203" s="619"/>
      <c r="M203" s="619"/>
      <c r="N203" s="619"/>
      <c r="O203" s="619"/>
      <c r="P203" s="619"/>
      <c r="Q203" s="619"/>
      <c r="R203" s="619"/>
      <c r="S203" s="619"/>
      <c r="T203" s="619"/>
      <c r="U203" s="619"/>
      <c r="V203" s="619"/>
      <c r="W203" s="619"/>
      <c r="X203" s="619"/>
      <c r="Y203" s="619"/>
      <c r="Z203" s="619"/>
      <c r="AA203" s="619"/>
      <c r="AB203" s="619"/>
      <c r="AC203" s="619"/>
      <c r="AD203" s="619"/>
      <c r="AE203" s="619"/>
      <c r="AF203" s="619"/>
      <c r="AG203" s="619"/>
      <c r="AH203" s="619"/>
      <c r="AI203" s="619"/>
      <c r="AJ203" s="619"/>
      <c r="AK203" s="619"/>
      <c r="AL203" s="1"/>
    </row>
    <row r="204" spans="1:38" ht="14.25" customHeight="1">
      <c r="A204" s="619"/>
      <c r="B204" s="619"/>
      <c r="C204" s="544"/>
      <c r="D204" s="619"/>
      <c r="E204" s="619"/>
      <c r="F204" s="619"/>
      <c r="G204" s="619"/>
      <c r="H204" s="619"/>
      <c r="I204" s="619"/>
      <c r="J204" s="619"/>
      <c r="K204" s="619"/>
      <c r="L204" s="619"/>
      <c r="M204" s="619"/>
      <c r="N204" s="619"/>
      <c r="O204" s="619"/>
      <c r="P204" s="619"/>
      <c r="Q204" s="619"/>
      <c r="R204" s="619"/>
      <c r="S204" s="619"/>
      <c r="T204" s="619"/>
      <c r="U204" s="619"/>
      <c r="V204" s="619"/>
      <c r="W204" s="619"/>
      <c r="X204" s="619"/>
      <c r="Y204" s="619"/>
      <c r="Z204" s="619"/>
      <c r="AA204" s="619"/>
      <c r="AB204" s="619"/>
      <c r="AC204" s="619"/>
      <c r="AD204" s="619"/>
      <c r="AE204" s="619"/>
      <c r="AF204" s="619"/>
      <c r="AG204" s="619"/>
      <c r="AH204" s="619"/>
      <c r="AI204" s="619"/>
      <c r="AJ204" s="619"/>
      <c r="AK204" s="619"/>
      <c r="AL204" s="1"/>
    </row>
    <row r="205" spans="1:38" ht="14.25" customHeight="1">
      <c r="A205" s="619"/>
      <c r="B205" s="619"/>
      <c r="C205" s="4"/>
      <c r="D205" s="619"/>
      <c r="E205" s="619"/>
      <c r="F205" s="619"/>
      <c r="G205" s="619"/>
      <c r="H205" s="619"/>
      <c r="I205" s="619"/>
      <c r="J205" s="619"/>
      <c r="K205" s="619"/>
      <c r="L205" s="619"/>
      <c r="M205" s="619"/>
      <c r="N205" s="619"/>
      <c r="O205" s="619"/>
      <c r="P205" s="619"/>
      <c r="Q205" s="619"/>
      <c r="R205" s="619"/>
      <c r="S205" s="619"/>
      <c r="T205" s="619"/>
      <c r="U205" s="619"/>
      <c r="V205" s="619"/>
      <c r="W205" s="619"/>
      <c r="X205" s="619"/>
      <c r="Y205" s="619"/>
      <c r="Z205" s="619"/>
      <c r="AA205" s="619"/>
      <c r="AB205" s="619"/>
      <c r="AC205" s="619"/>
      <c r="AD205" s="619"/>
      <c r="AE205" s="619"/>
      <c r="AF205" s="619"/>
      <c r="AG205" s="619"/>
      <c r="AH205" s="619"/>
      <c r="AI205" s="619"/>
      <c r="AJ205" s="619"/>
      <c r="AK205" s="619"/>
      <c r="AL205" s="1"/>
    </row>
    <row r="206" spans="1:38" ht="14.25" customHeight="1">
      <c r="A206" s="619"/>
      <c r="B206" s="619"/>
      <c r="C206" s="4"/>
      <c r="D206" s="619"/>
      <c r="E206" s="619"/>
      <c r="F206" s="619"/>
      <c r="G206" s="619"/>
      <c r="H206" s="619"/>
      <c r="I206" s="619"/>
      <c r="J206" s="619"/>
      <c r="K206" s="619"/>
      <c r="L206" s="619"/>
      <c r="M206" s="619"/>
      <c r="N206" s="619"/>
      <c r="O206" s="619"/>
      <c r="P206" s="619"/>
      <c r="Q206" s="619"/>
      <c r="R206" s="619"/>
      <c r="S206" s="619"/>
      <c r="T206" s="619"/>
      <c r="U206" s="619"/>
      <c r="V206" s="619"/>
      <c r="W206" s="619"/>
      <c r="X206" s="619"/>
      <c r="Y206" s="619"/>
      <c r="Z206" s="619"/>
      <c r="AA206" s="619"/>
      <c r="AB206" s="619"/>
      <c r="AC206" s="619"/>
      <c r="AD206" s="619"/>
      <c r="AE206" s="619"/>
      <c r="AF206" s="619"/>
      <c r="AG206" s="619"/>
      <c r="AH206" s="619"/>
      <c r="AI206" s="619"/>
      <c r="AJ206" s="619"/>
      <c r="AK206" s="619"/>
      <c r="AL206" s="1"/>
    </row>
    <row r="207" spans="1:38" ht="14.25" customHeight="1">
      <c r="A207" s="619"/>
      <c r="B207" s="619"/>
      <c r="C207" s="4"/>
      <c r="D207" s="619"/>
      <c r="E207" s="619"/>
      <c r="F207" s="619"/>
      <c r="G207" s="619"/>
      <c r="H207" s="619"/>
      <c r="I207" s="619"/>
      <c r="J207" s="619"/>
      <c r="K207" s="619"/>
      <c r="L207" s="619"/>
      <c r="M207" s="619"/>
      <c r="N207" s="619"/>
      <c r="O207" s="619"/>
      <c r="P207" s="619"/>
      <c r="Q207" s="619"/>
      <c r="R207" s="619"/>
      <c r="S207" s="619"/>
      <c r="T207" s="619"/>
      <c r="U207" s="619"/>
      <c r="V207" s="619"/>
      <c r="W207" s="619"/>
      <c r="X207" s="619"/>
      <c r="Y207" s="619"/>
      <c r="Z207" s="619"/>
      <c r="AA207" s="619"/>
      <c r="AB207" s="619"/>
      <c r="AC207" s="619"/>
      <c r="AD207" s="619"/>
      <c r="AE207" s="619"/>
      <c r="AF207" s="619"/>
      <c r="AG207" s="619"/>
      <c r="AH207" s="619"/>
      <c r="AI207" s="619"/>
      <c r="AJ207" s="619"/>
      <c r="AK207" s="619"/>
      <c r="AL207" s="1"/>
    </row>
    <row r="208" spans="1:38" ht="14.25" customHeight="1">
      <c r="A208" s="619"/>
      <c r="B208" s="619"/>
      <c r="C208" s="4"/>
      <c r="D208" s="619"/>
      <c r="E208" s="619"/>
      <c r="F208" s="619"/>
      <c r="G208" s="619"/>
      <c r="H208" s="619"/>
      <c r="I208" s="619"/>
      <c r="J208" s="619"/>
      <c r="K208" s="619"/>
      <c r="L208" s="619"/>
      <c r="M208" s="619"/>
      <c r="N208" s="619"/>
      <c r="O208" s="619"/>
      <c r="P208" s="619"/>
      <c r="Q208" s="619"/>
      <c r="R208" s="619"/>
      <c r="S208" s="619"/>
      <c r="T208" s="619"/>
      <c r="U208" s="619"/>
      <c r="V208" s="619"/>
      <c r="W208" s="619"/>
      <c r="X208" s="619"/>
      <c r="Y208" s="619"/>
      <c r="Z208" s="619"/>
      <c r="AA208" s="619"/>
      <c r="AB208" s="619"/>
      <c r="AC208" s="619"/>
      <c r="AD208" s="619"/>
      <c r="AE208" s="619"/>
      <c r="AF208" s="619"/>
      <c r="AG208" s="619"/>
      <c r="AH208" s="619"/>
      <c r="AI208" s="619"/>
      <c r="AJ208" s="619"/>
      <c r="AK208" s="619"/>
      <c r="AL208" s="1"/>
    </row>
    <row r="209" spans="1:38" ht="14.25" customHeight="1">
      <c r="A209" s="619"/>
      <c r="B209" s="619"/>
      <c r="C209" s="4"/>
      <c r="D209" s="619"/>
      <c r="E209" s="619"/>
      <c r="F209" s="619"/>
      <c r="G209" s="619"/>
      <c r="H209" s="619"/>
      <c r="I209" s="619"/>
      <c r="J209" s="619"/>
      <c r="K209" s="619"/>
      <c r="L209" s="619"/>
      <c r="M209" s="619"/>
      <c r="N209" s="619"/>
      <c r="O209" s="619"/>
      <c r="P209" s="619"/>
      <c r="Q209" s="619"/>
      <c r="R209" s="619"/>
      <c r="S209" s="619"/>
      <c r="T209" s="619"/>
      <c r="U209" s="619"/>
      <c r="V209" s="619"/>
      <c r="W209" s="619"/>
      <c r="X209" s="619"/>
      <c r="Y209" s="619"/>
      <c r="Z209" s="619"/>
      <c r="AA209" s="619"/>
      <c r="AB209" s="619"/>
      <c r="AC209" s="619"/>
      <c r="AD209" s="619"/>
      <c r="AE209" s="619"/>
      <c r="AF209" s="619"/>
      <c r="AG209" s="619"/>
      <c r="AH209" s="619"/>
      <c r="AI209" s="619"/>
      <c r="AJ209" s="619"/>
      <c r="AK209" s="619"/>
      <c r="AL209" s="1"/>
    </row>
    <row r="210" spans="1:38" ht="14.25" customHeight="1">
      <c r="A210" s="619"/>
      <c r="B210" s="619"/>
      <c r="C210" s="4"/>
      <c r="D210" s="619"/>
      <c r="E210" s="619"/>
      <c r="F210" s="619"/>
      <c r="G210" s="619"/>
      <c r="H210" s="619"/>
      <c r="I210" s="619"/>
      <c r="J210" s="619"/>
      <c r="K210" s="619"/>
      <c r="L210" s="619"/>
      <c r="M210" s="619"/>
      <c r="N210" s="619"/>
      <c r="O210" s="619"/>
      <c r="P210" s="619"/>
      <c r="Q210" s="619"/>
      <c r="R210" s="619"/>
      <c r="S210" s="619"/>
      <c r="T210" s="619"/>
      <c r="U210" s="619"/>
      <c r="V210" s="619"/>
      <c r="W210" s="619"/>
      <c r="X210" s="619"/>
      <c r="Y210" s="619"/>
      <c r="Z210" s="619"/>
      <c r="AA210" s="619"/>
      <c r="AB210" s="619"/>
      <c r="AC210" s="619"/>
      <c r="AD210" s="619"/>
      <c r="AE210" s="619"/>
      <c r="AF210" s="619"/>
      <c r="AG210" s="619"/>
      <c r="AH210" s="619"/>
      <c r="AI210" s="619"/>
      <c r="AJ210" s="619"/>
      <c r="AK210" s="619"/>
      <c r="AL210" s="1"/>
    </row>
    <row r="211" spans="1:38" ht="14.25" customHeight="1">
      <c r="A211" s="619"/>
      <c r="B211" s="619"/>
      <c r="C211" s="4"/>
      <c r="D211" s="619"/>
      <c r="E211" s="619"/>
      <c r="F211" s="619"/>
      <c r="G211" s="619"/>
      <c r="H211" s="619"/>
      <c r="I211" s="619"/>
      <c r="J211" s="619"/>
      <c r="K211" s="619"/>
      <c r="L211" s="619"/>
      <c r="M211" s="619"/>
      <c r="N211" s="619"/>
      <c r="O211" s="619"/>
      <c r="P211" s="619"/>
      <c r="Q211" s="619"/>
      <c r="R211" s="619"/>
      <c r="S211" s="619"/>
      <c r="T211" s="619"/>
      <c r="U211" s="619"/>
      <c r="V211" s="619"/>
      <c r="W211" s="619"/>
      <c r="X211" s="619"/>
      <c r="Y211" s="619"/>
      <c r="Z211" s="619"/>
      <c r="AA211" s="619"/>
      <c r="AB211" s="619"/>
      <c r="AC211" s="619"/>
      <c r="AD211" s="619"/>
      <c r="AE211" s="619"/>
      <c r="AF211" s="619"/>
      <c r="AG211" s="619"/>
      <c r="AH211" s="619"/>
      <c r="AI211" s="619"/>
      <c r="AJ211" s="619"/>
      <c r="AK211" s="619"/>
      <c r="AL211" s="1"/>
    </row>
    <row r="212" spans="1:38" ht="14.25" customHeight="1">
      <c r="A212" s="619"/>
      <c r="B212" s="619"/>
      <c r="C212" s="4"/>
      <c r="D212" s="619"/>
      <c r="E212" s="619"/>
      <c r="F212" s="619"/>
      <c r="G212" s="619"/>
      <c r="H212" s="619"/>
      <c r="I212" s="619"/>
      <c r="J212" s="619"/>
      <c r="K212" s="619"/>
      <c r="L212" s="619"/>
      <c r="M212" s="619"/>
      <c r="N212" s="619"/>
      <c r="O212" s="619"/>
      <c r="P212" s="619"/>
      <c r="Q212" s="619"/>
      <c r="R212" s="619"/>
      <c r="S212" s="619"/>
      <c r="T212" s="619"/>
      <c r="U212" s="619"/>
      <c r="V212" s="619"/>
      <c r="W212" s="619"/>
      <c r="X212" s="619"/>
      <c r="Y212" s="619"/>
      <c r="Z212" s="619"/>
      <c r="AA212" s="619"/>
      <c r="AB212" s="619"/>
      <c r="AC212" s="619"/>
      <c r="AD212" s="619"/>
      <c r="AE212" s="619"/>
      <c r="AF212" s="619"/>
      <c r="AG212" s="619"/>
      <c r="AH212" s="619"/>
      <c r="AI212" s="619"/>
      <c r="AJ212" s="619"/>
      <c r="AK212" s="619"/>
      <c r="AL212" s="1"/>
    </row>
    <row r="213" spans="1:38" ht="14.25" customHeight="1">
      <c r="A213" s="619"/>
      <c r="B213" s="619"/>
      <c r="C213" s="4"/>
      <c r="D213" s="619"/>
      <c r="E213" s="619"/>
      <c r="F213" s="619"/>
      <c r="G213" s="619"/>
      <c r="H213" s="619"/>
      <c r="I213" s="619"/>
      <c r="J213" s="619"/>
      <c r="K213" s="619"/>
      <c r="L213" s="619"/>
      <c r="M213" s="619"/>
      <c r="N213" s="619"/>
      <c r="O213" s="619"/>
      <c r="P213" s="619"/>
      <c r="Q213" s="619"/>
      <c r="R213" s="619"/>
      <c r="S213" s="619"/>
      <c r="T213" s="619"/>
      <c r="U213" s="619"/>
      <c r="V213" s="619"/>
      <c r="W213" s="619"/>
      <c r="X213" s="619"/>
      <c r="Y213" s="619"/>
      <c r="Z213" s="619"/>
      <c r="AA213" s="619"/>
      <c r="AB213" s="619"/>
      <c r="AC213" s="619"/>
      <c r="AD213" s="619"/>
      <c r="AE213" s="619"/>
      <c r="AF213" s="619"/>
      <c r="AG213" s="619"/>
      <c r="AH213" s="619"/>
      <c r="AI213" s="619"/>
      <c r="AJ213" s="619"/>
      <c r="AK213" s="619"/>
      <c r="AL213" s="1"/>
    </row>
    <row r="214" spans="1:38" ht="14.25" customHeight="1">
      <c r="A214" s="619"/>
      <c r="B214" s="619"/>
      <c r="C214" s="4"/>
      <c r="D214" s="619"/>
      <c r="E214" s="619"/>
      <c r="F214" s="619"/>
      <c r="G214" s="619"/>
      <c r="H214" s="619"/>
      <c r="I214" s="619"/>
      <c r="J214" s="619"/>
      <c r="K214" s="619"/>
      <c r="L214" s="619"/>
      <c r="M214" s="619"/>
      <c r="N214" s="619"/>
      <c r="O214" s="619"/>
      <c r="P214" s="619"/>
      <c r="Q214" s="619"/>
      <c r="R214" s="619"/>
      <c r="S214" s="619"/>
      <c r="T214" s="619"/>
      <c r="U214" s="619"/>
      <c r="V214" s="619"/>
      <c r="W214" s="619"/>
      <c r="X214" s="619"/>
      <c r="Y214" s="619"/>
      <c r="Z214" s="619"/>
      <c r="AA214" s="619"/>
      <c r="AB214" s="619"/>
      <c r="AC214" s="619"/>
      <c r="AD214" s="619"/>
      <c r="AE214" s="619"/>
      <c r="AF214" s="619"/>
      <c r="AG214" s="619"/>
      <c r="AH214" s="619"/>
      <c r="AI214" s="619"/>
      <c r="AJ214" s="619"/>
      <c r="AK214" s="619"/>
      <c r="AL214" s="1"/>
    </row>
    <row r="215" spans="1:38" ht="14.25" customHeight="1">
      <c r="A215" s="619"/>
      <c r="B215" s="619"/>
      <c r="C215" s="4"/>
      <c r="D215" s="619"/>
      <c r="E215" s="619"/>
      <c r="F215" s="619"/>
      <c r="G215" s="619"/>
      <c r="H215" s="619"/>
      <c r="I215" s="619"/>
      <c r="J215" s="619"/>
      <c r="K215" s="619"/>
      <c r="L215" s="619"/>
      <c r="M215" s="619"/>
      <c r="N215" s="619"/>
      <c r="O215" s="619"/>
      <c r="P215" s="619"/>
      <c r="Q215" s="619"/>
      <c r="R215" s="619"/>
      <c r="S215" s="619"/>
      <c r="T215" s="619"/>
      <c r="U215" s="619"/>
      <c r="V215" s="619"/>
      <c r="W215" s="619"/>
      <c r="X215" s="619"/>
      <c r="Y215" s="619"/>
      <c r="Z215" s="619"/>
      <c r="AA215" s="619"/>
      <c r="AB215" s="619"/>
      <c r="AC215" s="619"/>
      <c r="AD215" s="619"/>
      <c r="AE215" s="619"/>
      <c r="AF215" s="619"/>
      <c r="AG215" s="619"/>
      <c r="AH215" s="619"/>
      <c r="AI215" s="619"/>
      <c r="AJ215" s="619"/>
      <c r="AK215" s="619"/>
      <c r="AL215" s="1"/>
    </row>
    <row r="216" spans="1:38" ht="14.25" customHeight="1">
      <c r="A216" s="619"/>
      <c r="B216" s="619"/>
      <c r="C216" s="4"/>
      <c r="D216" s="619"/>
      <c r="E216" s="619"/>
      <c r="F216" s="619"/>
      <c r="G216" s="619"/>
      <c r="H216" s="619"/>
      <c r="I216" s="619"/>
      <c r="J216" s="619"/>
      <c r="K216" s="619"/>
      <c r="L216" s="619"/>
      <c r="M216" s="619"/>
      <c r="N216" s="619"/>
      <c r="O216" s="619"/>
      <c r="P216" s="619"/>
      <c r="Q216" s="619"/>
      <c r="R216" s="619"/>
      <c r="S216" s="619"/>
      <c r="T216" s="619"/>
      <c r="U216" s="619"/>
      <c r="V216" s="619"/>
      <c r="W216" s="619"/>
      <c r="X216" s="619"/>
      <c r="Y216" s="619"/>
      <c r="Z216" s="619"/>
      <c r="AA216" s="619"/>
      <c r="AB216" s="619"/>
      <c r="AC216" s="619"/>
      <c r="AD216" s="619"/>
      <c r="AE216" s="619"/>
      <c r="AF216" s="619"/>
      <c r="AG216" s="619"/>
      <c r="AH216" s="619"/>
      <c r="AI216" s="619"/>
      <c r="AJ216" s="619"/>
      <c r="AK216" s="619"/>
      <c r="AL216" s="1"/>
    </row>
    <row r="217" spans="1:38" ht="14.25" customHeight="1">
      <c r="A217" s="619"/>
      <c r="B217" s="619"/>
      <c r="C217" s="4"/>
      <c r="D217" s="619"/>
      <c r="E217" s="619"/>
      <c r="F217" s="619"/>
      <c r="G217" s="619"/>
      <c r="H217" s="619"/>
      <c r="I217" s="619"/>
      <c r="J217" s="619"/>
      <c r="K217" s="619"/>
      <c r="L217" s="619"/>
      <c r="M217" s="619"/>
      <c r="N217" s="619"/>
      <c r="O217" s="619"/>
      <c r="P217" s="619"/>
      <c r="Q217" s="619"/>
      <c r="R217" s="619"/>
      <c r="S217" s="619"/>
      <c r="T217" s="619"/>
      <c r="U217" s="619"/>
      <c r="V217" s="619"/>
      <c r="W217" s="619"/>
      <c r="X217" s="619"/>
      <c r="Y217" s="619"/>
      <c r="Z217" s="619"/>
      <c r="AA217" s="619"/>
      <c r="AB217" s="619"/>
      <c r="AC217" s="619"/>
      <c r="AD217" s="619"/>
      <c r="AE217" s="619"/>
      <c r="AF217" s="619"/>
      <c r="AG217" s="619"/>
      <c r="AH217" s="619"/>
      <c r="AI217" s="619"/>
      <c r="AJ217" s="619"/>
      <c r="AK217" s="619"/>
      <c r="AL217" s="1"/>
    </row>
    <row r="218" spans="1:38" ht="14.25" customHeight="1">
      <c r="A218" s="619"/>
      <c r="B218" s="619"/>
      <c r="C218" s="4"/>
      <c r="D218" s="619"/>
      <c r="E218" s="619"/>
      <c r="F218" s="619"/>
      <c r="G218" s="619"/>
      <c r="H218" s="619"/>
      <c r="I218" s="619"/>
      <c r="J218" s="619"/>
      <c r="K218" s="619"/>
      <c r="L218" s="619"/>
      <c r="M218" s="619"/>
      <c r="N218" s="619"/>
      <c r="O218" s="619"/>
      <c r="P218" s="619"/>
      <c r="Q218" s="619"/>
      <c r="R218" s="619"/>
      <c r="S218" s="619"/>
      <c r="T218" s="619"/>
      <c r="U218" s="619"/>
      <c r="V218" s="619"/>
      <c r="W218" s="619"/>
      <c r="X218" s="619"/>
      <c r="Y218" s="619"/>
      <c r="Z218" s="619"/>
      <c r="AA218" s="619"/>
      <c r="AB218" s="619"/>
      <c r="AC218" s="619"/>
      <c r="AD218" s="619"/>
      <c r="AE218" s="619"/>
      <c r="AF218" s="619"/>
      <c r="AG218" s="619"/>
      <c r="AH218" s="619"/>
      <c r="AI218" s="619"/>
      <c r="AJ218" s="619"/>
      <c r="AK218" s="619"/>
      <c r="AL218" s="1"/>
    </row>
    <row r="219" spans="1:38" ht="14.25" customHeight="1">
      <c r="A219" s="619"/>
      <c r="B219" s="619"/>
      <c r="C219" s="4"/>
      <c r="D219" s="619"/>
      <c r="E219" s="619"/>
      <c r="F219" s="619"/>
      <c r="G219" s="619"/>
      <c r="H219" s="619"/>
      <c r="I219" s="619"/>
      <c r="J219" s="619"/>
      <c r="K219" s="619"/>
      <c r="L219" s="619"/>
      <c r="M219" s="619"/>
      <c r="N219" s="619"/>
      <c r="O219" s="619"/>
      <c r="P219" s="619"/>
      <c r="Q219" s="619"/>
      <c r="R219" s="619"/>
      <c r="S219" s="619"/>
      <c r="T219" s="619"/>
      <c r="U219" s="619"/>
      <c r="V219" s="619"/>
      <c r="W219" s="619"/>
      <c r="X219" s="619"/>
      <c r="Y219" s="619"/>
      <c r="Z219" s="619"/>
      <c r="AA219" s="619"/>
      <c r="AB219" s="619"/>
      <c r="AC219" s="619"/>
      <c r="AD219" s="619"/>
      <c r="AE219" s="619"/>
      <c r="AF219" s="619"/>
      <c r="AG219" s="619"/>
      <c r="AH219" s="619"/>
      <c r="AI219" s="619"/>
      <c r="AJ219" s="619"/>
      <c r="AK219" s="619"/>
      <c r="AL219" s="1"/>
    </row>
    <row r="220" spans="1:38" ht="14.25" customHeight="1">
      <c r="A220" s="619"/>
      <c r="B220" s="619"/>
      <c r="C220" s="4"/>
      <c r="D220" s="619"/>
      <c r="E220" s="619"/>
      <c r="F220" s="619"/>
      <c r="G220" s="619"/>
      <c r="H220" s="619"/>
      <c r="I220" s="619"/>
      <c r="J220" s="619"/>
      <c r="K220" s="619"/>
      <c r="L220" s="619"/>
      <c r="M220" s="619"/>
      <c r="N220" s="619"/>
      <c r="O220" s="619"/>
      <c r="P220" s="619"/>
      <c r="Q220" s="619"/>
      <c r="R220" s="619"/>
      <c r="S220" s="619"/>
      <c r="T220" s="619"/>
      <c r="U220" s="619"/>
      <c r="V220" s="619"/>
      <c r="W220" s="619"/>
      <c r="X220" s="619"/>
      <c r="Y220" s="619"/>
      <c r="Z220" s="619"/>
      <c r="AA220" s="619"/>
      <c r="AB220" s="619"/>
      <c r="AC220" s="619"/>
      <c r="AD220" s="619"/>
      <c r="AE220" s="619"/>
      <c r="AF220" s="619"/>
      <c r="AG220" s="619"/>
      <c r="AH220" s="619"/>
      <c r="AI220" s="619"/>
      <c r="AJ220" s="619"/>
      <c r="AK220" s="619"/>
      <c r="AL220" s="1"/>
    </row>
    <row r="221" spans="1:38" ht="14.25" customHeight="1">
      <c r="A221" s="619"/>
      <c r="B221" s="619"/>
      <c r="C221" s="4"/>
      <c r="D221" s="619"/>
      <c r="E221" s="619"/>
      <c r="F221" s="619"/>
      <c r="G221" s="619"/>
      <c r="H221" s="619"/>
      <c r="I221" s="619"/>
      <c r="J221" s="619"/>
      <c r="K221" s="619"/>
      <c r="L221" s="619"/>
      <c r="M221" s="619"/>
      <c r="N221" s="619"/>
      <c r="O221" s="619"/>
      <c r="P221" s="619"/>
      <c r="Q221" s="619"/>
      <c r="R221" s="619"/>
      <c r="S221" s="619"/>
      <c r="T221" s="619"/>
      <c r="U221" s="619"/>
      <c r="V221" s="619"/>
      <c r="W221" s="619"/>
      <c r="X221" s="619"/>
      <c r="Y221" s="619"/>
      <c r="Z221" s="619"/>
      <c r="AA221" s="619"/>
      <c r="AB221" s="619"/>
      <c r="AC221" s="619"/>
      <c r="AD221" s="619"/>
      <c r="AE221" s="619"/>
      <c r="AF221" s="619"/>
      <c r="AG221" s="619"/>
      <c r="AH221" s="619"/>
      <c r="AI221" s="619"/>
      <c r="AJ221" s="619"/>
      <c r="AK221" s="619"/>
      <c r="AL221" s="1"/>
    </row>
    <row r="222" spans="1:38" ht="14.25" customHeight="1">
      <c r="A222" s="619"/>
      <c r="B222" s="619"/>
      <c r="C222" s="4"/>
      <c r="D222" s="619"/>
      <c r="E222" s="619"/>
      <c r="F222" s="619"/>
      <c r="G222" s="619"/>
      <c r="H222" s="619"/>
      <c r="I222" s="619"/>
      <c r="J222" s="619"/>
      <c r="K222" s="619"/>
      <c r="L222" s="619"/>
      <c r="M222" s="619"/>
      <c r="N222" s="619"/>
      <c r="O222" s="619"/>
      <c r="P222" s="619"/>
      <c r="Q222" s="619"/>
      <c r="R222" s="619"/>
      <c r="S222" s="619"/>
      <c r="T222" s="619"/>
      <c r="U222" s="619"/>
      <c r="V222" s="619"/>
      <c r="W222" s="619"/>
      <c r="X222" s="619"/>
      <c r="Y222" s="619"/>
      <c r="Z222" s="619"/>
      <c r="AA222" s="619"/>
      <c r="AB222" s="619"/>
      <c r="AC222" s="619"/>
      <c r="AD222" s="619"/>
      <c r="AE222" s="619"/>
      <c r="AF222" s="619"/>
      <c r="AG222" s="619"/>
      <c r="AH222" s="619"/>
      <c r="AI222" s="619"/>
      <c r="AJ222" s="619"/>
      <c r="AK222" s="619"/>
      <c r="AL222" s="1"/>
    </row>
    <row r="223" spans="1:38" ht="14.25" customHeight="1">
      <c r="A223" s="619"/>
      <c r="B223" s="619"/>
      <c r="C223" s="4"/>
      <c r="D223" s="619"/>
      <c r="E223" s="619"/>
      <c r="F223" s="619"/>
      <c r="G223" s="619"/>
      <c r="H223" s="619"/>
      <c r="I223" s="619"/>
      <c r="J223" s="619"/>
      <c r="K223" s="619"/>
      <c r="L223" s="619"/>
      <c r="M223" s="619"/>
      <c r="N223" s="619"/>
      <c r="O223" s="619"/>
      <c r="P223" s="619"/>
      <c r="Q223" s="619"/>
      <c r="R223" s="619"/>
      <c r="S223" s="619"/>
      <c r="T223" s="619"/>
      <c r="U223" s="619"/>
      <c r="V223" s="619"/>
      <c r="W223" s="619"/>
      <c r="X223" s="619"/>
      <c r="Y223" s="619"/>
      <c r="Z223" s="619"/>
      <c r="AA223" s="619"/>
      <c r="AB223" s="619"/>
      <c r="AC223" s="619"/>
      <c r="AD223" s="619"/>
      <c r="AE223" s="619"/>
      <c r="AF223" s="619"/>
      <c r="AG223" s="619"/>
      <c r="AH223" s="619"/>
      <c r="AI223" s="619"/>
      <c r="AJ223" s="619"/>
      <c r="AK223" s="619"/>
      <c r="AL223" s="1"/>
    </row>
    <row r="224" spans="1:38" ht="14.25" customHeight="1">
      <c r="A224" s="619"/>
      <c r="B224" s="619"/>
      <c r="C224" s="4"/>
      <c r="D224" s="619"/>
      <c r="E224" s="619"/>
      <c r="F224" s="619"/>
      <c r="G224" s="619"/>
      <c r="H224" s="619"/>
      <c r="I224" s="619"/>
      <c r="J224" s="619"/>
      <c r="K224" s="619"/>
      <c r="L224" s="619"/>
      <c r="M224" s="619"/>
      <c r="N224" s="619"/>
      <c r="O224" s="619"/>
      <c r="P224" s="619"/>
      <c r="Q224" s="619"/>
      <c r="R224" s="619"/>
      <c r="S224" s="619"/>
      <c r="T224" s="619"/>
      <c r="U224" s="619"/>
      <c r="V224" s="619"/>
      <c r="W224" s="619"/>
      <c r="X224" s="619"/>
      <c r="Y224" s="619"/>
      <c r="Z224" s="619"/>
      <c r="AA224" s="619"/>
      <c r="AB224" s="619"/>
      <c r="AC224" s="619"/>
      <c r="AD224" s="619"/>
      <c r="AE224" s="619"/>
      <c r="AF224" s="619"/>
      <c r="AG224" s="619"/>
      <c r="AH224" s="619"/>
      <c r="AI224" s="619"/>
      <c r="AJ224" s="619"/>
      <c r="AK224" s="619"/>
      <c r="AL224" s="1"/>
    </row>
    <row r="225" spans="1:38" ht="14.25" customHeight="1">
      <c r="A225" s="619"/>
      <c r="B225" s="619"/>
      <c r="C225" s="4"/>
      <c r="D225" s="619"/>
      <c r="E225" s="619"/>
      <c r="F225" s="619"/>
      <c r="G225" s="619"/>
      <c r="H225" s="619"/>
      <c r="I225" s="619"/>
      <c r="J225" s="619"/>
      <c r="K225" s="619"/>
      <c r="L225" s="619"/>
      <c r="M225" s="619"/>
      <c r="N225" s="619"/>
      <c r="O225" s="619"/>
      <c r="P225" s="619"/>
      <c r="Q225" s="619"/>
      <c r="R225" s="619"/>
      <c r="S225" s="619"/>
      <c r="T225" s="619"/>
      <c r="U225" s="619"/>
      <c r="V225" s="619"/>
      <c r="W225" s="619"/>
      <c r="X225" s="619"/>
      <c r="Y225" s="619"/>
      <c r="Z225" s="619"/>
      <c r="AA225" s="619"/>
      <c r="AB225" s="619"/>
      <c r="AC225" s="619"/>
      <c r="AD225" s="619"/>
      <c r="AE225" s="619"/>
      <c r="AF225" s="619"/>
      <c r="AG225" s="619"/>
      <c r="AH225" s="619"/>
      <c r="AI225" s="619"/>
      <c r="AJ225" s="619"/>
      <c r="AK225" s="619"/>
      <c r="AL225" s="1"/>
    </row>
    <row r="226" spans="1:38" ht="14.25" customHeight="1">
      <c r="A226" s="619"/>
      <c r="B226" s="619"/>
      <c r="C226" s="4"/>
      <c r="D226" s="619"/>
      <c r="E226" s="619"/>
      <c r="F226" s="619"/>
      <c r="G226" s="619"/>
      <c r="H226" s="619"/>
      <c r="I226" s="619"/>
      <c r="J226" s="619"/>
      <c r="K226" s="619"/>
      <c r="L226" s="619"/>
      <c r="M226" s="619"/>
      <c r="N226" s="619"/>
      <c r="O226" s="619"/>
      <c r="P226" s="619"/>
      <c r="Q226" s="619"/>
      <c r="R226" s="619"/>
      <c r="S226" s="619"/>
      <c r="T226" s="619"/>
      <c r="U226" s="619"/>
      <c r="V226" s="619"/>
      <c r="W226" s="619"/>
      <c r="X226" s="619"/>
      <c r="Y226" s="619"/>
      <c r="Z226" s="619"/>
      <c r="AA226" s="619"/>
      <c r="AB226" s="619"/>
      <c r="AC226" s="619"/>
      <c r="AD226" s="619"/>
      <c r="AE226" s="619"/>
      <c r="AF226" s="619"/>
      <c r="AG226" s="619"/>
      <c r="AH226" s="619"/>
      <c r="AI226" s="619"/>
      <c r="AJ226" s="619"/>
      <c r="AK226" s="619"/>
      <c r="AL226" s="1"/>
    </row>
    <row r="227" spans="1:38" ht="14.25" customHeight="1">
      <c r="A227" s="619"/>
      <c r="B227" s="619"/>
      <c r="C227" s="4"/>
      <c r="D227" s="619"/>
      <c r="E227" s="619"/>
      <c r="F227" s="619"/>
      <c r="G227" s="619"/>
      <c r="H227" s="619"/>
      <c r="I227" s="619"/>
      <c r="J227" s="619"/>
      <c r="K227" s="619"/>
      <c r="L227" s="619"/>
      <c r="M227" s="619"/>
      <c r="N227" s="619"/>
      <c r="O227" s="619"/>
      <c r="P227" s="619"/>
      <c r="Q227" s="619"/>
      <c r="R227" s="619"/>
      <c r="S227" s="619"/>
      <c r="T227" s="619"/>
      <c r="U227" s="619"/>
      <c r="V227" s="619"/>
      <c r="W227" s="619"/>
      <c r="X227" s="619"/>
      <c r="Y227" s="619"/>
      <c r="Z227" s="619"/>
      <c r="AA227" s="619"/>
      <c r="AB227" s="619"/>
      <c r="AC227" s="619"/>
      <c r="AD227" s="619"/>
      <c r="AE227" s="619"/>
      <c r="AF227" s="619"/>
      <c r="AG227" s="619"/>
      <c r="AH227" s="619"/>
      <c r="AI227" s="619"/>
      <c r="AJ227" s="619"/>
      <c r="AK227" s="619"/>
      <c r="AL227" s="1"/>
    </row>
    <row r="228" spans="1:38" ht="14.25" customHeight="1">
      <c r="A228" s="619"/>
      <c r="B228" s="619"/>
      <c r="C228" s="4"/>
      <c r="D228" s="619"/>
      <c r="E228" s="619"/>
      <c r="F228" s="619"/>
      <c r="G228" s="619"/>
      <c r="H228" s="619"/>
      <c r="I228" s="619"/>
      <c r="J228" s="619"/>
      <c r="K228" s="619"/>
      <c r="L228" s="619"/>
      <c r="M228" s="619"/>
      <c r="N228" s="619"/>
      <c r="O228" s="619"/>
      <c r="P228" s="619"/>
      <c r="Q228" s="619"/>
      <c r="R228" s="619"/>
      <c r="S228" s="619"/>
      <c r="T228" s="619"/>
      <c r="U228" s="619"/>
      <c r="V228" s="619"/>
      <c r="W228" s="619"/>
      <c r="X228" s="619"/>
      <c r="Y228" s="619"/>
      <c r="Z228" s="619"/>
      <c r="AA228" s="619"/>
      <c r="AB228" s="619"/>
      <c r="AC228" s="619"/>
      <c r="AD228" s="619"/>
      <c r="AE228" s="619"/>
      <c r="AF228" s="619"/>
      <c r="AG228" s="619"/>
      <c r="AH228" s="619"/>
      <c r="AI228" s="619"/>
      <c r="AJ228" s="619"/>
      <c r="AK228" s="619"/>
      <c r="AL228" s="1"/>
    </row>
    <row r="229" spans="1:38" ht="14.25" customHeight="1">
      <c r="A229" s="619"/>
      <c r="B229" s="619"/>
      <c r="C229" s="4"/>
      <c r="D229" s="619"/>
      <c r="E229" s="619"/>
      <c r="F229" s="619"/>
      <c r="G229" s="619"/>
      <c r="H229" s="619"/>
      <c r="I229" s="619"/>
      <c r="J229" s="619"/>
      <c r="K229" s="619"/>
      <c r="L229" s="619"/>
      <c r="M229" s="619"/>
      <c r="N229" s="619"/>
      <c r="O229" s="619"/>
      <c r="P229" s="619"/>
      <c r="Q229" s="619"/>
      <c r="R229" s="619"/>
      <c r="S229" s="619"/>
      <c r="T229" s="619"/>
      <c r="U229" s="619"/>
      <c r="V229" s="619"/>
      <c r="W229" s="619"/>
      <c r="X229" s="619"/>
      <c r="Y229" s="619"/>
      <c r="Z229" s="619"/>
      <c r="AA229" s="619"/>
      <c r="AB229" s="619"/>
      <c r="AC229" s="619"/>
      <c r="AD229" s="619"/>
      <c r="AE229" s="619"/>
      <c r="AF229" s="619"/>
      <c r="AG229" s="619"/>
      <c r="AH229" s="619"/>
      <c r="AI229" s="619"/>
      <c r="AJ229" s="619"/>
      <c r="AK229" s="619"/>
      <c r="AL229" s="1"/>
    </row>
    <row r="230" spans="1:38" ht="14.25" customHeight="1">
      <c r="A230" s="619"/>
      <c r="B230" s="619"/>
      <c r="C230" s="4"/>
      <c r="D230" s="619"/>
      <c r="E230" s="619"/>
      <c r="F230" s="619"/>
      <c r="G230" s="619"/>
      <c r="H230" s="619"/>
      <c r="I230" s="619"/>
      <c r="J230" s="619"/>
      <c r="K230" s="619"/>
      <c r="L230" s="619"/>
      <c r="M230" s="619"/>
      <c r="N230" s="619"/>
      <c r="O230" s="619"/>
      <c r="P230" s="619"/>
      <c r="Q230" s="619"/>
      <c r="R230" s="619"/>
      <c r="S230" s="619"/>
      <c r="T230" s="619"/>
      <c r="U230" s="619"/>
      <c r="V230" s="619"/>
      <c r="W230" s="619"/>
      <c r="X230" s="619"/>
      <c r="Y230" s="619"/>
      <c r="Z230" s="619"/>
      <c r="AA230" s="619"/>
      <c r="AB230" s="619"/>
      <c r="AC230" s="619"/>
      <c r="AD230" s="619"/>
      <c r="AE230" s="619"/>
      <c r="AF230" s="619"/>
      <c r="AG230" s="619"/>
      <c r="AH230" s="619"/>
      <c r="AI230" s="619"/>
      <c r="AJ230" s="619"/>
      <c r="AK230" s="619"/>
      <c r="AL230" s="1"/>
    </row>
    <row r="231" spans="1:38" ht="14.25" customHeight="1">
      <c r="A231" s="619"/>
      <c r="B231" s="619"/>
      <c r="C231" s="4"/>
      <c r="D231" s="619"/>
      <c r="E231" s="619"/>
      <c r="F231" s="619"/>
      <c r="G231" s="619"/>
      <c r="H231" s="619"/>
      <c r="I231" s="619"/>
      <c r="J231" s="619"/>
      <c r="K231" s="619"/>
      <c r="L231" s="619"/>
      <c r="M231" s="619"/>
      <c r="N231" s="619"/>
      <c r="O231" s="619"/>
      <c r="P231" s="619"/>
      <c r="Q231" s="619"/>
      <c r="R231" s="619"/>
      <c r="S231" s="619"/>
      <c r="T231" s="619"/>
      <c r="U231" s="619"/>
      <c r="V231" s="619"/>
      <c r="W231" s="619"/>
      <c r="X231" s="619"/>
      <c r="Y231" s="619"/>
      <c r="Z231" s="619"/>
      <c r="AA231" s="619"/>
      <c r="AB231" s="619"/>
      <c r="AC231" s="619"/>
      <c r="AD231" s="619"/>
      <c r="AE231" s="619"/>
      <c r="AF231" s="619"/>
      <c r="AG231" s="619"/>
      <c r="AH231" s="619"/>
      <c r="AI231" s="619"/>
      <c r="AJ231" s="619"/>
      <c r="AK231" s="619"/>
      <c r="AL231" s="1"/>
    </row>
    <row r="232" spans="1:38" ht="14.25" customHeight="1">
      <c r="A232" s="619"/>
      <c r="B232" s="619"/>
      <c r="C232" s="4"/>
      <c r="D232" s="619"/>
      <c r="E232" s="619"/>
      <c r="F232" s="619"/>
      <c r="G232" s="619"/>
      <c r="H232" s="619"/>
      <c r="I232" s="619"/>
      <c r="J232" s="619"/>
      <c r="K232" s="619"/>
      <c r="L232" s="619"/>
      <c r="M232" s="619"/>
      <c r="N232" s="619"/>
      <c r="O232" s="619"/>
      <c r="P232" s="619"/>
      <c r="Q232" s="619"/>
      <c r="R232" s="619"/>
      <c r="S232" s="619"/>
      <c r="T232" s="619"/>
      <c r="U232" s="619"/>
      <c r="V232" s="619"/>
      <c r="W232" s="619"/>
      <c r="X232" s="619"/>
      <c r="Y232" s="619"/>
      <c r="Z232" s="619"/>
      <c r="AA232" s="619"/>
      <c r="AB232" s="619"/>
      <c r="AC232" s="619"/>
      <c r="AD232" s="619"/>
      <c r="AE232" s="619"/>
      <c r="AF232" s="619"/>
      <c r="AG232" s="619"/>
      <c r="AH232" s="619"/>
      <c r="AI232" s="619"/>
      <c r="AJ232" s="619"/>
      <c r="AK232" s="619"/>
      <c r="AL232" s="1"/>
    </row>
    <row r="233" spans="1:38" ht="14.25" customHeight="1">
      <c r="A233" s="619"/>
      <c r="B233" s="619"/>
      <c r="C233" s="4"/>
      <c r="D233" s="619"/>
      <c r="E233" s="619"/>
      <c r="F233" s="619"/>
      <c r="G233" s="619"/>
      <c r="H233" s="619"/>
      <c r="I233" s="619"/>
      <c r="J233" s="619"/>
      <c r="K233" s="619"/>
      <c r="L233" s="619"/>
      <c r="M233" s="619"/>
      <c r="N233" s="619"/>
      <c r="O233" s="619"/>
      <c r="P233" s="619"/>
      <c r="Q233" s="619"/>
      <c r="R233" s="619"/>
      <c r="S233" s="619"/>
      <c r="T233" s="619"/>
      <c r="U233" s="619"/>
      <c r="V233" s="619"/>
      <c r="W233" s="619"/>
      <c r="X233" s="619"/>
      <c r="Y233" s="619"/>
      <c r="Z233" s="619"/>
      <c r="AA233" s="619"/>
      <c r="AB233" s="619"/>
      <c r="AC233" s="619"/>
      <c r="AD233" s="619"/>
      <c r="AE233" s="619"/>
      <c r="AF233" s="619"/>
      <c r="AG233" s="619"/>
      <c r="AH233" s="619"/>
      <c r="AI233" s="619"/>
      <c r="AJ233" s="619"/>
      <c r="AK233" s="619"/>
      <c r="AL233" s="1"/>
    </row>
    <row r="234" spans="1:38" ht="14.25" customHeight="1">
      <c r="A234" s="619"/>
      <c r="B234" s="619"/>
      <c r="C234" s="4"/>
      <c r="D234" s="619"/>
      <c r="E234" s="619"/>
      <c r="F234" s="619"/>
      <c r="G234" s="619"/>
      <c r="H234" s="619"/>
      <c r="I234" s="619"/>
      <c r="J234" s="619"/>
      <c r="K234" s="619"/>
      <c r="L234" s="619"/>
      <c r="M234" s="619"/>
      <c r="N234" s="619"/>
      <c r="O234" s="619"/>
      <c r="P234" s="619"/>
      <c r="Q234" s="619"/>
      <c r="R234" s="619"/>
      <c r="S234" s="619"/>
      <c r="T234" s="619"/>
      <c r="U234" s="619"/>
      <c r="V234" s="619"/>
      <c r="W234" s="619"/>
      <c r="X234" s="619"/>
      <c r="Y234" s="619"/>
      <c r="Z234" s="619"/>
      <c r="AA234" s="619"/>
      <c r="AB234" s="619"/>
      <c r="AC234" s="619"/>
      <c r="AD234" s="619"/>
      <c r="AE234" s="619"/>
      <c r="AF234" s="619"/>
      <c r="AG234" s="619"/>
      <c r="AH234" s="619"/>
      <c r="AI234" s="619"/>
      <c r="AJ234" s="619"/>
      <c r="AK234" s="619"/>
      <c r="AL234" s="1"/>
    </row>
    <row r="235" spans="1:38" ht="14.25" customHeight="1">
      <c r="A235" s="619"/>
      <c r="B235" s="619"/>
      <c r="C235" s="4"/>
      <c r="D235" s="619"/>
      <c r="E235" s="619"/>
      <c r="F235" s="619"/>
      <c r="G235" s="619"/>
      <c r="H235" s="619"/>
      <c r="I235" s="619"/>
      <c r="J235" s="619"/>
      <c r="K235" s="619"/>
      <c r="L235" s="619"/>
      <c r="M235" s="619"/>
      <c r="N235" s="619"/>
      <c r="O235" s="619"/>
      <c r="P235" s="619"/>
      <c r="Q235" s="619"/>
      <c r="R235" s="619"/>
      <c r="S235" s="619"/>
      <c r="T235" s="619"/>
      <c r="U235" s="619"/>
      <c r="V235" s="619"/>
      <c r="W235" s="619"/>
      <c r="X235" s="619"/>
      <c r="Y235" s="619"/>
      <c r="Z235" s="619"/>
      <c r="AA235" s="619"/>
      <c r="AB235" s="619"/>
      <c r="AC235" s="619"/>
      <c r="AD235" s="619"/>
      <c r="AE235" s="619"/>
      <c r="AF235" s="619"/>
      <c r="AG235" s="619"/>
      <c r="AH235" s="619"/>
      <c r="AI235" s="619"/>
      <c r="AJ235" s="619"/>
      <c r="AK235" s="619"/>
      <c r="AL235" s="1"/>
    </row>
    <row r="236" spans="1:38" ht="14.25" customHeight="1">
      <c r="A236" s="619"/>
      <c r="B236" s="619"/>
      <c r="C236" s="4"/>
      <c r="D236" s="619"/>
      <c r="E236" s="619"/>
      <c r="F236" s="619"/>
      <c r="G236" s="619"/>
      <c r="H236" s="619"/>
      <c r="I236" s="619"/>
      <c r="J236" s="619"/>
      <c r="K236" s="619"/>
      <c r="L236" s="619"/>
      <c r="M236" s="619"/>
      <c r="N236" s="619"/>
      <c r="O236" s="619"/>
      <c r="P236" s="619"/>
      <c r="Q236" s="619"/>
      <c r="R236" s="619"/>
      <c r="S236" s="619"/>
      <c r="T236" s="619"/>
      <c r="U236" s="619"/>
      <c r="V236" s="619"/>
      <c r="W236" s="619"/>
      <c r="X236" s="619"/>
      <c r="Y236" s="619"/>
      <c r="Z236" s="619"/>
      <c r="AA236" s="619"/>
      <c r="AB236" s="619"/>
      <c r="AC236" s="619"/>
      <c r="AD236" s="619"/>
      <c r="AE236" s="619"/>
      <c r="AF236" s="619"/>
      <c r="AG236" s="619"/>
      <c r="AH236" s="619"/>
      <c r="AI236" s="619"/>
      <c r="AJ236" s="619"/>
      <c r="AK236" s="619"/>
      <c r="AL236" s="1"/>
    </row>
    <row r="237" spans="1:38" ht="14.25" customHeight="1">
      <c r="A237" s="619"/>
      <c r="B237" s="619"/>
      <c r="C237" s="4"/>
      <c r="D237" s="619"/>
      <c r="E237" s="619"/>
      <c r="F237" s="619"/>
      <c r="G237" s="619"/>
      <c r="H237" s="619"/>
      <c r="I237" s="619"/>
      <c r="J237" s="619"/>
      <c r="K237" s="619"/>
      <c r="L237" s="619"/>
      <c r="M237" s="619"/>
      <c r="N237" s="619"/>
      <c r="O237" s="619"/>
      <c r="P237" s="619"/>
      <c r="Q237" s="619"/>
      <c r="R237" s="619"/>
      <c r="S237" s="619"/>
      <c r="T237" s="619"/>
      <c r="U237" s="619"/>
      <c r="V237" s="619"/>
      <c r="W237" s="619"/>
      <c r="X237" s="619"/>
      <c r="Y237" s="619"/>
      <c r="Z237" s="619"/>
      <c r="AA237" s="619"/>
      <c r="AB237" s="619"/>
      <c r="AC237" s="619"/>
      <c r="AD237" s="619"/>
      <c r="AE237" s="619"/>
      <c r="AF237" s="619"/>
      <c r="AG237" s="619"/>
      <c r="AH237" s="619"/>
      <c r="AI237" s="619"/>
      <c r="AJ237" s="619"/>
      <c r="AK237" s="619"/>
      <c r="AL237" s="1"/>
    </row>
    <row r="238" spans="1:38" ht="14.25" customHeight="1">
      <c r="A238" s="619"/>
      <c r="B238" s="619"/>
      <c r="C238" s="4"/>
      <c r="D238" s="619"/>
      <c r="E238" s="619"/>
      <c r="F238" s="619"/>
      <c r="G238" s="619"/>
      <c r="H238" s="619"/>
      <c r="I238" s="619"/>
      <c r="J238" s="619"/>
      <c r="K238" s="619"/>
      <c r="L238" s="619"/>
      <c r="M238" s="619"/>
      <c r="N238" s="619"/>
      <c r="O238" s="619"/>
      <c r="P238" s="619"/>
      <c r="Q238" s="619"/>
      <c r="R238" s="619"/>
      <c r="S238" s="619"/>
      <c r="T238" s="619"/>
      <c r="U238" s="619"/>
      <c r="V238" s="619"/>
      <c r="W238" s="619"/>
      <c r="X238" s="619"/>
      <c r="Y238" s="619"/>
      <c r="Z238" s="619"/>
      <c r="AA238" s="619"/>
      <c r="AB238" s="619"/>
      <c r="AC238" s="619"/>
      <c r="AD238" s="619"/>
      <c r="AE238" s="619"/>
      <c r="AF238" s="619"/>
      <c r="AG238" s="619"/>
      <c r="AH238" s="619"/>
      <c r="AI238" s="619"/>
      <c r="AJ238" s="619"/>
      <c r="AK238" s="619"/>
      <c r="AL238" s="1"/>
    </row>
    <row r="239" spans="1:38" ht="14.25" customHeight="1">
      <c r="A239" s="619"/>
      <c r="B239" s="619"/>
      <c r="C239" s="4"/>
      <c r="D239" s="619"/>
      <c r="E239" s="619"/>
      <c r="F239" s="619"/>
      <c r="G239" s="619"/>
      <c r="H239" s="619"/>
      <c r="I239" s="619"/>
      <c r="J239" s="619"/>
      <c r="K239" s="619"/>
      <c r="L239" s="619"/>
      <c r="M239" s="619"/>
      <c r="N239" s="619"/>
      <c r="O239" s="619"/>
      <c r="P239" s="619"/>
      <c r="Q239" s="619"/>
      <c r="R239" s="619"/>
      <c r="S239" s="619"/>
      <c r="T239" s="619"/>
      <c r="U239" s="619"/>
      <c r="V239" s="619"/>
      <c r="W239" s="619"/>
      <c r="X239" s="619"/>
      <c r="Y239" s="619"/>
      <c r="Z239" s="619"/>
      <c r="AA239" s="619"/>
      <c r="AB239" s="619"/>
      <c r="AC239" s="619"/>
      <c r="AD239" s="619"/>
      <c r="AE239" s="619"/>
      <c r="AF239" s="619"/>
      <c r="AG239" s="619"/>
      <c r="AH239" s="619"/>
      <c r="AI239" s="619"/>
      <c r="AJ239" s="619"/>
      <c r="AK239" s="619"/>
      <c r="AL239" s="1"/>
    </row>
    <row r="240" spans="1:38" ht="14.25" customHeight="1">
      <c r="A240" s="619"/>
      <c r="B240" s="619"/>
      <c r="C240" s="4"/>
      <c r="D240" s="619"/>
      <c r="E240" s="619"/>
      <c r="F240" s="619"/>
      <c r="G240" s="619"/>
      <c r="H240" s="619"/>
      <c r="I240" s="619"/>
      <c r="J240" s="619"/>
      <c r="K240" s="619"/>
      <c r="L240" s="619"/>
      <c r="M240" s="619"/>
      <c r="N240" s="619"/>
      <c r="O240" s="619"/>
      <c r="P240" s="619"/>
      <c r="Q240" s="619"/>
      <c r="R240" s="619"/>
      <c r="S240" s="619"/>
      <c r="T240" s="619"/>
      <c r="U240" s="619"/>
      <c r="V240" s="619"/>
      <c r="W240" s="619"/>
      <c r="X240" s="619"/>
      <c r="Y240" s="619"/>
      <c r="Z240" s="619"/>
      <c r="AA240" s="619"/>
      <c r="AB240" s="619"/>
      <c r="AC240" s="619"/>
      <c r="AD240" s="619"/>
      <c r="AE240" s="619"/>
      <c r="AF240" s="619"/>
      <c r="AG240" s="619"/>
      <c r="AH240" s="619"/>
      <c r="AI240" s="619"/>
      <c r="AJ240" s="619"/>
      <c r="AK240" s="619"/>
      <c r="AL240" s="1"/>
    </row>
    <row r="241" spans="1:38" ht="14.25" customHeight="1">
      <c r="A241" s="619"/>
      <c r="B241" s="619"/>
      <c r="C241" s="4"/>
      <c r="D241" s="619"/>
      <c r="E241" s="619"/>
      <c r="F241" s="619"/>
      <c r="G241" s="619"/>
      <c r="H241" s="619"/>
      <c r="I241" s="619"/>
      <c r="J241" s="619"/>
      <c r="K241" s="619"/>
      <c r="L241" s="619"/>
      <c r="M241" s="619"/>
      <c r="N241" s="619"/>
      <c r="O241" s="619"/>
      <c r="P241" s="619"/>
      <c r="Q241" s="619"/>
      <c r="R241" s="619"/>
      <c r="S241" s="619"/>
      <c r="T241" s="619"/>
      <c r="U241" s="619"/>
      <c r="V241" s="619"/>
      <c r="W241" s="619"/>
      <c r="X241" s="619"/>
      <c r="Y241" s="619"/>
      <c r="Z241" s="619"/>
      <c r="AA241" s="619"/>
      <c r="AB241" s="619"/>
      <c r="AC241" s="619"/>
      <c r="AD241" s="619"/>
      <c r="AE241" s="619"/>
      <c r="AF241" s="619"/>
      <c r="AG241" s="619"/>
      <c r="AH241" s="619"/>
      <c r="AI241" s="619"/>
      <c r="AJ241" s="619"/>
      <c r="AK241" s="619"/>
      <c r="AL241" s="1"/>
    </row>
    <row r="242" spans="1:38" ht="14.25" customHeight="1">
      <c r="A242" s="619"/>
      <c r="B242" s="619"/>
      <c r="C242" s="4"/>
      <c r="D242" s="619"/>
      <c r="E242" s="619"/>
      <c r="F242" s="619"/>
      <c r="G242" s="619"/>
      <c r="H242" s="619"/>
      <c r="I242" s="619"/>
      <c r="J242" s="619"/>
      <c r="K242" s="619"/>
      <c r="L242" s="619"/>
      <c r="M242" s="619"/>
      <c r="N242" s="619"/>
      <c r="O242" s="619"/>
      <c r="P242" s="619"/>
      <c r="Q242" s="619"/>
      <c r="R242" s="619"/>
      <c r="S242" s="619"/>
      <c r="T242" s="619"/>
      <c r="U242" s="619"/>
      <c r="V242" s="619"/>
      <c r="W242" s="619"/>
      <c r="X242" s="619"/>
      <c r="Y242" s="619"/>
      <c r="Z242" s="619"/>
      <c r="AA242" s="619"/>
      <c r="AB242" s="619"/>
      <c r="AC242" s="619"/>
      <c r="AD242" s="619"/>
      <c r="AE242" s="619"/>
      <c r="AF242" s="619"/>
      <c r="AG242" s="619"/>
      <c r="AH242" s="619"/>
      <c r="AI242" s="619"/>
      <c r="AJ242" s="619"/>
      <c r="AK242" s="619"/>
      <c r="AL242" s="1"/>
    </row>
    <row r="243" spans="1:38" ht="14.25" customHeight="1">
      <c r="A243" s="619"/>
      <c r="B243" s="619"/>
      <c r="C243" s="4"/>
      <c r="D243" s="619"/>
      <c r="E243" s="619"/>
      <c r="F243" s="619"/>
      <c r="G243" s="619"/>
      <c r="H243" s="619"/>
      <c r="I243" s="619"/>
      <c r="J243" s="619"/>
      <c r="K243" s="619"/>
      <c r="L243" s="619"/>
      <c r="M243" s="619"/>
      <c r="N243" s="619"/>
      <c r="O243" s="619"/>
      <c r="P243" s="619"/>
      <c r="Q243" s="619"/>
      <c r="R243" s="619"/>
      <c r="S243" s="619"/>
      <c r="T243" s="619"/>
      <c r="U243" s="619"/>
      <c r="V243" s="619"/>
      <c r="W243" s="619"/>
      <c r="X243" s="619"/>
      <c r="Y243" s="619"/>
      <c r="Z243" s="619"/>
      <c r="AA243" s="619"/>
      <c r="AB243" s="619"/>
      <c r="AC243" s="619"/>
      <c r="AD243" s="619"/>
      <c r="AE243" s="619"/>
      <c r="AF243" s="619"/>
      <c r="AG243" s="619"/>
      <c r="AH243" s="619"/>
      <c r="AI243" s="619"/>
      <c r="AJ243" s="619"/>
      <c r="AK243" s="619"/>
      <c r="AL243" s="1"/>
    </row>
    <row r="244" spans="1:38" ht="14.25" customHeight="1">
      <c r="A244" s="619"/>
      <c r="B244" s="619"/>
      <c r="C244" s="4"/>
      <c r="D244" s="619"/>
      <c r="E244" s="619"/>
      <c r="F244" s="619"/>
      <c r="G244" s="619"/>
      <c r="H244" s="619"/>
      <c r="I244" s="619"/>
      <c r="J244" s="619"/>
      <c r="K244" s="619"/>
      <c r="L244" s="619"/>
      <c r="M244" s="619"/>
      <c r="N244" s="619"/>
      <c r="O244" s="619"/>
      <c r="P244" s="619"/>
      <c r="Q244" s="619"/>
      <c r="R244" s="619"/>
      <c r="S244" s="619"/>
      <c r="T244" s="619"/>
      <c r="U244" s="619"/>
      <c r="V244" s="619"/>
      <c r="W244" s="619"/>
      <c r="X244" s="619"/>
      <c r="Y244" s="619"/>
      <c r="Z244" s="619"/>
      <c r="AA244" s="619"/>
      <c r="AB244" s="619"/>
      <c r="AC244" s="619"/>
      <c r="AD244" s="619"/>
      <c r="AE244" s="619"/>
      <c r="AF244" s="619"/>
      <c r="AG244" s="619"/>
      <c r="AH244" s="619"/>
      <c r="AI244" s="619"/>
      <c r="AJ244" s="619"/>
      <c r="AK244" s="619"/>
      <c r="AL244" s="1"/>
    </row>
    <row r="245" spans="1:38" ht="14.25" customHeight="1">
      <c r="A245" s="619"/>
      <c r="B245" s="619"/>
      <c r="C245" s="4"/>
      <c r="D245" s="619"/>
      <c r="E245" s="619"/>
      <c r="F245" s="619"/>
      <c r="G245" s="619"/>
      <c r="H245" s="619"/>
      <c r="I245" s="619"/>
      <c r="J245" s="619"/>
      <c r="K245" s="619"/>
      <c r="L245" s="619"/>
      <c r="M245" s="619"/>
      <c r="N245" s="619"/>
      <c r="O245" s="619"/>
      <c r="P245" s="619"/>
      <c r="Q245" s="619"/>
      <c r="R245" s="619"/>
      <c r="S245" s="619"/>
      <c r="T245" s="619"/>
      <c r="U245" s="619"/>
      <c r="V245" s="619"/>
      <c r="W245" s="619"/>
      <c r="X245" s="619"/>
      <c r="Y245" s="619"/>
      <c r="Z245" s="619"/>
      <c r="AA245" s="619"/>
      <c r="AB245" s="619"/>
      <c r="AC245" s="619"/>
      <c r="AD245" s="619"/>
      <c r="AE245" s="619"/>
      <c r="AF245" s="619"/>
      <c r="AG245" s="619"/>
      <c r="AH245" s="619"/>
      <c r="AI245" s="619"/>
      <c r="AJ245" s="619"/>
      <c r="AK245" s="619"/>
      <c r="AL245" s="1"/>
    </row>
    <row r="246" spans="1:38" ht="14.25" customHeight="1">
      <c r="A246" s="619"/>
      <c r="B246" s="619"/>
      <c r="C246" s="4"/>
      <c r="D246" s="619"/>
      <c r="E246" s="619"/>
      <c r="F246" s="619"/>
      <c r="G246" s="619"/>
      <c r="H246" s="619"/>
      <c r="I246" s="619"/>
      <c r="J246" s="619"/>
      <c r="K246" s="619"/>
      <c r="L246" s="619"/>
      <c r="M246" s="619"/>
      <c r="N246" s="619"/>
      <c r="O246" s="619"/>
      <c r="P246" s="619"/>
      <c r="Q246" s="619"/>
      <c r="R246" s="619"/>
      <c r="S246" s="619"/>
      <c r="T246" s="619"/>
      <c r="U246" s="619"/>
      <c r="V246" s="619"/>
      <c r="W246" s="619"/>
      <c r="X246" s="619"/>
      <c r="Y246" s="619"/>
      <c r="Z246" s="619"/>
      <c r="AA246" s="619"/>
      <c r="AB246" s="619"/>
      <c r="AC246" s="619"/>
      <c r="AD246" s="619"/>
      <c r="AE246" s="619"/>
      <c r="AF246" s="619"/>
      <c r="AG246" s="619"/>
      <c r="AH246" s="619"/>
      <c r="AI246" s="619"/>
      <c r="AJ246" s="619"/>
      <c r="AK246" s="619"/>
      <c r="AL246" s="1"/>
    </row>
    <row r="247" spans="1:38" ht="14.25" customHeight="1">
      <c r="A247" s="619"/>
      <c r="B247" s="619"/>
      <c r="C247" s="4"/>
      <c r="D247" s="619"/>
      <c r="E247" s="619"/>
      <c r="F247" s="619"/>
      <c r="G247" s="619"/>
      <c r="H247" s="619"/>
      <c r="I247" s="619"/>
      <c r="J247" s="619"/>
      <c r="K247" s="619"/>
      <c r="L247" s="619"/>
      <c r="M247" s="619"/>
      <c r="N247" s="619"/>
      <c r="O247" s="619"/>
      <c r="P247" s="619"/>
      <c r="Q247" s="619"/>
      <c r="R247" s="619"/>
      <c r="S247" s="619"/>
      <c r="T247" s="619"/>
      <c r="U247" s="619"/>
      <c r="V247" s="619"/>
      <c r="W247" s="619"/>
      <c r="X247" s="619"/>
      <c r="Y247" s="619"/>
      <c r="Z247" s="619"/>
      <c r="AA247" s="619"/>
      <c r="AB247" s="619"/>
      <c r="AC247" s="619"/>
      <c r="AD247" s="619"/>
      <c r="AE247" s="619"/>
      <c r="AF247" s="619"/>
      <c r="AG247" s="619"/>
      <c r="AH247" s="619"/>
      <c r="AI247" s="619"/>
      <c r="AJ247" s="619"/>
      <c r="AK247" s="619"/>
      <c r="AL247" s="1"/>
    </row>
    <row r="248" spans="1:38" ht="14.25" customHeight="1">
      <c r="A248" s="619"/>
      <c r="B248" s="619"/>
      <c r="C248" s="4"/>
      <c r="D248" s="619"/>
      <c r="E248" s="619"/>
      <c r="F248" s="619"/>
      <c r="G248" s="619"/>
      <c r="H248" s="619"/>
      <c r="I248" s="619"/>
      <c r="J248" s="619"/>
      <c r="K248" s="619"/>
      <c r="L248" s="619"/>
      <c r="M248" s="619"/>
      <c r="N248" s="619"/>
      <c r="O248" s="619"/>
      <c r="P248" s="619"/>
      <c r="Q248" s="619"/>
      <c r="R248" s="619"/>
      <c r="S248" s="619"/>
      <c r="T248" s="619"/>
      <c r="U248" s="619"/>
      <c r="V248" s="619"/>
      <c r="W248" s="619"/>
      <c r="X248" s="619"/>
      <c r="Y248" s="619"/>
      <c r="Z248" s="619"/>
      <c r="AA248" s="619"/>
      <c r="AB248" s="619"/>
      <c r="AC248" s="619"/>
      <c r="AD248" s="619"/>
      <c r="AE248" s="619"/>
      <c r="AF248" s="619"/>
      <c r="AG248" s="619"/>
      <c r="AH248" s="619"/>
      <c r="AI248" s="619"/>
      <c r="AJ248" s="619"/>
      <c r="AK248" s="619"/>
      <c r="AL248" s="1"/>
    </row>
    <row r="249" spans="1:38" ht="14.25" customHeight="1">
      <c r="A249" s="619"/>
      <c r="B249" s="619"/>
      <c r="C249" s="4"/>
      <c r="D249" s="619"/>
      <c r="E249" s="619"/>
      <c r="F249" s="619"/>
      <c r="G249" s="619"/>
      <c r="H249" s="619"/>
      <c r="I249" s="619"/>
      <c r="J249" s="619"/>
      <c r="K249" s="619"/>
      <c r="L249" s="619"/>
      <c r="M249" s="619"/>
      <c r="N249" s="619"/>
      <c r="O249" s="619"/>
      <c r="P249" s="619"/>
      <c r="Q249" s="619"/>
      <c r="R249" s="619"/>
      <c r="S249" s="619"/>
      <c r="T249" s="619"/>
      <c r="U249" s="619"/>
      <c r="V249" s="619"/>
      <c r="W249" s="619"/>
      <c r="X249" s="619"/>
      <c r="Y249" s="619"/>
      <c r="Z249" s="619"/>
      <c r="AA249" s="619"/>
      <c r="AB249" s="619"/>
      <c r="AC249" s="619"/>
      <c r="AD249" s="619"/>
      <c r="AE249" s="619"/>
      <c r="AF249" s="619"/>
      <c r="AG249" s="619"/>
      <c r="AH249" s="619"/>
      <c r="AI249" s="619"/>
      <c r="AJ249" s="619"/>
      <c r="AK249" s="619"/>
      <c r="AL249" s="1"/>
    </row>
    <row r="250" spans="1:38" ht="14.25" customHeight="1">
      <c r="A250" s="619"/>
      <c r="B250" s="619"/>
      <c r="C250" s="4"/>
      <c r="D250" s="619"/>
      <c r="E250" s="619"/>
      <c r="F250" s="619"/>
      <c r="G250" s="619"/>
      <c r="H250" s="619"/>
      <c r="I250" s="619"/>
      <c r="J250" s="619"/>
      <c r="K250" s="619"/>
      <c r="L250" s="619"/>
      <c r="M250" s="619"/>
      <c r="N250" s="619"/>
      <c r="O250" s="619"/>
      <c r="P250" s="619"/>
      <c r="Q250" s="619"/>
      <c r="R250" s="619"/>
      <c r="S250" s="619"/>
      <c r="T250" s="619"/>
      <c r="U250" s="619"/>
      <c r="V250" s="619"/>
      <c r="W250" s="619"/>
      <c r="X250" s="619"/>
      <c r="Y250" s="619"/>
      <c r="Z250" s="619"/>
      <c r="AA250" s="619"/>
      <c r="AB250" s="619"/>
      <c r="AC250" s="619"/>
      <c r="AD250" s="619"/>
      <c r="AE250" s="619"/>
      <c r="AF250" s="619"/>
      <c r="AG250" s="619"/>
      <c r="AH250" s="619"/>
      <c r="AI250" s="619"/>
      <c r="AJ250" s="619"/>
      <c r="AK250" s="619"/>
      <c r="AL250" s="1"/>
    </row>
    <row r="251" spans="1:38" ht="14.25" customHeight="1">
      <c r="A251" s="619"/>
      <c r="B251" s="619"/>
      <c r="C251" s="4"/>
      <c r="D251" s="619"/>
      <c r="E251" s="619"/>
      <c r="F251" s="619"/>
      <c r="G251" s="619"/>
      <c r="H251" s="619"/>
      <c r="I251" s="619"/>
      <c r="J251" s="619"/>
      <c r="K251" s="619"/>
      <c r="L251" s="619"/>
      <c r="M251" s="619"/>
      <c r="N251" s="619"/>
      <c r="O251" s="619"/>
      <c r="P251" s="619"/>
      <c r="Q251" s="619"/>
      <c r="R251" s="619"/>
      <c r="S251" s="619"/>
      <c r="T251" s="619"/>
      <c r="U251" s="619"/>
      <c r="V251" s="619"/>
      <c r="W251" s="619"/>
      <c r="X251" s="619"/>
      <c r="Y251" s="619"/>
      <c r="Z251" s="619"/>
      <c r="AA251" s="619"/>
      <c r="AB251" s="619"/>
      <c r="AC251" s="619"/>
      <c r="AD251" s="619"/>
      <c r="AE251" s="619"/>
      <c r="AF251" s="619"/>
      <c r="AG251" s="619"/>
      <c r="AH251" s="619"/>
      <c r="AI251" s="619"/>
      <c r="AJ251" s="619"/>
      <c r="AK251" s="619"/>
      <c r="AL251" s="1"/>
    </row>
    <row r="252" spans="1:38" ht="14.25" customHeight="1">
      <c r="A252" s="619"/>
      <c r="B252" s="619"/>
      <c r="C252" s="4"/>
      <c r="D252" s="619"/>
      <c r="E252" s="619"/>
      <c r="F252" s="619"/>
      <c r="G252" s="619"/>
      <c r="H252" s="619"/>
      <c r="I252" s="619"/>
      <c r="J252" s="619"/>
      <c r="K252" s="619"/>
      <c r="L252" s="619"/>
      <c r="M252" s="619"/>
      <c r="N252" s="619"/>
      <c r="O252" s="619"/>
      <c r="P252" s="619"/>
      <c r="Q252" s="619"/>
      <c r="R252" s="619"/>
      <c r="S252" s="619"/>
      <c r="T252" s="619"/>
      <c r="U252" s="619"/>
      <c r="V252" s="619"/>
      <c r="W252" s="619"/>
      <c r="X252" s="619"/>
      <c r="Y252" s="619"/>
      <c r="Z252" s="619"/>
      <c r="AA252" s="619"/>
      <c r="AB252" s="619"/>
      <c r="AC252" s="619"/>
      <c r="AD252" s="619"/>
      <c r="AE252" s="619"/>
      <c r="AF252" s="619"/>
      <c r="AG252" s="619"/>
      <c r="AH252" s="619"/>
      <c r="AI252" s="619"/>
      <c r="AJ252" s="619"/>
      <c r="AK252" s="619"/>
      <c r="AL252" s="1"/>
    </row>
    <row r="253" spans="1:38" ht="14.25" customHeight="1">
      <c r="A253" s="619"/>
      <c r="B253" s="619"/>
      <c r="C253" s="4"/>
      <c r="D253" s="619"/>
      <c r="E253" s="619"/>
      <c r="F253" s="619"/>
      <c r="G253" s="619"/>
      <c r="H253" s="619"/>
      <c r="I253" s="619"/>
      <c r="J253" s="619"/>
      <c r="K253" s="619"/>
      <c r="L253" s="619"/>
      <c r="M253" s="619"/>
      <c r="N253" s="619"/>
      <c r="O253" s="619"/>
      <c r="P253" s="619"/>
      <c r="Q253" s="619"/>
      <c r="R253" s="619"/>
      <c r="S253" s="619"/>
      <c r="T253" s="619"/>
      <c r="U253" s="619"/>
      <c r="V253" s="619"/>
      <c r="W253" s="619"/>
      <c r="X253" s="619"/>
      <c r="Y253" s="619"/>
      <c r="Z253" s="619"/>
      <c r="AA253" s="619"/>
      <c r="AB253" s="619"/>
      <c r="AC253" s="619"/>
      <c r="AD253" s="619"/>
      <c r="AE253" s="619"/>
      <c r="AF253" s="619"/>
      <c r="AG253" s="619"/>
      <c r="AH253" s="619"/>
      <c r="AI253" s="619"/>
      <c r="AJ253" s="619"/>
      <c r="AK253" s="619"/>
      <c r="AL253" s="1"/>
    </row>
    <row r="254" spans="1:38" ht="14.25" customHeight="1">
      <c r="A254" s="619"/>
      <c r="B254" s="619"/>
      <c r="C254" s="4"/>
      <c r="D254" s="619"/>
      <c r="E254" s="619"/>
      <c r="F254" s="619"/>
      <c r="G254" s="619"/>
      <c r="H254" s="619"/>
      <c r="I254" s="619"/>
      <c r="J254" s="619"/>
      <c r="K254" s="619"/>
      <c r="L254" s="619"/>
      <c r="M254" s="619"/>
      <c r="N254" s="619"/>
      <c r="O254" s="619"/>
      <c r="P254" s="619"/>
      <c r="Q254" s="619"/>
      <c r="R254" s="619"/>
      <c r="S254" s="619"/>
      <c r="T254" s="619"/>
      <c r="U254" s="619"/>
      <c r="V254" s="619"/>
      <c r="W254" s="619"/>
      <c r="X254" s="619"/>
      <c r="Y254" s="619"/>
      <c r="Z254" s="619"/>
      <c r="AA254" s="619"/>
      <c r="AB254" s="619"/>
      <c r="AC254" s="619"/>
      <c r="AD254" s="619"/>
      <c r="AE254" s="619"/>
      <c r="AF254" s="619"/>
      <c r="AG254" s="619"/>
      <c r="AH254" s="619"/>
      <c r="AI254" s="619"/>
      <c r="AJ254" s="619"/>
      <c r="AK254" s="619"/>
      <c r="AL254" s="1"/>
    </row>
    <row r="255" spans="1:38" ht="14.25" customHeight="1">
      <c r="A255" s="619"/>
      <c r="B255" s="619"/>
      <c r="C255" s="4"/>
      <c r="D255" s="619"/>
      <c r="E255" s="619"/>
      <c r="F255" s="619"/>
      <c r="G255" s="619"/>
      <c r="H255" s="619"/>
      <c r="I255" s="619"/>
      <c r="J255" s="619"/>
      <c r="K255" s="619"/>
      <c r="L255" s="619"/>
      <c r="M255" s="619"/>
      <c r="N255" s="619"/>
      <c r="O255" s="619"/>
      <c r="P255" s="619"/>
      <c r="Q255" s="619"/>
      <c r="R255" s="619"/>
      <c r="S255" s="619"/>
      <c r="T255" s="619"/>
      <c r="U255" s="619"/>
      <c r="V255" s="619"/>
      <c r="W255" s="619"/>
      <c r="X255" s="619"/>
      <c r="Y255" s="619"/>
      <c r="Z255" s="619"/>
      <c r="AA255" s="619"/>
      <c r="AB255" s="619"/>
      <c r="AC255" s="619"/>
      <c r="AD255" s="619"/>
      <c r="AE255" s="619"/>
      <c r="AF255" s="619"/>
      <c r="AG255" s="619"/>
      <c r="AH255" s="619"/>
      <c r="AI255" s="619"/>
      <c r="AJ255" s="619"/>
      <c r="AK255" s="619"/>
      <c r="AL255" s="1"/>
    </row>
    <row r="256" spans="1:38" ht="14.25" customHeight="1">
      <c r="A256" s="619"/>
      <c r="B256" s="619"/>
      <c r="C256" s="4"/>
      <c r="D256" s="619"/>
      <c r="E256" s="619"/>
      <c r="F256" s="619"/>
      <c r="G256" s="619"/>
      <c r="H256" s="619"/>
      <c r="I256" s="619"/>
      <c r="J256" s="619"/>
      <c r="K256" s="619"/>
      <c r="L256" s="619"/>
      <c r="M256" s="619"/>
      <c r="N256" s="619"/>
      <c r="O256" s="619"/>
      <c r="P256" s="619"/>
      <c r="Q256" s="619"/>
      <c r="R256" s="619"/>
      <c r="S256" s="619"/>
      <c r="T256" s="619"/>
      <c r="U256" s="619"/>
      <c r="V256" s="619"/>
      <c r="W256" s="619"/>
      <c r="X256" s="619"/>
      <c r="Y256" s="619"/>
      <c r="Z256" s="619"/>
      <c r="AA256" s="619"/>
      <c r="AB256" s="619"/>
      <c r="AC256" s="619"/>
      <c r="AD256" s="619"/>
      <c r="AE256" s="619"/>
      <c r="AF256" s="619"/>
      <c r="AG256" s="619"/>
      <c r="AH256" s="619"/>
      <c r="AI256" s="619"/>
      <c r="AJ256" s="619"/>
      <c r="AK256" s="619"/>
      <c r="AL256" s="1"/>
    </row>
    <row r="257" spans="1:38" ht="14.25" customHeight="1">
      <c r="A257" s="619"/>
      <c r="B257" s="619"/>
      <c r="C257" s="4"/>
      <c r="D257" s="619"/>
      <c r="E257" s="619"/>
      <c r="F257" s="619"/>
      <c r="G257" s="619"/>
      <c r="H257" s="619"/>
      <c r="I257" s="619"/>
      <c r="J257" s="619"/>
      <c r="K257" s="619"/>
      <c r="L257" s="619"/>
      <c r="M257" s="619"/>
      <c r="N257" s="619"/>
      <c r="O257" s="619"/>
      <c r="P257" s="619"/>
      <c r="Q257" s="619"/>
      <c r="R257" s="619"/>
      <c r="S257" s="619"/>
      <c r="T257" s="619"/>
      <c r="U257" s="619"/>
      <c r="V257" s="619"/>
      <c r="W257" s="619"/>
      <c r="X257" s="619"/>
      <c r="Y257" s="619"/>
      <c r="Z257" s="619"/>
      <c r="AA257" s="619"/>
      <c r="AB257" s="619"/>
      <c r="AC257" s="619"/>
      <c r="AD257" s="619"/>
      <c r="AE257" s="619"/>
      <c r="AF257" s="619"/>
      <c r="AG257" s="619"/>
      <c r="AH257" s="619"/>
      <c r="AI257" s="619"/>
      <c r="AJ257" s="619"/>
      <c r="AK257" s="619"/>
      <c r="AL257" s="1"/>
    </row>
    <row r="258" spans="1:38" ht="14.25" customHeight="1">
      <c r="A258" s="619"/>
      <c r="B258" s="619"/>
      <c r="C258" s="4"/>
      <c r="D258" s="619"/>
      <c r="E258" s="619"/>
      <c r="F258" s="619"/>
      <c r="G258" s="619"/>
      <c r="H258" s="619"/>
      <c r="I258" s="619"/>
      <c r="J258" s="619"/>
      <c r="K258" s="619"/>
      <c r="L258" s="619"/>
      <c r="M258" s="619"/>
      <c r="N258" s="619"/>
      <c r="O258" s="619"/>
      <c r="P258" s="619"/>
      <c r="Q258" s="619"/>
      <c r="R258" s="619"/>
      <c r="S258" s="619"/>
      <c r="T258" s="619"/>
      <c r="U258" s="619"/>
      <c r="V258" s="619"/>
      <c r="W258" s="619"/>
      <c r="X258" s="619"/>
      <c r="Y258" s="619"/>
      <c r="Z258" s="619"/>
      <c r="AA258" s="619"/>
      <c r="AB258" s="619"/>
      <c r="AC258" s="619"/>
      <c r="AD258" s="619"/>
      <c r="AE258" s="619"/>
      <c r="AF258" s="619"/>
      <c r="AG258" s="619"/>
      <c r="AH258" s="619"/>
      <c r="AI258" s="619"/>
      <c r="AJ258" s="619"/>
      <c r="AK258" s="619"/>
      <c r="AL258" s="1"/>
    </row>
    <row r="259" spans="1:38" ht="14.25" customHeight="1">
      <c r="A259" s="619"/>
      <c r="B259" s="619"/>
      <c r="C259" s="4"/>
      <c r="D259" s="619"/>
      <c r="E259" s="619"/>
      <c r="F259" s="619"/>
      <c r="G259" s="619"/>
      <c r="H259" s="619"/>
      <c r="I259" s="619"/>
      <c r="J259" s="619"/>
      <c r="K259" s="619"/>
      <c r="L259" s="619"/>
      <c r="M259" s="619"/>
      <c r="N259" s="619"/>
      <c r="O259" s="619"/>
      <c r="P259" s="619"/>
      <c r="Q259" s="619"/>
      <c r="R259" s="619"/>
      <c r="S259" s="619"/>
      <c r="T259" s="619"/>
      <c r="U259" s="619"/>
      <c r="V259" s="619"/>
      <c r="W259" s="619"/>
      <c r="X259" s="619"/>
      <c r="Y259" s="619"/>
      <c r="Z259" s="619"/>
      <c r="AA259" s="619"/>
      <c r="AB259" s="619"/>
      <c r="AC259" s="619"/>
      <c r="AD259" s="619"/>
      <c r="AE259" s="619"/>
      <c r="AF259" s="619"/>
      <c r="AG259" s="619"/>
      <c r="AH259" s="619"/>
      <c r="AI259" s="619"/>
      <c r="AJ259" s="619"/>
      <c r="AK259" s="619"/>
      <c r="AL259" s="1"/>
    </row>
    <row r="260" spans="1:38" ht="14.25" customHeight="1">
      <c r="A260" s="619"/>
      <c r="B260" s="619"/>
      <c r="C260" s="4"/>
      <c r="D260" s="619"/>
      <c r="E260" s="619"/>
      <c r="F260" s="619"/>
      <c r="G260" s="619"/>
      <c r="H260" s="619"/>
      <c r="I260" s="619"/>
      <c r="J260" s="619"/>
      <c r="K260" s="619"/>
      <c r="L260" s="619"/>
      <c r="M260" s="619"/>
      <c r="N260" s="619"/>
      <c r="O260" s="619"/>
      <c r="P260" s="619"/>
      <c r="Q260" s="619"/>
      <c r="R260" s="619"/>
      <c r="S260" s="619"/>
      <c r="T260" s="619"/>
      <c r="U260" s="619"/>
      <c r="V260" s="619"/>
      <c r="W260" s="619"/>
      <c r="X260" s="619"/>
      <c r="Y260" s="619"/>
      <c r="Z260" s="619"/>
      <c r="AA260" s="619"/>
      <c r="AB260" s="619"/>
      <c r="AC260" s="619"/>
      <c r="AD260" s="619"/>
      <c r="AE260" s="619"/>
      <c r="AF260" s="619"/>
      <c r="AG260" s="619"/>
      <c r="AH260" s="619"/>
      <c r="AI260" s="619"/>
      <c r="AJ260" s="619"/>
      <c r="AK260" s="619"/>
      <c r="AL260" s="1"/>
    </row>
    <row r="261" spans="1:38" ht="14.25" customHeight="1">
      <c r="A261" s="619"/>
      <c r="B261" s="619"/>
      <c r="C261" s="4"/>
      <c r="D261" s="619"/>
      <c r="E261" s="619"/>
      <c r="F261" s="619"/>
      <c r="G261" s="619"/>
      <c r="H261" s="619"/>
      <c r="I261" s="619"/>
      <c r="J261" s="619"/>
      <c r="K261" s="619"/>
      <c r="L261" s="619"/>
      <c r="M261" s="619"/>
      <c r="N261" s="619"/>
      <c r="O261" s="619"/>
      <c r="P261" s="619"/>
      <c r="Q261" s="619"/>
      <c r="R261" s="619"/>
      <c r="S261" s="619"/>
      <c r="T261" s="619"/>
      <c r="U261" s="619"/>
      <c r="V261" s="619"/>
      <c r="W261" s="619"/>
      <c r="X261" s="619"/>
      <c r="Y261" s="619"/>
      <c r="Z261" s="619"/>
      <c r="AA261" s="619"/>
      <c r="AB261" s="619"/>
      <c r="AC261" s="619"/>
      <c r="AD261" s="619"/>
      <c r="AE261" s="619"/>
      <c r="AF261" s="619"/>
      <c r="AG261" s="619"/>
      <c r="AH261" s="619"/>
      <c r="AI261" s="619"/>
      <c r="AJ261" s="619"/>
      <c r="AK261" s="619"/>
      <c r="AL261" s="1"/>
    </row>
    <row r="262" spans="1:38" ht="14.25" customHeight="1">
      <c r="A262" s="619"/>
      <c r="B262" s="619"/>
      <c r="C262" s="4"/>
      <c r="D262" s="619"/>
      <c r="E262" s="619"/>
      <c r="F262" s="619"/>
      <c r="G262" s="619"/>
      <c r="H262" s="619"/>
      <c r="I262" s="619"/>
      <c r="J262" s="619"/>
      <c r="K262" s="619"/>
      <c r="L262" s="619"/>
      <c r="M262" s="619"/>
      <c r="N262" s="619"/>
      <c r="O262" s="619"/>
      <c r="P262" s="619"/>
      <c r="Q262" s="619"/>
      <c r="R262" s="619"/>
      <c r="S262" s="619"/>
      <c r="T262" s="619"/>
      <c r="U262" s="619"/>
      <c r="V262" s="619"/>
      <c r="W262" s="619"/>
      <c r="X262" s="619"/>
      <c r="Y262" s="619"/>
      <c r="Z262" s="619"/>
      <c r="AA262" s="619"/>
      <c r="AB262" s="619"/>
      <c r="AC262" s="619"/>
      <c r="AD262" s="619"/>
      <c r="AE262" s="619"/>
      <c r="AF262" s="619"/>
      <c r="AG262" s="619"/>
      <c r="AH262" s="619"/>
      <c r="AI262" s="619"/>
      <c r="AJ262" s="619"/>
      <c r="AK262" s="619"/>
      <c r="AL262" s="1"/>
    </row>
    <row r="263" spans="1:38" ht="14.25" customHeight="1">
      <c r="A263" s="619"/>
      <c r="B263" s="619"/>
      <c r="C263" s="4"/>
      <c r="D263" s="619"/>
      <c r="E263" s="619"/>
      <c r="F263" s="619"/>
      <c r="G263" s="619"/>
      <c r="H263" s="619"/>
      <c r="I263" s="619"/>
      <c r="J263" s="619"/>
      <c r="K263" s="619"/>
      <c r="L263" s="619"/>
      <c r="M263" s="619"/>
      <c r="N263" s="619"/>
      <c r="O263" s="619"/>
      <c r="P263" s="619"/>
      <c r="Q263" s="619"/>
      <c r="R263" s="619"/>
      <c r="S263" s="619"/>
      <c r="T263" s="619"/>
      <c r="U263" s="619"/>
      <c r="V263" s="619"/>
      <c r="W263" s="619"/>
      <c r="X263" s="619"/>
      <c r="Y263" s="619"/>
      <c r="Z263" s="619"/>
      <c r="AA263" s="619"/>
      <c r="AB263" s="619"/>
      <c r="AC263" s="619"/>
      <c r="AD263" s="619"/>
      <c r="AE263" s="619"/>
      <c r="AF263" s="619"/>
      <c r="AG263" s="619"/>
      <c r="AH263" s="619"/>
      <c r="AI263" s="619"/>
      <c r="AJ263" s="619"/>
      <c r="AK263" s="619"/>
      <c r="AL263" s="1"/>
    </row>
    <row r="264" spans="1:38" ht="14.25" customHeight="1">
      <c r="A264" s="619"/>
      <c r="B264" s="619"/>
      <c r="C264" s="4"/>
      <c r="D264" s="619"/>
      <c r="E264" s="619"/>
      <c r="F264" s="619"/>
      <c r="G264" s="619"/>
      <c r="H264" s="619"/>
      <c r="I264" s="619"/>
      <c r="J264" s="619"/>
      <c r="K264" s="619"/>
      <c r="L264" s="619"/>
      <c r="M264" s="619"/>
      <c r="N264" s="619"/>
      <c r="O264" s="619"/>
      <c r="P264" s="619"/>
      <c r="Q264" s="619"/>
      <c r="R264" s="619"/>
      <c r="S264" s="619"/>
      <c r="T264" s="619"/>
      <c r="U264" s="619"/>
      <c r="V264" s="619"/>
      <c r="W264" s="619"/>
      <c r="X264" s="619"/>
      <c r="Y264" s="619"/>
      <c r="Z264" s="619"/>
      <c r="AA264" s="619"/>
      <c r="AB264" s="619"/>
      <c r="AC264" s="619"/>
      <c r="AD264" s="619"/>
      <c r="AE264" s="619"/>
      <c r="AF264" s="619"/>
      <c r="AG264" s="619"/>
      <c r="AH264" s="619"/>
      <c r="AI264" s="619"/>
      <c r="AJ264" s="619"/>
      <c r="AK264" s="619"/>
      <c r="AL264" s="1"/>
    </row>
    <row r="265" spans="1:38" ht="14.25" customHeight="1">
      <c r="A265" s="619"/>
      <c r="B265" s="619"/>
      <c r="C265" s="4"/>
      <c r="D265" s="619"/>
      <c r="E265" s="619"/>
      <c r="F265" s="619"/>
      <c r="G265" s="619"/>
      <c r="H265" s="619"/>
      <c r="I265" s="619"/>
      <c r="J265" s="619"/>
      <c r="K265" s="619"/>
      <c r="L265" s="619"/>
      <c r="M265" s="619"/>
      <c r="N265" s="619"/>
      <c r="O265" s="619"/>
      <c r="P265" s="619"/>
      <c r="Q265" s="619"/>
      <c r="R265" s="619"/>
      <c r="S265" s="619"/>
      <c r="T265" s="619"/>
      <c r="U265" s="619"/>
      <c r="V265" s="619"/>
      <c r="W265" s="619"/>
      <c r="X265" s="619"/>
      <c r="Y265" s="619"/>
      <c r="Z265" s="619"/>
      <c r="AA265" s="619"/>
      <c r="AB265" s="619"/>
      <c r="AC265" s="619"/>
      <c r="AD265" s="619"/>
      <c r="AE265" s="619"/>
      <c r="AF265" s="619"/>
      <c r="AG265" s="619"/>
      <c r="AH265" s="619"/>
      <c r="AI265" s="619"/>
      <c r="AJ265" s="619"/>
      <c r="AK265" s="619"/>
      <c r="AL265" s="1"/>
    </row>
    <row r="266" spans="1:38" ht="14.25" customHeight="1">
      <c r="A266" s="619"/>
      <c r="B266" s="619"/>
      <c r="C266" s="4"/>
      <c r="D266" s="619"/>
      <c r="E266" s="619"/>
      <c r="F266" s="619"/>
      <c r="G266" s="619"/>
      <c r="H266" s="619"/>
      <c r="I266" s="619"/>
      <c r="J266" s="619"/>
      <c r="K266" s="619"/>
      <c r="L266" s="619"/>
      <c r="M266" s="619"/>
      <c r="N266" s="619"/>
      <c r="O266" s="619"/>
      <c r="P266" s="619"/>
      <c r="Q266" s="619"/>
      <c r="R266" s="619"/>
      <c r="S266" s="619"/>
      <c r="T266" s="619"/>
      <c r="U266" s="619"/>
      <c r="V266" s="619"/>
      <c r="W266" s="619"/>
      <c r="X266" s="619"/>
      <c r="Y266" s="619"/>
      <c r="Z266" s="619"/>
      <c r="AA266" s="619"/>
      <c r="AB266" s="619"/>
      <c r="AC266" s="619"/>
      <c r="AD266" s="619"/>
      <c r="AE266" s="619"/>
      <c r="AF266" s="619"/>
      <c r="AG266" s="619"/>
      <c r="AH266" s="619"/>
      <c r="AI266" s="619"/>
      <c r="AJ266" s="619"/>
      <c r="AK266" s="619"/>
      <c r="AL266" s="1"/>
    </row>
    <row r="267" spans="1:38" ht="14.25" customHeight="1">
      <c r="A267" s="619"/>
      <c r="B267" s="619"/>
      <c r="C267" s="4"/>
      <c r="D267" s="619"/>
      <c r="E267" s="619"/>
      <c r="F267" s="619"/>
      <c r="G267" s="619"/>
      <c r="H267" s="619"/>
      <c r="I267" s="619"/>
      <c r="J267" s="619"/>
      <c r="K267" s="619"/>
      <c r="L267" s="619"/>
      <c r="M267" s="619"/>
      <c r="N267" s="619"/>
      <c r="O267" s="619"/>
      <c r="P267" s="619"/>
      <c r="Q267" s="619"/>
      <c r="R267" s="619"/>
      <c r="S267" s="619"/>
      <c r="T267" s="619"/>
      <c r="U267" s="619"/>
      <c r="V267" s="619"/>
      <c r="W267" s="619"/>
      <c r="X267" s="619"/>
      <c r="Y267" s="619"/>
      <c r="Z267" s="619"/>
      <c r="AA267" s="619"/>
      <c r="AB267" s="619"/>
      <c r="AC267" s="619"/>
      <c r="AD267" s="619"/>
      <c r="AE267" s="619"/>
      <c r="AF267" s="619"/>
      <c r="AG267" s="619"/>
      <c r="AH267" s="619"/>
      <c r="AI267" s="619"/>
      <c r="AJ267" s="619"/>
      <c r="AK267" s="619"/>
      <c r="AL267" s="1"/>
    </row>
    <row r="268" spans="1:38" ht="14.25" customHeight="1">
      <c r="A268" s="619"/>
      <c r="B268" s="619"/>
      <c r="C268" s="4"/>
      <c r="D268" s="619"/>
      <c r="E268" s="619"/>
      <c r="F268" s="619"/>
      <c r="G268" s="619"/>
      <c r="H268" s="619"/>
      <c r="I268" s="619"/>
      <c r="J268" s="619"/>
      <c r="K268" s="619"/>
      <c r="L268" s="619"/>
      <c r="M268" s="619"/>
      <c r="N268" s="619"/>
      <c r="O268" s="619"/>
      <c r="P268" s="619"/>
      <c r="Q268" s="619"/>
      <c r="R268" s="619"/>
      <c r="S268" s="619"/>
      <c r="T268" s="619"/>
      <c r="U268" s="619"/>
      <c r="V268" s="619"/>
      <c r="W268" s="619"/>
      <c r="X268" s="619"/>
      <c r="Y268" s="619"/>
      <c r="Z268" s="619"/>
      <c r="AA268" s="619"/>
      <c r="AB268" s="619"/>
      <c r="AC268" s="619"/>
      <c r="AD268" s="619"/>
      <c r="AE268" s="619"/>
      <c r="AF268" s="619"/>
      <c r="AG268" s="619"/>
      <c r="AH268" s="619"/>
      <c r="AI268" s="619"/>
      <c r="AJ268" s="619"/>
      <c r="AK268" s="619"/>
      <c r="AL268" s="1"/>
    </row>
    <row r="269" spans="1:38" ht="14.25" customHeight="1">
      <c r="A269" s="619"/>
      <c r="B269" s="619"/>
      <c r="C269" s="4"/>
      <c r="D269" s="619"/>
      <c r="E269" s="619"/>
      <c r="F269" s="619"/>
      <c r="G269" s="619"/>
      <c r="H269" s="619"/>
      <c r="I269" s="619"/>
      <c r="J269" s="619"/>
      <c r="K269" s="619"/>
      <c r="L269" s="619"/>
      <c r="M269" s="619"/>
      <c r="N269" s="619"/>
      <c r="O269" s="619"/>
      <c r="P269" s="619"/>
      <c r="Q269" s="619"/>
      <c r="R269" s="619"/>
      <c r="S269" s="619"/>
      <c r="T269" s="619"/>
      <c r="U269" s="619"/>
      <c r="V269" s="619"/>
      <c r="W269" s="619"/>
      <c r="X269" s="619"/>
      <c r="Y269" s="619"/>
      <c r="Z269" s="619"/>
      <c r="AA269" s="619"/>
      <c r="AB269" s="619"/>
      <c r="AC269" s="619"/>
      <c r="AD269" s="619"/>
      <c r="AE269" s="619"/>
      <c r="AF269" s="619"/>
      <c r="AG269" s="619"/>
      <c r="AH269" s="619"/>
      <c r="AI269" s="619"/>
      <c r="AJ269" s="619"/>
      <c r="AK269" s="619"/>
      <c r="AL269" s="1"/>
    </row>
    <row r="270" spans="1:38" ht="14.25" customHeight="1">
      <c r="A270" s="619"/>
      <c r="B270" s="619"/>
      <c r="C270" s="4"/>
      <c r="D270" s="619"/>
      <c r="E270" s="619"/>
      <c r="F270" s="619"/>
      <c r="G270" s="619"/>
      <c r="H270" s="619"/>
      <c r="I270" s="619"/>
      <c r="J270" s="619"/>
      <c r="K270" s="619"/>
      <c r="L270" s="619"/>
      <c r="M270" s="619"/>
      <c r="N270" s="619"/>
      <c r="O270" s="619"/>
      <c r="P270" s="619"/>
      <c r="Q270" s="619"/>
      <c r="R270" s="619"/>
      <c r="S270" s="619"/>
      <c r="T270" s="619"/>
      <c r="U270" s="619"/>
      <c r="V270" s="619"/>
      <c r="W270" s="619"/>
      <c r="X270" s="619"/>
      <c r="Y270" s="619"/>
      <c r="Z270" s="619"/>
      <c r="AA270" s="619"/>
      <c r="AB270" s="619"/>
      <c r="AC270" s="619"/>
      <c r="AD270" s="619"/>
      <c r="AE270" s="619"/>
      <c r="AF270" s="619"/>
      <c r="AG270" s="619"/>
      <c r="AH270" s="619"/>
      <c r="AI270" s="619"/>
      <c r="AJ270" s="619"/>
      <c r="AK270" s="619"/>
      <c r="AL270" s="1"/>
    </row>
    <row r="271" spans="1:38" ht="14.25" customHeight="1">
      <c r="A271" s="619"/>
      <c r="B271" s="619"/>
      <c r="C271" s="4"/>
      <c r="D271" s="619"/>
      <c r="E271" s="619"/>
      <c r="F271" s="619"/>
      <c r="G271" s="619"/>
      <c r="H271" s="619"/>
      <c r="I271" s="619"/>
      <c r="J271" s="619"/>
      <c r="K271" s="619"/>
      <c r="L271" s="619"/>
      <c r="M271" s="619"/>
      <c r="N271" s="619"/>
      <c r="O271" s="619"/>
      <c r="P271" s="619"/>
      <c r="Q271" s="619"/>
      <c r="R271" s="619"/>
      <c r="S271" s="619"/>
      <c r="T271" s="619"/>
      <c r="U271" s="619"/>
      <c r="V271" s="619"/>
      <c r="W271" s="619"/>
      <c r="X271" s="619"/>
      <c r="Y271" s="619"/>
      <c r="Z271" s="619"/>
      <c r="AA271" s="619"/>
      <c r="AB271" s="619"/>
      <c r="AC271" s="619"/>
      <c r="AD271" s="619"/>
      <c r="AE271" s="619"/>
      <c r="AF271" s="619"/>
      <c r="AG271" s="619"/>
      <c r="AH271" s="619"/>
      <c r="AI271" s="619"/>
      <c r="AJ271" s="619"/>
      <c r="AK271" s="619"/>
      <c r="AL271" s="1"/>
    </row>
    <row r="272" spans="1:38" ht="14.25" customHeight="1">
      <c r="A272" s="619"/>
      <c r="B272" s="619"/>
      <c r="C272" s="4"/>
      <c r="D272" s="619"/>
      <c r="E272" s="619"/>
      <c r="F272" s="619"/>
      <c r="G272" s="619"/>
      <c r="H272" s="619"/>
      <c r="I272" s="619"/>
      <c r="J272" s="619"/>
      <c r="K272" s="619"/>
      <c r="L272" s="619"/>
      <c r="M272" s="619"/>
      <c r="N272" s="619"/>
      <c r="O272" s="619"/>
      <c r="P272" s="619"/>
      <c r="Q272" s="619"/>
      <c r="R272" s="619"/>
      <c r="S272" s="619"/>
      <c r="T272" s="619"/>
      <c r="U272" s="619"/>
      <c r="V272" s="619"/>
      <c r="W272" s="619"/>
      <c r="X272" s="619"/>
      <c r="Y272" s="619"/>
      <c r="Z272" s="619"/>
      <c r="AA272" s="619"/>
      <c r="AB272" s="619"/>
      <c r="AC272" s="619"/>
      <c r="AD272" s="619"/>
      <c r="AE272" s="619"/>
      <c r="AF272" s="619"/>
      <c r="AG272" s="619"/>
      <c r="AH272" s="619"/>
      <c r="AI272" s="619"/>
      <c r="AJ272" s="619"/>
      <c r="AK272" s="619"/>
      <c r="AL272" s="1"/>
    </row>
    <row r="273" spans="1:38" ht="14.25" customHeight="1">
      <c r="A273" s="619"/>
      <c r="B273" s="619"/>
      <c r="C273" s="4"/>
      <c r="D273" s="619"/>
      <c r="E273" s="619"/>
      <c r="F273" s="619"/>
      <c r="G273" s="619"/>
      <c r="H273" s="619"/>
      <c r="I273" s="619"/>
      <c r="J273" s="619"/>
      <c r="K273" s="619"/>
      <c r="L273" s="619"/>
      <c r="M273" s="619"/>
      <c r="N273" s="619"/>
      <c r="O273" s="619"/>
      <c r="P273" s="619"/>
      <c r="Q273" s="619"/>
      <c r="R273" s="619"/>
      <c r="S273" s="619"/>
      <c r="T273" s="619"/>
      <c r="U273" s="619"/>
      <c r="V273" s="619"/>
      <c r="W273" s="619"/>
      <c r="X273" s="619"/>
      <c r="Y273" s="619"/>
      <c r="Z273" s="619"/>
      <c r="AA273" s="619"/>
      <c r="AB273" s="619"/>
      <c r="AC273" s="619"/>
      <c r="AD273" s="619"/>
      <c r="AE273" s="619"/>
      <c r="AF273" s="619"/>
      <c r="AG273" s="619"/>
      <c r="AH273" s="619"/>
      <c r="AI273" s="619"/>
      <c r="AJ273" s="619"/>
      <c r="AK273" s="619"/>
      <c r="AL273" s="1"/>
    </row>
    <row r="274" spans="1:38" ht="14.25" customHeight="1">
      <c r="A274" s="619"/>
      <c r="B274" s="619"/>
      <c r="C274" s="4"/>
      <c r="D274" s="619"/>
      <c r="E274" s="619"/>
      <c r="F274" s="619"/>
      <c r="G274" s="619"/>
      <c r="H274" s="619"/>
      <c r="I274" s="619"/>
      <c r="J274" s="619"/>
      <c r="K274" s="619"/>
      <c r="L274" s="619"/>
      <c r="M274" s="619"/>
      <c r="N274" s="619"/>
      <c r="O274" s="619"/>
      <c r="P274" s="619"/>
      <c r="Q274" s="619"/>
      <c r="R274" s="619"/>
      <c r="S274" s="619"/>
      <c r="T274" s="619"/>
      <c r="U274" s="619"/>
      <c r="V274" s="619"/>
      <c r="W274" s="619"/>
      <c r="X274" s="619"/>
      <c r="Y274" s="619"/>
      <c r="Z274" s="619"/>
      <c r="AA274" s="619"/>
      <c r="AB274" s="619"/>
      <c r="AC274" s="619"/>
      <c r="AD274" s="619"/>
      <c r="AE274" s="619"/>
      <c r="AF274" s="619"/>
      <c r="AG274" s="619"/>
      <c r="AH274" s="619"/>
      <c r="AI274" s="619"/>
      <c r="AJ274" s="619"/>
      <c r="AK274" s="619"/>
      <c r="AL274" s="1"/>
    </row>
    <row r="275" spans="1:38" ht="14.25" customHeight="1">
      <c r="A275" s="619"/>
      <c r="B275" s="619"/>
      <c r="C275" s="4"/>
      <c r="D275" s="619"/>
      <c r="E275" s="619"/>
      <c r="F275" s="619"/>
      <c r="G275" s="619"/>
      <c r="H275" s="619"/>
      <c r="I275" s="619"/>
      <c r="J275" s="619"/>
      <c r="K275" s="619"/>
      <c r="L275" s="619"/>
      <c r="M275" s="619"/>
      <c r="N275" s="619"/>
      <c r="O275" s="619"/>
      <c r="P275" s="619"/>
      <c r="Q275" s="619"/>
      <c r="R275" s="619"/>
      <c r="S275" s="619"/>
      <c r="T275" s="619"/>
      <c r="U275" s="619"/>
      <c r="V275" s="619"/>
      <c r="W275" s="619"/>
      <c r="X275" s="619"/>
      <c r="Y275" s="619"/>
      <c r="Z275" s="619"/>
      <c r="AA275" s="619"/>
      <c r="AB275" s="619"/>
      <c r="AC275" s="619"/>
      <c r="AD275" s="619"/>
      <c r="AE275" s="619"/>
      <c r="AF275" s="619"/>
      <c r="AG275" s="619"/>
      <c r="AH275" s="619"/>
      <c r="AI275" s="619"/>
      <c r="AJ275" s="619"/>
      <c r="AK275" s="619"/>
      <c r="AL275" s="1"/>
    </row>
    <row r="276" spans="1:38" ht="14.25" customHeight="1">
      <c r="A276" s="619"/>
      <c r="B276" s="619"/>
      <c r="C276" s="4"/>
      <c r="D276" s="619"/>
      <c r="E276" s="619"/>
      <c r="F276" s="619"/>
      <c r="G276" s="619"/>
      <c r="H276" s="619"/>
      <c r="I276" s="619"/>
      <c r="J276" s="619"/>
      <c r="K276" s="619"/>
      <c r="L276" s="619"/>
      <c r="M276" s="619"/>
      <c r="N276" s="619"/>
      <c r="O276" s="619"/>
      <c r="P276" s="619"/>
      <c r="Q276" s="619"/>
      <c r="R276" s="619"/>
      <c r="S276" s="619"/>
      <c r="T276" s="619"/>
      <c r="U276" s="619"/>
      <c r="V276" s="619"/>
      <c r="W276" s="619"/>
      <c r="X276" s="619"/>
      <c r="Y276" s="619"/>
      <c r="Z276" s="619"/>
      <c r="AA276" s="619"/>
      <c r="AB276" s="619"/>
      <c r="AC276" s="619"/>
      <c r="AD276" s="619"/>
      <c r="AE276" s="619"/>
      <c r="AF276" s="619"/>
      <c r="AG276" s="619"/>
      <c r="AH276" s="619"/>
      <c r="AI276" s="619"/>
      <c r="AJ276" s="619"/>
      <c r="AK276" s="619"/>
      <c r="AL276" s="1"/>
    </row>
    <row r="277" spans="1:38" ht="14.25" customHeight="1">
      <c r="A277" s="619"/>
      <c r="B277" s="619"/>
      <c r="C277" s="4"/>
      <c r="D277" s="619"/>
      <c r="E277" s="619"/>
      <c r="F277" s="619"/>
      <c r="G277" s="619"/>
      <c r="H277" s="619"/>
      <c r="I277" s="619"/>
      <c r="J277" s="619"/>
      <c r="K277" s="619"/>
      <c r="L277" s="619"/>
      <c r="M277" s="619"/>
      <c r="N277" s="619"/>
      <c r="O277" s="619"/>
      <c r="P277" s="619"/>
      <c r="Q277" s="619"/>
      <c r="R277" s="619"/>
      <c r="S277" s="619"/>
      <c r="T277" s="619"/>
      <c r="U277" s="619"/>
      <c r="V277" s="619"/>
      <c r="W277" s="619"/>
      <c r="X277" s="619"/>
      <c r="Y277" s="619"/>
      <c r="Z277" s="619"/>
      <c r="AA277" s="619"/>
      <c r="AB277" s="619"/>
      <c r="AC277" s="619"/>
      <c r="AD277" s="619"/>
      <c r="AE277" s="619"/>
      <c r="AF277" s="619"/>
      <c r="AG277" s="619"/>
      <c r="AH277" s="619"/>
      <c r="AI277" s="619"/>
      <c r="AJ277" s="619"/>
      <c r="AK277" s="619"/>
      <c r="AL277" s="1"/>
    </row>
    <row r="278" spans="1:38" ht="14.25" customHeight="1">
      <c r="A278" s="619"/>
      <c r="B278" s="619"/>
      <c r="C278" s="4"/>
      <c r="D278" s="619"/>
      <c r="E278" s="619"/>
      <c r="F278" s="619"/>
      <c r="G278" s="619"/>
      <c r="H278" s="619"/>
      <c r="I278" s="619"/>
      <c r="J278" s="619"/>
      <c r="K278" s="619"/>
      <c r="L278" s="619"/>
      <c r="M278" s="619"/>
      <c r="N278" s="619"/>
      <c r="O278" s="619"/>
      <c r="P278" s="619"/>
      <c r="Q278" s="619"/>
      <c r="R278" s="619"/>
      <c r="S278" s="619"/>
      <c r="T278" s="619"/>
      <c r="U278" s="619"/>
      <c r="V278" s="619"/>
      <c r="W278" s="619"/>
      <c r="X278" s="619"/>
      <c r="Y278" s="619"/>
      <c r="Z278" s="619"/>
      <c r="AA278" s="619"/>
      <c r="AB278" s="619"/>
      <c r="AC278" s="619"/>
      <c r="AD278" s="619"/>
      <c r="AE278" s="619"/>
      <c r="AF278" s="619"/>
      <c r="AG278" s="619"/>
      <c r="AH278" s="619"/>
      <c r="AI278" s="619"/>
      <c r="AJ278" s="619"/>
      <c r="AK278" s="619"/>
      <c r="AL278" s="1"/>
    </row>
    <row r="279" spans="1:38" ht="14.25" customHeight="1">
      <c r="A279" s="619"/>
      <c r="B279" s="619"/>
      <c r="C279" s="4"/>
      <c r="D279" s="619"/>
      <c r="E279" s="619"/>
      <c r="F279" s="619"/>
      <c r="G279" s="619"/>
      <c r="H279" s="619"/>
      <c r="I279" s="619"/>
      <c r="J279" s="619"/>
      <c r="K279" s="619"/>
      <c r="L279" s="619"/>
      <c r="M279" s="619"/>
      <c r="N279" s="619"/>
      <c r="O279" s="619"/>
      <c r="P279" s="619"/>
      <c r="Q279" s="619"/>
      <c r="R279" s="619"/>
      <c r="S279" s="619"/>
      <c r="T279" s="619"/>
      <c r="U279" s="619"/>
      <c r="V279" s="619"/>
      <c r="W279" s="619"/>
      <c r="X279" s="619"/>
      <c r="Y279" s="619"/>
      <c r="Z279" s="619"/>
      <c r="AA279" s="619"/>
      <c r="AB279" s="619"/>
      <c r="AC279" s="619"/>
      <c r="AD279" s="619"/>
      <c r="AE279" s="619"/>
      <c r="AF279" s="619"/>
      <c r="AG279" s="619"/>
      <c r="AH279" s="619"/>
      <c r="AI279" s="619"/>
      <c r="AJ279" s="619"/>
      <c r="AK279" s="619"/>
      <c r="AL279" s="1"/>
    </row>
    <row r="280" spans="1:38" ht="14.25" customHeight="1">
      <c r="A280" s="619"/>
      <c r="B280" s="619"/>
      <c r="C280" s="4"/>
      <c r="D280" s="619"/>
      <c r="E280" s="619"/>
      <c r="F280" s="619"/>
      <c r="G280" s="619"/>
      <c r="H280" s="619"/>
      <c r="I280" s="619"/>
      <c r="J280" s="619"/>
      <c r="K280" s="619"/>
      <c r="L280" s="619"/>
      <c r="M280" s="619"/>
      <c r="N280" s="619"/>
      <c r="O280" s="619"/>
      <c r="P280" s="619"/>
      <c r="Q280" s="619"/>
      <c r="R280" s="619"/>
      <c r="S280" s="619"/>
      <c r="T280" s="619"/>
      <c r="U280" s="619"/>
      <c r="V280" s="619"/>
      <c r="W280" s="619"/>
      <c r="X280" s="619"/>
      <c r="Y280" s="619"/>
      <c r="Z280" s="619"/>
      <c r="AA280" s="619"/>
      <c r="AB280" s="619"/>
      <c r="AC280" s="619"/>
      <c r="AD280" s="619"/>
      <c r="AE280" s="619"/>
      <c r="AF280" s="619"/>
      <c r="AG280" s="619"/>
      <c r="AH280" s="619"/>
      <c r="AI280" s="619"/>
      <c r="AJ280" s="619"/>
      <c r="AK280" s="619"/>
      <c r="AL280" s="1"/>
    </row>
    <row r="281" spans="1:38" ht="14.25" customHeight="1">
      <c r="A281" s="619"/>
      <c r="B281" s="619"/>
      <c r="C281" s="4"/>
      <c r="D281" s="619"/>
      <c r="E281" s="619"/>
      <c r="F281" s="619"/>
      <c r="G281" s="619"/>
      <c r="H281" s="619"/>
      <c r="I281" s="619"/>
      <c r="J281" s="619"/>
      <c r="K281" s="619"/>
      <c r="L281" s="619"/>
      <c r="M281" s="619"/>
      <c r="N281" s="619"/>
      <c r="O281" s="619"/>
      <c r="P281" s="619"/>
      <c r="Q281" s="619"/>
      <c r="R281" s="619"/>
      <c r="S281" s="619"/>
      <c r="T281" s="619"/>
      <c r="U281" s="619"/>
      <c r="V281" s="619"/>
      <c r="W281" s="619"/>
      <c r="X281" s="619"/>
      <c r="Y281" s="619"/>
      <c r="Z281" s="619"/>
      <c r="AA281" s="619"/>
      <c r="AB281" s="619"/>
      <c r="AC281" s="619"/>
      <c r="AD281" s="619"/>
      <c r="AE281" s="619"/>
      <c r="AF281" s="619"/>
      <c r="AG281" s="619"/>
      <c r="AH281" s="619"/>
      <c r="AI281" s="619"/>
      <c r="AJ281" s="619"/>
      <c r="AK281" s="619"/>
      <c r="AL281" s="1"/>
    </row>
    <row r="282" spans="1:38" ht="14.25" customHeight="1">
      <c r="A282" s="619"/>
      <c r="B282" s="619"/>
      <c r="C282" s="4"/>
      <c r="D282" s="619"/>
      <c r="E282" s="619"/>
      <c r="F282" s="619"/>
      <c r="G282" s="619"/>
      <c r="H282" s="619"/>
      <c r="I282" s="619"/>
      <c r="J282" s="619"/>
      <c r="K282" s="619"/>
      <c r="L282" s="619"/>
      <c r="M282" s="619"/>
      <c r="N282" s="619"/>
      <c r="O282" s="619"/>
      <c r="P282" s="619"/>
      <c r="Q282" s="619"/>
      <c r="R282" s="619"/>
      <c r="S282" s="619"/>
      <c r="T282" s="619"/>
      <c r="U282" s="619"/>
      <c r="V282" s="619"/>
      <c r="W282" s="619"/>
      <c r="X282" s="619"/>
      <c r="Y282" s="619"/>
      <c r="Z282" s="619"/>
      <c r="AA282" s="619"/>
      <c r="AB282" s="619"/>
      <c r="AC282" s="619"/>
      <c r="AD282" s="619"/>
      <c r="AE282" s="619"/>
      <c r="AF282" s="619"/>
      <c r="AG282" s="619"/>
      <c r="AH282" s="619"/>
      <c r="AI282" s="619"/>
      <c r="AJ282" s="619"/>
      <c r="AK282" s="619"/>
      <c r="AL282" s="1"/>
    </row>
    <row r="283" spans="1:38" ht="14.25" customHeight="1">
      <c r="A283" s="619"/>
      <c r="B283" s="619"/>
      <c r="C283" s="4"/>
      <c r="D283" s="619"/>
      <c r="E283" s="619"/>
      <c r="F283" s="619"/>
      <c r="G283" s="619"/>
      <c r="H283" s="619"/>
      <c r="I283" s="619"/>
      <c r="J283" s="619"/>
      <c r="K283" s="619"/>
      <c r="L283" s="619"/>
      <c r="M283" s="619"/>
      <c r="N283" s="619"/>
      <c r="O283" s="619"/>
      <c r="P283" s="619"/>
      <c r="Q283" s="619"/>
      <c r="R283" s="619"/>
      <c r="S283" s="619"/>
      <c r="T283" s="619"/>
      <c r="U283" s="619"/>
      <c r="V283" s="619"/>
      <c r="W283" s="619"/>
      <c r="X283" s="619"/>
      <c r="Y283" s="619"/>
      <c r="Z283" s="619"/>
      <c r="AA283" s="619"/>
      <c r="AB283" s="619"/>
      <c r="AC283" s="619"/>
      <c r="AD283" s="619"/>
      <c r="AE283" s="619"/>
      <c r="AF283" s="619"/>
      <c r="AG283" s="619"/>
      <c r="AH283" s="619"/>
      <c r="AI283" s="619"/>
      <c r="AJ283" s="619"/>
      <c r="AK283" s="619"/>
      <c r="AL283" s="1"/>
    </row>
    <row r="284" spans="1:38" ht="14.25" customHeight="1">
      <c r="A284" s="619"/>
      <c r="B284" s="619"/>
      <c r="C284" s="4"/>
      <c r="D284" s="619"/>
      <c r="E284" s="619"/>
      <c r="F284" s="619"/>
      <c r="G284" s="619"/>
      <c r="H284" s="619"/>
      <c r="I284" s="619"/>
      <c r="J284" s="619"/>
      <c r="K284" s="619"/>
      <c r="L284" s="619"/>
      <c r="M284" s="619"/>
      <c r="N284" s="619"/>
      <c r="O284" s="619"/>
      <c r="P284" s="619"/>
      <c r="Q284" s="619"/>
      <c r="R284" s="619"/>
      <c r="S284" s="619"/>
      <c r="T284" s="619"/>
      <c r="U284" s="619"/>
      <c r="V284" s="619"/>
      <c r="W284" s="619"/>
      <c r="X284" s="619"/>
      <c r="Y284" s="619"/>
      <c r="Z284" s="619"/>
      <c r="AA284" s="619"/>
      <c r="AB284" s="619"/>
      <c r="AC284" s="619"/>
      <c r="AD284" s="619"/>
      <c r="AE284" s="619"/>
      <c r="AF284" s="619"/>
      <c r="AG284" s="619"/>
      <c r="AH284" s="619"/>
      <c r="AI284" s="619"/>
      <c r="AJ284" s="619"/>
      <c r="AK284" s="619"/>
      <c r="AL284" s="1"/>
    </row>
    <row r="285" spans="1:38" ht="14.25" customHeight="1">
      <c r="A285" s="619"/>
      <c r="B285" s="619"/>
      <c r="C285" s="4"/>
      <c r="D285" s="619"/>
      <c r="E285" s="619"/>
      <c r="F285" s="619"/>
      <c r="G285" s="619"/>
      <c r="H285" s="619"/>
      <c r="I285" s="619"/>
      <c r="J285" s="619"/>
      <c r="K285" s="619"/>
      <c r="L285" s="619"/>
      <c r="M285" s="619"/>
      <c r="N285" s="619"/>
      <c r="O285" s="619"/>
      <c r="P285" s="619"/>
      <c r="Q285" s="619"/>
      <c r="R285" s="619"/>
      <c r="S285" s="619"/>
      <c r="T285" s="619"/>
      <c r="U285" s="619"/>
      <c r="V285" s="619"/>
      <c r="W285" s="619"/>
      <c r="X285" s="619"/>
      <c r="Y285" s="619"/>
      <c r="Z285" s="619"/>
      <c r="AA285" s="619"/>
      <c r="AB285" s="619"/>
      <c r="AC285" s="619"/>
      <c r="AD285" s="619"/>
      <c r="AE285" s="619"/>
      <c r="AF285" s="619"/>
      <c r="AG285" s="619"/>
      <c r="AH285" s="619"/>
      <c r="AI285" s="619"/>
      <c r="AJ285" s="619"/>
      <c r="AK285" s="619"/>
      <c r="AL285" s="1"/>
    </row>
    <row r="286" spans="1:38" ht="14.25" customHeight="1">
      <c r="A286" s="619"/>
      <c r="B286" s="619"/>
      <c r="C286" s="4"/>
      <c r="D286" s="619"/>
      <c r="E286" s="619"/>
      <c r="F286" s="619"/>
      <c r="G286" s="619"/>
      <c r="H286" s="619"/>
      <c r="I286" s="619"/>
      <c r="J286" s="619"/>
      <c r="K286" s="619"/>
      <c r="L286" s="619"/>
      <c r="M286" s="619"/>
      <c r="N286" s="619"/>
      <c r="O286" s="619"/>
      <c r="P286" s="619"/>
      <c r="Q286" s="619"/>
      <c r="R286" s="619"/>
      <c r="S286" s="619"/>
      <c r="T286" s="619"/>
      <c r="U286" s="619"/>
      <c r="V286" s="619"/>
      <c r="W286" s="619"/>
      <c r="X286" s="619"/>
      <c r="Y286" s="619"/>
      <c r="Z286" s="619"/>
      <c r="AA286" s="619"/>
      <c r="AB286" s="619"/>
      <c r="AC286" s="619"/>
      <c r="AD286" s="619"/>
      <c r="AE286" s="619"/>
      <c r="AF286" s="619"/>
      <c r="AG286" s="619"/>
      <c r="AH286" s="619"/>
      <c r="AI286" s="619"/>
      <c r="AJ286" s="619"/>
      <c r="AK286" s="619"/>
      <c r="AL286" s="1"/>
    </row>
    <row r="287" spans="1:38" ht="14.25" customHeight="1">
      <c r="A287" s="619"/>
      <c r="B287" s="619"/>
      <c r="C287" s="4"/>
      <c r="D287" s="619"/>
      <c r="E287" s="619"/>
      <c r="F287" s="619"/>
      <c r="G287" s="619"/>
      <c r="H287" s="619"/>
      <c r="I287" s="619"/>
      <c r="J287" s="619"/>
      <c r="K287" s="619"/>
      <c r="L287" s="619"/>
      <c r="M287" s="619"/>
      <c r="N287" s="619"/>
      <c r="O287" s="619"/>
      <c r="P287" s="619"/>
      <c r="Q287" s="619"/>
      <c r="R287" s="619"/>
      <c r="S287" s="619"/>
      <c r="T287" s="619"/>
      <c r="U287" s="619"/>
      <c r="V287" s="619"/>
      <c r="W287" s="619"/>
      <c r="X287" s="619"/>
      <c r="Y287" s="619"/>
      <c r="Z287" s="619"/>
      <c r="AA287" s="619"/>
      <c r="AB287" s="619"/>
      <c r="AC287" s="619"/>
      <c r="AD287" s="619"/>
      <c r="AE287" s="619"/>
      <c r="AF287" s="619"/>
      <c r="AG287" s="619"/>
      <c r="AH287" s="619"/>
      <c r="AI287" s="619"/>
      <c r="AJ287" s="619"/>
      <c r="AK287" s="619"/>
      <c r="AL287" s="1"/>
    </row>
    <row r="288" spans="1:38" ht="14.25" customHeight="1">
      <c r="A288" s="619"/>
      <c r="B288" s="619"/>
      <c r="C288" s="4"/>
      <c r="D288" s="619"/>
      <c r="E288" s="619"/>
      <c r="F288" s="619"/>
      <c r="G288" s="619"/>
      <c r="H288" s="619"/>
      <c r="I288" s="619"/>
      <c r="J288" s="619"/>
      <c r="K288" s="619"/>
      <c r="L288" s="619"/>
      <c r="M288" s="619"/>
      <c r="N288" s="619"/>
      <c r="O288" s="619"/>
      <c r="P288" s="619"/>
      <c r="Q288" s="619"/>
      <c r="R288" s="619"/>
      <c r="S288" s="619"/>
      <c r="T288" s="619"/>
      <c r="U288" s="619"/>
      <c r="V288" s="619"/>
      <c r="W288" s="619"/>
      <c r="X288" s="619"/>
      <c r="Y288" s="619"/>
      <c r="Z288" s="619"/>
      <c r="AA288" s="619"/>
      <c r="AB288" s="619"/>
      <c r="AC288" s="619"/>
      <c r="AD288" s="619"/>
      <c r="AE288" s="619"/>
      <c r="AF288" s="619"/>
      <c r="AG288" s="619"/>
      <c r="AH288" s="619"/>
      <c r="AI288" s="619"/>
      <c r="AJ288" s="619"/>
      <c r="AK288" s="619"/>
      <c r="AL288" s="1"/>
    </row>
    <row r="289" spans="1:38" ht="14.25" customHeight="1">
      <c r="A289" s="619"/>
      <c r="B289" s="619"/>
      <c r="C289" s="4"/>
      <c r="D289" s="619"/>
      <c r="E289" s="619"/>
      <c r="F289" s="619"/>
      <c r="G289" s="619"/>
      <c r="H289" s="619"/>
      <c r="I289" s="619"/>
      <c r="J289" s="619"/>
      <c r="K289" s="619"/>
      <c r="L289" s="619"/>
      <c r="M289" s="619"/>
      <c r="N289" s="619"/>
      <c r="O289" s="619"/>
      <c r="P289" s="619"/>
      <c r="Q289" s="619"/>
      <c r="R289" s="619"/>
      <c r="S289" s="619"/>
      <c r="T289" s="619"/>
      <c r="U289" s="619"/>
      <c r="V289" s="619"/>
      <c r="W289" s="619"/>
      <c r="X289" s="619"/>
      <c r="Y289" s="619"/>
      <c r="Z289" s="619"/>
      <c r="AA289" s="619"/>
      <c r="AB289" s="619"/>
      <c r="AC289" s="619"/>
      <c r="AD289" s="619"/>
      <c r="AE289" s="619"/>
      <c r="AF289" s="619"/>
      <c r="AG289" s="619"/>
      <c r="AH289" s="619"/>
      <c r="AI289" s="619"/>
      <c r="AJ289" s="619"/>
      <c r="AK289" s="619"/>
      <c r="AL289" s="1"/>
    </row>
    <row r="290" spans="1:38" ht="14.25" customHeight="1">
      <c r="A290" s="619"/>
      <c r="B290" s="619"/>
      <c r="C290" s="4"/>
      <c r="D290" s="619"/>
      <c r="E290" s="619"/>
      <c r="F290" s="619"/>
      <c r="G290" s="619"/>
      <c r="H290" s="619"/>
      <c r="I290" s="619"/>
      <c r="J290" s="619"/>
      <c r="K290" s="619"/>
      <c r="L290" s="619"/>
      <c r="M290" s="619"/>
      <c r="N290" s="619"/>
      <c r="O290" s="619"/>
      <c r="P290" s="619"/>
      <c r="Q290" s="619"/>
      <c r="R290" s="619"/>
      <c r="S290" s="619"/>
      <c r="T290" s="619"/>
      <c r="U290" s="619"/>
      <c r="V290" s="619"/>
      <c r="W290" s="619"/>
      <c r="X290" s="619"/>
      <c r="Y290" s="619"/>
      <c r="Z290" s="619"/>
      <c r="AA290" s="619"/>
      <c r="AB290" s="619"/>
      <c r="AC290" s="619"/>
      <c r="AD290" s="619"/>
      <c r="AE290" s="619"/>
      <c r="AF290" s="619"/>
      <c r="AG290" s="619"/>
      <c r="AH290" s="619"/>
      <c r="AI290" s="619"/>
      <c r="AJ290" s="619"/>
      <c r="AK290" s="619"/>
      <c r="AL290" s="1"/>
    </row>
    <row r="291" spans="1:38" ht="14.25" customHeight="1">
      <c r="A291" s="619"/>
      <c r="B291" s="619"/>
      <c r="C291" s="4"/>
      <c r="D291" s="619"/>
      <c r="E291" s="619"/>
      <c r="F291" s="619"/>
      <c r="G291" s="619"/>
      <c r="H291" s="619"/>
      <c r="I291" s="619"/>
      <c r="J291" s="619"/>
      <c r="K291" s="619"/>
      <c r="L291" s="619"/>
      <c r="M291" s="619"/>
      <c r="N291" s="619"/>
      <c r="O291" s="619"/>
      <c r="P291" s="619"/>
      <c r="Q291" s="619"/>
      <c r="R291" s="619"/>
      <c r="S291" s="619"/>
      <c r="T291" s="619"/>
      <c r="U291" s="619"/>
      <c r="V291" s="619"/>
      <c r="W291" s="619"/>
      <c r="X291" s="619"/>
      <c r="Y291" s="619"/>
      <c r="Z291" s="619"/>
      <c r="AA291" s="619"/>
      <c r="AB291" s="619"/>
      <c r="AC291" s="619"/>
      <c r="AD291" s="619"/>
      <c r="AE291" s="619"/>
      <c r="AF291" s="619"/>
      <c r="AG291" s="619"/>
      <c r="AH291" s="619"/>
      <c r="AI291" s="619"/>
      <c r="AJ291" s="619"/>
      <c r="AK291" s="619"/>
      <c r="AL291" s="1"/>
    </row>
    <row r="292" spans="1:38" ht="14.25" customHeight="1">
      <c r="A292" s="619"/>
      <c r="B292" s="619"/>
      <c r="C292" s="4"/>
      <c r="D292" s="619"/>
      <c r="E292" s="619"/>
      <c r="F292" s="619"/>
      <c r="G292" s="619"/>
      <c r="H292" s="619"/>
      <c r="I292" s="619"/>
      <c r="J292" s="619"/>
      <c r="K292" s="619"/>
      <c r="L292" s="619"/>
      <c r="M292" s="619"/>
      <c r="N292" s="619"/>
      <c r="O292" s="619"/>
      <c r="P292" s="619"/>
      <c r="Q292" s="619"/>
      <c r="R292" s="619"/>
      <c r="S292" s="619"/>
      <c r="T292" s="619"/>
      <c r="U292" s="619"/>
      <c r="V292" s="619"/>
      <c r="W292" s="619"/>
      <c r="X292" s="619"/>
      <c r="Y292" s="619"/>
      <c r="Z292" s="619"/>
      <c r="AA292" s="619"/>
      <c r="AB292" s="619"/>
      <c r="AC292" s="619"/>
      <c r="AD292" s="619"/>
      <c r="AE292" s="619"/>
      <c r="AF292" s="619"/>
      <c r="AG292" s="619"/>
      <c r="AH292" s="619"/>
      <c r="AI292" s="619"/>
      <c r="AJ292" s="619"/>
      <c r="AK292" s="619"/>
      <c r="AL292" s="1"/>
    </row>
    <row r="293" spans="1:38" ht="14.25" customHeight="1">
      <c r="A293" s="619"/>
      <c r="B293" s="619"/>
      <c r="C293" s="4"/>
      <c r="D293" s="619"/>
      <c r="E293" s="619"/>
      <c r="F293" s="619"/>
      <c r="G293" s="619"/>
      <c r="H293" s="619"/>
      <c r="I293" s="619"/>
      <c r="J293" s="619"/>
      <c r="K293" s="619"/>
      <c r="L293" s="619"/>
      <c r="M293" s="619"/>
      <c r="N293" s="619"/>
      <c r="O293" s="619"/>
      <c r="P293" s="619"/>
      <c r="Q293" s="619"/>
      <c r="R293" s="619"/>
      <c r="S293" s="619"/>
      <c r="T293" s="619"/>
      <c r="U293" s="619"/>
      <c r="V293" s="619"/>
      <c r="W293" s="619"/>
      <c r="X293" s="619"/>
      <c r="Y293" s="619"/>
      <c r="Z293" s="619"/>
      <c r="AA293" s="619"/>
      <c r="AB293" s="619"/>
      <c r="AC293" s="619"/>
      <c r="AD293" s="619"/>
      <c r="AE293" s="619"/>
      <c r="AF293" s="619"/>
      <c r="AG293" s="619"/>
      <c r="AH293" s="619"/>
      <c r="AI293" s="619"/>
      <c r="AJ293" s="619"/>
      <c r="AK293" s="619"/>
      <c r="AL293" s="1"/>
    </row>
    <row r="294" spans="1:38" ht="14.25" customHeight="1">
      <c r="A294" s="619"/>
      <c r="B294" s="619"/>
      <c r="C294" s="4"/>
      <c r="D294" s="619"/>
      <c r="E294" s="619"/>
      <c r="F294" s="619"/>
      <c r="G294" s="619"/>
      <c r="H294" s="619"/>
      <c r="I294" s="619"/>
      <c r="J294" s="619"/>
      <c r="K294" s="619"/>
      <c r="L294" s="619"/>
      <c r="M294" s="619"/>
      <c r="N294" s="619"/>
      <c r="O294" s="619"/>
      <c r="P294" s="619"/>
      <c r="Q294" s="619"/>
      <c r="R294" s="619"/>
      <c r="S294" s="619"/>
      <c r="T294" s="619"/>
      <c r="U294" s="619"/>
      <c r="V294" s="619"/>
      <c r="W294" s="619"/>
      <c r="X294" s="619"/>
      <c r="Y294" s="619"/>
      <c r="Z294" s="619"/>
      <c r="AA294" s="619"/>
      <c r="AB294" s="619"/>
      <c r="AC294" s="619"/>
      <c r="AD294" s="619"/>
      <c r="AE294" s="619"/>
      <c r="AF294" s="619"/>
      <c r="AG294" s="619"/>
      <c r="AH294" s="619"/>
      <c r="AI294" s="619"/>
      <c r="AJ294" s="619"/>
      <c r="AK294" s="619"/>
      <c r="AL294" s="1"/>
    </row>
    <row r="295" spans="1:38" ht="14.25" customHeight="1">
      <c r="A295" s="619"/>
      <c r="B295" s="619"/>
      <c r="C295" s="4"/>
      <c r="D295" s="619"/>
      <c r="E295" s="619"/>
      <c r="F295" s="619"/>
      <c r="G295" s="619"/>
      <c r="H295" s="619"/>
      <c r="I295" s="619"/>
      <c r="J295" s="619"/>
      <c r="K295" s="619"/>
      <c r="L295" s="619"/>
      <c r="M295" s="619"/>
      <c r="N295" s="619"/>
      <c r="O295" s="619"/>
      <c r="P295" s="619"/>
      <c r="Q295" s="619"/>
      <c r="R295" s="619"/>
      <c r="S295" s="619"/>
      <c r="T295" s="619"/>
      <c r="U295" s="619"/>
      <c r="V295" s="619"/>
      <c r="W295" s="619"/>
      <c r="X295" s="619"/>
      <c r="Y295" s="619"/>
      <c r="Z295" s="619"/>
      <c r="AA295" s="619"/>
      <c r="AB295" s="619"/>
      <c r="AC295" s="619"/>
      <c r="AD295" s="619"/>
      <c r="AE295" s="619"/>
      <c r="AF295" s="619"/>
      <c r="AG295" s="619"/>
      <c r="AH295" s="619"/>
      <c r="AI295" s="619"/>
      <c r="AJ295" s="619"/>
      <c r="AK295" s="619"/>
      <c r="AL295" s="1"/>
    </row>
    <row r="296" spans="1:38" ht="14.25" customHeight="1">
      <c r="A296" s="619"/>
      <c r="B296" s="619"/>
      <c r="C296" s="4"/>
      <c r="D296" s="619"/>
      <c r="E296" s="619"/>
      <c r="F296" s="619"/>
      <c r="G296" s="619"/>
      <c r="H296" s="619"/>
      <c r="I296" s="619"/>
      <c r="J296" s="619"/>
      <c r="K296" s="619"/>
      <c r="L296" s="619"/>
      <c r="M296" s="619"/>
      <c r="N296" s="619"/>
      <c r="O296" s="619"/>
      <c r="P296" s="619"/>
      <c r="Q296" s="619"/>
      <c r="R296" s="619"/>
      <c r="S296" s="619"/>
      <c r="T296" s="619"/>
      <c r="U296" s="619"/>
      <c r="V296" s="619"/>
      <c r="W296" s="619"/>
      <c r="X296" s="619"/>
      <c r="Y296" s="619"/>
      <c r="Z296" s="619"/>
      <c r="AA296" s="619"/>
      <c r="AB296" s="619"/>
      <c r="AC296" s="619"/>
      <c r="AD296" s="619"/>
      <c r="AE296" s="619"/>
      <c r="AF296" s="619"/>
      <c r="AG296" s="619"/>
      <c r="AH296" s="619"/>
      <c r="AI296" s="619"/>
      <c r="AJ296" s="619"/>
      <c r="AK296" s="619"/>
      <c r="AL296" s="1"/>
    </row>
    <row r="297" spans="1:38" ht="14.25" customHeight="1">
      <c r="A297" s="619"/>
      <c r="B297" s="619"/>
      <c r="C297" s="4"/>
      <c r="D297" s="619"/>
      <c r="E297" s="619"/>
      <c r="F297" s="619"/>
      <c r="G297" s="619"/>
      <c r="H297" s="619"/>
      <c r="I297" s="619"/>
      <c r="J297" s="619"/>
      <c r="K297" s="619"/>
      <c r="L297" s="619"/>
      <c r="M297" s="619"/>
      <c r="N297" s="619"/>
      <c r="O297" s="619"/>
      <c r="P297" s="619"/>
      <c r="Q297" s="619"/>
      <c r="R297" s="619"/>
      <c r="S297" s="619"/>
      <c r="T297" s="619"/>
      <c r="U297" s="619"/>
      <c r="V297" s="619"/>
      <c r="W297" s="619"/>
      <c r="X297" s="619"/>
      <c r="Y297" s="619"/>
      <c r="Z297" s="619"/>
      <c r="AA297" s="619"/>
      <c r="AB297" s="619"/>
      <c r="AC297" s="619"/>
      <c r="AD297" s="619"/>
      <c r="AE297" s="619"/>
      <c r="AF297" s="619"/>
      <c r="AG297" s="619"/>
      <c r="AH297" s="619"/>
      <c r="AI297" s="619"/>
      <c r="AJ297" s="619"/>
      <c r="AK297" s="619"/>
      <c r="AL297" s="1"/>
    </row>
    <row r="298" spans="1:38" ht="14.25" customHeight="1">
      <c r="A298" s="619"/>
      <c r="B298" s="619"/>
      <c r="C298" s="4"/>
      <c r="D298" s="619"/>
      <c r="E298" s="619"/>
      <c r="F298" s="619"/>
      <c r="G298" s="619"/>
      <c r="H298" s="619"/>
      <c r="I298" s="619"/>
      <c r="J298" s="619"/>
      <c r="K298" s="619"/>
      <c r="L298" s="619"/>
      <c r="M298" s="619"/>
      <c r="N298" s="619"/>
      <c r="O298" s="619"/>
      <c r="P298" s="619"/>
      <c r="Q298" s="619"/>
      <c r="R298" s="619"/>
      <c r="S298" s="619"/>
      <c r="T298" s="619"/>
      <c r="U298" s="619"/>
      <c r="V298" s="619"/>
      <c r="W298" s="619"/>
      <c r="X298" s="619"/>
      <c r="Y298" s="619"/>
      <c r="Z298" s="619"/>
      <c r="AA298" s="619"/>
      <c r="AB298" s="619"/>
      <c r="AC298" s="619"/>
      <c r="AD298" s="619"/>
      <c r="AE298" s="619"/>
      <c r="AF298" s="619"/>
      <c r="AG298" s="619"/>
      <c r="AH298" s="619"/>
      <c r="AI298" s="619"/>
      <c r="AJ298" s="619"/>
      <c r="AK298" s="619"/>
      <c r="AL298" s="1"/>
    </row>
    <row r="299" spans="1:38" ht="14.25" customHeight="1">
      <c r="A299" s="619"/>
      <c r="B299" s="619"/>
      <c r="C299" s="4"/>
      <c r="D299" s="619"/>
      <c r="E299" s="619"/>
      <c r="F299" s="619"/>
      <c r="G299" s="619"/>
      <c r="H299" s="619"/>
      <c r="I299" s="619"/>
      <c r="J299" s="619"/>
      <c r="K299" s="619"/>
      <c r="L299" s="619"/>
      <c r="M299" s="619"/>
      <c r="N299" s="619"/>
      <c r="O299" s="619"/>
      <c r="P299" s="619"/>
      <c r="Q299" s="619"/>
      <c r="R299" s="619"/>
      <c r="S299" s="619"/>
      <c r="T299" s="619"/>
      <c r="U299" s="619"/>
      <c r="V299" s="619"/>
      <c r="W299" s="619"/>
      <c r="X299" s="619"/>
      <c r="Y299" s="619"/>
      <c r="Z299" s="619"/>
      <c r="AA299" s="619"/>
      <c r="AB299" s="619"/>
      <c r="AC299" s="619"/>
      <c r="AD299" s="619"/>
      <c r="AE299" s="619"/>
      <c r="AF299" s="619"/>
      <c r="AG299" s="619"/>
      <c r="AH299" s="619"/>
      <c r="AI299" s="619"/>
      <c r="AJ299" s="619"/>
      <c r="AK299" s="619"/>
      <c r="AL299" s="1"/>
    </row>
    <row r="300" spans="1:38" ht="14.25" customHeight="1">
      <c r="A300" s="619"/>
      <c r="B300" s="619"/>
      <c r="C300" s="4"/>
      <c r="D300" s="619"/>
      <c r="E300" s="619"/>
      <c r="F300" s="619"/>
      <c r="G300" s="619"/>
      <c r="H300" s="619"/>
      <c r="I300" s="619"/>
      <c r="J300" s="619"/>
      <c r="K300" s="619"/>
      <c r="L300" s="619"/>
      <c r="M300" s="619"/>
      <c r="N300" s="619"/>
      <c r="O300" s="619"/>
      <c r="P300" s="619"/>
      <c r="Q300" s="619"/>
      <c r="R300" s="619"/>
      <c r="S300" s="619"/>
      <c r="T300" s="619"/>
      <c r="U300" s="619"/>
      <c r="V300" s="619"/>
      <c r="W300" s="619"/>
      <c r="X300" s="619"/>
      <c r="Y300" s="619"/>
      <c r="Z300" s="619"/>
      <c r="AA300" s="619"/>
      <c r="AB300" s="619"/>
      <c r="AC300" s="619"/>
      <c r="AD300" s="619"/>
      <c r="AE300" s="619"/>
      <c r="AF300" s="619"/>
      <c r="AG300" s="619"/>
      <c r="AH300" s="619"/>
      <c r="AI300" s="619"/>
      <c r="AJ300" s="619"/>
      <c r="AK300" s="619"/>
      <c r="AL300" s="1"/>
    </row>
    <row r="301" spans="1:38" ht="14.25" customHeight="1">
      <c r="A301" s="619"/>
      <c r="B301" s="619"/>
      <c r="C301" s="4"/>
      <c r="D301" s="619"/>
      <c r="E301" s="619"/>
      <c r="F301" s="619"/>
      <c r="G301" s="619"/>
      <c r="H301" s="619"/>
      <c r="I301" s="619"/>
      <c r="J301" s="619"/>
      <c r="K301" s="619"/>
      <c r="L301" s="619"/>
      <c r="M301" s="619"/>
      <c r="N301" s="619"/>
      <c r="O301" s="619"/>
      <c r="P301" s="619"/>
      <c r="Q301" s="619"/>
      <c r="R301" s="619"/>
      <c r="S301" s="619"/>
      <c r="T301" s="619"/>
      <c r="U301" s="619"/>
      <c r="V301" s="619"/>
      <c r="W301" s="619"/>
      <c r="X301" s="619"/>
      <c r="Y301" s="619"/>
      <c r="Z301" s="619"/>
      <c r="AA301" s="619"/>
      <c r="AB301" s="619"/>
      <c r="AC301" s="619"/>
      <c r="AD301" s="619"/>
      <c r="AE301" s="619"/>
      <c r="AF301" s="619"/>
      <c r="AG301" s="619"/>
      <c r="AH301" s="619"/>
      <c r="AI301" s="619"/>
      <c r="AJ301" s="619"/>
      <c r="AK301" s="619"/>
      <c r="AL301" s="1"/>
    </row>
    <row r="302" spans="1:38" ht="14.25" customHeight="1">
      <c r="A302" s="619"/>
      <c r="B302" s="619"/>
      <c r="C302" s="4"/>
      <c r="D302" s="619"/>
      <c r="E302" s="619"/>
      <c r="F302" s="619"/>
      <c r="G302" s="619"/>
      <c r="H302" s="619"/>
      <c r="I302" s="619"/>
      <c r="J302" s="619"/>
      <c r="K302" s="619"/>
      <c r="L302" s="619"/>
      <c r="M302" s="619"/>
      <c r="N302" s="619"/>
      <c r="O302" s="619"/>
      <c r="P302" s="619"/>
      <c r="Q302" s="619"/>
      <c r="R302" s="619"/>
      <c r="S302" s="619"/>
      <c r="T302" s="619"/>
      <c r="U302" s="619"/>
      <c r="V302" s="619"/>
      <c r="W302" s="619"/>
      <c r="X302" s="619"/>
      <c r="Y302" s="619"/>
      <c r="Z302" s="619"/>
      <c r="AA302" s="619"/>
      <c r="AB302" s="619"/>
      <c r="AC302" s="619"/>
      <c r="AD302" s="619"/>
      <c r="AE302" s="619"/>
      <c r="AF302" s="619"/>
      <c r="AG302" s="619"/>
      <c r="AH302" s="619"/>
      <c r="AI302" s="619"/>
      <c r="AJ302" s="619"/>
      <c r="AK302" s="619"/>
      <c r="AL302" s="1"/>
    </row>
    <row r="303" spans="1:38" ht="14.25" customHeight="1">
      <c r="A303" s="619"/>
      <c r="B303" s="619"/>
      <c r="C303" s="4"/>
      <c r="D303" s="619"/>
      <c r="E303" s="619"/>
      <c r="F303" s="619"/>
      <c r="G303" s="619"/>
      <c r="H303" s="619"/>
      <c r="I303" s="619"/>
      <c r="J303" s="619"/>
      <c r="K303" s="619"/>
      <c r="L303" s="619"/>
      <c r="M303" s="619"/>
      <c r="N303" s="619"/>
      <c r="O303" s="619"/>
      <c r="P303" s="619"/>
      <c r="Q303" s="619"/>
      <c r="R303" s="619"/>
      <c r="S303" s="619"/>
      <c r="T303" s="619"/>
      <c r="U303" s="619"/>
      <c r="V303" s="619"/>
      <c r="W303" s="619"/>
      <c r="X303" s="619"/>
      <c r="Y303" s="619"/>
      <c r="Z303" s="619"/>
      <c r="AA303" s="619"/>
      <c r="AB303" s="619"/>
      <c r="AC303" s="619"/>
      <c r="AD303" s="619"/>
      <c r="AE303" s="619"/>
      <c r="AF303" s="619"/>
      <c r="AG303" s="619"/>
      <c r="AH303" s="619"/>
      <c r="AI303" s="619"/>
      <c r="AJ303" s="619"/>
      <c r="AK303" s="619"/>
      <c r="AL303" s="1"/>
    </row>
    <row r="304" spans="1:38" ht="14.25" customHeight="1">
      <c r="A304" s="619"/>
      <c r="B304" s="619"/>
      <c r="C304" s="4"/>
      <c r="D304" s="619"/>
      <c r="E304" s="619"/>
      <c r="F304" s="619"/>
      <c r="G304" s="619"/>
      <c r="H304" s="619"/>
      <c r="I304" s="619"/>
      <c r="J304" s="619"/>
      <c r="K304" s="619"/>
      <c r="L304" s="619"/>
      <c r="M304" s="619"/>
      <c r="N304" s="619"/>
      <c r="O304" s="619"/>
      <c r="P304" s="619"/>
      <c r="Q304" s="619"/>
      <c r="R304" s="619"/>
      <c r="S304" s="619"/>
      <c r="T304" s="619"/>
      <c r="U304" s="619"/>
      <c r="V304" s="619"/>
      <c r="W304" s="619"/>
      <c r="X304" s="619"/>
      <c r="Y304" s="619"/>
      <c r="Z304" s="619"/>
      <c r="AA304" s="619"/>
      <c r="AB304" s="619"/>
      <c r="AC304" s="619"/>
      <c r="AD304" s="619"/>
      <c r="AE304" s="619"/>
      <c r="AF304" s="619"/>
      <c r="AG304" s="619"/>
      <c r="AH304" s="619"/>
      <c r="AI304" s="619"/>
      <c r="AJ304" s="619"/>
      <c r="AK304" s="619"/>
      <c r="AL304" s="1"/>
    </row>
    <row r="305" spans="1:38" ht="14.25" customHeight="1">
      <c r="A305" s="619"/>
      <c r="B305" s="619"/>
      <c r="C305" s="4"/>
      <c r="D305" s="619"/>
      <c r="E305" s="619"/>
      <c r="F305" s="619"/>
      <c r="G305" s="619"/>
      <c r="H305" s="619"/>
      <c r="I305" s="619"/>
      <c r="J305" s="619"/>
      <c r="K305" s="619"/>
      <c r="L305" s="619"/>
      <c r="M305" s="619"/>
      <c r="N305" s="619"/>
      <c r="O305" s="619"/>
      <c r="P305" s="619"/>
      <c r="Q305" s="619"/>
      <c r="R305" s="619"/>
      <c r="S305" s="619"/>
      <c r="T305" s="619"/>
      <c r="U305" s="619"/>
      <c r="V305" s="619"/>
      <c r="W305" s="619"/>
      <c r="X305" s="619"/>
      <c r="Y305" s="619"/>
      <c r="Z305" s="619"/>
      <c r="AA305" s="619"/>
      <c r="AB305" s="619"/>
      <c r="AC305" s="619"/>
      <c r="AD305" s="619"/>
      <c r="AE305" s="619"/>
      <c r="AF305" s="619"/>
      <c r="AG305" s="619"/>
      <c r="AH305" s="619"/>
      <c r="AI305" s="619"/>
      <c r="AJ305" s="619"/>
      <c r="AK305" s="619"/>
      <c r="AL305" s="1"/>
    </row>
    <row r="306" spans="1:38" ht="14.25" customHeight="1">
      <c r="A306" s="619"/>
      <c r="B306" s="619"/>
      <c r="C306" s="4"/>
      <c r="D306" s="619"/>
      <c r="E306" s="619"/>
      <c r="F306" s="619"/>
      <c r="G306" s="619"/>
      <c r="H306" s="619"/>
      <c r="I306" s="619"/>
      <c r="J306" s="619"/>
      <c r="K306" s="619"/>
      <c r="L306" s="619"/>
      <c r="M306" s="619"/>
      <c r="N306" s="619"/>
      <c r="O306" s="619"/>
      <c r="P306" s="619"/>
      <c r="Q306" s="619"/>
      <c r="R306" s="619"/>
      <c r="S306" s="619"/>
      <c r="T306" s="619"/>
      <c r="U306" s="619"/>
      <c r="V306" s="619"/>
      <c r="W306" s="619"/>
      <c r="X306" s="619"/>
      <c r="Y306" s="619"/>
      <c r="Z306" s="619"/>
      <c r="AA306" s="619"/>
      <c r="AB306" s="619"/>
      <c r="AC306" s="619"/>
      <c r="AD306" s="619"/>
      <c r="AE306" s="619"/>
      <c r="AF306" s="619"/>
      <c r="AG306" s="619"/>
      <c r="AH306" s="619"/>
      <c r="AI306" s="619"/>
      <c r="AJ306" s="619"/>
      <c r="AK306" s="619"/>
      <c r="AL306" s="1"/>
    </row>
    <row r="307" spans="1:38" ht="14.25" customHeight="1">
      <c r="A307" s="619"/>
      <c r="B307" s="619"/>
      <c r="C307" s="4"/>
      <c r="D307" s="619"/>
      <c r="E307" s="619"/>
      <c r="F307" s="619"/>
      <c r="G307" s="619"/>
      <c r="H307" s="619"/>
      <c r="I307" s="619"/>
      <c r="J307" s="619"/>
      <c r="K307" s="619"/>
      <c r="L307" s="619"/>
      <c r="M307" s="619"/>
      <c r="N307" s="619"/>
      <c r="O307" s="619"/>
      <c r="P307" s="619"/>
      <c r="Q307" s="619"/>
      <c r="R307" s="619"/>
      <c r="S307" s="619"/>
      <c r="T307" s="619"/>
      <c r="U307" s="619"/>
      <c r="V307" s="619"/>
      <c r="W307" s="619"/>
      <c r="X307" s="619"/>
      <c r="Y307" s="619"/>
      <c r="Z307" s="619"/>
      <c r="AA307" s="619"/>
      <c r="AB307" s="619"/>
      <c r="AC307" s="619"/>
      <c r="AD307" s="619"/>
      <c r="AE307" s="619"/>
      <c r="AF307" s="619"/>
      <c r="AG307" s="619"/>
      <c r="AH307" s="619"/>
      <c r="AI307" s="619"/>
      <c r="AJ307" s="619"/>
      <c r="AK307" s="619"/>
      <c r="AL307" s="1"/>
    </row>
    <row r="308" spans="1:38" ht="14.25" customHeight="1">
      <c r="A308" s="619"/>
      <c r="B308" s="619"/>
      <c r="C308" s="4"/>
      <c r="D308" s="619"/>
      <c r="E308" s="619"/>
      <c r="F308" s="619"/>
      <c r="G308" s="619"/>
      <c r="H308" s="619"/>
      <c r="I308" s="619"/>
      <c r="J308" s="619"/>
      <c r="K308" s="619"/>
      <c r="L308" s="619"/>
      <c r="M308" s="619"/>
      <c r="N308" s="619"/>
      <c r="O308" s="619"/>
      <c r="P308" s="619"/>
      <c r="Q308" s="619"/>
      <c r="R308" s="619"/>
      <c r="S308" s="619"/>
      <c r="T308" s="619"/>
      <c r="U308" s="619"/>
      <c r="V308" s="619"/>
      <c r="W308" s="619"/>
      <c r="X308" s="619"/>
      <c r="Y308" s="619"/>
      <c r="Z308" s="619"/>
      <c r="AA308" s="619"/>
      <c r="AB308" s="619"/>
      <c r="AC308" s="619"/>
      <c r="AD308" s="619"/>
      <c r="AE308" s="619"/>
      <c r="AF308" s="619"/>
      <c r="AG308" s="619"/>
      <c r="AH308" s="619"/>
      <c r="AI308" s="619"/>
      <c r="AJ308" s="619"/>
      <c r="AK308" s="619"/>
      <c r="AL308" s="1"/>
    </row>
    <row r="309" spans="1:38" ht="14.25" customHeight="1">
      <c r="A309" s="619"/>
      <c r="B309" s="619"/>
      <c r="C309" s="4"/>
      <c r="D309" s="619"/>
      <c r="E309" s="619"/>
      <c r="F309" s="619"/>
      <c r="G309" s="619"/>
      <c r="H309" s="619"/>
      <c r="I309" s="619"/>
      <c r="J309" s="619"/>
      <c r="K309" s="619"/>
      <c r="L309" s="619"/>
      <c r="M309" s="619"/>
      <c r="N309" s="619"/>
      <c r="O309" s="619"/>
      <c r="P309" s="619"/>
      <c r="Q309" s="619"/>
      <c r="R309" s="619"/>
      <c r="S309" s="619"/>
      <c r="T309" s="619"/>
      <c r="U309" s="619"/>
      <c r="V309" s="619"/>
      <c r="W309" s="619"/>
      <c r="X309" s="619"/>
      <c r="Y309" s="619"/>
      <c r="Z309" s="619"/>
      <c r="AA309" s="619"/>
      <c r="AB309" s="619"/>
      <c r="AC309" s="619"/>
      <c r="AD309" s="619"/>
      <c r="AE309" s="619"/>
      <c r="AF309" s="619"/>
      <c r="AG309" s="619"/>
      <c r="AH309" s="619"/>
      <c r="AI309" s="619"/>
      <c r="AJ309" s="619"/>
      <c r="AK309" s="619"/>
      <c r="AL309" s="1"/>
    </row>
    <row r="310" spans="1:38" ht="14.25" customHeight="1">
      <c r="A310" s="619"/>
      <c r="B310" s="619"/>
      <c r="C310" s="4"/>
      <c r="D310" s="619"/>
      <c r="E310" s="619"/>
      <c r="F310" s="619"/>
      <c r="G310" s="619"/>
      <c r="H310" s="619"/>
      <c r="I310" s="619"/>
      <c r="J310" s="619"/>
      <c r="K310" s="619"/>
      <c r="L310" s="619"/>
      <c r="M310" s="619"/>
      <c r="N310" s="619"/>
      <c r="O310" s="619"/>
      <c r="P310" s="619"/>
      <c r="Q310" s="619"/>
      <c r="R310" s="619"/>
      <c r="S310" s="619"/>
      <c r="T310" s="619"/>
      <c r="U310" s="619"/>
      <c r="V310" s="619"/>
      <c r="W310" s="619"/>
      <c r="X310" s="619"/>
      <c r="Y310" s="619"/>
      <c r="Z310" s="619"/>
      <c r="AA310" s="619"/>
      <c r="AB310" s="619"/>
      <c r="AC310" s="619"/>
      <c r="AD310" s="619"/>
      <c r="AE310" s="619"/>
      <c r="AF310" s="619"/>
      <c r="AG310" s="619"/>
      <c r="AH310" s="619"/>
      <c r="AI310" s="619"/>
      <c r="AJ310" s="619"/>
      <c r="AK310" s="619"/>
      <c r="AL310" s="1"/>
    </row>
    <row r="311" spans="1:38" ht="14.25" customHeight="1">
      <c r="A311" s="619"/>
      <c r="B311" s="619"/>
      <c r="C311" s="4"/>
      <c r="D311" s="619"/>
      <c r="E311" s="619"/>
      <c r="F311" s="619"/>
      <c r="G311" s="619"/>
      <c r="H311" s="619"/>
      <c r="I311" s="619"/>
      <c r="J311" s="619"/>
      <c r="K311" s="619"/>
      <c r="L311" s="619"/>
      <c r="M311" s="619"/>
      <c r="N311" s="619"/>
      <c r="O311" s="619"/>
      <c r="P311" s="619"/>
      <c r="Q311" s="619"/>
      <c r="R311" s="619"/>
      <c r="S311" s="619"/>
      <c r="T311" s="619"/>
      <c r="U311" s="619"/>
      <c r="V311" s="619"/>
      <c r="W311" s="619"/>
      <c r="X311" s="619"/>
      <c r="Y311" s="619"/>
      <c r="Z311" s="619"/>
      <c r="AA311" s="619"/>
      <c r="AB311" s="619"/>
      <c r="AC311" s="619"/>
      <c r="AD311" s="619"/>
      <c r="AE311" s="619"/>
      <c r="AF311" s="619"/>
      <c r="AG311" s="619"/>
      <c r="AH311" s="619"/>
      <c r="AI311" s="619"/>
      <c r="AJ311" s="619"/>
      <c r="AK311" s="619"/>
      <c r="AL311" s="1"/>
    </row>
    <row r="312" spans="1:38" ht="14.25" customHeight="1">
      <c r="A312" s="619"/>
      <c r="B312" s="619"/>
      <c r="C312" s="4"/>
      <c r="D312" s="619"/>
      <c r="E312" s="619"/>
      <c r="F312" s="619"/>
      <c r="G312" s="619"/>
      <c r="H312" s="619"/>
      <c r="I312" s="619"/>
      <c r="J312" s="619"/>
      <c r="K312" s="619"/>
      <c r="L312" s="619"/>
      <c r="M312" s="619"/>
      <c r="N312" s="619"/>
      <c r="O312" s="619"/>
      <c r="P312" s="619"/>
      <c r="Q312" s="619"/>
      <c r="R312" s="619"/>
      <c r="S312" s="619"/>
      <c r="T312" s="619"/>
      <c r="U312" s="619"/>
      <c r="V312" s="619"/>
      <c r="W312" s="619"/>
      <c r="X312" s="619"/>
      <c r="Y312" s="619"/>
      <c r="Z312" s="619"/>
      <c r="AA312" s="619"/>
      <c r="AB312" s="619"/>
      <c r="AC312" s="619"/>
      <c r="AD312" s="619"/>
      <c r="AE312" s="619"/>
      <c r="AF312" s="619"/>
      <c r="AG312" s="619"/>
      <c r="AH312" s="619"/>
      <c r="AI312" s="619"/>
      <c r="AJ312" s="619"/>
      <c r="AK312" s="619"/>
      <c r="AL312" s="1"/>
    </row>
    <row r="313" spans="1:38" ht="14.25" customHeight="1">
      <c r="A313" s="619"/>
      <c r="B313" s="619"/>
      <c r="C313" s="4"/>
      <c r="D313" s="619"/>
      <c r="E313" s="619"/>
      <c r="F313" s="619"/>
      <c r="G313" s="619"/>
      <c r="H313" s="619"/>
      <c r="I313" s="619"/>
      <c r="J313" s="619"/>
      <c r="K313" s="619"/>
      <c r="L313" s="619"/>
      <c r="M313" s="619"/>
      <c r="N313" s="619"/>
      <c r="O313" s="619"/>
      <c r="P313" s="619"/>
      <c r="Q313" s="619"/>
      <c r="R313" s="619"/>
      <c r="S313" s="619"/>
      <c r="T313" s="619"/>
      <c r="U313" s="619"/>
      <c r="V313" s="619"/>
      <c r="W313" s="619"/>
      <c r="X313" s="619"/>
      <c r="Y313" s="619"/>
      <c r="Z313" s="619"/>
      <c r="AA313" s="619"/>
      <c r="AB313" s="619"/>
      <c r="AC313" s="619"/>
      <c r="AD313" s="619"/>
      <c r="AE313" s="619"/>
      <c r="AF313" s="619"/>
      <c r="AG313" s="619"/>
      <c r="AH313" s="619"/>
      <c r="AI313" s="619"/>
      <c r="AJ313" s="619"/>
      <c r="AK313" s="619"/>
      <c r="AL313" s="1"/>
    </row>
    <row r="314" spans="1:38" ht="14.25" customHeight="1">
      <c r="A314" s="619"/>
      <c r="B314" s="619"/>
      <c r="C314" s="4"/>
      <c r="D314" s="619"/>
      <c r="E314" s="619"/>
      <c r="F314" s="619"/>
      <c r="G314" s="619"/>
      <c r="H314" s="619"/>
      <c r="I314" s="619"/>
      <c r="J314" s="619"/>
      <c r="K314" s="619"/>
      <c r="L314" s="619"/>
      <c r="M314" s="619"/>
      <c r="N314" s="619"/>
      <c r="O314" s="619"/>
      <c r="P314" s="619"/>
      <c r="Q314" s="619"/>
      <c r="R314" s="619"/>
      <c r="S314" s="619"/>
      <c r="T314" s="619"/>
      <c r="U314" s="619"/>
      <c r="V314" s="619"/>
      <c r="W314" s="619"/>
      <c r="X314" s="619"/>
      <c r="Y314" s="619"/>
      <c r="Z314" s="619"/>
      <c r="AA314" s="619"/>
      <c r="AB314" s="619"/>
      <c r="AC314" s="619"/>
      <c r="AD314" s="619"/>
      <c r="AE314" s="619"/>
      <c r="AF314" s="619"/>
      <c r="AG314" s="619"/>
      <c r="AH314" s="619"/>
      <c r="AI314" s="619"/>
      <c r="AJ314" s="619"/>
      <c r="AK314" s="619"/>
      <c r="AL314" s="1"/>
    </row>
    <row r="315" spans="1:38" ht="14.25" customHeight="1">
      <c r="A315" s="619"/>
      <c r="B315" s="619"/>
      <c r="C315" s="4"/>
      <c r="D315" s="619"/>
      <c r="E315" s="619"/>
      <c r="F315" s="619"/>
      <c r="G315" s="619"/>
      <c r="H315" s="619"/>
      <c r="I315" s="619"/>
      <c r="J315" s="619"/>
      <c r="K315" s="619"/>
      <c r="L315" s="619"/>
      <c r="M315" s="619"/>
      <c r="N315" s="619"/>
      <c r="O315" s="619"/>
      <c r="P315" s="619"/>
      <c r="Q315" s="619"/>
      <c r="R315" s="619"/>
      <c r="S315" s="619"/>
      <c r="T315" s="619"/>
      <c r="U315" s="619"/>
      <c r="V315" s="619"/>
      <c r="W315" s="619"/>
      <c r="X315" s="619"/>
      <c r="Y315" s="619"/>
      <c r="Z315" s="619"/>
      <c r="AA315" s="619"/>
      <c r="AB315" s="619"/>
      <c r="AC315" s="619"/>
      <c r="AD315" s="619"/>
      <c r="AE315" s="619"/>
      <c r="AF315" s="619"/>
      <c r="AG315" s="619"/>
      <c r="AH315" s="619"/>
      <c r="AI315" s="619"/>
      <c r="AJ315" s="619"/>
      <c r="AK315" s="619"/>
      <c r="AL315" s="1"/>
    </row>
    <row r="316" spans="1:38" ht="14.25" customHeight="1">
      <c r="A316" s="619"/>
      <c r="B316" s="619"/>
      <c r="C316" s="4"/>
      <c r="D316" s="619"/>
      <c r="E316" s="619"/>
      <c r="F316" s="619"/>
      <c r="G316" s="619"/>
      <c r="H316" s="619"/>
      <c r="I316" s="619"/>
      <c r="J316" s="619"/>
      <c r="K316" s="619"/>
      <c r="L316" s="619"/>
      <c r="M316" s="619"/>
      <c r="N316" s="619"/>
      <c r="O316" s="619"/>
      <c r="P316" s="619"/>
      <c r="Q316" s="619"/>
      <c r="R316" s="619"/>
      <c r="S316" s="619"/>
      <c r="T316" s="619"/>
      <c r="U316" s="619"/>
      <c r="V316" s="619"/>
      <c r="W316" s="619"/>
      <c r="X316" s="619"/>
      <c r="Y316" s="619"/>
      <c r="Z316" s="619"/>
      <c r="AA316" s="619"/>
      <c r="AB316" s="619"/>
      <c r="AC316" s="619"/>
      <c r="AD316" s="619"/>
      <c r="AE316" s="619"/>
      <c r="AF316" s="619"/>
      <c r="AG316" s="619"/>
      <c r="AH316" s="619"/>
      <c r="AI316" s="619"/>
      <c r="AJ316" s="619"/>
      <c r="AK316" s="619"/>
      <c r="AL316" s="1"/>
    </row>
    <row r="317" spans="1:38" ht="14.25" customHeight="1">
      <c r="A317" s="619"/>
      <c r="B317" s="619"/>
      <c r="C317" s="4"/>
      <c r="D317" s="619"/>
      <c r="E317" s="619"/>
      <c r="F317" s="619"/>
      <c r="G317" s="619"/>
      <c r="H317" s="619"/>
      <c r="I317" s="619"/>
      <c r="J317" s="619"/>
      <c r="K317" s="619"/>
      <c r="L317" s="619"/>
      <c r="M317" s="619"/>
      <c r="N317" s="619"/>
      <c r="O317" s="619"/>
      <c r="P317" s="619"/>
      <c r="Q317" s="619"/>
      <c r="R317" s="619"/>
      <c r="S317" s="619"/>
      <c r="T317" s="619"/>
      <c r="U317" s="619"/>
      <c r="V317" s="619"/>
      <c r="W317" s="619"/>
      <c r="X317" s="619"/>
      <c r="Y317" s="619"/>
      <c r="Z317" s="619"/>
      <c r="AA317" s="619"/>
      <c r="AB317" s="619"/>
      <c r="AC317" s="619"/>
      <c r="AD317" s="619"/>
      <c r="AE317" s="619"/>
      <c r="AF317" s="619"/>
      <c r="AG317" s="619"/>
      <c r="AH317" s="619"/>
      <c r="AI317" s="619"/>
      <c r="AJ317" s="619"/>
      <c r="AK317" s="619"/>
      <c r="AL317" s="1"/>
    </row>
    <row r="318" spans="1:38" ht="14.25" customHeight="1">
      <c r="A318" s="619"/>
      <c r="B318" s="619"/>
      <c r="C318" s="4"/>
      <c r="D318" s="619"/>
      <c r="E318" s="619"/>
      <c r="F318" s="619"/>
      <c r="G318" s="619"/>
      <c r="H318" s="619"/>
      <c r="I318" s="619"/>
      <c r="J318" s="619"/>
      <c r="K318" s="619"/>
      <c r="L318" s="619"/>
      <c r="M318" s="619"/>
      <c r="N318" s="619"/>
      <c r="O318" s="619"/>
      <c r="P318" s="619"/>
      <c r="Q318" s="619"/>
      <c r="R318" s="619"/>
      <c r="S318" s="619"/>
      <c r="T318" s="619"/>
      <c r="U318" s="619"/>
      <c r="V318" s="619"/>
      <c r="W318" s="619"/>
      <c r="X318" s="619"/>
      <c r="Y318" s="619"/>
      <c r="Z318" s="619"/>
      <c r="AA318" s="619"/>
      <c r="AB318" s="619"/>
      <c r="AC318" s="619"/>
      <c r="AD318" s="619"/>
      <c r="AE318" s="619"/>
      <c r="AF318" s="619"/>
      <c r="AG318" s="619"/>
      <c r="AH318" s="619"/>
      <c r="AI318" s="619"/>
      <c r="AJ318" s="619"/>
      <c r="AK318" s="619"/>
      <c r="AL318" s="1"/>
    </row>
    <row r="319" spans="1:38" ht="14.25" customHeight="1">
      <c r="A319" s="619"/>
      <c r="B319" s="619"/>
      <c r="C319" s="4"/>
      <c r="D319" s="619"/>
      <c r="E319" s="619"/>
      <c r="F319" s="619"/>
      <c r="G319" s="619"/>
      <c r="H319" s="619"/>
      <c r="I319" s="619"/>
      <c r="J319" s="619"/>
      <c r="K319" s="619"/>
      <c r="L319" s="619"/>
      <c r="M319" s="619"/>
      <c r="N319" s="619"/>
      <c r="O319" s="619"/>
      <c r="P319" s="619"/>
      <c r="Q319" s="619"/>
      <c r="R319" s="619"/>
      <c r="S319" s="619"/>
      <c r="T319" s="619"/>
      <c r="U319" s="619"/>
      <c r="V319" s="619"/>
      <c r="W319" s="619"/>
      <c r="X319" s="619"/>
      <c r="Y319" s="619"/>
      <c r="Z319" s="619"/>
      <c r="AA319" s="619"/>
      <c r="AB319" s="619"/>
      <c r="AC319" s="619"/>
      <c r="AD319" s="619"/>
      <c r="AE319" s="619"/>
      <c r="AF319" s="619"/>
      <c r="AG319" s="619"/>
      <c r="AH319" s="619"/>
      <c r="AI319" s="619"/>
      <c r="AJ319" s="619"/>
      <c r="AK319" s="619"/>
      <c r="AL319" s="1"/>
    </row>
    <row r="320" spans="1:38" ht="14.25" customHeight="1">
      <c r="A320" s="619"/>
      <c r="B320" s="619"/>
      <c r="C320" s="4"/>
      <c r="D320" s="619"/>
      <c r="E320" s="619"/>
      <c r="F320" s="619"/>
      <c r="G320" s="619"/>
      <c r="H320" s="619"/>
      <c r="I320" s="619"/>
      <c r="J320" s="619"/>
      <c r="K320" s="619"/>
      <c r="L320" s="619"/>
      <c r="M320" s="619"/>
      <c r="N320" s="619"/>
      <c r="O320" s="619"/>
      <c r="P320" s="619"/>
      <c r="Q320" s="619"/>
      <c r="R320" s="619"/>
      <c r="S320" s="619"/>
      <c r="T320" s="619"/>
      <c r="U320" s="619"/>
      <c r="V320" s="619"/>
      <c r="W320" s="619"/>
      <c r="X320" s="619"/>
      <c r="Y320" s="619"/>
      <c r="Z320" s="619"/>
      <c r="AA320" s="619"/>
      <c r="AB320" s="619"/>
      <c r="AC320" s="619"/>
      <c r="AD320" s="619"/>
      <c r="AE320" s="619"/>
      <c r="AF320" s="619"/>
      <c r="AG320" s="619"/>
      <c r="AH320" s="619"/>
      <c r="AI320" s="619"/>
      <c r="AJ320" s="619"/>
      <c r="AK320" s="619"/>
      <c r="AL320" s="1"/>
    </row>
    <row r="321" spans="1:38" ht="14.25" customHeight="1">
      <c r="A321" s="619"/>
      <c r="B321" s="619"/>
      <c r="C321" s="4"/>
      <c r="D321" s="619"/>
      <c r="E321" s="619"/>
      <c r="F321" s="619"/>
      <c r="G321" s="619"/>
      <c r="H321" s="619"/>
      <c r="I321" s="619"/>
      <c r="J321" s="619"/>
      <c r="K321" s="619"/>
      <c r="L321" s="619"/>
      <c r="M321" s="619"/>
      <c r="N321" s="619"/>
      <c r="O321" s="619"/>
      <c r="P321" s="619"/>
      <c r="Q321" s="619"/>
      <c r="R321" s="619"/>
      <c r="S321" s="619"/>
      <c r="T321" s="619"/>
      <c r="U321" s="619"/>
      <c r="V321" s="619"/>
      <c r="W321" s="619"/>
      <c r="X321" s="619"/>
      <c r="Y321" s="619"/>
      <c r="Z321" s="619"/>
      <c r="AA321" s="619"/>
      <c r="AB321" s="619"/>
      <c r="AC321" s="619"/>
      <c r="AD321" s="619"/>
      <c r="AE321" s="619"/>
      <c r="AF321" s="619"/>
      <c r="AG321" s="619"/>
      <c r="AH321" s="619"/>
      <c r="AI321" s="619"/>
      <c r="AJ321" s="619"/>
      <c r="AK321" s="619"/>
      <c r="AL321" s="1"/>
    </row>
    <row r="322" spans="1:38" ht="14.25" customHeight="1">
      <c r="A322" s="619"/>
      <c r="B322" s="619"/>
      <c r="C322" s="4"/>
      <c r="D322" s="619"/>
      <c r="E322" s="619"/>
      <c r="F322" s="619"/>
      <c r="G322" s="619"/>
      <c r="H322" s="619"/>
      <c r="I322" s="619"/>
      <c r="J322" s="619"/>
      <c r="K322" s="619"/>
      <c r="L322" s="619"/>
      <c r="M322" s="619"/>
      <c r="N322" s="619"/>
      <c r="O322" s="619"/>
      <c r="P322" s="619"/>
      <c r="Q322" s="619"/>
      <c r="R322" s="619"/>
      <c r="S322" s="619"/>
      <c r="T322" s="619"/>
      <c r="U322" s="619"/>
      <c r="V322" s="619"/>
      <c r="W322" s="619"/>
      <c r="X322" s="619"/>
      <c r="Y322" s="619"/>
      <c r="Z322" s="619"/>
      <c r="AA322" s="619"/>
      <c r="AB322" s="619"/>
      <c r="AC322" s="619"/>
      <c r="AD322" s="619"/>
      <c r="AE322" s="619"/>
      <c r="AF322" s="619"/>
      <c r="AG322" s="619"/>
      <c r="AH322" s="619"/>
      <c r="AI322" s="619"/>
      <c r="AJ322" s="619"/>
      <c r="AK322" s="619"/>
      <c r="AL322" s="1"/>
    </row>
    <row r="323" spans="1:38" ht="14.25" customHeight="1">
      <c r="A323" s="619"/>
      <c r="B323" s="619"/>
      <c r="C323" s="4"/>
      <c r="D323" s="619"/>
      <c r="E323" s="619"/>
      <c r="F323" s="619"/>
      <c r="G323" s="619"/>
      <c r="H323" s="619"/>
      <c r="I323" s="619"/>
      <c r="J323" s="619"/>
      <c r="K323" s="619"/>
      <c r="L323" s="619"/>
      <c r="M323" s="619"/>
      <c r="N323" s="619"/>
      <c r="O323" s="619"/>
      <c r="P323" s="619"/>
      <c r="Q323" s="619"/>
      <c r="R323" s="619"/>
      <c r="S323" s="619"/>
      <c r="T323" s="619"/>
      <c r="U323" s="619"/>
      <c r="V323" s="619"/>
      <c r="W323" s="619"/>
      <c r="X323" s="619"/>
      <c r="Y323" s="619"/>
      <c r="Z323" s="619"/>
      <c r="AA323" s="619"/>
      <c r="AB323" s="619"/>
      <c r="AC323" s="619"/>
      <c r="AD323" s="619"/>
      <c r="AE323" s="619"/>
      <c r="AF323" s="619"/>
      <c r="AG323" s="619"/>
      <c r="AH323" s="619"/>
      <c r="AI323" s="619"/>
      <c r="AJ323" s="619"/>
      <c r="AK323" s="619"/>
      <c r="AL323" s="1"/>
    </row>
    <row r="324" spans="1:38" ht="14.25" customHeight="1">
      <c r="A324" s="619"/>
      <c r="B324" s="619"/>
      <c r="C324" s="4"/>
      <c r="D324" s="619"/>
      <c r="E324" s="619"/>
      <c r="F324" s="619"/>
      <c r="G324" s="619"/>
      <c r="H324" s="619"/>
      <c r="I324" s="619"/>
      <c r="J324" s="619"/>
      <c r="K324" s="619"/>
      <c r="L324" s="619"/>
      <c r="M324" s="619"/>
      <c r="N324" s="619"/>
      <c r="O324" s="619"/>
      <c r="P324" s="619"/>
      <c r="Q324" s="619"/>
      <c r="R324" s="619"/>
      <c r="S324" s="619"/>
      <c r="T324" s="619"/>
      <c r="U324" s="619"/>
      <c r="V324" s="619"/>
      <c r="W324" s="619"/>
      <c r="X324" s="619"/>
      <c r="Y324" s="619"/>
      <c r="Z324" s="619"/>
      <c r="AA324" s="619"/>
      <c r="AB324" s="619"/>
      <c r="AC324" s="619"/>
      <c r="AD324" s="619"/>
      <c r="AE324" s="619"/>
      <c r="AF324" s="619"/>
      <c r="AG324" s="619"/>
      <c r="AH324" s="619"/>
      <c r="AI324" s="619"/>
      <c r="AJ324" s="619"/>
      <c r="AK324" s="619"/>
      <c r="AL324" s="1"/>
    </row>
    <row r="325" spans="1:38" ht="14.25" customHeight="1">
      <c r="A325" s="619"/>
      <c r="B325" s="619"/>
      <c r="C325" s="4"/>
      <c r="D325" s="619"/>
      <c r="E325" s="619"/>
      <c r="F325" s="619"/>
      <c r="G325" s="619"/>
      <c r="H325" s="619"/>
      <c r="I325" s="619"/>
      <c r="J325" s="619"/>
      <c r="K325" s="619"/>
      <c r="L325" s="619"/>
      <c r="M325" s="619"/>
      <c r="N325" s="619"/>
      <c r="O325" s="619"/>
      <c r="P325" s="619"/>
      <c r="Q325" s="619"/>
      <c r="R325" s="619"/>
      <c r="S325" s="619"/>
      <c r="T325" s="619"/>
      <c r="U325" s="619"/>
      <c r="V325" s="619"/>
      <c r="W325" s="619"/>
      <c r="X325" s="619"/>
      <c r="Y325" s="619"/>
      <c r="Z325" s="619"/>
      <c r="AA325" s="619"/>
      <c r="AB325" s="619"/>
      <c r="AC325" s="619"/>
      <c r="AD325" s="619"/>
      <c r="AE325" s="619"/>
      <c r="AF325" s="619"/>
      <c r="AG325" s="619"/>
      <c r="AH325" s="619"/>
      <c r="AI325" s="619"/>
      <c r="AJ325" s="619"/>
      <c r="AK325" s="619"/>
      <c r="AL325" s="1"/>
    </row>
    <row r="326" spans="1:38" ht="14.25" customHeight="1">
      <c r="A326" s="619"/>
      <c r="B326" s="619"/>
      <c r="C326" s="4"/>
      <c r="D326" s="619"/>
      <c r="E326" s="619"/>
      <c r="F326" s="619"/>
      <c r="G326" s="619"/>
      <c r="H326" s="619"/>
      <c r="I326" s="619"/>
      <c r="J326" s="619"/>
      <c r="K326" s="619"/>
      <c r="L326" s="619"/>
      <c r="M326" s="619"/>
      <c r="N326" s="619"/>
      <c r="O326" s="619"/>
      <c r="P326" s="619"/>
      <c r="Q326" s="619"/>
      <c r="R326" s="619"/>
      <c r="S326" s="619"/>
      <c r="T326" s="619"/>
      <c r="U326" s="619"/>
      <c r="V326" s="619"/>
      <c r="W326" s="619"/>
      <c r="X326" s="619"/>
      <c r="Y326" s="619"/>
      <c r="Z326" s="619"/>
      <c r="AA326" s="619"/>
      <c r="AB326" s="619"/>
      <c r="AC326" s="619"/>
      <c r="AD326" s="619"/>
      <c r="AE326" s="619"/>
      <c r="AF326" s="619"/>
      <c r="AG326" s="619"/>
      <c r="AH326" s="619"/>
      <c r="AI326" s="619"/>
      <c r="AJ326" s="619"/>
      <c r="AK326" s="619"/>
      <c r="AL326" s="1"/>
    </row>
    <row r="327" spans="1:38" ht="14.25" customHeight="1">
      <c r="A327" s="619"/>
      <c r="B327" s="619"/>
      <c r="C327" s="4"/>
      <c r="D327" s="619"/>
      <c r="E327" s="619"/>
      <c r="F327" s="619"/>
      <c r="G327" s="619"/>
      <c r="H327" s="619"/>
      <c r="I327" s="619"/>
      <c r="J327" s="619"/>
      <c r="K327" s="619"/>
      <c r="L327" s="619"/>
      <c r="M327" s="619"/>
      <c r="N327" s="619"/>
      <c r="O327" s="619"/>
      <c r="P327" s="619"/>
      <c r="Q327" s="619"/>
      <c r="R327" s="619"/>
      <c r="S327" s="619"/>
      <c r="T327" s="619"/>
      <c r="U327" s="619"/>
      <c r="V327" s="619"/>
      <c r="W327" s="619"/>
      <c r="X327" s="619"/>
      <c r="Y327" s="619"/>
      <c r="Z327" s="619"/>
      <c r="AA327" s="619"/>
      <c r="AB327" s="619"/>
      <c r="AC327" s="619"/>
      <c r="AD327" s="619"/>
      <c r="AE327" s="619"/>
      <c r="AF327" s="619"/>
      <c r="AG327" s="619"/>
      <c r="AH327" s="619"/>
      <c r="AI327" s="619"/>
      <c r="AJ327" s="619"/>
      <c r="AK327" s="619"/>
      <c r="AL327" s="1"/>
    </row>
    <row r="328" spans="1:38" ht="14.25" customHeight="1">
      <c r="A328" s="619"/>
      <c r="B328" s="619"/>
      <c r="C328" s="4"/>
      <c r="D328" s="619"/>
      <c r="E328" s="619"/>
      <c r="F328" s="619"/>
      <c r="G328" s="619"/>
      <c r="H328" s="619"/>
      <c r="I328" s="619"/>
      <c r="J328" s="619"/>
      <c r="K328" s="619"/>
      <c r="L328" s="619"/>
      <c r="M328" s="619"/>
      <c r="N328" s="619"/>
      <c r="O328" s="619"/>
      <c r="P328" s="619"/>
      <c r="Q328" s="619"/>
      <c r="R328" s="619"/>
      <c r="S328" s="619"/>
      <c r="T328" s="619"/>
      <c r="U328" s="619"/>
      <c r="V328" s="619"/>
      <c r="W328" s="619"/>
      <c r="X328" s="619"/>
      <c r="Y328" s="619"/>
      <c r="Z328" s="619"/>
      <c r="AA328" s="619"/>
      <c r="AB328" s="619"/>
      <c r="AC328" s="619"/>
      <c r="AD328" s="619"/>
      <c r="AE328" s="619"/>
      <c r="AF328" s="619"/>
      <c r="AG328" s="619"/>
      <c r="AH328" s="619"/>
      <c r="AI328" s="619"/>
      <c r="AJ328" s="619"/>
      <c r="AK328" s="619"/>
      <c r="AL328" s="1"/>
    </row>
    <row r="329" spans="1:38" ht="14.25" customHeight="1">
      <c r="A329" s="619"/>
      <c r="B329" s="619"/>
      <c r="C329" s="4"/>
      <c r="D329" s="619"/>
      <c r="E329" s="619"/>
      <c r="F329" s="619"/>
      <c r="G329" s="619"/>
      <c r="H329" s="619"/>
      <c r="I329" s="619"/>
      <c r="J329" s="619"/>
      <c r="K329" s="619"/>
      <c r="L329" s="619"/>
      <c r="M329" s="619"/>
      <c r="N329" s="619"/>
      <c r="O329" s="619"/>
      <c r="P329" s="619"/>
      <c r="Q329" s="619"/>
      <c r="R329" s="619"/>
      <c r="S329" s="619"/>
      <c r="T329" s="619"/>
      <c r="U329" s="619"/>
      <c r="V329" s="619"/>
      <c r="W329" s="619"/>
      <c r="X329" s="619"/>
      <c r="Y329" s="619"/>
      <c r="Z329" s="619"/>
      <c r="AA329" s="619"/>
      <c r="AB329" s="619"/>
      <c r="AC329" s="619"/>
      <c r="AD329" s="619"/>
      <c r="AE329" s="619"/>
      <c r="AF329" s="619"/>
      <c r="AG329" s="619"/>
      <c r="AH329" s="619"/>
      <c r="AI329" s="619"/>
      <c r="AJ329" s="619"/>
      <c r="AK329" s="619"/>
      <c r="AL329" s="1"/>
    </row>
    <row r="330" spans="1:38" ht="14.25" customHeight="1">
      <c r="A330" s="619"/>
      <c r="B330" s="619"/>
      <c r="C330" s="4"/>
      <c r="D330" s="619"/>
      <c r="E330" s="619"/>
      <c r="F330" s="619"/>
      <c r="G330" s="619"/>
      <c r="H330" s="619"/>
      <c r="I330" s="619"/>
      <c r="J330" s="619"/>
      <c r="K330" s="619"/>
      <c r="L330" s="619"/>
      <c r="M330" s="619"/>
      <c r="N330" s="619"/>
      <c r="O330" s="619"/>
      <c r="P330" s="619"/>
      <c r="Q330" s="619"/>
      <c r="R330" s="619"/>
      <c r="S330" s="619"/>
      <c r="T330" s="619"/>
      <c r="U330" s="619"/>
      <c r="V330" s="619"/>
      <c r="W330" s="619"/>
      <c r="X330" s="619"/>
      <c r="Y330" s="619"/>
      <c r="Z330" s="619"/>
      <c r="AA330" s="619"/>
      <c r="AB330" s="619"/>
      <c r="AC330" s="619"/>
      <c r="AD330" s="619"/>
      <c r="AE330" s="619"/>
      <c r="AF330" s="619"/>
      <c r="AG330" s="619"/>
      <c r="AH330" s="619"/>
      <c r="AI330" s="619"/>
      <c r="AJ330" s="619"/>
      <c r="AK330" s="619"/>
      <c r="AL330" s="1"/>
    </row>
    <row r="331" spans="1:38" ht="14.25" customHeight="1">
      <c r="A331" s="619"/>
      <c r="B331" s="619"/>
      <c r="C331" s="4"/>
      <c r="D331" s="619"/>
      <c r="E331" s="619"/>
      <c r="F331" s="619"/>
      <c r="G331" s="619"/>
      <c r="H331" s="619"/>
      <c r="I331" s="619"/>
      <c r="J331" s="619"/>
      <c r="K331" s="619"/>
      <c r="L331" s="619"/>
      <c r="M331" s="619"/>
      <c r="N331" s="619"/>
      <c r="O331" s="619"/>
      <c r="P331" s="619"/>
      <c r="Q331" s="619"/>
      <c r="R331" s="619"/>
      <c r="S331" s="619"/>
      <c r="T331" s="619"/>
      <c r="U331" s="619"/>
      <c r="V331" s="619"/>
      <c r="W331" s="619"/>
      <c r="X331" s="619"/>
      <c r="Y331" s="619"/>
      <c r="Z331" s="619"/>
      <c r="AA331" s="619"/>
      <c r="AB331" s="619"/>
      <c r="AC331" s="619"/>
      <c r="AD331" s="619"/>
      <c r="AE331" s="619"/>
      <c r="AF331" s="619"/>
      <c r="AG331" s="619"/>
      <c r="AH331" s="619"/>
      <c r="AI331" s="619"/>
      <c r="AJ331" s="619"/>
      <c r="AK331" s="619"/>
      <c r="AL331" s="1"/>
    </row>
    <row r="332" spans="1:38" ht="14.25" customHeight="1">
      <c r="A332" s="619"/>
      <c r="B332" s="619"/>
      <c r="C332" s="4"/>
      <c r="D332" s="619"/>
      <c r="E332" s="619"/>
      <c r="F332" s="619"/>
      <c r="G332" s="619"/>
      <c r="H332" s="619"/>
      <c r="I332" s="619"/>
      <c r="J332" s="619"/>
      <c r="K332" s="619"/>
      <c r="L332" s="619"/>
      <c r="M332" s="619"/>
      <c r="N332" s="619"/>
      <c r="O332" s="619"/>
      <c r="P332" s="619"/>
      <c r="Q332" s="619"/>
      <c r="R332" s="619"/>
      <c r="S332" s="619"/>
      <c r="T332" s="619"/>
      <c r="U332" s="619"/>
      <c r="V332" s="619"/>
      <c r="W332" s="619"/>
      <c r="X332" s="619"/>
      <c r="Y332" s="619"/>
      <c r="Z332" s="619"/>
      <c r="AA332" s="619"/>
      <c r="AB332" s="619"/>
      <c r="AC332" s="619"/>
      <c r="AD332" s="619"/>
      <c r="AE332" s="619"/>
      <c r="AF332" s="619"/>
      <c r="AG332" s="619"/>
      <c r="AH332" s="619"/>
      <c r="AI332" s="619"/>
      <c r="AJ332" s="619"/>
      <c r="AK332" s="619"/>
      <c r="AL332" s="1"/>
    </row>
    <row r="333" spans="1:38" ht="14.25" customHeight="1">
      <c r="A333" s="619"/>
      <c r="B333" s="619"/>
      <c r="C333" s="4"/>
      <c r="D333" s="619"/>
      <c r="E333" s="619"/>
      <c r="F333" s="619"/>
      <c r="G333" s="619"/>
      <c r="H333" s="619"/>
      <c r="I333" s="619"/>
      <c r="J333" s="619"/>
      <c r="K333" s="619"/>
      <c r="L333" s="619"/>
      <c r="M333" s="619"/>
      <c r="N333" s="619"/>
      <c r="O333" s="619"/>
      <c r="P333" s="619"/>
      <c r="Q333" s="619"/>
      <c r="R333" s="619"/>
      <c r="S333" s="619"/>
      <c r="T333" s="619"/>
      <c r="U333" s="619"/>
      <c r="V333" s="619"/>
      <c r="W333" s="619"/>
      <c r="X333" s="619"/>
      <c r="Y333" s="619"/>
      <c r="Z333" s="619"/>
      <c r="AA333" s="619"/>
      <c r="AB333" s="619"/>
      <c r="AC333" s="619"/>
      <c r="AD333" s="619"/>
      <c r="AE333" s="619"/>
      <c r="AF333" s="619"/>
      <c r="AG333" s="619"/>
      <c r="AH333" s="619"/>
      <c r="AI333" s="619"/>
      <c r="AJ333" s="619"/>
      <c r="AK333" s="619"/>
      <c r="AL333" s="1"/>
    </row>
    <row r="334" spans="1:38" ht="14.25" customHeight="1">
      <c r="A334" s="619"/>
      <c r="B334" s="619"/>
      <c r="C334" s="4"/>
      <c r="D334" s="619"/>
      <c r="E334" s="619"/>
      <c r="F334" s="619"/>
      <c r="G334" s="619"/>
      <c r="H334" s="619"/>
      <c r="I334" s="619"/>
      <c r="J334" s="619"/>
      <c r="K334" s="619"/>
      <c r="L334" s="619"/>
      <c r="M334" s="619"/>
      <c r="N334" s="619"/>
      <c r="O334" s="619"/>
      <c r="P334" s="619"/>
      <c r="Q334" s="619"/>
      <c r="R334" s="619"/>
      <c r="S334" s="619"/>
      <c r="T334" s="619"/>
      <c r="U334" s="619"/>
      <c r="V334" s="619"/>
      <c r="W334" s="619"/>
      <c r="X334" s="619"/>
      <c r="Y334" s="619"/>
      <c r="Z334" s="619"/>
      <c r="AA334" s="619"/>
      <c r="AB334" s="619"/>
      <c r="AC334" s="619"/>
      <c r="AD334" s="619"/>
      <c r="AE334" s="619"/>
      <c r="AF334" s="619"/>
      <c r="AG334" s="619"/>
      <c r="AH334" s="619"/>
      <c r="AI334" s="619"/>
      <c r="AJ334" s="619"/>
      <c r="AK334" s="619"/>
      <c r="AL334" s="1"/>
    </row>
    <row r="335" spans="1:38" ht="14.25" customHeight="1">
      <c r="A335" s="619"/>
      <c r="B335" s="619"/>
      <c r="C335" s="4"/>
      <c r="D335" s="619"/>
      <c r="E335" s="619"/>
      <c r="F335" s="619"/>
      <c r="G335" s="619"/>
      <c r="H335" s="619"/>
      <c r="I335" s="619"/>
      <c r="J335" s="619"/>
      <c r="K335" s="619"/>
      <c r="L335" s="619"/>
      <c r="M335" s="619"/>
      <c r="N335" s="619"/>
      <c r="O335" s="619"/>
      <c r="P335" s="619"/>
      <c r="Q335" s="619"/>
      <c r="R335" s="619"/>
      <c r="S335" s="619"/>
      <c r="T335" s="619"/>
      <c r="U335" s="619"/>
      <c r="V335" s="619"/>
      <c r="W335" s="619"/>
      <c r="X335" s="619"/>
      <c r="Y335" s="619"/>
      <c r="Z335" s="619"/>
      <c r="AA335" s="619"/>
      <c r="AB335" s="619"/>
      <c r="AC335" s="619"/>
      <c r="AD335" s="619"/>
      <c r="AE335" s="619"/>
      <c r="AF335" s="619"/>
      <c r="AG335" s="619"/>
      <c r="AH335" s="619"/>
      <c r="AI335" s="619"/>
      <c r="AJ335" s="619"/>
      <c r="AK335" s="619"/>
      <c r="AL335" s="1"/>
    </row>
    <row r="336" spans="1:38" ht="14.25" customHeight="1">
      <c r="A336" s="619"/>
      <c r="B336" s="619"/>
      <c r="C336" s="4"/>
      <c r="D336" s="619"/>
      <c r="E336" s="619"/>
      <c r="F336" s="619"/>
      <c r="G336" s="619"/>
      <c r="H336" s="619"/>
      <c r="I336" s="619"/>
      <c r="J336" s="619"/>
      <c r="K336" s="619"/>
      <c r="L336" s="619"/>
      <c r="M336" s="619"/>
      <c r="N336" s="619"/>
      <c r="O336" s="619"/>
      <c r="P336" s="619"/>
      <c r="Q336" s="619"/>
      <c r="R336" s="619"/>
      <c r="S336" s="619"/>
      <c r="T336" s="619"/>
      <c r="U336" s="619"/>
      <c r="V336" s="619"/>
      <c r="W336" s="619"/>
      <c r="X336" s="619"/>
      <c r="Y336" s="619"/>
      <c r="Z336" s="619"/>
      <c r="AA336" s="619"/>
      <c r="AB336" s="619"/>
      <c r="AC336" s="619"/>
      <c r="AD336" s="619"/>
      <c r="AE336" s="619"/>
      <c r="AF336" s="619"/>
      <c r="AG336" s="619"/>
      <c r="AH336" s="619"/>
      <c r="AI336" s="619"/>
      <c r="AJ336" s="619"/>
      <c r="AK336" s="619"/>
      <c r="AL336" s="1"/>
    </row>
    <row r="337" spans="1:38" ht="14.25" customHeight="1">
      <c r="A337" s="619"/>
      <c r="B337" s="619"/>
      <c r="C337" s="4"/>
      <c r="D337" s="619"/>
      <c r="E337" s="619"/>
      <c r="F337" s="619"/>
      <c r="G337" s="619"/>
      <c r="H337" s="619"/>
      <c r="I337" s="619"/>
      <c r="J337" s="619"/>
      <c r="K337" s="619"/>
      <c r="L337" s="619"/>
      <c r="M337" s="619"/>
      <c r="N337" s="619"/>
      <c r="O337" s="619"/>
      <c r="P337" s="619"/>
      <c r="Q337" s="619"/>
      <c r="R337" s="619"/>
      <c r="S337" s="619"/>
      <c r="T337" s="619"/>
      <c r="U337" s="619"/>
      <c r="V337" s="619"/>
      <c r="W337" s="619"/>
      <c r="X337" s="619"/>
      <c r="Y337" s="619"/>
      <c r="Z337" s="619"/>
      <c r="AA337" s="619"/>
      <c r="AB337" s="619"/>
      <c r="AC337" s="619"/>
      <c r="AD337" s="619"/>
      <c r="AE337" s="619"/>
      <c r="AF337" s="619"/>
      <c r="AG337" s="619"/>
      <c r="AH337" s="619"/>
      <c r="AI337" s="619"/>
      <c r="AJ337" s="619"/>
      <c r="AK337" s="619"/>
      <c r="AL337" s="1"/>
    </row>
    <row r="338" spans="1:38" ht="14.25" customHeight="1">
      <c r="A338" s="619"/>
      <c r="B338" s="619"/>
      <c r="C338" s="4"/>
      <c r="D338" s="619"/>
      <c r="E338" s="619"/>
      <c r="F338" s="619"/>
      <c r="G338" s="619"/>
      <c r="H338" s="619"/>
      <c r="I338" s="619"/>
      <c r="J338" s="619"/>
      <c r="K338" s="619"/>
      <c r="L338" s="619"/>
      <c r="M338" s="619"/>
      <c r="N338" s="619"/>
      <c r="O338" s="619"/>
      <c r="P338" s="619"/>
      <c r="Q338" s="619"/>
      <c r="R338" s="619"/>
      <c r="S338" s="619"/>
      <c r="T338" s="619"/>
      <c r="U338" s="619"/>
      <c r="V338" s="619"/>
      <c r="W338" s="619"/>
      <c r="X338" s="619"/>
      <c r="Y338" s="619"/>
      <c r="Z338" s="619"/>
      <c r="AA338" s="619"/>
      <c r="AB338" s="619"/>
      <c r="AC338" s="619"/>
      <c r="AD338" s="619"/>
      <c r="AE338" s="619"/>
      <c r="AF338" s="619"/>
      <c r="AG338" s="619"/>
      <c r="AH338" s="619"/>
      <c r="AI338" s="619"/>
      <c r="AJ338" s="619"/>
      <c r="AK338" s="619"/>
      <c r="AL338" s="1"/>
    </row>
    <row r="339" spans="1:38" ht="14.25" customHeight="1">
      <c r="A339" s="619"/>
      <c r="B339" s="619"/>
      <c r="C339" s="4"/>
      <c r="D339" s="619"/>
      <c r="E339" s="619"/>
      <c r="F339" s="619"/>
      <c r="G339" s="619"/>
      <c r="H339" s="619"/>
      <c r="I339" s="619"/>
      <c r="J339" s="619"/>
      <c r="K339" s="619"/>
      <c r="L339" s="619"/>
      <c r="M339" s="619"/>
      <c r="N339" s="619"/>
      <c r="O339" s="619"/>
      <c r="P339" s="619"/>
      <c r="Q339" s="619"/>
      <c r="R339" s="619"/>
      <c r="S339" s="619"/>
      <c r="T339" s="619"/>
      <c r="U339" s="619"/>
      <c r="V339" s="619"/>
      <c r="W339" s="619"/>
      <c r="X339" s="619"/>
      <c r="Y339" s="619"/>
      <c r="Z339" s="619"/>
      <c r="AA339" s="619"/>
      <c r="AB339" s="619"/>
      <c r="AC339" s="619"/>
      <c r="AD339" s="619"/>
      <c r="AE339" s="619"/>
      <c r="AF339" s="619"/>
      <c r="AG339" s="619"/>
      <c r="AH339" s="619"/>
      <c r="AI339" s="619"/>
      <c r="AJ339" s="619"/>
      <c r="AK339" s="619"/>
      <c r="AL339" s="1"/>
    </row>
    <row r="340" spans="1:38" ht="14.25" customHeight="1">
      <c r="A340" s="619"/>
      <c r="B340" s="619"/>
      <c r="C340" s="4"/>
      <c r="D340" s="619"/>
      <c r="E340" s="619"/>
      <c r="F340" s="619"/>
      <c r="G340" s="619"/>
      <c r="H340" s="619"/>
      <c r="I340" s="619"/>
      <c r="J340" s="619"/>
      <c r="K340" s="619"/>
      <c r="L340" s="619"/>
      <c r="M340" s="619"/>
      <c r="N340" s="619"/>
      <c r="O340" s="619"/>
      <c r="P340" s="619"/>
      <c r="Q340" s="619"/>
      <c r="R340" s="619"/>
      <c r="S340" s="619"/>
      <c r="T340" s="619"/>
      <c r="U340" s="619"/>
      <c r="V340" s="619"/>
      <c r="W340" s="619"/>
      <c r="X340" s="619"/>
      <c r="Y340" s="619"/>
      <c r="Z340" s="619"/>
      <c r="AA340" s="619"/>
      <c r="AB340" s="619"/>
      <c r="AC340" s="619"/>
      <c r="AD340" s="619"/>
      <c r="AE340" s="619"/>
      <c r="AF340" s="619"/>
      <c r="AG340" s="619"/>
      <c r="AH340" s="619"/>
      <c r="AI340" s="619"/>
      <c r="AJ340" s="619"/>
      <c r="AK340" s="619"/>
      <c r="AL340" s="1"/>
    </row>
    <row r="341" spans="1:38" ht="14.25" customHeight="1">
      <c r="A341" s="619"/>
      <c r="B341" s="619"/>
      <c r="C341" s="4"/>
      <c r="D341" s="619"/>
      <c r="E341" s="619"/>
      <c r="F341" s="619"/>
      <c r="G341" s="619"/>
      <c r="H341" s="619"/>
      <c r="I341" s="619"/>
      <c r="J341" s="619"/>
      <c r="K341" s="619"/>
      <c r="L341" s="619"/>
      <c r="M341" s="619"/>
      <c r="N341" s="619"/>
      <c r="O341" s="619"/>
      <c r="P341" s="619"/>
      <c r="Q341" s="619"/>
      <c r="R341" s="619"/>
      <c r="S341" s="619"/>
      <c r="T341" s="619"/>
      <c r="U341" s="619"/>
      <c r="V341" s="619"/>
      <c r="W341" s="619"/>
      <c r="X341" s="619"/>
      <c r="Y341" s="619"/>
      <c r="Z341" s="619"/>
      <c r="AA341" s="619"/>
      <c r="AB341" s="619"/>
      <c r="AC341" s="619"/>
      <c r="AD341" s="619"/>
      <c r="AE341" s="619"/>
      <c r="AF341" s="619"/>
      <c r="AG341" s="619"/>
      <c r="AH341" s="619"/>
      <c r="AI341" s="619"/>
      <c r="AJ341" s="619"/>
      <c r="AK341" s="619"/>
      <c r="AL341" s="1"/>
    </row>
    <row r="342" spans="1:38" ht="14.25" customHeight="1">
      <c r="A342" s="619"/>
      <c r="B342" s="619"/>
      <c r="C342" s="4"/>
      <c r="D342" s="619"/>
      <c r="E342" s="619"/>
      <c r="F342" s="619"/>
      <c r="G342" s="619"/>
      <c r="H342" s="619"/>
      <c r="I342" s="619"/>
      <c r="J342" s="619"/>
      <c r="K342" s="619"/>
      <c r="L342" s="619"/>
      <c r="M342" s="619"/>
      <c r="N342" s="619"/>
      <c r="O342" s="619"/>
      <c r="P342" s="619"/>
      <c r="Q342" s="619"/>
      <c r="R342" s="619"/>
      <c r="S342" s="619"/>
      <c r="T342" s="619"/>
      <c r="U342" s="619"/>
      <c r="V342" s="619"/>
      <c r="W342" s="619"/>
      <c r="X342" s="619"/>
      <c r="Y342" s="619"/>
      <c r="Z342" s="619"/>
      <c r="AA342" s="619"/>
      <c r="AB342" s="619"/>
      <c r="AC342" s="619"/>
      <c r="AD342" s="619"/>
      <c r="AE342" s="619"/>
      <c r="AF342" s="619"/>
      <c r="AG342" s="619"/>
      <c r="AH342" s="619"/>
      <c r="AI342" s="619"/>
      <c r="AJ342" s="619"/>
      <c r="AK342" s="619"/>
      <c r="AL342" s="1"/>
    </row>
    <row r="343" spans="1:38" ht="14.25" customHeight="1">
      <c r="A343" s="619"/>
      <c r="B343" s="619"/>
      <c r="C343" s="4"/>
      <c r="D343" s="619"/>
      <c r="E343" s="619"/>
      <c r="F343" s="619"/>
      <c r="G343" s="619"/>
      <c r="H343" s="619"/>
      <c r="I343" s="619"/>
      <c r="J343" s="619"/>
      <c r="K343" s="619"/>
      <c r="L343" s="619"/>
      <c r="M343" s="619"/>
      <c r="N343" s="619"/>
      <c r="O343" s="619"/>
      <c r="P343" s="619"/>
      <c r="Q343" s="619"/>
      <c r="R343" s="619"/>
      <c r="S343" s="619"/>
      <c r="T343" s="619"/>
      <c r="U343" s="619"/>
      <c r="V343" s="619"/>
      <c r="W343" s="619"/>
      <c r="X343" s="619"/>
      <c r="Y343" s="619"/>
      <c r="Z343" s="619"/>
      <c r="AA343" s="619"/>
      <c r="AB343" s="619"/>
      <c r="AC343" s="619"/>
      <c r="AD343" s="619"/>
      <c r="AE343" s="619"/>
      <c r="AF343" s="619"/>
      <c r="AG343" s="619"/>
      <c r="AH343" s="619"/>
      <c r="AI343" s="619"/>
      <c r="AJ343" s="619"/>
      <c r="AK343" s="619"/>
      <c r="AL343" s="1"/>
    </row>
    <row r="344" spans="1:38" ht="14.25" customHeight="1">
      <c r="A344" s="619"/>
      <c r="B344" s="619"/>
      <c r="C344" s="4"/>
      <c r="D344" s="619"/>
      <c r="E344" s="619"/>
      <c r="F344" s="619"/>
      <c r="G344" s="619"/>
      <c r="H344" s="619"/>
      <c r="I344" s="619"/>
      <c r="J344" s="619"/>
      <c r="K344" s="619"/>
      <c r="L344" s="619"/>
      <c r="M344" s="619"/>
      <c r="N344" s="619"/>
      <c r="O344" s="619"/>
      <c r="P344" s="619"/>
      <c r="Q344" s="619"/>
      <c r="R344" s="619"/>
      <c r="S344" s="619"/>
      <c r="T344" s="619"/>
      <c r="U344" s="619"/>
      <c r="V344" s="619"/>
      <c r="W344" s="619"/>
      <c r="X344" s="619"/>
      <c r="Y344" s="619"/>
      <c r="Z344" s="619"/>
      <c r="AA344" s="619"/>
      <c r="AB344" s="619"/>
      <c r="AC344" s="619"/>
      <c r="AD344" s="619"/>
      <c r="AE344" s="619"/>
      <c r="AF344" s="619"/>
      <c r="AG344" s="619"/>
      <c r="AH344" s="619"/>
      <c r="AI344" s="619"/>
      <c r="AJ344" s="619"/>
      <c r="AK344" s="619"/>
      <c r="AL344" s="1"/>
    </row>
    <row r="345" spans="1:38" ht="14.25" customHeight="1">
      <c r="A345" s="619"/>
      <c r="B345" s="619"/>
      <c r="C345" s="4"/>
      <c r="D345" s="619"/>
      <c r="E345" s="619"/>
      <c r="F345" s="619"/>
      <c r="G345" s="619"/>
      <c r="H345" s="619"/>
      <c r="I345" s="619"/>
      <c r="J345" s="619"/>
      <c r="K345" s="619"/>
      <c r="L345" s="619"/>
      <c r="M345" s="619"/>
      <c r="N345" s="619"/>
      <c r="O345" s="619"/>
      <c r="P345" s="619"/>
      <c r="Q345" s="619"/>
      <c r="R345" s="619"/>
      <c r="S345" s="619"/>
      <c r="T345" s="619"/>
      <c r="U345" s="619"/>
      <c r="V345" s="619"/>
      <c r="W345" s="619"/>
      <c r="X345" s="619"/>
      <c r="Y345" s="619"/>
      <c r="Z345" s="619"/>
      <c r="AA345" s="619"/>
      <c r="AB345" s="619"/>
      <c r="AC345" s="619"/>
      <c r="AD345" s="619"/>
      <c r="AE345" s="619"/>
      <c r="AF345" s="619"/>
      <c r="AG345" s="619"/>
      <c r="AH345" s="619"/>
      <c r="AI345" s="619"/>
      <c r="AJ345" s="619"/>
      <c r="AK345" s="619"/>
      <c r="AL345" s="1"/>
    </row>
    <row r="346" spans="1:38" ht="14.25" customHeight="1">
      <c r="A346" s="619"/>
      <c r="B346" s="619"/>
      <c r="C346" s="4"/>
      <c r="D346" s="619"/>
      <c r="E346" s="619"/>
      <c r="F346" s="619"/>
      <c r="G346" s="619"/>
      <c r="H346" s="619"/>
      <c r="I346" s="619"/>
      <c r="J346" s="619"/>
      <c r="K346" s="619"/>
      <c r="L346" s="619"/>
      <c r="M346" s="619"/>
      <c r="N346" s="619"/>
      <c r="O346" s="619"/>
      <c r="P346" s="619"/>
      <c r="Q346" s="619"/>
      <c r="R346" s="619"/>
      <c r="S346" s="619"/>
      <c r="T346" s="619"/>
      <c r="U346" s="619"/>
      <c r="V346" s="619"/>
      <c r="W346" s="619"/>
      <c r="X346" s="619"/>
      <c r="Y346" s="619"/>
      <c r="Z346" s="619"/>
      <c r="AA346" s="619"/>
      <c r="AB346" s="619"/>
      <c r="AC346" s="619"/>
      <c r="AD346" s="619"/>
      <c r="AE346" s="619"/>
      <c r="AF346" s="619"/>
      <c r="AG346" s="619"/>
      <c r="AH346" s="619"/>
      <c r="AI346" s="619"/>
      <c r="AJ346" s="619"/>
      <c r="AK346" s="619"/>
      <c r="AL346" s="1"/>
    </row>
    <row r="347" spans="1:38" ht="14.25" customHeight="1">
      <c r="A347" s="619"/>
      <c r="B347" s="619"/>
      <c r="C347" s="4"/>
      <c r="D347" s="619"/>
      <c r="E347" s="619"/>
      <c r="F347" s="619"/>
      <c r="G347" s="619"/>
      <c r="H347" s="619"/>
      <c r="I347" s="619"/>
      <c r="J347" s="619"/>
      <c r="K347" s="619"/>
      <c r="L347" s="619"/>
      <c r="M347" s="619"/>
      <c r="N347" s="619"/>
      <c r="O347" s="619"/>
      <c r="P347" s="619"/>
      <c r="Q347" s="619"/>
      <c r="R347" s="619"/>
      <c r="S347" s="619"/>
      <c r="T347" s="619"/>
      <c r="U347" s="619"/>
      <c r="V347" s="619"/>
      <c r="W347" s="619"/>
      <c r="X347" s="619"/>
      <c r="Y347" s="619"/>
      <c r="Z347" s="619"/>
      <c r="AA347" s="619"/>
      <c r="AB347" s="619"/>
      <c r="AC347" s="619"/>
      <c r="AD347" s="619"/>
      <c r="AE347" s="619"/>
      <c r="AF347" s="619"/>
      <c r="AG347" s="619"/>
      <c r="AH347" s="619"/>
      <c r="AI347" s="619"/>
      <c r="AJ347" s="619"/>
      <c r="AK347" s="619"/>
      <c r="AL347" s="1"/>
    </row>
    <row r="348" spans="1:38" ht="14.25" customHeight="1">
      <c r="A348" s="619"/>
      <c r="B348" s="619"/>
      <c r="C348" s="4"/>
      <c r="D348" s="619"/>
      <c r="E348" s="619"/>
      <c r="F348" s="619"/>
      <c r="G348" s="619"/>
      <c r="H348" s="619"/>
      <c r="I348" s="619"/>
      <c r="J348" s="619"/>
      <c r="K348" s="619"/>
      <c r="L348" s="619"/>
      <c r="M348" s="619"/>
      <c r="N348" s="619"/>
      <c r="O348" s="619"/>
      <c r="P348" s="619"/>
      <c r="Q348" s="619"/>
      <c r="R348" s="619"/>
      <c r="S348" s="619"/>
      <c r="T348" s="619"/>
      <c r="U348" s="619"/>
      <c r="V348" s="619"/>
      <c r="W348" s="619"/>
      <c r="X348" s="619"/>
      <c r="Y348" s="619"/>
      <c r="Z348" s="619"/>
      <c r="AA348" s="619"/>
      <c r="AB348" s="619"/>
      <c r="AC348" s="619"/>
      <c r="AD348" s="619"/>
      <c r="AE348" s="619"/>
      <c r="AF348" s="619"/>
      <c r="AG348" s="619"/>
      <c r="AH348" s="619"/>
      <c r="AI348" s="619"/>
      <c r="AJ348" s="619"/>
      <c r="AK348" s="619"/>
      <c r="AL348" s="1"/>
    </row>
    <row r="349" spans="1:38" ht="14.25" customHeight="1">
      <c r="A349" s="619"/>
      <c r="B349" s="619"/>
      <c r="C349" s="4"/>
      <c r="D349" s="619"/>
      <c r="E349" s="619"/>
      <c r="F349" s="619"/>
      <c r="G349" s="619"/>
      <c r="H349" s="619"/>
      <c r="I349" s="619"/>
      <c r="J349" s="619"/>
      <c r="K349" s="619"/>
      <c r="L349" s="619"/>
      <c r="M349" s="619"/>
      <c r="N349" s="619"/>
      <c r="O349" s="619"/>
      <c r="P349" s="619"/>
      <c r="Q349" s="619"/>
      <c r="R349" s="619"/>
      <c r="S349" s="619"/>
      <c r="T349" s="619"/>
      <c r="U349" s="619"/>
      <c r="V349" s="619"/>
      <c r="W349" s="619"/>
      <c r="X349" s="619"/>
      <c r="Y349" s="619"/>
      <c r="Z349" s="619"/>
      <c r="AA349" s="619"/>
      <c r="AB349" s="619"/>
      <c r="AC349" s="619"/>
      <c r="AD349" s="619"/>
      <c r="AE349" s="619"/>
      <c r="AF349" s="619"/>
      <c r="AG349" s="619"/>
      <c r="AH349" s="619"/>
      <c r="AI349" s="619"/>
      <c r="AJ349" s="619"/>
      <c r="AK349" s="619"/>
      <c r="AL349" s="1"/>
    </row>
    <row r="350" spans="1:38" ht="14.25" customHeight="1">
      <c r="A350" s="619"/>
      <c r="B350" s="619"/>
      <c r="C350" s="4"/>
      <c r="D350" s="619"/>
      <c r="E350" s="619"/>
      <c r="F350" s="619"/>
      <c r="G350" s="619"/>
      <c r="H350" s="619"/>
      <c r="I350" s="619"/>
      <c r="J350" s="619"/>
      <c r="K350" s="619"/>
      <c r="L350" s="619"/>
      <c r="M350" s="619"/>
      <c r="N350" s="619"/>
      <c r="O350" s="619"/>
      <c r="P350" s="619"/>
      <c r="Q350" s="619"/>
      <c r="R350" s="619"/>
      <c r="S350" s="619"/>
      <c r="T350" s="619"/>
      <c r="U350" s="619"/>
      <c r="V350" s="619"/>
      <c r="W350" s="619"/>
      <c r="X350" s="619"/>
      <c r="Y350" s="619"/>
      <c r="Z350" s="619"/>
      <c r="AA350" s="619"/>
      <c r="AB350" s="619"/>
      <c r="AC350" s="619"/>
      <c r="AD350" s="619"/>
      <c r="AE350" s="619"/>
      <c r="AF350" s="619"/>
      <c r="AG350" s="619"/>
      <c r="AH350" s="619"/>
      <c r="AI350" s="619"/>
      <c r="AJ350" s="619"/>
      <c r="AK350" s="619"/>
      <c r="AL350" s="1"/>
    </row>
    <row r="351" spans="1:38" ht="14.25" customHeight="1">
      <c r="A351" s="619"/>
      <c r="B351" s="619"/>
      <c r="C351" s="4"/>
      <c r="D351" s="619"/>
      <c r="E351" s="619"/>
      <c r="F351" s="619"/>
      <c r="G351" s="619"/>
      <c r="H351" s="619"/>
      <c r="I351" s="619"/>
      <c r="J351" s="619"/>
      <c r="K351" s="619"/>
      <c r="L351" s="619"/>
      <c r="M351" s="619"/>
      <c r="N351" s="619"/>
      <c r="O351" s="619"/>
      <c r="P351" s="619"/>
      <c r="Q351" s="619"/>
      <c r="R351" s="619"/>
      <c r="S351" s="619"/>
      <c r="T351" s="619"/>
      <c r="U351" s="619"/>
      <c r="V351" s="619"/>
      <c r="W351" s="619"/>
      <c r="X351" s="619"/>
      <c r="Y351" s="619"/>
      <c r="Z351" s="619"/>
      <c r="AA351" s="619"/>
      <c r="AB351" s="619"/>
      <c r="AC351" s="619"/>
      <c r="AD351" s="619"/>
      <c r="AE351" s="619"/>
      <c r="AF351" s="619"/>
      <c r="AG351" s="619"/>
      <c r="AH351" s="619"/>
      <c r="AI351" s="619"/>
      <c r="AJ351" s="619"/>
      <c r="AK351" s="619"/>
      <c r="AL351" s="1"/>
    </row>
    <row r="352" spans="1:38" ht="14.25" customHeight="1">
      <c r="A352" s="619"/>
      <c r="B352" s="619"/>
      <c r="C352" s="4"/>
      <c r="D352" s="619"/>
      <c r="E352" s="619"/>
      <c r="F352" s="619"/>
      <c r="G352" s="619"/>
      <c r="H352" s="619"/>
      <c r="I352" s="619"/>
      <c r="J352" s="619"/>
      <c r="K352" s="619"/>
      <c r="L352" s="619"/>
      <c r="M352" s="619"/>
      <c r="N352" s="619"/>
      <c r="O352" s="619"/>
      <c r="P352" s="619"/>
      <c r="Q352" s="619"/>
      <c r="R352" s="619"/>
      <c r="S352" s="619"/>
      <c r="T352" s="619"/>
      <c r="U352" s="619"/>
      <c r="V352" s="619"/>
      <c r="W352" s="619"/>
      <c r="X352" s="619"/>
      <c r="Y352" s="619"/>
      <c r="Z352" s="619"/>
      <c r="AA352" s="619"/>
      <c r="AB352" s="619"/>
      <c r="AC352" s="619"/>
      <c r="AD352" s="619"/>
      <c r="AE352" s="619"/>
      <c r="AF352" s="619"/>
      <c r="AG352" s="619"/>
      <c r="AH352" s="619"/>
      <c r="AI352" s="619"/>
      <c r="AJ352" s="619"/>
      <c r="AK352" s="619"/>
      <c r="AL352" s="1"/>
    </row>
    <row r="353" spans="1:38" ht="14.25" customHeight="1">
      <c r="A353" s="619"/>
      <c r="B353" s="619"/>
      <c r="C353" s="4"/>
      <c r="D353" s="619"/>
      <c r="E353" s="619"/>
      <c r="F353" s="619"/>
      <c r="G353" s="619"/>
      <c r="H353" s="619"/>
      <c r="I353" s="619"/>
      <c r="J353" s="619"/>
      <c r="K353" s="619"/>
      <c r="L353" s="619"/>
      <c r="M353" s="619"/>
      <c r="N353" s="619"/>
      <c r="O353" s="619"/>
      <c r="P353" s="619"/>
      <c r="Q353" s="619"/>
      <c r="R353" s="619"/>
      <c r="S353" s="619"/>
      <c r="T353" s="619"/>
      <c r="U353" s="619"/>
      <c r="V353" s="619"/>
      <c r="W353" s="619"/>
      <c r="X353" s="619"/>
      <c r="Y353" s="619"/>
      <c r="Z353" s="619"/>
      <c r="AA353" s="619"/>
      <c r="AB353" s="619"/>
      <c r="AC353" s="619"/>
      <c r="AD353" s="619"/>
      <c r="AE353" s="619"/>
      <c r="AF353" s="619"/>
      <c r="AG353" s="619"/>
      <c r="AH353" s="619"/>
      <c r="AI353" s="619"/>
      <c r="AJ353" s="619"/>
      <c r="AK353" s="619"/>
      <c r="AL353" s="1"/>
    </row>
    <row r="354" spans="1:38" ht="14.25" customHeight="1">
      <c r="A354" s="619"/>
      <c r="B354" s="619"/>
      <c r="C354" s="4"/>
      <c r="D354" s="619"/>
      <c r="E354" s="619"/>
      <c r="F354" s="619"/>
      <c r="G354" s="619"/>
      <c r="H354" s="619"/>
      <c r="I354" s="619"/>
      <c r="J354" s="619"/>
      <c r="K354" s="619"/>
      <c r="L354" s="619"/>
      <c r="M354" s="619"/>
      <c r="N354" s="619"/>
      <c r="O354" s="619"/>
      <c r="P354" s="619"/>
      <c r="Q354" s="619"/>
      <c r="R354" s="619"/>
      <c r="S354" s="619"/>
      <c r="T354" s="619"/>
      <c r="U354" s="619"/>
      <c r="V354" s="619"/>
      <c r="W354" s="619"/>
      <c r="X354" s="619"/>
      <c r="Y354" s="619"/>
      <c r="Z354" s="619"/>
      <c r="AA354" s="619"/>
      <c r="AB354" s="619"/>
      <c r="AC354" s="619"/>
      <c r="AD354" s="619"/>
      <c r="AE354" s="619"/>
      <c r="AF354" s="619"/>
      <c r="AG354" s="619"/>
      <c r="AH354" s="619"/>
      <c r="AI354" s="619"/>
      <c r="AJ354" s="619"/>
      <c r="AK354" s="619"/>
      <c r="AL354" s="1"/>
    </row>
    <row r="355" spans="1:38" ht="14.25" customHeight="1">
      <c r="A355" s="619"/>
      <c r="B355" s="619"/>
      <c r="C355" s="4"/>
      <c r="D355" s="619"/>
      <c r="E355" s="619"/>
      <c r="F355" s="619"/>
      <c r="G355" s="619"/>
      <c r="H355" s="619"/>
      <c r="I355" s="619"/>
      <c r="J355" s="619"/>
      <c r="K355" s="619"/>
      <c r="L355" s="619"/>
      <c r="M355" s="619"/>
      <c r="N355" s="619"/>
      <c r="O355" s="619"/>
      <c r="P355" s="619"/>
      <c r="Q355" s="619"/>
      <c r="R355" s="619"/>
      <c r="S355" s="619"/>
      <c r="T355" s="619"/>
      <c r="U355" s="619"/>
      <c r="V355" s="619"/>
      <c r="W355" s="619"/>
      <c r="X355" s="619"/>
      <c r="Y355" s="619"/>
      <c r="Z355" s="619"/>
      <c r="AA355" s="619"/>
      <c r="AB355" s="619"/>
      <c r="AC355" s="619"/>
      <c r="AD355" s="619"/>
      <c r="AE355" s="619"/>
      <c r="AF355" s="619"/>
      <c r="AG355" s="619"/>
      <c r="AH355" s="619"/>
      <c r="AI355" s="619"/>
      <c r="AJ355" s="619"/>
      <c r="AK355" s="619"/>
      <c r="AL355" s="1"/>
    </row>
    <row r="356" spans="1:38" ht="14.25" customHeight="1">
      <c r="A356" s="619"/>
      <c r="B356" s="619"/>
      <c r="C356" s="4"/>
      <c r="D356" s="619"/>
      <c r="E356" s="619"/>
      <c r="F356" s="619"/>
      <c r="G356" s="619"/>
      <c r="H356" s="619"/>
      <c r="I356" s="619"/>
      <c r="J356" s="619"/>
      <c r="K356" s="619"/>
      <c r="L356" s="619"/>
      <c r="M356" s="619"/>
      <c r="N356" s="619"/>
      <c r="O356" s="619"/>
      <c r="P356" s="619"/>
      <c r="Q356" s="619"/>
      <c r="R356" s="619"/>
      <c r="S356" s="619"/>
      <c r="T356" s="619"/>
      <c r="U356" s="619"/>
      <c r="V356" s="619"/>
      <c r="W356" s="619"/>
      <c r="X356" s="619"/>
      <c r="Y356" s="619"/>
      <c r="Z356" s="619"/>
      <c r="AA356" s="619"/>
      <c r="AB356" s="619"/>
      <c r="AC356" s="619"/>
      <c r="AD356" s="619"/>
      <c r="AE356" s="619"/>
      <c r="AF356" s="619"/>
      <c r="AG356" s="619"/>
      <c r="AH356" s="619"/>
      <c r="AI356" s="619"/>
      <c r="AJ356" s="619"/>
      <c r="AK356" s="619"/>
      <c r="AL356" s="1"/>
    </row>
    <row r="357" spans="1:38" ht="14.25" customHeight="1">
      <c r="A357" s="619"/>
      <c r="B357" s="619"/>
      <c r="C357" s="4"/>
      <c r="D357" s="619"/>
      <c r="E357" s="619"/>
      <c r="F357" s="619"/>
      <c r="G357" s="619"/>
      <c r="H357" s="619"/>
      <c r="I357" s="619"/>
      <c r="J357" s="619"/>
      <c r="K357" s="619"/>
      <c r="L357" s="619"/>
      <c r="M357" s="619"/>
      <c r="N357" s="619"/>
      <c r="O357" s="619"/>
      <c r="P357" s="619"/>
      <c r="Q357" s="619"/>
      <c r="R357" s="619"/>
      <c r="S357" s="619"/>
      <c r="T357" s="619"/>
      <c r="U357" s="619"/>
      <c r="V357" s="619"/>
      <c r="W357" s="619"/>
      <c r="X357" s="619"/>
      <c r="Y357" s="619"/>
      <c r="Z357" s="619"/>
      <c r="AA357" s="619"/>
      <c r="AB357" s="619"/>
      <c r="AC357" s="619"/>
      <c r="AD357" s="619"/>
      <c r="AE357" s="619"/>
      <c r="AF357" s="619"/>
      <c r="AG357" s="619"/>
      <c r="AH357" s="619"/>
      <c r="AI357" s="619"/>
      <c r="AJ357" s="619"/>
      <c r="AK357" s="619"/>
      <c r="AL357" s="1"/>
    </row>
    <row r="358" spans="1:38" ht="14.25" customHeight="1">
      <c r="A358" s="619"/>
      <c r="B358" s="619"/>
      <c r="C358" s="4"/>
      <c r="D358" s="619"/>
      <c r="E358" s="619"/>
      <c r="F358" s="619"/>
      <c r="G358" s="619"/>
      <c r="H358" s="619"/>
      <c r="I358" s="619"/>
      <c r="J358" s="619"/>
      <c r="K358" s="619"/>
      <c r="L358" s="619"/>
      <c r="M358" s="619"/>
      <c r="N358" s="619"/>
      <c r="O358" s="619"/>
      <c r="P358" s="619"/>
      <c r="Q358" s="619"/>
      <c r="R358" s="619"/>
      <c r="S358" s="619"/>
      <c r="T358" s="619"/>
      <c r="U358" s="619"/>
      <c r="V358" s="619"/>
      <c r="W358" s="619"/>
      <c r="X358" s="619"/>
      <c r="Y358" s="619"/>
      <c r="Z358" s="619"/>
      <c r="AA358" s="619"/>
      <c r="AB358" s="619"/>
      <c r="AC358" s="619"/>
      <c r="AD358" s="619"/>
      <c r="AE358" s="619"/>
      <c r="AF358" s="619"/>
      <c r="AG358" s="619"/>
      <c r="AH358" s="619"/>
      <c r="AI358" s="619"/>
      <c r="AJ358" s="619"/>
      <c r="AK358" s="619"/>
      <c r="AL358" s="1"/>
    </row>
    <row r="359" spans="1:38" ht="14.25" customHeight="1">
      <c r="A359" s="619"/>
      <c r="B359" s="619"/>
      <c r="C359" s="4"/>
      <c r="D359" s="619"/>
      <c r="E359" s="619"/>
      <c r="F359" s="619"/>
      <c r="G359" s="619"/>
      <c r="H359" s="619"/>
      <c r="I359" s="619"/>
      <c r="J359" s="619"/>
      <c r="K359" s="619"/>
      <c r="L359" s="619"/>
      <c r="M359" s="619"/>
      <c r="N359" s="619"/>
      <c r="O359" s="619"/>
      <c r="P359" s="619"/>
      <c r="Q359" s="619"/>
      <c r="R359" s="619"/>
      <c r="S359" s="619"/>
      <c r="T359" s="619"/>
      <c r="U359" s="619"/>
      <c r="V359" s="619"/>
      <c r="W359" s="619"/>
      <c r="X359" s="619"/>
      <c r="Y359" s="619"/>
      <c r="Z359" s="619"/>
      <c r="AA359" s="619"/>
      <c r="AB359" s="619"/>
      <c r="AC359" s="619"/>
      <c r="AD359" s="619"/>
      <c r="AE359" s="619"/>
      <c r="AF359" s="619"/>
      <c r="AG359" s="619"/>
      <c r="AH359" s="619"/>
      <c r="AI359" s="619"/>
      <c r="AJ359" s="619"/>
      <c r="AK359" s="619"/>
      <c r="AL359" s="1"/>
    </row>
    <row r="360" spans="1:38" ht="14.25" customHeight="1">
      <c r="A360" s="619"/>
      <c r="B360" s="619"/>
      <c r="C360" s="4"/>
      <c r="D360" s="619"/>
      <c r="E360" s="619"/>
      <c r="F360" s="619"/>
      <c r="G360" s="619"/>
      <c r="H360" s="619"/>
      <c r="I360" s="619"/>
      <c r="J360" s="619"/>
      <c r="K360" s="619"/>
      <c r="L360" s="619"/>
      <c r="M360" s="619"/>
      <c r="N360" s="619"/>
      <c r="O360" s="619"/>
      <c r="P360" s="619"/>
      <c r="Q360" s="619"/>
      <c r="R360" s="619"/>
      <c r="S360" s="619"/>
      <c r="T360" s="619"/>
      <c r="U360" s="619"/>
      <c r="V360" s="619"/>
      <c r="W360" s="619"/>
      <c r="X360" s="619"/>
      <c r="Y360" s="619"/>
      <c r="Z360" s="619"/>
      <c r="AA360" s="619"/>
      <c r="AB360" s="619"/>
      <c r="AC360" s="619"/>
      <c r="AD360" s="619"/>
      <c r="AE360" s="619"/>
      <c r="AF360" s="619"/>
      <c r="AG360" s="619"/>
      <c r="AH360" s="619"/>
      <c r="AI360" s="619"/>
      <c r="AJ360" s="619"/>
      <c r="AK360" s="619"/>
      <c r="AL360" s="1"/>
    </row>
    <row r="361" spans="1:38" ht="14.25" customHeight="1">
      <c r="A361" s="619"/>
      <c r="B361" s="619"/>
      <c r="C361" s="4"/>
      <c r="D361" s="619"/>
      <c r="E361" s="619"/>
      <c r="F361" s="619"/>
      <c r="G361" s="619"/>
      <c r="H361" s="619"/>
      <c r="I361" s="619"/>
      <c r="J361" s="619"/>
      <c r="K361" s="619"/>
      <c r="L361" s="619"/>
      <c r="M361" s="619"/>
      <c r="N361" s="619"/>
      <c r="O361" s="619"/>
      <c r="P361" s="619"/>
      <c r="Q361" s="619"/>
      <c r="R361" s="619"/>
      <c r="S361" s="619"/>
      <c r="T361" s="619"/>
      <c r="U361" s="619"/>
      <c r="V361" s="619"/>
      <c r="W361" s="619"/>
      <c r="X361" s="619"/>
      <c r="Y361" s="619"/>
      <c r="Z361" s="619"/>
      <c r="AA361" s="619"/>
      <c r="AB361" s="619"/>
      <c r="AC361" s="619"/>
      <c r="AD361" s="619"/>
      <c r="AE361" s="619"/>
      <c r="AF361" s="619"/>
      <c r="AG361" s="619"/>
      <c r="AH361" s="619"/>
      <c r="AI361" s="619"/>
      <c r="AJ361" s="619"/>
      <c r="AK361" s="619"/>
      <c r="AL361" s="1"/>
    </row>
    <row r="362" spans="1:38" ht="14.25" customHeight="1">
      <c r="A362" s="619"/>
      <c r="B362" s="619"/>
      <c r="C362" s="4"/>
      <c r="D362" s="619"/>
      <c r="E362" s="619"/>
      <c r="F362" s="619"/>
      <c r="G362" s="619"/>
      <c r="H362" s="619"/>
      <c r="I362" s="619"/>
      <c r="J362" s="619"/>
      <c r="K362" s="619"/>
      <c r="L362" s="619"/>
      <c r="M362" s="619"/>
      <c r="N362" s="619"/>
      <c r="O362" s="619"/>
      <c r="P362" s="619"/>
      <c r="Q362" s="619"/>
      <c r="R362" s="619"/>
      <c r="S362" s="619"/>
      <c r="T362" s="619"/>
      <c r="U362" s="619"/>
      <c r="V362" s="619"/>
      <c r="W362" s="619"/>
      <c r="X362" s="619"/>
      <c r="Y362" s="619"/>
      <c r="Z362" s="619"/>
      <c r="AA362" s="619"/>
      <c r="AB362" s="619"/>
      <c r="AC362" s="619"/>
      <c r="AD362" s="619"/>
      <c r="AE362" s="619"/>
      <c r="AF362" s="619"/>
      <c r="AG362" s="619"/>
      <c r="AH362" s="619"/>
      <c r="AI362" s="619"/>
      <c r="AJ362" s="619"/>
      <c r="AK362" s="619"/>
      <c r="AL362" s="1"/>
    </row>
    <row r="363" spans="1:38" ht="14.25" customHeight="1">
      <c r="A363" s="619"/>
      <c r="B363" s="619"/>
      <c r="C363" s="4"/>
      <c r="D363" s="619"/>
      <c r="E363" s="619"/>
      <c r="F363" s="619"/>
      <c r="G363" s="619"/>
      <c r="H363" s="619"/>
      <c r="I363" s="619"/>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c r="AH363" s="619"/>
      <c r="AI363" s="619"/>
      <c r="AJ363" s="619"/>
      <c r="AK363" s="619"/>
      <c r="AL363" s="1"/>
    </row>
    <row r="364" spans="1:38" ht="14.25" customHeight="1">
      <c r="A364" s="619"/>
      <c r="B364" s="619"/>
      <c r="C364" s="4"/>
      <c r="D364" s="619"/>
      <c r="E364" s="619"/>
      <c r="F364" s="619"/>
      <c r="G364" s="619"/>
      <c r="H364" s="619"/>
      <c r="I364" s="619"/>
      <c r="J364" s="619"/>
      <c r="K364" s="619"/>
      <c r="L364" s="619"/>
      <c r="M364" s="619"/>
      <c r="N364" s="619"/>
      <c r="O364" s="619"/>
      <c r="P364" s="619"/>
      <c r="Q364" s="619"/>
      <c r="R364" s="619"/>
      <c r="S364" s="619"/>
      <c r="T364" s="619"/>
      <c r="U364" s="619"/>
      <c r="V364" s="619"/>
      <c r="W364" s="619"/>
      <c r="X364" s="619"/>
      <c r="Y364" s="619"/>
      <c r="Z364" s="619"/>
      <c r="AA364" s="619"/>
      <c r="AB364" s="619"/>
      <c r="AC364" s="619"/>
      <c r="AD364" s="619"/>
      <c r="AE364" s="619"/>
      <c r="AF364" s="619"/>
      <c r="AG364" s="619"/>
      <c r="AH364" s="619"/>
      <c r="AI364" s="619"/>
      <c r="AJ364" s="619"/>
      <c r="AK364" s="619"/>
      <c r="AL364" s="1"/>
    </row>
    <row r="365" spans="1:38" ht="14.25" customHeight="1">
      <c r="A365" s="619"/>
      <c r="B365" s="619"/>
      <c r="C365" s="4"/>
      <c r="D365" s="619"/>
      <c r="E365" s="619"/>
      <c r="F365" s="619"/>
      <c r="G365" s="619"/>
      <c r="H365" s="619"/>
      <c r="I365" s="619"/>
      <c r="J365" s="619"/>
      <c r="K365" s="619"/>
      <c r="L365" s="619"/>
      <c r="M365" s="619"/>
      <c r="N365" s="619"/>
      <c r="O365" s="619"/>
      <c r="P365" s="619"/>
      <c r="Q365" s="619"/>
      <c r="R365" s="619"/>
      <c r="S365" s="619"/>
      <c r="T365" s="619"/>
      <c r="U365" s="619"/>
      <c r="V365" s="619"/>
      <c r="W365" s="619"/>
      <c r="X365" s="619"/>
      <c r="Y365" s="619"/>
      <c r="Z365" s="619"/>
      <c r="AA365" s="619"/>
      <c r="AB365" s="619"/>
      <c r="AC365" s="619"/>
      <c r="AD365" s="619"/>
      <c r="AE365" s="619"/>
      <c r="AF365" s="619"/>
      <c r="AG365" s="619"/>
      <c r="AH365" s="619"/>
      <c r="AI365" s="619"/>
      <c r="AJ365" s="619"/>
      <c r="AK365" s="619"/>
      <c r="AL365" s="1"/>
    </row>
    <row r="366" spans="1:38" ht="14.25" customHeight="1">
      <c r="A366" s="619"/>
      <c r="B366" s="619"/>
      <c r="C366" s="4"/>
      <c r="D366" s="619"/>
      <c r="E366" s="619"/>
      <c r="F366" s="619"/>
      <c r="G366" s="619"/>
      <c r="H366" s="619"/>
      <c r="I366" s="619"/>
      <c r="J366" s="619"/>
      <c r="K366" s="619"/>
      <c r="L366" s="619"/>
      <c r="M366" s="619"/>
      <c r="N366" s="619"/>
      <c r="O366" s="619"/>
      <c r="P366" s="619"/>
      <c r="Q366" s="619"/>
      <c r="R366" s="619"/>
      <c r="S366" s="619"/>
      <c r="T366" s="619"/>
      <c r="U366" s="619"/>
      <c r="V366" s="619"/>
      <c r="W366" s="619"/>
      <c r="X366" s="619"/>
      <c r="Y366" s="619"/>
      <c r="Z366" s="619"/>
      <c r="AA366" s="619"/>
      <c r="AB366" s="619"/>
      <c r="AC366" s="619"/>
      <c r="AD366" s="619"/>
      <c r="AE366" s="619"/>
      <c r="AF366" s="619"/>
      <c r="AG366" s="619"/>
      <c r="AH366" s="619"/>
      <c r="AI366" s="619"/>
      <c r="AJ366" s="619"/>
      <c r="AK366" s="619"/>
      <c r="AL366" s="1"/>
    </row>
    <row r="367" spans="1:38" ht="14.25" customHeight="1">
      <c r="A367" s="619"/>
      <c r="B367" s="619"/>
      <c r="C367" s="4"/>
      <c r="D367" s="619"/>
      <c r="E367" s="619"/>
      <c r="F367" s="619"/>
      <c r="G367" s="619"/>
      <c r="H367" s="619"/>
      <c r="I367" s="619"/>
      <c r="J367" s="619"/>
      <c r="K367" s="619"/>
      <c r="L367" s="619"/>
      <c r="M367" s="619"/>
      <c r="N367" s="619"/>
      <c r="O367" s="619"/>
      <c r="P367" s="619"/>
      <c r="Q367" s="619"/>
      <c r="R367" s="619"/>
      <c r="S367" s="619"/>
      <c r="T367" s="619"/>
      <c r="U367" s="619"/>
      <c r="V367" s="619"/>
      <c r="W367" s="619"/>
      <c r="X367" s="619"/>
      <c r="Y367" s="619"/>
      <c r="Z367" s="619"/>
      <c r="AA367" s="619"/>
      <c r="AB367" s="619"/>
      <c r="AC367" s="619"/>
      <c r="AD367" s="619"/>
      <c r="AE367" s="619"/>
      <c r="AF367" s="619"/>
      <c r="AG367" s="619"/>
      <c r="AH367" s="619"/>
      <c r="AI367" s="619"/>
      <c r="AJ367" s="619"/>
      <c r="AK367" s="619"/>
      <c r="AL367" s="1"/>
    </row>
    <row r="368" spans="1:38" ht="14.25" customHeight="1">
      <c r="A368" s="619"/>
      <c r="B368" s="619"/>
      <c r="C368" s="4"/>
      <c r="D368" s="619"/>
      <c r="E368" s="619"/>
      <c r="F368" s="619"/>
      <c r="G368" s="619"/>
      <c r="H368" s="619"/>
      <c r="I368" s="619"/>
      <c r="J368" s="619"/>
      <c r="K368" s="619"/>
      <c r="L368" s="619"/>
      <c r="M368" s="619"/>
      <c r="N368" s="619"/>
      <c r="O368" s="619"/>
      <c r="P368" s="619"/>
      <c r="Q368" s="619"/>
      <c r="R368" s="619"/>
      <c r="S368" s="619"/>
      <c r="T368" s="619"/>
      <c r="U368" s="619"/>
      <c r="V368" s="619"/>
      <c r="W368" s="619"/>
      <c r="X368" s="619"/>
      <c r="Y368" s="619"/>
      <c r="Z368" s="619"/>
      <c r="AA368" s="619"/>
      <c r="AB368" s="619"/>
      <c r="AC368" s="619"/>
      <c r="AD368" s="619"/>
      <c r="AE368" s="619"/>
      <c r="AF368" s="619"/>
      <c r="AG368" s="619"/>
      <c r="AH368" s="619"/>
      <c r="AI368" s="619"/>
      <c r="AJ368" s="619"/>
      <c r="AK368" s="619"/>
      <c r="AL368" s="1"/>
    </row>
    <row r="369" spans="1:38" ht="14.25" customHeight="1">
      <c r="A369" s="619"/>
      <c r="B369" s="619"/>
      <c r="C369" s="4"/>
      <c r="D369" s="619"/>
      <c r="E369" s="619"/>
      <c r="F369" s="619"/>
      <c r="G369" s="619"/>
      <c r="H369" s="619"/>
      <c r="I369" s="619"/>
      <c r="J369" s="619"/>
      <c r="K369" s="619"/>
      <c r="L369" s="619"/>
      <c r="M369" s="619"/>
      <c r="N369" s="619"/>
      <c r="O369" s="619"/>
      <c r="P369" s="619"/>
      <c r="Q369" s="619"/>
      <c r="R369" s="619"/>
      <c r="S369" s="619"/>
      <c r="T369" s="619"/>
      <c r="U369" s="619"/>
      <c r="V369" s="619"/>
      <c r="W369" s="619"/>
      <c r="X369" s="619"/>
      <c r="Y369" s="619"/>
      <c r="Z369" s="619"/>
      <c r="AA369" s="619"/>
      <c r="AB369" s="619"/>
      <c r="AC369" s="619"/>
      <c r="AD369" s="619"/>
      <c r="AE369" s="619"/>
      <c r="AF369" s="619"/>
      <c r="AG369" s="619"/>
      <c r="AH369" s="619"/>
      <c r="AI369" s="619"/>
      <c r="AJ369" s="619"/>
      <c r="AK369" s="619"/>
      <c r="AL369" s="1"/>
    </row>
    <row r="370" spans="1:38" ht="14.25" customHeight="1">
      <c r="A370" s="619"/>
      <c r="B370" s="619"/>
      <c r="C370" s="4"/>
      <c r="D370" s="619"/>
      <c r="E370" s="619"/>
      <c r="F370" s="619"/>
      <c r="G370" s="619"/>
      <c r="H370" s="619"/>
      <c r="I370" s="619"/>
      <c r="J370" s="619"/>
      <c r="K370" s="619"/>
      <c r="L370" s="619"/>
      <c r="M370" s="619"/>
      <c r="N370" s="619"/>
      <c r="O370" s="619"/>
      <c r="P370" s="619"/>
      <c r="Q370" s="619"/>
      <c r="R370" s="619"/>
      <c r="S370" s="619"/>
      <c r="T370" s="619"/>
      <c r="U370" s="619"/>
      <c r="V370" s="619"/>
      <c r="W370" s="619"/>
      <c r="X370" s="619"/>
      <c r="Y370" s="619"/>
      <c r="Z370" s="619"/>
      <c r="AA370" s="619"/>
      <c r="AB370" s="619"/>
      <c r="AC370" s="619"/>
      <c r="AD370" s="619"/>
      <c r="AE370" s="619"/>
      <c r="AF370" s="619"/>
      <c r="AG370" s="619"/>
      <c r="AH370" s="619"/>
      <c r="AI370" s="619"/>
      <c r="AJ370" s="619"/>
      <c r="AK370" s="619"/>
      <c r="AL370" s="1"/>
    </row>
    <row r="371" spans="1:38" ht="14.25" customHeight="1">
      <c r="A371" s="619"/>
      <c r="B371" s="619"/>
      <c r="C371" s="4"/>
      <c r="D371" s="619"/>
      <c r="E371" s="619"/>
      <c r="F371" s="619"/>
      <c r="G371" s="619"/>
      <c r="H371" s="619"/>
      <c r="I371" s="619"/>
      <c r="J371" s="619"/>
      <c r="K371" s="619"/>
      <c r="L371" s="619"/>
      <c r="M371" s="619"/>
      <c r="N371" s="619"/>
      <c r="O371" s="619"/>
      <c r="P371" s="619"/>
      <c r="Q371" s="619"/>
      <c r="R371" s="619"/>
      <c r="S371" s="619"/>
      <c r="T371" s="619"/>
      <c r="U371" s="619"/>
      <c r="V371" s="619"/>
      <c r="W371" s="619"/>
      <c r="X371" s="619"/>
      <c r="Y371" s="619"/>
      <c r="Z371" s="619"/>
      <c r="AA371" s="619"/>
      <c r="AB371" s="619"/>
      <c r="AC371" s="619"/>
      <c r="AD371" s="619"/>
      <c r="AE371" s="619"/>
      <c r="AF371" s="619"/>
      <c r="AG371" s="619"/>
      <c r="AH371" s="619"/>
      <c r="AI371" s="619"/>
      <c r="AJ371" s="619"/>
      <c r="AK371" s="619"/>
      <c r="AL371" s="1"/>
    </row>
    <row r="372" spans="1:38" ht="14.25" customHeight="1">
      <c r="A372" s="619"/>
      <c r="B372" s="619"/>
      <c r="C372" s="4"/>
      <c r="D372" s="619"/>
      <c r="E372" s="619"/>
      <c r="F372" s="619"/>
      <c r="G372" s="619"/>
      <c r="H372" s="619"/>
      <c r="I372" s="619"/>
      <c r="J372" s="619"/>
      <c r="K372" s="619"/>
      <c r="L372" s="619"/>
      <c r="M372" s="619"/>
      <c r="N372" s="619"/>
      <c r="O372" s="619"/>
      <c r="P372" s="619"/>
      <c r="Q372" s="619"/>
      <c r="R372" s="619"/>
      <c r="S372" s="619"/>
      <c r="T372" s="619"/>
      <c r="U372" s="619"/>
      <c r="V372" s="619"/>
      <c r="W372" s="619"/>
      <c r="X372" s="619"/>
      <c r="Y372" s="619"/>
      <c r="Z372" s="619"/>
      <c r="AA372" s="619"/>
      <c r="AB372" s="619"/>
      <c r="AC372" s="619"/>
      <c r="AD372" s="619"/>
      <c r="AE372" s="619"/>
      <c r="AF372" s="619"/>
      <c r="AG372" s="619"/>
      <c r="AH372" s="619"/>
      <c r="AI372" s="619"/>
      <c r="AJ372" s="619"/>
      <c r="AK372" s="619"/>
      <c r="AL372" s="1"/>
    </row>
    <row r="373" spans="1:38" ht="14.25" customHeight="1">
      <c r="A373" s="619"/>
      <c r="B373" s="619"/>
      <c r="C373" s="4"/>
      <c r="D373" s="619"/>
      <c r="E373" s="619"/>
      <c r="F373" s="619"/>
      <c r="G373" s="619"/>
      <c r="H373" s="619"/>
      <c r="I373" s="619"/>
      <c r="J373" s="619"/>
      <c r="K373" s="619"/>
      <c r="L373" s="619"/>
      <c r="M373" s="619"/>
      <c r="N373" s="619"/>
      <c r="O373" s="619"/>
      <c r="P373" s="619"/>
      <c r="Q373" s="619"/>
      <c r="R373" s="619"/>
      <c r="S373" s="619"/>
      <c r="T373" s="619"/>
      <c r="U373" s="619"/>
      <c r="V373" s="619"/>
      <c r="W373" s="619"/>
      <c r="X373" s="619"/>
      <c r="Y373" s="619"/>
      <c r="Z373" s="619"/>
      <c r="AA373" s="619"/>
      <c r="AB373" s="619"/>
      <c r="AC373" s="619"/>
      <c r="AD373" s="619"/>
      <c r="AE373" s="619"/>
      <c r="AF373" s="619"/>
      <c r="AG373" s="619"/>
      <c r="AH373" s="619"/>
      <c r="AI373" s="619"/>
      <c r="AJ373" s="619"/>
      <c r="AK373" s="619"/>
      <c r="AL373" s="1"/>
    </row>
    <row r="374" spans="1:38" ht="14.25" customHeight="1">
      <c r="A374" s="619"/>
      <c r="B374" s="619"/>
      <c r="C374" s="4"/>
      <c r="D374" s="619"/>
      <c r="E374" s="619"/>
      <c r="F374" s="619"/>
      <c r="G374" s="619"/>
      <c r="H374" s="619"/>
      <c r="I374" s="619"/>
      <c r="J374" s="619"/>
      <c r="K374" s="619"/>
      <c r="L374" s="619"/>
      <c r="M374" s="619"/>
      <c r="N374" s="619"/>
      <c r="O374" s="619"/>
      <c r="P374" s="619"/>
      <c r="Q374" s="619"/>
      <c r="R374" s="619"/>
      <c r="S374" s="619"/>
      <c r="T374" s="619"/>
      <c r="U374" s="619"/>
      <c r="V374" s="619"/>
      <c r="W374" s="619"/>
      <c r="X374" s="619"/>
      <c r="Y374" s="619"/>
      <c r="Z374" s="619"/>
      <c r="AA374" s="619"/>
      <c r="AB374" s="619"/>
      <c r="AC374" s="619"/>
      <c r="AD374" s="619"/>
      <c r="AE374" s="619"/>
      <c r="AF374" s="619"/>
      <c r="AG374" s="619"/>
      <c r="AH374" s="619"/>
      <c r="AI374" s="619"/>
      <c r="AJ374" s="619"/>
      <c r="AK374" s="619"/>
      <c r="AL374" s="1"/>
    </row>
    <row r="375" spans="1:38" ht="14.25" customHeight="1">
      <c r="A375" s="619"/>
      <c r="B375" s="619"/>
      <c r="C375" s="4"/>
      <c r="D375" s="619"/>
      <c r="E375" s="619"/>
      <c r="F375" s="619"/>
      <c r="G375" s="619"/>
      <c r="H375" s="619"/>
      <c r="I375" s="619"/>
      <c r="J375" s="619"/>
      <c r="K375" s="619"/>
      <c r="L375" s="619"/>
      <c r="M375" s="619"/>
      <c r="N375" s="619"/>
      <c r="O375" s="619"/>
      <c r="P375" s="619"/>
      <c r="Q375" s="619"/>
      <c r="R375" s="619"/>
      <c r="S375" s="619"/>
      <c r="T375" s="619"/>
      <c r="U375" s="619"/>
      <c r="V375" s="619"/>
      <c r="W375" s="619"/>
      <c r="X375" s="619"/>
      <c r="Y375" s="619"/>
      <c r="Z375" s="619"/>
      <c r="AA375" s="619"/>
      <c r="AB375" s="619"/>
      <c r="AC375" s="619"/>
      <c r="AD375" s="619"/>
      <c r="AE375" s="619"/>
      <c r="AF375" s="619"/>
      <c r="AG375" s="619"/>
      <c r="AH375" s="619"/>
      <c r="AI375" s="619"/>
      <c r="AJ375" s="619"/>
      <c r="AK375" s="619"/>
      <c r="AL375" s="1"/>
    </row>
    <row r="376" spans="1:38" ht="14.25" customHeight="1">
      <c r="A376" s="619"/>
      <c r="B376" s="619"/>
      <c r="C376" s="4"/>
      <c r="D376" s="619"/>
      <c r="E376" s="619"/>
      <c r="F376" s="619"/>
      <c r="G376" s="619"/>
      <c r="H376" s="619"/>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1"/>
    </row>
    <row r="377" spans="1:38" ht="14.25" customHeight="1">
      <c r="A377" s="619"/>
      <c r="B377" s="619"/>
      <c r="C377" s="4"/>
      <c r="D377" s="619"/>
      <c r="E377" s="619"/>
      <c r="F377" s="619"/>
      <c r="G377" s="619"/>
      <c r="H377" s="619"/>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1"/>
    </row>
    <row r="378" spans="1:38" ht="14.25" customHeight="1">
      <c r="A378" s="619"/>
      <c r="B378" s="619"/>
      <c r="C378" s="4"/>
      <c r="D378" s="619"/>
      <c r="E378" s="619"/>
      <c r="F378" s="619"/>
      <c r="G378" s="619"/>
      <c r="H378" s="619"/>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1"/>
    </row>
    <row r="379" spans="1:38" ht="14.25" customHeight="1">
      <c r="A379" s="619"/>
      <c r="B379" s="619"/>
      <c r="C379" s="4"/>
      <c r="D379" s="619"/>
      <c r="E379" s="619"/>
      <c r="F379" s="619"/>
      <c r="G379" s="619"/>
      <c r="H379" s="619"/>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619"/>
      <c r="AL379" s="1"/>
    </row>
    <row r="380" spans="1:38" ht="14.25" customHeight="1">
      <c r="A380" s="619"/>
      <c r="B380" s="619"/>
      <c r="C380" s="4"/>
      <c r="D380" s="619"/>
      <c r="E380" s="619"/>
      <c r="F380" s="619"/>
      <c r="G380" s="619"/>
      <c r="H380" s="619"/>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619"/>
      <c r="AL380" s="1"/>
    </row>
    <row r="381" spans="1:38" ht="14.25" customHeight="1">
      <c r="A381" s="619"/>
      <c r="B381" s="619"/>
      <c r="C381" s="4"/>
      <c r="D381" s="619"/>
      <c r="E381" s="619"/>
      <c r="F381" s="619"/>
      <c r="G381" s="619"/>
      <c r="H381" s="619"/>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1"/>
    </row>
    <row r="382" spans="1:38" ht="14.25" customHeight="1">
      <c r="A382" s="619"/>
      <c r="B382" s="619"/>
      <c r="C382" s="4"/>
      <c r="D382" s="619"/>
      <c r="E382" s="619"/>
      <c r="F382" s="619"/>
      <c r="G382" s="619"/>
      <c r="H382" s="619"/>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619"/>
      <c r="AL382" s="1"/>
    </row>
    <row r="383" spans="1:38" ht="14.25" customHeight="1">
      <c r="A383" s="619"/>
      <c r="B383" s="619"/>
      <c r="C383" s="4"/>
      <c r="D383" s="619"/>
      <c r="E383" s="619"/>
      <c r="F383" s="619"/>
      <c r="G383" s="619"/>
      <c r="H383" s="619"/>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619"/>
      <c r="AL383" s="1"/>
    </row>
    <row r="384" spans="1:38" ht="14.25" customHeight="1">
      <c r="A384" s="619"/>
      <c r="B384" s="619"/>
      <c r="C384" s="4"/>
      <c r="D384" s="619"/>
      <c r="E384" s="619"/>
      <c r="F384" s="619"/>
      <c r="G384" s="619"/>
      <c r="H384" s="619"/>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619"/>
      <c r="AL384" s="1"/>
    </row>
    <row r="385" spans="1:38" ht="14.25" customHeight="1">
      <c r="A385" s="619"/>
      <c r="B385" s="619"/>
      <c r="C385" s="4"/>
      <c r="D385" s="619"/>
      <c r="E385" s="619"/>
      <c r="F385" s="619"/>
      <c r="G385" s="619"/>
      <c r="H385" s="619"/>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619"/>
      <c r="AL385" s="1"/>
    </row>
    <row r="386" spans="1:38" ht="14.25" customHeight="1">
      <c r="A386" s="619"/>
      <c r="B386" s="619"/>
      <c r="C386" s="4"/>
      <c r="D386" s="619"/>
      <c r="E386" s="619"/>
      <c r="F386" s="619"/>
      <c r="G386" s="619"/>
      <c r="H386" s="619"/>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619"/>
      <c r="AL386" s="1"/>
    </row>
    <row r="387" spans="1:38" ht="14.25" customHeight="1">
      <c r="A387" s="619"/>
      <c r="B387" s="619"/>
      <c r="C387" s="4"/>
      <c r="D387" s="619"/>
      <c r="E387" s="619"/>
      <c r="F387" s="619"/>
      <c r="G387" s="619"/>
      <c r="H387" s="619"/>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619"/>
      <c r="AL387" s="1"/>
    </row>
    <row r="388" spans="1:38" ht="14.25" customHeight="1">
      <c r="A388" s="619"/>
      <c r="B388" s="619"/>
      <c r="C388" s="4"/>
      <c r="D388" s="619"/>
      <c r="E388" s="619"/>
      <c r="F388" s="619"/>
      <c r="G388" s="619"/>
      <c r="H388" s="619"/>
      <c r="I388" s="619"/>
      <c r="J388" s="619"/>
      <c r="K388" s="619"/>
      <c r="L388" s="619"/>
      <c r="M388" s="619"/>
      <c r="N388" s="619"/>
      <c r="O388" s="619"/>
      <c r="P388" s="619"/>
      <c r="Q388" s="619"/>
      <c r="R388" s="619"/>
      <c r="S388" s="619"/>
      <c r="T388" s="619"/>
      <c r="U388" s="619"/>
      <c r="V388" s="619"/>
      <c r="W388" s="619"/>
      <c r="X388" s="619"/>
      <c r="Y388" s="619"/>
      <c r="Z388" s="619"/>
      <c r="AA388" s="619"/>
      <c r="AB388" s="619"/>
      <c r="AC388" s="619"/>
      <c r="AD388" s="619"/>
      <c r="AE388" s="619"/>
      <c r="AF388" s="619"/>
      <c r="AG388" s="619"/>
      <c r="AH388" s="619"/>
      <c r="AI388" s="619"/>
      <c r="AJ388" s="619"/>
      <c r="AK388" s="619"/>
      <c r="AL388" s="1"/>
    </row>
    <row r="389" spans="1:38"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row r="1026" spans="1:38"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row>
    <row r="1027" spans="1:38"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row>
  </sheetData>
  <hyperlinks>
    <hyperlink ref="D186" r:id="rId1" display="https://www.recursosyenergia.gob.ec/wp-content/uploads/2019/11/Informe-Anual-del-Potencial-Hidrocarburi%CC%81fero-del-Ecuador-2018.pdf" xr:uid="{00000000-0004-0000-10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1000-000001000000}"/>
    <hyperlink ref="F186" r:id="rId3" display="https://www.recursosyenergia.gob.ec/wp-content/uploads/2022/02/Revista-Informe-anual-del-potencial-hidrocarburifero-del-Ecuador-20202.pdf" xr:uid="{00000000-0004-0000-1000-000002000000}"/>
    <hyperlink ref="C187" r:id="rId4" xr:uid="{00000000-0004-0000-1000-000003000000}"/>
    <hyperlink ref="C188" r:id="rId5" xr:uid="{00000000-0004-0000-1000-000004000000}"/>
  </hyperlinks>
  <pageMargins left="0.7" right="0.7" top="0.75" bottom="0.75" header="0" footer="0"/>
  <pageSetup orientation="landscape"/>
  <legacyDrawing r:id="rId6"/>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71"/>
  <sheetViews>
    <sheetView workbookViewId="0"/>
  </sheetViews>
  <sheetFormatPr defaultColWidth="12.6640625" defaultRowHeight="15" customHeight="1"/>
  <cols>
    <col min="1" max="1" width="4.44140625" customWidth="1"/>
    <col min="2" max="2" width="2.44140625" customWidth="1"/>
    <col min="3" max="3" width="48.77734375" customWidth="1"/>
    <col min="4" max="36" width="13.77734375" customWidth="1"/>
    <col min="37" max="37" width="3.44140625" customWidth="1"/>
  </cols>
  <sheetData>
    <row r="1" spans="1:37" ht="14.25" customHeight="1">
      <c r="A1" s="619"/>
      <c r="B1" s="52"/>
      <c r="C1" s="621" t="s">
        <v>6</v>
      </c>
      <c r="D1" s="374">
        <v>2018</v>
      </c>
      <c r="E1" s="374">
        <v>2019</v>
      </c>
      <c r="F1" s="374">
        <v>2020</v>
      </c>
      <c r="G1" s="374">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4.25" customHeight="1">
      <c r="A2" s="619"/>
      <c r="B2" s="619"/>
      <c r="C2" s="4"/>
      <c r="D2" s="619"/>
      <c r="E2" s="619"/>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row>
    <row r="3" spans="1:37" ht="14.25" customHeight="1">
      <c r="A3" s="619"/>
      <c r="B3" s="23"/>
      <c r="C3" s="250" t="s">
        <v>804</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375"/>
    </row>
    <row r="4" spans="1:37" ht="14.25" customHeight="1">
      <c r="A4" s="619"/>
      <c r="B4" s="253"/>
      <c r="C4" s="255" t="s">
        <v>129</v>
      </c>
      <c r="D4" s="376"/>
      <c r="E4" s="376"/>
      <c r="F4" s="376"/>
      <c r="G4" s="376"/>
      <c r="H4" s="376"/>
      <c r="I4" s="376"/>
      <c r="J4" s="376"/>
      <c r="K4" s="376"/>
      <c r="L4" s="376"/>
      <c r="M4" s="376"/>
      <c r="N4" s="376"/>
      <c r="O4" s="376"/>
      <c r="P4" s="376"/>
      <c r="Q4" s="376"/>
      <c r="R4" s="376"/>
      <c r="S4" s="376"/>
      <c r="T4" s="376"/>
      <c r="U4" s="376"/>
      <c r="V4" s="376"/>
      <c r="W4" s="376"/>
      <c r="X4" s="376"/>
      <c r="Y4" s="376"/>
      <c r="Z4" s="376"/>
      <c r="AA4" s="376"/>
      <c r="AB4" s="376"/>
      <c r="AC4" s="376"/>
      <c r="AD4" s="376"/>
      <c r="AE4" s="376"/>
      <c r="AF4" s="376"/>
      <c r="AG4" s="376"/>
      <c r="AH4" s="376"/>
      <c r="AI4" s="376"/>
      <c r="AJ4" s="376"/>
      <c r="AK4" s="377"/>
    </row>
    <row r="5" spans="1:37" ht="14.25" customHeight="1">
      <c r="A5" s="619"/>
      <c r="B5" s="253"/>
      <c r="C5" s="281"/>
      <c r="D5" s="376"/>
      <c r="E5" s="376"/>
      <c r="F5" s="376"/>
      <c r="G5" s="376"/>
      <c r="H5" s="376"/>
      <c r="I5" s="376"/>
      <c r="J5" s="376"/>
      <c r="K5" s="376"/>
      <c r="L5" s="376"/>
      <c r="M5" s="376"/>
      <c r="N5" s="376"/>
      <c r="O5" s="376"/>
      <c r="P5" s="376"/>
      <c r="Q5" s="376"/>
      <c r="R5" s="376"/>
      <c r="S5" s="376"/>
      <c r="T5" s="376"/>
      <c r="U5" s="376"/>
      <c r="V5" s="376"/>
      <c r="W5" s="376"/>
      <c r="X5" s="376"/>
      <c r="Y5" s="376"/>
      <c r="Z5" s="376"/>
      <c r="AA5" s="376"/>
      <c r="AB5" s="376"/>
      <c r="AC5" s="376"/>
      <c r="AD5" s="376"/>
      <c r="AE5" s="376"/>
      <c r="AF5" s="376"/>
      <c r="AG5" s="376"/>
      <c r="AH5" s="376"/>
      <c r="AI5" s="376"/>
      <c r="AJ5" s="376"/>
      <c r="AK5" s="377"/>
    </row>
    <row r="6" spans="1:37" ht="14.25" customHeight="1">
      <c r="A6" s="619"/>
      <c r="B6" s="253"/>
      <c r="C6" s="281" t="s">
        <v>377</v>
      </c>
      <c r="D6" s="376"/>
      <c r="E6" s="376"/>
      <c r="F6" s="376"/>
      <c r="G6" s="376"/>
      <c r="H6" s="376"/>
      <c r="I6" s="376"/>
      <c r="J6" s="376"/>
      <c r="K6" s="376"/>
      <c r="L6" s="376"/>
      <c r="M6" s="376"/>
      <c r="N6" s="376"/>
      <c r="O6" s="376"/>
      <c r="P6" s="376"/>
      <c r="Q6" s="376"/>
      <c r="R6" s="376"/>
      <c r="S6" s="376"/>
      <c r="T6" s="376"/>
      <c r="U6" s="376"/>
      <c r="V6" s="376"/>
      <c r="W6" s="376"/>
      <c r="X6" s="376"/>
      <c r="Y6" s="376"/>
      <c r="Z6" s="376"/>
      <c r="AA6" s="376"/>
      <c r="AB6" s="376"/>
      <c r="AC6" s="376"/>
      <c r="AD6" s="376"/>
      <c r="AE6" s="376"/>
      <c r="AF6" s="376"/>
      <c r="AG6" s="376"/>
      <c r="AH6" s="376"/>
      <c r="AI6" s="376"/>
      <c r="AJ6" s="376"/>
      <c r="AK6" s="377"/>
    </row>
    <row r="7" spans="1:37" ht="14.25" customHeight="1">
      <c r="A7" s="619"/>
      <c r="B7" s="253"/>
      <c r="C7" s="262" t="s">
        <v>805</v>
      </c>
      <c r="D7" s="325">
        <f t="shared" ref="D7:G7" si="0">SUM(D9)</f>
        <v>144.30000000000001</v>
      </c>
      <c r="E7" s="325">
        <f t="shared" si="0"/>
        <v>144.30000000000001</v>
      </c>
      <c r="F7" s="325">
        <f t="shared" si="0"/>
        <v>144.30000000000001</v>
      </c>
      <c r="G7" s="325">
        <f t="shared" si="0"/>
        <v>144.30000000000001</v>
      </c>
      <c r="H7" s="376"/>
      <c r="I7" s="376"/>
      <c r="J7" s="376"/>
      <c r="K7" s="376"/>
      <c r="L7" s="376"/>
      <c r="M7" s="376"/>
      <c r="N7" s="376"/>
      <c r="O7" s="376"/>
      <c r="P7" s="376"/>
      <c r="Q7" s="376"/>
      <c r="R7" s="376"/>
      <c r="S7" s="376"/>
      <c r="T7" s="376"/>
      <c r="U7" s="376"/>
      <c r="V7" s="376"/>
      <c r="W7" s="376"/>
      <c r="X7" s="376"/>
      <c r="Y7" s="376"/>
      <c r="Z7" s="376"/>
      <c r="AA7" s="376"/>
      <c r="AB7" s="376"/>
      <c r="AC7" s="376"/>
      <c r="AD7" s="376"/>
      <c r="AE7" s="376"/>
      <c r="AF7" s="376"/>
      <c r="AG7" s="376"/>
      <c r="AH7" s="376"/>
      <c r="AI7" s="376"/>
      <c r="AJ7" s="376"/>
      <c r="AK7" s="377"/>
    </row>
    <row r="8" spans="1:37" ht="14.25" customHeight="1">
      <c r="A8" s="619"/>
      <c r="B8" s="253"/>
      <c r="C8" s="266" t="s">
        <v>132</v>
      </c>
      <c r="D8" s="267"/>
      <c r="E8" s="267"/>
      <c r="F8" s="267"/>
      <c r="G8" s="267"/>
      <c r="H8" s="376"/>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376"/>
      <c r="AK8" s="377"/>
    </row>
    <row r="9" spans="1:37" ht="14.25" customHeight="1">
      <c r="A9" s="619"/>
      <c r="B9" s="253"/>
      <c r="C9" s="259" t="s">
        <v>134</v>
      </c>
      <c r="D9" s="270">
        <v>144.30000000000001</v>
      </c>
      <c r="E9" s="270">
        <v>144.30000000000001</v>
      </c>
      <c r="F9" s="270">
        <v>144.30000000000001</v>
      </c>
      <c r="G9" s="270">
        <v>144.30000000000001</v>
      </c>
      <c r="H9" s="376"/>
      <c r="I9" s="376"/>
      <c r="J9" s="376"/>
      <c r="K9" s="376"/>
      <c r="L9" s="376"/>
      <c r="M9" s="376"/>
      <c r="N9" s="376"/>
      <c r="O9" s="376"/>
      <c r="P9" s="376"/>
      <c r="Q9" s="376"/>
      <c r="R9" s="376"/>
      <c r="S9" s="376"/>
      <c r="T9" s="376"/>
      <c r="U9" s="376"/>
      <c r="V9" s="376"/>
      <c r="W9" s="376"/>
      <c r="X9" s="376"/>
      <c r="Y9" s="376"/>
      <c r="Z9" s="376"/>
      <c r="AA9" s="376"/>
      <c r="AB9" s="376"/>
      <c r="AC9" s="376"/>
      <c r="AD9" s="376"/>
      <c r="AE9" s="376"/>
      <c r="AF9" s="376"/>
      <c r="AG9" s="376"/>
      <c r="AH9" s="376"/>
      <c r="AI9" s="376"/>
      <c r="AJ9" s="376"/>
      <c r="AK9" s="377"/>
    </row>
    <row r="10" spans="1:37" ht="14.25" customHeight="1">
      <c r="A10" s="619"/>
      <c r="B10" s="253"/>
      <c r="C10" s="262" t="s">
        <v>806</v>
      </c>
      <c r="D10" s="325">
        <v>16.5</v>
      </c>
      <c r="E10" s="325">
        <v>16.5</v>
      </c>
      <c r="F10" s="325">
        <v>16.5</v>
      </c>
      <c r="G10" s="325">
        <v>16.5</v>
      </c>
      <c r="H10" s="376"/>
      <c r="I10" s="376"/>
      <c r="J10" s="376"/>
      <c r="K10" s="376"/>
      <c r="L10" s="376"/>
      <c r="M10" s="376"/>
      <c r="N10" s="376"/>
      <c r="O10" s="376"/>
      <c r="P10" s="376"/>
      <c r="Q10" s="376"/>
      <c r="R10" s="376"/>
      <c r="S10" s="376"/>
      <c r="T10" s="376"/>
      <c r="U10" s="376"/>
      <c r="V10" s="376"/>
      <c r="W10" s="376"/>
      <c r="X10" s="376"/>
      <c r="Y10" s="376"/>
      <c r="Z10" s="376"/>
      <c r="AA10" s="376"/>
      <c r="AB10" s="376"/>
      <c r="AC10" s="376"/>
      <c r="AD10" s="376"/>
      <c r="AE10" s="376"/>
      <c r="AF10" s="376"/>
      <c r="AG10" s="376"/>
      <c r="AH10" s="376"/>
      <c r="AI10" s="376"/>
      <c r="AJ10" s="376"/>
      <c r="AK10" s="377"/>
    </row>
    <row r="11" spans="1:37" ht="14.25" customHeight="1">
      <c r="A11" s="619"/>
      <c r="B11" s="253"/>
      <c r="C11" s="262" t="s">
        <v>807</v>
      </c>
      <c r="D11" s="325">
        <f t="shared" ref="D11:G11" si="1">SUM(D13:D14,D16:D17)</f>
        <v>5060.3439900000003</v>
      </c>
      <c r="E11" s="325">
        <f t="shared" si="1"/>
        <v>5070.3439900000003</v>
      </c>
      <c r="F11" s="325">
        <f t="shared" si="1"/>
        <v>5092.6859899999999</v>
      </c>
      <c r="G11" s="325">
        <f t="shared" si="1"/>
        <v>5100.7859899999994</v>
      </c>
      <c r="H11" s="376"/>
      <c r="I11" s="376"/>
      <c r="J11" s="376"/>
      <c r="K11" s="376"/>
      <c r="L11" s="376"/>
      <c r="M11" s="376"/>
      <c r="N11" s="376"/>
      <c r="O11" s="376"/>
      <c r="P11" s="376"/>
      <c r="Q11" s="376"/>
      <c r="R11" s="376"/>
      <c r="S11" s="376"/>
      <c r="T11" s="376"/>
      <c r="U11" s="376"/>
      <c r="V11" s="376"/>
      <c r="W11" s="376"/>
      <c r="X11" s="376"/>
      <c r="Y11" s="376"/>
      <c r="Z11" s="376"/>
      <c r="AA11" s="376"/>
      <c r="AB11" s="376"/>
      <c r="AC11" s="376"/>
      <c r="AD11" s="376"/>
      <c r="AE11" s="376"/>
      <c r="AF11" s="376"/>
      <c r="AG11" s="376"/>
      <c r="AH11" s="376"/>
      <c r="AI11" s="376"/>
      <c r="AJ11" s="376"/>
      <c r="AK11" s="377"/>
    </row>
    <row r="12" spans="1:37" ht="14.25" customHeight="1">
      <c r="A12" s="619"/>
      <c r="B12" s="253"/>
      <c r="C12" s="266" t="s">
        <v>138</v>
      </c>
      <c r="D12" s="267">
        <f t="shared" ref="D12:G12" si="2">SUM(D13:D14)</f>
        <v>1733.2</v>
      </c>
      <c r="E12" s="267">
        <f t="shared" si="2"/>
        <v>1733.2</v>
      </c>
      <c r="F12" s="267">
        <f t="shared" si="2"/>
        <v>1733.2</v>
      </c>
      <c r="G12" s="267">
        <f t="shared" si="2"/>
        <v>1733.2</v>
      </c>
      <c r="H12" s="376"/>
      <c r="I12" s="376"/>
      <c r="J12" s="376"/>
      <c r="K12" s="376"/>
      <c r="L12" s="376"/>
      <c r="M12" s="376"/>
      <c r="N12" s="376"/>
      <c r="O12" s="376"/>
      <c r="P12" s="376"/>
      <c r="Q12" s="376"/>
      <c r="R12" s="376"/>
      <c r="S12" s="376"/>
      <c r="T12" s="376"/>
      <c r="U12" s="376"/>
      <c r="V12" s="376"/>
      <c r="W12" s="376"/>
      <c r="X12" s="376"/>
      <c r="Y12" s="376"/>
      <c r="Z12" s="376"/>
      <c r="AA12" s="376"/>
      <c r="AB12" s="376"/>
      <c r="AC12" s="376"/>
      <c r="AD12" s="376"/>
      <c r="AE12" s="376"/>
      <c r="AF12" s="376"/>
      <c r="AG12" s="376"/>
      <c r="AH12" s="376"/>
      <c r="AI12" s="376"/>
      <c r="AJ12" s="376"/>
      <c r="AK12" s="377"/>
    </row>
    <row r="13" spans="1:37" ht="14.25" customHeight="1">
      <c r="A13" s="619"/>
      <c r="B13" s="253"/>
      <c r="C13" s="259" t="s">
        <v>139</v>
      </c>
      <c r="D13" s="270">
        <v>1478</v>
      </c>
      <c r="E13" s="270">
        <v>1478</v>
      </c>
      <c r="F13" s="270">
        <v>1478</v>
      </c>
      <c r="G13" s="270">
        <v>1478</v>
      </c>
      <c r="H13" s="376"/>
      <c r="I13" s="376"/>
      <c r="J13" s="376"/>
      <c r="K13" s="376"/>
      <c r="L13" s="376"/>
      <c r="M13" s="376"/>
      <c r="N13" s="376"/>
      <c r="O13" s="376"/>
      <c r="P13" s="376"/>
      <c r="Q13" s="376"/>
      <c r="R13" s="376"/>
      <c r="S13" s="376"/>
      <c r="T13" s="376"/>
      <c r="U13" s="376"/>
      <c r="V13" s="376"/>
      <c r="W13" s="376"/>
      <c r="X13" s="376"/>
      <c r="Y13" s="376"/>
      <c r="Z13" s="376"/>
      <c r="AA13" s="376"/>
      <c r="AB13" s="376"/>
      <c r="AC13" s="376"/>
      <c r="AD13" s="376"/>
      <c r="AE13" s="376"/>
      <c r="AF13" s="376"/>
      <c r="AG13" s="376"/>
      <c r="AH13" s="376"/>
      <c r="AI13" s="376"/>
      <c r="AJ13" s="376"/>
      <c r="AK13" s="377"/>
    </row>
    <row r="14" spans="1:37" ht="14.25" customHeight="1">
      <c r="A14" s="619"/>
      <c r="B14" s="253"/>
      <c r="C14" s="259" t="s">
        <v>140</v>
      </c>
      <c r="D14" s="270">
        <v>255.2</v>
      </c>
      <c r="E14" s="270">
        <v>255.2</v>
      </c>
      <c r="F14" s="270">
        <v>255.2</v>
      </c>
      <c r="G14" s="270">
        <v>255.2</v>
      </c>
      <c r="H14" s="376"/>
      <c r="I14" s="376"/>
      <c r="J14" s="376"/>
      <c r="K14" s="376"/>
      <c r="L14" s="376"/>
      <c r="M14" s="376"/>
      <c r="N14" s="376"/>
      <c r="O14" s="376"/>
      <c r="P14" s="376"/>
      <c r="Q14" s="376"/>
      <c r="R14" s="376"/>
      <c r="S14" s="376"/>
      <c r="T14" s="376"/>
      <c r="U14" s="376"/>
      <c r="V14" s="376"/>
      <c r="W14" s="376"/>
      <c r="X14" s="376"/>
      <c r="Y14" s="376"/>
      <c r="Z14" s="376"/>
      <c r="AA14" s="376"/>
      <c r="AB14" s="376"/>
      <c r="AC14" s="376"/>
      <c r="AD14" s="376"/>
      <c r="AE14" s="376"/>
      <c r="AF14" s="376"/>
      <c r="AG14" s="376"/>
      <c r="AH14" s="376"/>
      <c r="AI14" s="376"/>
      <c r="AJ14" s="376"/>
      <c r="AK14" s="377"/>
    </row>
    <row r="15" spans="1:37" ht="14.25" customHeight="1">
      <c r="A15" s="619"/>
      <c r="B15" s="253"/>
      <c r="C15" s="266" t="s">
        <v>141</v>
      </c>
      <c r="D15" s="267">
        <f t="shared" ref="D15:G15" si="3">SUM(D16:D17)</f>
        <v>3327.14399</v>
      </c>
      <c r="E15" s="267">
        <f t="shared" si="3"/>
        <v>3337.14399</v>
      </c>
      <c r="F15" s="267">
        <f t="shared" si="3"/>
        <v>3359.4859900000001</v>
      </c>
      <c r="G15" s="267">
        <f t="shared" si="3"/>
        <v>3367.58599</v>
      </c>
      <c r="H15" s="376"/>
      <c r="I15" s="376"/>
      <c r="J15" s="376"/>
      <c r="K15" s="376"/>
      <c r="L15" s="376"/>
      <c r="M15" s="376"/>
      <c r="N15" s="376"/>
      <c r="O15" s="376"/>
      <c r="P15" s="376"/>
      <c r="Q15" s="376"/>
      <c r="R15" s="376"/>
      <c r="S15" s="376"/>
      <c r="T15" s="376"/>
      <c r="U15" s="376"/>
      <c r="V15" s="376"/>
      <c r="W15" s="376"/>
      <c r="X15" s="376"/>
      <c r="Y15" s="376"/>
      <c r="Z15" s="376"/>
      <c r="AA15" s="376"/>
      <c r="AB15" s="376"/>
      <c r="AC15" s="376"/>
      <c r="AD15" s="376"/>
      <c r="AE15" s="376"/>
      <c r="AF15" s="376"/>
      <c r="AG15" s="376"/>
      <c r="AH15" s="376"/>
      <c r="AI15" s="376"/>
      <c r="AJ15" s="376"/>
      <c r="AK15" s="377"/>
    </row>
    <row r="16" spans="1:37" ht="14.25" customHeight="1">
      <c r="A16" s="619"/>
      <c r="B16" s="253"/>
      <c r="C16" s="259" t="s">
        <v>139</v>
      </c>
      <c r="D16" s="270">
        <v>2939.3899900000001</v>
      </c>
      <c r="E16" s="270">
        <v>2949.3899900000001</v>
      </c>
      <c r="F16" s="270">
        <v>2961.58599</v>
      </c>
      <c r="G16" s="270">
        <v>2969.6859899999999</v>
      </c>
      <c r="H16" s="376"/>
      <c r="I16" s="376"/>
      <c r="J16" s="376"/>
      <c r="K16" s="376"/>
      <c r="L16" s="376"/>
      <c r="M16" s="376"/>
      <c r="N16" s="376"/>
      <c r="O16" s="376"/>
      <c r="P16" s="376"/>
      <c r="Q16" s="376"/>
      <c r="R16" s="376"/>
      <c r="S16" s="376"/>
      <c r="T16" s="376"/>
      <c r="U16" s="376"/>
      <c r="V16" s="376"/>
      <c r="W16" s="376"/>
      <c r="X16" s="376"/>
      <c r="Y16" s="376"/>
      <c r="Z16" s="376"/>
      <c r="AA16" s="376"/>
      <c r="AB16" s="376"/>
      <c r="AC16" s="376"/>
      <c r="AD16" s="376"/>
      <c r="AE16" s="376"/>
      <c r="AF16" s="376"/>
      <c r="AG16" s="376"/>
      <c r="AH16" s="376"/>
      <c r="AI16" s="376"/>
      <c r="AJ16" s="376"/>
      <c r="AK16" s="377"/>
    </row>
    <row r="17" spans="1:37" ht="14.25" customHeight="1">
      <c r="A17" s="619"/>
      <c r="B17" s="253"/>
      <c r="C17" s="259" t="s">
        <v>140</v>
      </c>
      <c r="D17" s="25">
        <v>387.75399999999996</v>
      </c>
      <c r="E17" s="270">
        <v>387.75399999999996</v>
      </c>
      <c r="F17" s="270">
        <v>397.9</v>
      </c>
      <c r="G17" s="270">
        <v>397.9</v>
      </c>
      <c r="H17" s="376"/>
      <c r="I17" s="376"/>
      <c r="J17" s="376"/>
      <c r="K17" s="376"/>
      <c r="L17" s="376"/>
      <c r="M17" s="376"/>
      <c r="N17" s="376"/>
      <c r="O17" s="376"/>
      <c r="P17" s="376"/>
      <c r="Q17" s="376"/>
      <c r="R17" s="376"/>
      <c r="S17" s="376"/>
      <c r="T17" s="376"/>
      <c r="U17" s="376"/>
      <c r="V17" s="376"/>
      <c r="W17" s="376"/>
      <c r="X17" s="376"/>
      <c r="Y17" s="376"/>
      <c r="Z17" s="376"/>
      <c r="AA17" s="376"/>
      <c r="AB17" s="376"/>
      <c r="AC17" s="376"/>
      <c r="AD17" s="376"/>
      <c r="AE17" s="376"/>
      <c r="AF17" s="376"/>
      <c r="AG17" s="376"/>
      <c r="AH17" s="376"/>
      <c r="AI17" s="376"/>
      <c r="AJ17" s="376"/>
      <c r="AK17" s="377"/>
    </row>
    <row r="18" spans="1:37" ht="14.25" customHeight="1">
      <c r="A18" s="619"/>
      <c r="B18" s="253"/>
      <c r="C18" s="262" t="s">
        <v>808</v>
      </c>
      <c r="D18" s="325">
        <v>24.460819999999991</v>
      </c>
      <c r="E18" s="325">
        <v>24.460819999999991</v>
      </c>
      <c r="F18" s="325">
        <v>24.460819999999991</v>
      </c>
      <c r="G18" s="325">
        <v>24.460819999999991</v>
      </c>
      <c r="H18" s="376"/>
      <c r="I18" s="376"/>
      <c r="J18" s="376"/>
      <c r="K18" s="376"/>
      <c r="L18" s="376"/>
      <c r="M18" s="376"/>
      <c r="N18" s="376"/>
      <c r="O18" s="376"/>
      <c r="P18" s="376"/>
      <c r="Q18" s="376"/>
      <c r="R18" s="376"/>
      <c r="S18" s="376"/>
      <c r="T18" s="376"/>
      <c r="U18" s="376"/>
      <c r="V18" s="376"/>
      <c r="W18" s="376"/>
      <c r="X18" s="376"/>
      <c r="Y18" s="376"/>
      <c r="Z18" s="376"/>
      <c r="AA18" s="376"/>
      <c r="AB18" s="376"/>
      <c r="AC18" s="376"/>
      <c r="AD18" s="376"/>
      <c r="AE18" s="376"/>
      <c r="AF18" s="376"/>
      <c r="AG18" s="376"/>
      <c r="AH18" s="376"/>
      <c r="AI18" s="376"/>
      <c r="AJ18" s="376"/>
      <c r="AK18" s="377"/>
    </row>
    <row r="19" spans="1:37" ht="14.25" customHeight="1">
      <c r="A19" s="619"/>
      <c r="B19" s="253"/>
      <c r="C19" s="262" t="s">
        <v>809</v>
      </c>
      <c r="D19" s="325">
        <f t="shared" ref="D19:G19" si="4">SUM(D20,D25,D28)</f>
        <v>2102.6505999999999</v>
      </c>
      <c r="E19" s="325">
        <f t="shared" si="4"/>
        <v>2055.0506</v>
      </c>
      <c r="F19" s="325">
        <f t="shared" si="4"/>
        <v>2055.0506</v>
      </c>
      <c r="G19" s="325">
        <f t="shared" si="4"/>
        <v>2063.4705999999996</v>
      </c>
      <c r="H19" s="376"/>
      <c r="I19" s="376"/>
      <c r="J19" s="376"/>
      <c r="K19" s="376"/>
      <c r="L19" s="376"/>
      <c r="M19" s="376"/>
      <c r="N19" s="376"/>
      <c r="O19" s="376"/>
      <c r="P19" s="376"/>
      <c r="Q19" s="376"/>
      <c r="R19" s="376"/>
      <c r="S19" s="376"/>
      <c r="T19" s="376"/>
      <c r="U19" s="376"/>
      <c r="V19" s="376"/>
      <c r="W19" s="376"/>
      <c r="X19" s="376"/>
      <c r="Y19" s="376"/>
      <c r="Z19" s="376"/>
      <c r="AA19" s="376"/>
      <c r="AB19" s="376"/>
      <c r="AC19" s="376"/>
      <c r="AD19" s="376"/>
      <c r="AE19" s="376"/>
      <c r="AF19" s="376"/>
      <c r="AG19" s="376"/>
      <c r="AH19" s="376"/>
      <c r="AI19" s="376"/>
      <c r="AJ19" s="376"/>
      <c r="AK19" s="377"/>
    </row>
    <row r="20" spans="1:37" ht="14.25" customHeight="1">
      <c r="A20" s="619"/>
      <c r="B20" s="253"/>
      <c r="C20" s="266" t="s">
        <v>145</v>
      </c>
      <c r="D20" s="267">
        <f t="shared" ref="D20:G20" si="5">SUM(D21:D24)</f>
        <v>836.05560000000003</v>
      </c>
      <c r="E20" s="267">
        <f t="shared" si="5"/>
        <v>788.4556</v>
      </c>
      <c r="F20" s="267">
        <f t="shared" si="5"/>
        <v>788.4556</v>
      </c>
      <c r="G20" s="267">
        <f t="shared" si="5"/>
        <v>797.67559999999992</v>
      </c>
      <c r="H20" s="376"/>
      <c r="I20" s="376"/>
      <c r="J20" s="376"/>
      <c r="K20" s="376"/>
      <c r="L20" s="376"/>
      <c r="M20" s="376"/>
      <c r="N20" s="376"/>
      <c r="O20" s="376"/>
      <c r="P20" s="376"/>
      <c r="Q20" s="376"/>
      <c r="R20" s="376"/>
      <c r="S20" s="376"/>
      <c r="T20" s="376"/>
      <c r="U20" s="376"/>
      <c r="V20" s="376"/>
      <c r="W20" s="376"/>
      <c r="X20" s="376"/>
      <c r="Y20" s="376"/>
      <c r="Z20" s="376"/>
      <c r="AA20" s="376"/>
      <c r="AB20" s="376"/>
      <c r="AC20" s="376"/>
      <c r="AD20" s="376"/>
      <c r="AE20" s="376"/>
      <c r="AF20" s="376"/>
      <c r="AG20" s="376"/>
      <c r="AH20" s="376"/>
      <c r="AI20" s="376"/>
      <c r="AJ20" s="376"/>
      <c r="AK20" s="377"/>
    </row>
    <row r="21" spans="1:37" ht="14.25" customHeight="1">
      <c r="A21" s="619"/>
      <c r="B21" s="253"/>
      <c r="C21" s="259" t="s">
        <v>155</v>
      </c>
      <c r="D21" s="270">
        <v>309.98559999999998</v>
      </c>
      <c r="E21" s="270">
        <v>262.38560000000001</v>
      </c>
      <c r="F21" s="270">
        <v>262.38560000000001</v>
      </c>
      <c r="G21" s="270">
        <v>262.38560000000001</v>
      </c>
      <c r="H21" s="376"/>
      <c r="I21" s="376"/>
      <c r="J21" s="376"/>
      <c r="K21" s="376"/>
      <c r="L21" s="376"/>
      <c r="M21" s="376"/>
      <c r="N21" s="376"/>
      <c r="O21" s="376"/>
      <c r="P21" s="376"/>
      <c r="Q21" s="376"/>
      <c r="R21" s="376"/>
      <c r="S21" s="376"/>
      <c r="T21" s="376"/>
      <c r="U21" s="376"/>
      <c r="V21" s="376"/>
      <c r="W21" s="376"/>
      <c r="X21" s="376"/>
      <c r="Y21" s="376"/>
      <c r="Z21" s="376"/>
      <c r="AA21" s="376"/>
      <c r="AB21" s="376"/>
      <c r="AC21" s="376"/>
      <c r="AD21" s="376"/>
      <c r="AE21" s="376"/>
      <c r="AF21" s="376"/>
      <c r="AG21" s="376"/>
      <c r="AH21" s="376"/>
      <c r="AI21" s="376"/>
      <c r="AJ21" s="376"/>
      <c r="AK21" s="377"/>
    </row>
    <row r="22" spans="1:37" ht="14.25" customHeight="1">
      <c r="A22" s="619"/>
      <c r="B22" s="253"/>
      <c r="C22" s="259" t="s">
        <v>160</v>
      </c>
      <c r="D22" s="270">
        <v>437.21999999999997</v>
      </c>
      <c r="E22" s="270">
        <v>437.21999999999997</v>
      </c>
      <c r="F22" s="270">
        <v>437.21999999999997</v>
      </c>
      <c r="G22" s="270">
        <v>446.43999999999994</v>
      </c>
      <c r="H22" s="376"/>
      <c r="I22" s="376"/>
      <c r="J22" s="376"/>
      <c r="K22" s="376"/>
      <c r="L22" s="376"/>
      <c r="M22" s="376"/>
      <c r="N22" s="376"/>
      <c r="O22" s="376"/>
      <c r="P22" s="376"/>
      <c r="Q22" s="376"/>
      <c r="R22" s="376"/>
      <c r="S22" s="376"/>
      <c r="T22" s="376"/>
      <c r="U22" s="376"/>
      <c r="V22" s="376"/>
      <c r="W22" s="376"/>
      <c r="X22" s="376"/>
      <c r="Y22" s="376"/>
      <c r="Z22" s="376"/>
      <c r="AA22" s="376"/>
      <c r="AB22" s="376"/>
      <c r="AC22" s="376"/>
      <c r="AD22" s="376"/>
      <c r="AE22" s="376"/>
      <c r="AF22" s="376"/>
      <c r="AG22" s="376"/>
      <c r="AH22" s="376"/>
      <c r="AI22" s="376"/>
      <c r="AJ22" s="376"/>
      <c r="AK22" s="377"/>
    </row>
    <row r="23" spans="1:37" ht="14.25" customHeight="1">
      <c r="A23" s="619"/>
      <c r="B23" s="253"/>
      <c r="C23" s="259" t="s">
        <v>308</v>
      </c>
      <c r="D23" s="270">
        <v>2.25</v>
      </c>
      <c r="E23" s="270">
        <v>2.25</v>
      </c>
      <c r="F23" s="270">
        <v>2.25</v>
      </c>
      <c r="G23" s="270">
        <v>2.25</v>
      </c>
      <c r="H23" s="376"/>
      <c r="I23" s="376"/>
      <c r="J23" s="376"/>
      <c r="K23" s="376"/>
      <c r="L23" s="376"/>
      <c r="M23" s="376"/>
      <c r="N23" s="376"/>
      <c r="O23" s="376"/>
      <c r="P23" s="376"/>
      <c r="Q23" s="376"/>
      <c r="R23" s="376"/>
      <c r="S23" s="376"/>
      <c r="T23" s="376"/>
      <c r="U23" s="376"/>
      <c r="V23" s="376"/>
      <c r="W23" s="376"/>
      <c r="X23" s="376"/>
      <c r="Y23" s="376"/>
      <c r="Z23" s="376"/>
      <c r="AA23" s="376"/>
      <c r="AB23" s="376"/>
      <c r="AC23" s="376"/>
      <c r="AD23" s="376"/>
      <c r="AE23" s="376"/>
      <c r="AF23" s="376"/>
      <c r="AG23" s="376"/>
      <c r="AH23" s="376"/>
      <c r="AI23" s="376"/>
      <c r="AJ23" s="376"/>
      <c r="AK23" s="377"/>
    </row>
    <row r="24" spans="1:37" ht="14.25" customHeight="1">
      <c r="A24" s="619"/>
      <c r="B24" s="253"/>
      <c r="C24" s="259" t="s">
        <v>309</v>
      </c>
      <c r="D24" s="270">
        <v>86.6</v>
      </c>
      <c r="E24" s="270">
        <v>86.6</v>
      </c>
      <c r="F24" s="270">
        <v>86.6</v>
      </c>
      <c r="G24" s="270">
        <v>86.6</v>
      </c>
      <c r="H24" s="376"/>
      <c r="I24" s="376"/>
      <c r="J24" s="376"/>
      <c r="K24" s="376"/>
      <c r="L24" s="376"/>
      <c r="M24" s="376"/>
      <c r="N24" s="376"/>
      <c r="O24" s="376"/>
      <c r="P24" s="376"/>
      <c r="Q24" s="376"/>
      <c r="R24" s="376"/>
      <c r="S24" s="376"/>
      <c r="T24" s="376"/>
      <c r="U24" s="376"/>
      <c r="V24" s="376"/>
      <c r="W24" s="376"/>
      <c r="X24" s="376"/>
      <c r="Y24" s="376"/>
      <c r="Z24" s="376"/>
      <c r="AA24" s="376"/>
      <c r="AB24" s="376"/>
      <c r="AC24" s="376"/>
      <c r="AD24" s="376"/>
      <c r="AE24" s="376"/>
      <c r="AF24" s="376"/>
      <c r="AG24" s="376"/>
      <c r="AH24" s="376"/>
      <c r="AI24" s="376"/>
      <c r="AJ24" s="376"/>
      <c r="AK24" s="377"/>
    </row>
    <row r="25" spans="1:37" ht="14.25" customHeight="1">
      <c r="A25" s="619"/>
      <c r="B25" s="253"/>
      <c r="C25" s="266" t="s">
        <v>153</v>
      </c>
      <c r="D25" s="267">
        <f t="shared" ref="D25:G25" si="6">SUM(D26:D27)</f>
        <v>820.59499999999991</v>
      </c>
      <c r="E25" s="267">
        <f t="shared" si="6"/>
        <v>820.59499999999991</v>
      </c>
      <c r="F25" s="267">
        <f t="shared" si="6"/>
        <v>820.59499999999991</v>
      </c>
      <c r="G25" s="267">
        <f t="shared" si="6"/>
        <v>819.79499999999996</v>
      </c>
      <c r="H25" s="376"/>
      <c r="I25" s="376"/>
      <c r="J25" s="376"/>
      <c r="K25" s="376"/>
      <c r="L25" s="376"/>
      <c r="M25" s="376"/>
      <c r="N25" s="376"/>
      <c r="O25" s="376"/>
      <c r="P25" s="376"/>
      <c r="Q25" s="376"/>
      <c r="R25" s="376"/>
      <c r="S25" s="376"/>
      <c r="T25" s="376"/>
      <c r="U25" s="376"/>
      <c r="V25" s="376"/>
      <c r="W25" s="376"/>
      <c r="X25" s="376"/>
      <c r="Y25" s="376"/>
      <c r="Z25" s="376"/>
      <c r="AA25" s="376"/>
      <c r="AB25" s="376"/>
      <c r="AC25" s="376"/>
      <c r="AD25" s="376"/>
      <c r="AE25" s="376"/>
      <c r="AF25" s="376"/>
      <c r="AG25" s="376"/>
      <c r="AH25" s="376"/>
      <c r="AI25" s="376"/>
      <c r="AJ25" s="376"/>
      <c r="AK25" s="377"/>
    </row>
    <row r="26" spans="1:37" ht="14.25" customHeight="1">
      <c r="A26" s="619"/>
      <c r="B26" s="253"/>
      <c r="C26" s="259" t="s">
        <v>155</v>
      </c>
      <c r="D26" s="25">
        <v>545.2349999999999</v>
      </c>
      <c r="E26" s="270">
        <v>545.2349999999999</v>
      </c>
      <c r="F26" s="270">
        <v>545.2349999999999</v>
      </c>
      <c r="G26" s="270">
        <v>544.43499999999995</v>
      </c>
      <c r="H26" s="376"/>
      <c r="I26" s="376"/>
      <c r="J26" s="376"/>
      <c r="K26" s="376"/>
      <c r="L26" s="376"/>
      <c r="M26" s="376"/>
      <c r="N26" s="376"/>
      <c r="O26" s="376"/>
      <c r="P26" s="376"/>
      <c r="Q26" s="376"/>
      <c r="R26" s="376"/>
      <c r="S26" s="376"/>
      <c r="T26" s="376"/>
      <c r="U26" s="376"/>
      <c r="V26" s="376"/>
      <c r="W26" s="376"/>
      <c r="X26" s="376"/>
      <c r="Y26" s="376"/>
      <c r="Z26" s="376"/>
      <c r="AA26" s="376"/>
      <c r="AB26" s="376"/>
      <c r="AC26" s="376"/>
      <c r="AD26" s="376"/>
      <c r="AE26" s="376"/>
      <c r="AF26" s="376"/>
      <c r="AG26" s="376"/>
      <c r="AH26" s="376"/>
      <c r="AI26" s="376"/>
      <c r="AJ26" s="376"/>
      <c r="AK26" s="377"/>
    </row>
    <row r="27" spans="1:37" ht="14.25" customHeight="1">
      <c r="A27" s="619"/>
      <c r="B27" s="253"/>
      <c r="C27" s="259" t="s">
        <v>157</v>
      </c>
      <c r="D27" s="25">
        <v>275.36</v>
      </c>
      <c r="E27" s="270">
        <v>275.36</v>
      </c>
      <c r="F27" s="270">
        <v>275.36</v>
      </c>
      <c r="G27" s="270">
        <v>275.36</v>
      </c>
      <c r="H27" s="376"/>
      <c r="I27" s="376"/>
      <c r="J27" s="376"/>
      <c r="K27" s="376"/>
      <c r="L27" s="376"/>
      <c r="M27" s="376"/>
      <c r="N27" s="376"/>
      <c r="O27" s="376"/>
      <c r="P27" s="376"/>
      <c r="Q27" s="376"/>
      <c r="R27" s="376"/>
      <c r="S27" s="376"/>
      <c r="T27" s="376"/>
      <c r="U27" s="376"/>
      <c r="V27" s="376"/>
      <c r="W27" s="376"/>
      <c r="X27" s="376"/>
      <c r="Y27" s="376"/>
      <c r="Z27" s="376"/>
      <c r="AA27" s="376"/>
      <c r="AB27" s="376"/>
      <c r="AC27" s="376"/>
      <c r="AD27" s="376"/>
      <c r="AE27" s="376"/>
      <c r="AF27" s="376"/>
      <c r="AG27" s="376"/>
      <c r="AH27" s="376"/>
      <c r="AI27" s="376"/>
      <c r="AJ27" s="376"/>
      <c r="AK27" s="377"/>
    </row>
    <row r="28" spans="1:37" ht="14.25" customHeight="1">
      <c r="A28" s="619"/>
      <c r="B28" s="253"/>
      <c r="C28" s="266" t="s">
        <v>158</v>
      </c>
      <c r="D28" s="267">
        <f t="shared" ref="D28:G28" si="7">SUM(D29)</f>
        <v>446</v>
      </c>
      <c r="E28" s="267">
        <f t="shared" si="7"/>
        <v>446</v>
      </c>
      <c r="F28" s="267">
        <f t="shared" si="7"/>
        <v>446</v>
      </c>
      <c r="G28" s="267">
        <f t="shared" si="7"/>
        <v>446</v>
      </c>
      <c r="H28" s="376"/>
      <c r="I28" s="376"/>
      <c r="J28" s="376"/>
      <c r="K28" s="376"/>
      <c r="L28" s="376"/>
      <c r="M28" s="376"/>
      <c r="N28" s="376"/>
      <c r="O28" s="376"/>
      <c r="P28" s="376"/>
      <c r="Q28" s="376"/>
      <c r="R28" s="376"/>
      <c r="S28" s="376"/>
      <c r="T28" s="376"/>
      <c r="U28" s="376"/>
      <c r="V28" s="376"/>
      <c r="W28" s="376"/>
      <c r="X28" s="376"/>
      <c r="Y28" s="376"/>
      <c r="Z28" s="376"/>
      <c r="AA28" s="376"/>
      <c r="AB28" s="376"/>
      <c r="AC28" s="376"/>
      <c r="AD28" s="376"/>
      <c r="AE28" s="376"/>
      <c r="AF28" s="376"/>
      <c r="AG28" s="376"/>
      <c r="AH28" s="376"/>
      <c r="AI28" s="376"/>
      <c r="AJ28" s="376"/>
      <c r="AK28" s="377"/>
    </row>
    <row r="29" spans="1:37" ht="14.25" customHeight="1">
      <c r="A29" s="619"/>
      <c r="B29" s="253"/>
      <c r="C29" s="259" t="s">
        <v>160</v>
      </c>
      <c r="D29" s="25">
        <v>446</v>
      </c>
      <c r="E29" s="270">
        <v>446</v>
      </c>
      <c r="F29" s="270">
        <v>446</v>
      </c>
      <c r="G29" s="270">
        <v>446</v>
      </c>
      <c r="H29" s="376"/>
      <c r="I29" s="376"/>
      <c r="J29" s="376"/>
      <c r="K29" s="376"/>
      <c r="L29" s="376"/>
      <c r="M29" s="376"/>
      <c r="N29" s="376"/>
      <c r="O29" s="376"/>
      <c r="P29" s="376"/>
      <c r="Q29" s="376"/>
      <c r="R29" s="376"/>
      <c r="S29" s="376"/>
      <c r="T29" s="376"/>
      <c r="U29" s="376"/>
      <c r="V29" s="376"/>
      <c r="W29" s="376"/>
      <c r="X29" s="376"/>
      <c r="Y29" s="376"/>
      <c r="Z29" s="376"/>
      <c r="AA29" s="376"/>
      <c r="AB29" s="376"/>
      <c r="AC29" s="376"/>
      <c r="AD29" s="376"/>
      <c r="AE29" s="376"/>
      <c r="AF29" s="376"/>
      <c r="AG29" s="376"/>
      <c r="AH29" s="376"/>
      <c r="AI29" s="376"/>
      <c r="AJ29" s="376"/>
      <c r="AK29" s="377"/>
    </row>
    <row r="30" spans="1:37" ht="14.25" customHeight="1">
      <c r="A30" s="619"/>
      <c r="B30" s="253"/>
      <c r="C30" s="262" t="s">
        <v>810</v>
      </c>
      <c r="D30" s="325">
        <f t="shared" ref="D30:G30" si="8">SUM(D32)</f>
        <v>7.26</v>
      </c>
      <c r="E30" s="325">
        <f t="shared" si="8"/>
        <v>7.26</v>
      </c>
      <c r="F30" s="325">
        <f t="shared" si="8"/>
        <v>7.26</v>
      </c>
      <c r="G30" s="325">
        <f t="shared" si="8"/>
        <v>8.32</v>
      </c>
      <c r="H30" s="376"/>
      <c r="I30" s="376"/>
      <c r="J30" s="376"/>
      <c r="K30" s="376"/>
      <c r="L30" s="376"/>
      <c r="M30" s="376"/>
      <c r="N30" s="376"/>
      <c r="O30" s="376"/>
      <c r="P30" s="376"/>
      <c r="Q30" s="376"/>
      <c r="R30" s="376"/>
      <c r="S30" s="376"/>
      <c r="T30" s="376"/>
      <c r="U30" s="376"/>
      <c r="V30" s="376"/>
      <c r="W30" s="376"/>
      <c r="X30" s="376"/>
      <c r="Y30" s="376"/>
      <c r="Z30" s="376"/>
      <c r="AA30" s="376"/>
      <c r="AB30" s="376"/>
      <c r="AC30" s="376"/>
      <c r="AD30" s="376"/>
      <c r="AE30" s="376"/>
      <c r="AF30" s="376"/>
      <c r="AG30" s="376"/>
      <c r="AH30" s="376"/>
      <c r="AI30" s="376"/>
      <c r="AJ30" s="376"/>
      <c r="AK30" s="377"/>
    </row>
    <row r="31" spans="1:37" ht="14.25" customHeight="1">
      <c r="A31" s="619"/>
      <c r="B31" s="253"/>
      <c r="C31" s="266" t="s">
        <v>162</v>
      </c>
      <c r="D31" s="267"/>
      <c r="E31" s="267"/>
      <c r="F31" s="267"/>
      <c r="G31" s="267"/>
      <c r="H31" s="376"/>
      <c r="I31" s="376"/>
      <c r="J31" s="376"/>
      <c r="K31" s="376"/>
      <c r="L31" s="376"/>
      <c r="M31" s="376"/>
      <c r="N31" s="376"/>
      <c r="O31" s="376"/>
      <c r="P31" s="376"/>
      <c r="Q31" s="376"/>
      <c r="R31" s="376"/>
      <c r="S31" s="376"/>
      <c r="T31" s="376"/>
      <c r="U31" s="376"/>
      <c r="V31" s="376"/>
      <c r="W31" s="376"/>
      <c r="X31" s="376"/>
      <c r="Y31" s="376"/>
      <c r="Z31" s="376"/>
      <c r="AA31" s="376"/>
      <c r="AB31" s="376"/>
      <c r="AC31" s="376"/>
      <c r="AD31" s="376"/>
      <c r="AE31" s="376"/>
      <c r="AF31" s="376"/>
      <c r="AG31" s="376"/>
      <c r="AH31" s="376"/>
      <c r="AI31" s="376"/>
      <c r="AJ31" s="376"/>
      <c r="AK31" s="377"/>
    </row>
    <row r="32" spans="1:37" ht="14.25" customHeight="1">
      <c r="A32" s="619"/>
      <c r="B32" s="253"/>
      <c r="C32" s="259" t="s">
        <v>161</v>
      </c>
      <c r="D32" s="270">
        <v>7.26</v>
      </c>
      <c r="E32" s="270">
        <v>7.26</v>
      </c>
      <c r="F32" s="270">
        <v>7.26</v>
      </c>
      <c r="G32" s="270">
        <v>8.32</v>
      </c>
      <c r="H32" s="376"/>
      <c r="I32" s="376"/>
      <c r="J32" s="376"/>
      <c r="K32" s="376"/>
      <c r="L32" s="376"/>
      <c r="M32" s="376"/>
      <c r="N32" s="376"/>
      <c r="O32" s="376"/>
      <c r="P32" s="376"/>
      <c r="Q32" s="376"/>
      <c r="R32" s="376"/>
      <c r="S32" s="376"/>
      <c r="T32" s="376"/>
      <c r="U32" s="376"/>
      <c r="V32" s="376"/>
      <c r="W32" s="376"/>
      <c r="X32" s="376"/>
      <c r="Y32" s="376"/>
      <c r="Z32" s="376"/>
      <c r="AA32" s="376"/>
      <c r="AB32" s="376"/>
      <c r="AC32" s="376"/>
      <c r="AD32" s="376"/>
      <c r="AE32" s="376"/>
      <c r="AF32" s="376"/>
      <c r="AG32" s="376"/>
      <c r="AH32" s="376"/>
      <c r="AI32" s="376"/>
      <c r="AJ32" s="376"/>
      <c r="AK32" s="377"/>
    </row>
    <row r="33" spans="1:37" ht="14.25" customHeight="1">
      <c r="A33" s="619"/>
      <c r="B33" s="253"/>
      <c r="C33" s="272" t="s">
        <v>811</v>
      </c>
      <c r="D33" s="256"/>
      <c r="E33" s="256"/>
      <c r="F33" s="256"/>
      <c r="G33" s="256"/>
      <c r="H33" s="357"/>
      <c r="I33" s="376"/>
      <c r="J33" s="376"/>
      <c r="K33" s="376"/>
      <c r="L33" s="376"/>
      <c r="M33" s="376"/>
      <c r="N33" s="376"/>
      <c r="O33" s="376"/>
      <c r="P33" s="376"/>
      <c r="Q33" s="376"/>
      <c r="R33" s="376"/>
      <c r="S33" s="376"/>
      <c r="T33" s="376"/>
      <c r="U33" s="376"/>
      <c r="V33" s="376"/>
      <c r="W33" s="376"/>
      <c r="X33" s="376"/>
      <c r="Y33" s="376"/>
      <c r="Z33" s="376"/>
      <c r="AA33" s="376"/>
      <c r="AB33" s="376"/>
      <c r="AC33" s="376"/>
      <c r="AD33" s="376"/>
      <c r="AE33" s="376"/>
      <c r="AF33" s="376"/>
      <c r="AG33" s="376"/>
      <c r="AH33" s="376"/>
      <c r="AI33" s="376"/>
      <c r="AJ33" s="376"/>
      <c r="AK33" s="376"/>
    </row>
    <row r="34" spans="1:37" ht="14.25" customHeight="1">
      <c r="A34" s="619"/>
      <c r="B34" s="253"/>
      <c r="C34" s="334" t="s">
        <v>166</v>
      </c>
      <c r="D34" s="270">
        <v>42.2</v>
      </c>
      <c r="E34" s="270">
        <v>42.2</v>
      </c>
      <c r="F34" s="270">
        <v>42.2</v>
      </c>
      <c r="G34" s="270">
        <v>42.2</v>
      </c>
      <c r="H34" s="357"/>
      <c r="I34" s="376"/>
      <c r="J34" s="376"/>
      <c r="K34" s="376"/>
      <c r="L34" s="376"/>
      <c r="M34" s="376"/>
      <c r="N34" s="376"/>
      <c r="O34" s="376"/>
      <c r="P34" s="376"/>
      <c r="Q34" s="376"/>
      <c r="R34" s="376"/>
      <c r="S34" s="376"/>
      <c r="T34" s="376"/>
      <c r="U34" s="376"/>
      <c r="V34" s="376"/>
      <c r="W34" s="376"/>
      <c r="X34" s="376"/>
      <c r="Y34" s="376"/>
      <c r="Z34" s="376"/>
      <c r="AA34" s="376"/>
      <c r="AB34" s="376"/>
      <c r="AC34" s="376"/>
      <c r="AD34" s="376"/>
      <c r="AE34" s="376"/>
      <c r="AF34" s="376"/>
      <c r="AG34" s="376"/>
      <c r="AH34" s="376"/>
      <c r="AI34" s="376"/>
      <c r="AJ34" s="376"/>
      <c r="AK34" s="376"/>
    </row>
    <row r="35" spans="1:37" ht="14.25" customHeight="1">
      <c r="A35" s="619"/>
      <c r="B35" s="253"/>
      <c r="C35" s="334" t="s">
        <v>168</v>
      </c>
      <c r="D35" s="270">
        <v>213</v>
      </c>
      <c r="E35" s="270">
        <v>213</v>
      </c>
      <c r="F35" s="270">
        <v>213</v>
      </c>
      <c r="G35" s="270">
        <v>213</v>
      </c>
      <c r="H35" s="357"/>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row>
    <row r="36" spans="1:37" ht="14.25" customHeight="1">
      <c r="A36" s="619"/>
      <c r="B36" s="253"/>
      <c r="C36" s="334" t="s">
        <v>170</v>
      </c>
      <c r="D36" s="270" t="s">
        <v>186</v>
      </c>
      <c r="E36" s="270" t="s">
        <v>186</v>
      </c>
      <c r="F36" s="270" t="s">
        <v>186</v>
      </c>
      <c r="G36" s="270" t="s">
        <v>186</v>
      </c>
      <c r="H36" s="357"/>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row>
    <row r="37" spans="1:37" ht="14.25" customHeight="1">
      <c r="A37" s="619"/>
      <c r="B37" s="253"/>
      <c r="C37" s="334" t="s">
        <v>172</v>
      </c>
      <c r="D37" s="270" t="s">
        <v>186</v>
      </c>
      <c r="E37" s="270" t="s">
        <v>186</v>
      </c>
      <c r="F37" s="270" t="s">
        <v>186</v>
      </c>
      <c r="G37" s="270" t="s">
        <v>186</v>
      </c>
      <c r="H37" s="357"/>
      <c r="I37" s="376"/>
      <c r="J37" s="376"/>
      <c r="K37" s="376"/>
      <c r="L37" s="376"/>
      <c r="M37" s="376"/>
      <c r="N37" s="376"/>
      <c r="O37" s="376"/>
      <c r="P37" s="376"/>
      <c r="Q37" s="376"/>
      <c r="R37" s="376"/>
      <c r="S37" s="376"/>
      <c r="T37" s="376"/>
      <c r="U37" s="376"/>
      <c r="V37" s="376"/>
      <c r="W37" s="376"/>
      <c r="X37" s="376"/>
      <c r="Y37" s="376"/>
      <c r="Z37" s="376"/>
      <c r="AA37" s="376"/>
      <c r="AB37" s="376"/>
      <c r="AC37" s="376"/>
      <c r="AD37" s="376"/>
      <c r="AE37" s="376"/>
      <c r="AF37" s="376"/>
      <c r="AG37" s="376"/>
      <c r="AH37" s="376"/>
      <c r="AI37" s="376"/>
      <c r="AJ37" s="376"/>
      <c r="AK37" s="376"/>
    </row>
    <row r="38" spans="1:37" ht="14.25" customHeight="1">
      <c r="A38" s="619"/>
      <c r="B38" s="253"/>
      <c r="C38" s="334" t="s">
        <v>174</v>
      </c>
      <c r="D38" s="270">
        <v>403</v>
      </c>
      <c r="E38" s="270">
        <v>403</v>
      </c>
      <c r="F38" s="270">
        <v>403</v>
      </c>
      <c r="G38" s="270">
        <v>403</v>
      </c>
      <c r="H38" s="357"/>
      <c r="I38" s="376"/>
      <c r="J38" s="376"/>
      <c r="K38" s="376"/>
      <c r="L38" s="376"/>
      <c r="M38" s="376"/>
      <c r="N38" s="376"/>
      <c r="O38" s="376"/>
      <c r="P38" s="376"/>
      <c r="Q38" s="376"/>
      <c r="R38" s="376"/>
      <c r="S38" s="376"/>
      <c r="T38" s="376"/>
      <c r="U38" s="376"/>
      <c r="V38" s="376"/>
      <c r="W38" s="376"/>
      <c r="X38" s="376"/>
      <c r="Y38" s="376"/>
      <c r="Z38" s="376"/>
      <c r="AA38" s="376"/>
      <c r="AB38" s="376"/>
      <c r="AC38" s="376"/>
      <c r="AD38" s="376"/>
      <c r="AE38" s="376"/>
      <c r="AF38" s="376"/>
      <c r="AG38" s="376"/>
      <c r="AH38" s="376"/>
      <c r="AI38" s="376"/>
      <c r="AJ38" s="376"/>
      <c r="AK38" s="376"/>
    </row>
    <row r="39" spans="1:37" ht="14.25" customHeight="1">
      <c r="A39" s="619"/>
      <c r="B39" s="253"/>
      <c r="C39" s="334" t="s">
        <v>176</v>
      </c>
      <c r="D39" s="270">
        <v>1075</v>
      </c>
      <c r="E39" s="270">
        <v>1075</v>
      </c>
      <c r="F39" s="270">
        <v>1075</v>
      </c>
      <c r="G39" s="270">
        <v>1075</v>
      </c>
      <c r="H39" s="357"/>
      <c r="I39" s="376"/>
      <c r="J39" s="376"/>
      <c r="K39" s="376"/>
      <c r="L39" s="376"/>
      <c r="M39" s="376"/>
      <c r="N39" s="376"/>
      <c r="O39" s="376"/>
      <c r="P39" s="376"/>
      <c r="Q39" s="376"/>
      <c r="R39" s="376"/>
      <c r="S39" s="376"/>
      <c r="T39" s="376"/>
      <c r="U39" s="376"/>
      <c r="V39" s="376"/>
      <c r="W39" s="376"/>
      <c r="X39" s="376"/>
      <c r="Y39" s="376"/>
      <c r="Z39" s="376"/>
      <c r="AA39" s="376"/>
      <c r="AB39" s="376"/>
      <c r="AC39" s="376"/>
      <c r="AD39" s="376"/>
      <c r="AE39" s="376"/>
      <c r="AF39" s="376"/>
      <c r="AG39" s="376"/>
      <c r="AH39" s="376"/>
      <c r="AI39" s="376"/>
      <c r="AJ39" s="376"/>
      <c r="AK39" s="376"/>
    </row>
    <row r="40" spans="1:37" ht="14.25" customHeight="1">
      <c r="A40" s="619"/>
      <c r="B40" s="253"/>
      <c r="C40" s="272" t="s">
        <v>812</v>
      </c>
      <c r="D40" s="256"/>
      <c r="E40" s="256"/>
      <c r="F40" s="256"/>
      <c r="G40" s="256"/>
      <c r="H40" s="357"/>
      <c r="I40" s="376"/>
      <c r="J40" s="376"/>
      <c r="K40" s="376"/>
      <c r="L40" s="376"/>
      <c r="M40" s="376"/>
      <c r="N40" s="376"/>
      <c r="O40" s="376"/>
      <c r="P40" s="376"/>
      <c r="Q40" s="376"/>
      <c r="R40" s="376"/>
      <c r="S40" s="376"/>
      <c r="T40" s="376"/>
      <c r="U40" s="376"/>
      <c r="V40" s="376"/>
      <c r="W40" s="376"/>
      <c r="X40" s="376"/>
      <c r="Y40" s="376"/>
      <c r="Z40" s="376"/>
      <c r="AA40" s="376"/>
      <c r="AB40" s="376"/>
      <c r="AC40" s="376"/>
      <c r="AD40" s="376"/>
      <c r="AE40" s="376"/>
      <c r="AF40" s="376"/>
      <c r="AG40" s="376"/>
      <c r="AH40" s="376"/>
      <c r="AI40" s="376"/>
      <c r="AJ40" s="376"/>
      <c r="AK40" s="376"/>
    </row>
    <row r="41" spans="1:37" ht="14.25" customHeight="1">
      <c r="A41" s="619"/>
      <c r="B41" s="253"/>
      <c r="C41" s="334" t="s">
        <v>166</v>
      </c>
      <c r="D41" s="270">
        <v>54.393999999999998</v>
      </c>
      <c r="E41" s="270">
        <v>54.393999999999991</v>
      </c>
      <c r="F41" s="270">
        <v>64.539999999999992</v>
      </c>
      <c r="G41" s="270">
        <v>64.539999999999992</v>
      </c>
      <c r="H41" s="357"/>
      <c r="I41" s="376"/>
      <c r="J41" s="376"/>
      <c r="K41" s="376"/>
      <c r="L41" s="376"/>
      <c r="M41" s="376"/>
      <c r="N41" s="376"/>
      <c r="O41" s="376"/>
      <c r="P41" s="376"/>
      <c r="Q41" s="376"/>
      <c r="R41" s="376"/>
      <c r="S41" s="376"/>
      <c r="T41" s="376"/>
      <c r="U41" s="376"/>
      <c r="V41" s="376"/>
      <c r="W41" s="376"/>
      <c r="X41" s="376"/>
      <c r="Y41" s="376"/>
      <c r="Z41" s="376"/>
      <c r="AA41" s="376"/>
      <c r="AB41" s="376"/>
      <c r="AC41" s="376"/>
      <c r="AD41" s="376"/>
      <c r="AE41" s="376"/>
      <c r="AF41" s="376"/>
      <c r="AG41" s="376"/>
      <c r="AH41" s="376"/>
      <c r="AI41" s="376"/>
      <c r="AJ41" s="376"/>
      <c r="AK41" s="376"/>
    </row>
    <row r="42" spans="1:37" ht="14.25" customHeight="1">
      <c r="A42" s="619"/>
      <c r="B42" s="253"/>
      <c r="C42" s="334" t="s">
        <v>168</v>
      </c>
      <c r="D42" s="270">
        <v>333.36</v>
      </c>
      <c r="E42" s="270">
        <v>333.36</v>
      </c>
      <c r="F42" s="270">
        <v>333.36</v>
      </c>
      <c r="G42" s="270">
        <v>333.36</v>
      </c>
      <c r="H42" s="357"/>
      <c r="I42" s="376"/>
      <c r="J42" s="376"/>
      <c r="K42" s="376"/>
      <c r="L42" s="376"/>
      <c r="M42" s="376"/>
      <c r="N42" s="376"/>
      <c r="O42" s="376"/>
      <c r="P42" s="376"/>
      <c r="Q42" s="376"/>
      <c r="R42" s="376"/>
      <c r="S42" s="376"/>
      <c r="T42" s="376"/>
      <c r="U42" s="376"/>
      <c r="V42" s="376"/>
      <c r="W42" s="376"/>
      <c r="X42" s="376"/>
      <c r="Y42" s="376"/>
      <c r="Z42" s="376"/>
      <c r="AA42" s="376"/>
      <c r="AB42" s="376"/>
      <c r="AC42" s="376"/>
      <c r="AD42" s="376"/>
      <c r="AE42" s="376"/>
      <c r="AF42" s="376"/>
      <c r="AG42" s="376"/>
      <c r="AH42" s="376"/>
      <c r="AI42" s="376"/>
      <c r="AJ42" s="376"/>
      <c r="AK42" s="376"/>
    </row>
    <row r="43" spans="1:37" ht="14.25" customHeight="1">
      <c r="A43" s="619"/>
      <c r="B43" s="253"/>
      <c r="C43" s="334" t="s">
        <v>170</v>
      </c>
      <c r="D43" s="270" t="s">
        <v>186</v>
      </c>
      <c r="E43" s="270" t="s">
        <v>186</v>
      </c>
      <c r="F43" s="270" t="s">
        <v>186</v>
      </c>
      <c r="G43" s="270" t="s">
        <v>186</v>
      </c>
      <c r="H43" s="357"/>
      <c r="I43" s="376"/>
      <c r="J43" s="376"/>
      <c r="K43" s="376"/>
      <c r="L43" s="376"/>
      <c r="M43" s="376"/>
      <c r="N43" s="376"/>
      <c r="O43" s="376"/>
      <c r="P43" s="376"/>
      <c r="Q43" s="376"/>
      <c r="R43" s="376"/>
      <c r="S43" s="376"/>
      <c r="T43" s="376"/>
      <c r="U43" s="376"/>
      <c r="V43" s="376"/>
      <c r="W43" s="376"/>
      <c r="X43" s="376"/>
      <c r="Y43" s="376"/>
      <c r="Z43" s="376"/>
      <c r="AA43" s="376"/>
      <c r="AB43" s="376"/>
      <c r="AC43" s="376"/>
      <c r="AD43" s="376"/>
      <c r="AE43" s="376"/>
      <c r="AF43" s="376"/>
      <c r="AG43" s="376"/>
      <c r="AH43" s="376"/>
      <c r="AI43" s="376"/>
      <c r="AJ43" s="376"/>
      <c r="AK43" s="376"/>
    </row>
    <row r="44" spans="1:37" ht="14.25" customHeight="1">
      <c r="A44" s="619"/>
      <c r="B44" s="253"/>
      <c r="C44" s="334" t="s">
        <v>172</v>
      </c>
      <c r="D44" s="270">
        <v>542.39</v>
      </c>
      <c r="E44" s="270">
        <v>552.3900000000001</v>
      </c>
      <c r="F44" s="270">
        <v>500.28200000000004</v>
      </c>
      <c r="G44" s="270">
        <v>508.38200000000001</v>
      </c>
      <c r="H44" s="357"/>
      <c r="I44" s="376"/>
      <c r="J44" s="376"/>
      <c r="K44" s="376"/>
      <c r="L44" s="376"/>
      <c r="M44" s="376"/>
      <c r="N44" s="376"/>
      <c r="O44" s="376"/>
      <c r="P44" s="376"/>
      <c r="Q44" s="376"/>
      <c r="R44" s="376"/>
      <c r="S44" s="376"/>
      <c r="T44" s="376"/>
      <c r="U44" s="376"/>
      <c r="V44" s="376"/>
      <c r="W44" s="376"/>
      <c r="X44" s="376"/>
      <c r="Y44" s="376"/>
      <c r="Z44" s="376"/>
      <c r="AA44" s="376"/>
      <c r="AB44" s="376"/>
      <c r="AC44" s="376"/>
      <c r="AD44" s="376"/>
      <c r="AE44" s="376"/>
      <c r="AF44" s="376"/>
      <c r="AG44" s="376"/>
      <c r="AH44" s="376"/>
      <c r="AI44" s="376"/>
      <c r="AJ44" s="376"/>
      <c r="AK44" s="376"/>
    </row>
    <row r="45" spans="1:37" ht="14.25" customHeight="1">
      <c r="A45" s="619"/>
      <c r="B45" s="253"/>
      <c r="C45" s="334" t="s">
        <v>174</v>
      </c>
      <c r="D45" s="270">
        <v>410</v>
      </c>
      <c r="E45" s="270">
        <v>410</v>
      </c>
      <c r="F45" s="270">
        <v>474.30399999999997</v>
      </c>
      <c r="G45" s="270">
        <v>474.30399999999997</v>
      </c>
      <c r="H45" s="357"/>
      <c r="I45" s="376"/>
      <c r="J45" s="376"/>
      <c r="K45" s="376"/>
      <c r="L45" s="376"/>
      <c r="M45" s="376"/>
      <c r="N45" s="376"/>
      <c r="O45" s="376"/>
      <c r="P45" s="376"/>
      <c r="Q45" s="376"/>
      <c r="R45" s="376"/>
      <c r="S45" s="376"/>
      <c r="T45" s="376"/>
      <c r="U45" s="376"/>
      <c r="V45" s="376"/>
      <c r="W45" s="376"/>
      <c r="X45" s="376"/>
      <c r="Y45" s="376"/>
      <c r="Z45" s="376"/>
      <c r="AA45" s="376"/>
      <c r="AB45" s="376"/>
      <c r="AC45" s="376"/>
      <c r="AD45" s="376"/>
      <c r="AE45" s="376"/>
      <c r="AF45" s="376"/>
      <c r="AG45" s="376"/>
      <c r="AH45" s="376"/>
      <c r="AI45" s="376"/>
      <c r="AJ45" s="376"/>
      <c r="AK45" s="376"/>
    </row>
    <row r="46" spans="1:37" ht="14.25" customHeight="1">
      <c r="A46" s="619"/>
      <c r="B46" s="253"/>
      <c r="C46" s="334" t="s">
        <v>176</v>
      </c>
      <c r="D46" s="270">
        <v>1986.99999</v>
      </c>
      <c r="E46" s="270">
        <v>1986.99999</v>
      </c>
      <c r="F46" s="270">
        <v>1986.99999</v>
      </c>
      <c r="G46" s="270">
        <v>1986.99999</v>
      </c>
      <c r="H46" s="357"/>
      <c r="I46" s="376"/>
      <c r="J46" s="376"/>
      <c r="K46" s="376"/>
      <c r="L46" s="376"/>
      <c r="M46" s="376"/>
      <c r="N46" s="376"/>
      <c r="O46" s="376"/>
      <c r="P46" s="376"/>
      <c r="Q46" s="376"/>
      <c r="R46" s="376"/>
      <c r="S46" s="376"/>
      <c r="T46" s="376"/>
      <c r="U46" s="376"/>
      <c r="V46" s="376"/>
      <c r="W46" s="376"/>
      <c r="X46" s="376"/>
      <c r="Y46" s="376"/>
      <c r="Z46" s="376"/>
      <c r="AA46" s="376"/>
      <c r="AB46" s="376"/>
      <c r="AC46" s="376"/>
      <c r="AD46" s="376"/>
      <c r="AE46" s="376"/>
      <c r="AF46" s="376"/>
      <c r="AG46" s="376"/>
      <c r="AH46" s="376"/>
      <c r="AI46" s="376"/>
      <c r="AJ46" s="376"/>
      <c r="AK46" s="376"/>
    </row>
    <row r="47" spans="1:37" ht="14.25" customHeight="1">
      <c r="A47" s="619"/>
      <c r="B47" s="253"/>
      <c r="C47" s="259" t="s">
        <v>39</v>
      </c>
      <c r="D47" s="25">
        <f t="shared" ref="D47:G47" si="9">D7+D10+D11+D18+D19+D30</f>
        <v>7355.5154100000009</v>
      </c>
      <c r="E47" s="25">
        <f t="shared" si="9"/>
        <v>7317.9154100000014</v>
      </c>
      <c r="F47" s="25">
        <f t="shared" si="9"/>
        <v>7340.2574100000002</v>
      </c>
      <c r="G47" s="25">
        <f t="shared" si="9"/>
        <v>7357.8374099999992</v>
      </c>
      <c r="H47" s="376"/>
      <c r="I47" s="376"/>
      <c r="J47" s="376"/>
      <c r="K47" s="376"/>
      <c r="L47" s="376"/>
      <c r="M47" s="376"/>
      <c r="N47" s="376"/>
      <c r="O47" s="376"/>
      <c r="P47" s="376"/>
      <c r="Q47" s="376"/>
      <c r="R47" s="376"/>
      <c r="S47" s="376"/>
      <c r="T47" s="376"/>
      <c r="U47" s="376"/>
      <c r="V47" s="376"/>
      <c r="W47" s="376"/>
      <c r="X47" s="376"/>
      <c r="Y47" s="376"/>
      <c r="Z47" s="376"/>
      <c r="AA47" s="376"/>
      <c r="AB47" s="376"/>
      <c r="AC47" s="376"/>
      <c r="AD47" s="376"/>
      <c r="AE47" s="376"/>
      <c r="AF47" s="376"/>
      <c r="AG47" s="376"/>
      <c r="AH47" s="376"/>
      <c r="AI47" s="376"/>
      <c r="AJ47" s="376"/>
      <c r="AK47" s="377"/>
    </row>
    <row r="48" spans="1:37" ht="14.25" customHeight="1">
      <c r="A48" s="619"/>
      <c r="B48" s="253"/>
      <c r="C48" s="259"/>
      <c r="D48" s="270"/>
      <c r="E48" s="270"/>
      <c r="F48" s="270"/>
      <c r="G48" s="270"/>
      <c r="H48" s="376"/>
      <c r="I48" s="376"/>
      <c r="J48" s="376"/>
      <c r="K48" s="376"/>
      <c r="L48" s="376"/>
      <c r="M48" s="376"/>
      <c r="N48" s="376"/>
      <c r="O48" s="376"/>
      <c r="P48" s="376"/>
      <c r="Q48" s="376"/>
      <c r="R48" s="376"/>
      <c r="S48" s="376"/>
      <c r="T48" s="376"/>
      <c r="U48" s="376"/>
      <c r="V48" s="376"/>
      <c r="W48" s="376"/>
      <c r="X48" s="376"/>
      <c r="Y48" s="376"/>
      <c r="Z48" s="376"/>
      <c r="AA48" s="376"/>
      <c r="AB48" s="376"/>
      <c r="AC48" s="376"/>
      <c r="AD48" s="376"/>
      <c r="AE48" s="376"/>
      <c r="AF48" s="376"/>
      <c r="AG48" s="376"/>
      <c r="AH48" s="376"/>
      <c r="AI48" s="376"/>
      <c r="AJ48" s="376"/>
      <c r="AK48" s="377"/>
    </row>
    <row r="49" spans="1:37" ht="14.25" customHeight="1">
      <c r="A49" s="619"/>
      <c r="B49" s="253"/>
      <c r="C49" s="281" t="s">
        <v>184</v>
      </c>
      <c r="D49" s="376"/>
      <c r="E49" s="376"/>
      <c r="F49" s="376"/>
      <c r="G49" s="376"/>
      <c r="H49" s="376"/>
      <c r="I49" s="376"/>
      <c r="J49" s="376"/>
      <c r="K49" s="376"/>
      <c r="L49" s="376"/>
      <c r="M49" s="376"/>
      <c r="N49" s="376"/>
      <c r="O49" s="376"/>
      <c r="P49" s="376"/>
      <c r="Q49" s="376"/>
      <c r="R49" s="376"/>
      <c r="S49" s="376"/>
      <c r="T49" s="376"/>
      <c r="U49" s="376"/>
      <c r="V49" s="376"/>
      <c r="W49" s="376"/>
      <c r="X49" s="376"/>
      <c r="Y49" s="376"/>
      <c r="Z49" s="376"/>
      <c r="AA49" s="376"/>
      <c r="AB49" s="376"/>
      <c r="AC49" s="376"/>
      <c r="AD49" s="376"/>
      <c r="AE49" s="376"/>
      <c r="AF49" s="376"/>
      <c r="AG49" s="376"/>
      <c r="AH49" s="376"/>
      <c r="AI49" s="376"/>
      <c r="AJ49" s="376"/>
      <c r="AK49" s="377"/>
    </row>
    <row r="50" spans="1:37" ht="14.25" customHeight="1">
      <c r="A50" s="619"/>
      <c r="B50" s="253"/>
      <c r="C50" s="262" t="s">
        <v>805</v>
      </c>
      <c r="D50" s="325"/>
      <c r="E50" s="325"/>
      <c r="F50" s="325"/>
      <c r="G50" s="325"/>
      <c r="H50" s="376"/>
      <c r="I50" s="376"/>
      <c r="J50" s="376"/>
      <c r="K50" s="376"/>
      <c r="L50" s="376"/>
      <c r="M50" s="376"/>
      <c r="N50" s="376"/>
      <c r="O50" s="376"/>
      <c r="P50" s="376"/>
      <c r="Q50" s="376"/>
      <c r="R50" s="376"/>
      <c r="S50" s="376"/>
      <c r="T50" s="376"/>
      <c r="U50" s="376"/>
      <c r="V50" s="376"/>
      <c r="W50" s="376"/>
      <c r="X50" s="376"/>
      <c r="Y50" s="376"/>
      <c r="Z50" s="376"/>
      <c r="AA50" s="376"/>
      <c r="AB50" s="376"/>
      <c r="AC50" s="376"/>
      <c r="AD50" s="376"/>
      <c r="AE50" s="376"/>
      <c r="AF50" s="376"/>
      <c r="AG50" s="376"/>
      <c r="AH50" s="376"/>
      <c r="AI50" s="376"/>
      <c r="AJ50" s="376"/>
      <c r="AK50" s="377"/>
    </row>
    <row r="51" spans="1:37" ht="14.25" customHeight="1">
      <c r="A51" s="619"/>
      <c r="B51" s="253"/>
      <c r="C51" s="262" t="s">
        <v>806</v>
      </c>
      <c r="D51" s="325">
        <f t="shared" ref="D51:G51" si="10">D52</f>
        <v>4.6500000000000004</v>
      </c>
      <c r="E51" s="325">
        <f t="shared" si="10"/>
        <v>4.6500000000000004</v>
      </c>
      <c r="F51" s="325">
        <f t="shared" si="10"/>
        <v>4.6500000000000004</v>
      </c>
      <c r="G51" s="325">
        <f t="shared" si="10"/>
        <v>4.6500000000000004</v>
      </c>
      <c r="H51" s="376"/>
      <c r="I51" s="376"/>
      <c r="J51" s="376"/>
      <c r="K51" s="376"/>
      <c r="L51" s="376"/>
      <c r="M51" s="376"/>
      <c r="N51" s="376"/>
      <c r="O51" s="376"/>
      <c r="P51" s="376"/>
      <c r="Q51" s="376"/>
      <c r="R51" s="376"/>
      <c r="S51" s="376"/>
      <c r="T51" s="376"/>
      <c r="U51" s="376"/>
      <c r="V51" s="376"/>
      <c r="W51" s="376"/>
      <c r="X51" s="376"/>
      <c r="Y51" s="376"/>
      <c r="Z51" s="376"/>
      <c r="AA51" s="376"/>
      <c r="AB51" s="376"/>
      <c r="AC51" s="376"/>
      <c r="AD51" s="376"/>
      <c r="AE51" s="376"/>
      <c r="AF51" s="376"/>
      <c r="AG51" s="376"/>
      <c r="AH51" s="376"/>
      <c r="AI51" s="376"/>
      <c r="AJ51" s="376"/>
      <c r="AK51" s="377"/>
    </row>
    <row r="52" spans="1:37" ht="14.25" customHeight="1">
      <c r="A52" s="619"/>
      <c r="B52" s="253"/>
      <c r="C52" s="285" t="s">
        <v>188</v>
      </c>
      <c r="D52" s="336">
        <v>4.6500000000000004</v>
      </c>
      <c r="E52" s="336">
        <v>4.6500000000000004</v>
      </c>
      <c r="F52" s="336">
        <v>4.6500000000000004</v>
      </c>
      <c r="G52" s="336">
        <v>4.6500000000000004</v>
      </c>
      <c r="H52" s="376"/>
      <c r="I52" s="376"/>
      <c r="J52" s="376"/>
      <c r="K52" s="376"/>
      <c r="L52" s="376"/>
      <c r="M52" s="376"/>
      <c r="N52" s="376"/>
      <c r="O52" s="376"/>
      <c r="P52" s="376"/>
      <c r="Q52" s="376"/>
      <c r="R52" s="376"/>
      <c r="S52" s="376"/>
      <c r="T52" s="376"/>
      <c r="U52" s="376"/>
      <c r="V52" s="376"/>
      <c r="W52" s="376"/>
      <c r="X52" s="376"/>
      <c r="Y52" s="376"/>
      <c r="Z52" s="376"/>
      <c r="AA52" s="376"/>
      <c r="AB52" s="376"/>
      <c r="AC52" s="376"/>
      <c r="AD52" s="376"/>
      <c r="AE52" s="376"/>
      <c r="AF52" s="376"/>
      <c r="AG52" s="376"/>
      <c r="AH52" s="376"/>
      <c r="AI52" s="376"/>
      <c r="AJ52" s="376"/>
      <c r="AK52" s="377"/>
    </row>
    <row r="53" spans="1:37" ht="14.25" customHeight="1">
      <c r="A53" s="619"/>
      <c r="B53" s="253"/>
      <c r="C53" s="262" t="s">
        <v>807</v>
      </c>
      <c r="D53" s="325">
        <f t="shared" ref="D53:G53" si="11">SUM(D54)</f>
        <v>6.0600000000000005</v>
      </c>
      <c r="E53" s="325">
        <f t="shared" si="11"/>
        <v>6.0600000000000005</v>
      </c>
      <c r="F53" s="325">
        <f t="shared" si="11"/>
        <v>6.0600000000000005</v>
      </c>
      <c r="G53" s="325">
        <f t="shared" si="11"/>
        <v>6.0600000000000005</v>
      </c>
      <c r="H53" s="376"/>
      <c r="I53" s="376"/>
      <c r="J53" s="376"/>
      <c r="K53" s="376"/>
      <c r="L53" s="376"/>
      <c r="M53" s="376"/>
      <c r="N53" s="376"/>
      <c r="O53" s="376"/>
      <c r="P53" s="376"/>
      <c r="Q53" s="376"/>
      <c r="R53" s="376"/>
      <c r="S53" s="376"/>
      <c r="T53" s="376"/>
      <c r="U53" s="376"/>
      <c r="V53" s="376"/>
      <c r="W53" s="376"/>
      <c r="X53" s="376"/>
      <c r="Y53" s="376"/>
      <c r="Z53" s="376"/>
      <c r="AA53" s="376"/>
      <c r="AB53" s="376"/>
      <c r="AC53" s="376"/>
      <c r="AD53" s="376"/>
      <c r="AE53" s="376"/>
      <c r="AF53" s="376"/>
      <c r="AG53" s="376"/>
      <c r="AH53" s="376"/>
      <c r="AI53" s="376"/>
      <c r="AJ53" s="376"/>
      <c r="AK53" s="377"/>
    </row>
    <row r="54" spans="1:37" ht="14.25" customHeight="1">
      <c r="A54" s="619"/>
      <c r="B54" s="253"/>
      <c r="C54" s="266" t="s">
        <v>189</v>
      </c>
      <c r="D54" s="267">
        <f t="shared" ref="D54:G54" si="12">SUM(D56:D57,D59:D60)</f>
        <v>6.0600000000000005</v>
      </c>
      <c r="E54" s="267">
        <f t="shared" si="12"/>
        <v>6.0600000000000005</v>
      </c>
      <c r="F54" s="267">
        <f t="shared" si="12"/>
        <v>6.0600000000000005</v>
      </c>
      <c r="G54" s="267">
        <f t="shared" si="12"/>
        <v>6.0600000000000005</v>
      </c>
      <c r="H54" s="376"/>
      <c r="I54" s="376"/>
      <c r="J54" s="376"/>
      <c r="K54" s="376"/>
      <c r="L54" s="376"/>
      <c r="M54" s="376"/>
      <c r="N54" s="376"/>
      <c r="O54" s="376"/>
      <c r="P54" s="376"/>
      <c r="Q54" s="376"/>
      <c r="R54" s="376"/>
      <c r="S54" s="376"/>
      <c r="T54" s="376"/>
      <c r="U54" s="376"/>
      <c r="V54" s="376"/>
      <c r="W54" s="376"/>
      <c r="X54" s="376"/>
      <c r="Y54" s="376"/>
      <c r="Z54" s="376"/>
      <c r="AA54" s="376"/>
      <c r="AB54" s="376"/>
      <c r="AC54" s="376"/>
      <c r="AD54" s="376"/>
      <c r="AE54" s="376"/>
      <c r="AF54" s="376"/>
      <c r="AG54" s="376"/>
      <c r="AH54" s="376"/>
      <c r="AI54" s="376"/>
      <c r="AJ54" s="376"/>
      <c r="AK54" s="377"/>
    </row>
    <row r="55" spans="1:37" ht="14.25" customHeight="1">
      <c r="A55" s="619"/>
      <c r="B55" s="253"/>
      <c r="C55" s="285" t="s">
        <v>190</v>
      </c>
      <c r="D55" s="336"/>
      <c r="E55" s="336"/>
      <c r="F55" s="336"/>
      <c r="G55" s="336"/>
      <c r="H55" s="376"/>
      <c r="I55" s="376"/>
      <c r="J55" s="376"/>
      <c r="K55" s="376"/>
      <c r="L55" s="376"/>
      <c r="M55" s="376"/>
      <c r="N55" s="376"/>
      <c r="O55" s="376"/>
      <c r="P55" s="376"/>
      <c r="Q55" s="376"/>
      <c r="R55" s="376"/>
      <c r="S55" s="376"/>
      <c r="T55" s="376"/>
      <c r="U55" s="376"/>
      <c r="V55" s="376"/>
      <c r="W55" s="376"/>
      <c r="X55" s="376"/>
      <c r="Y55" s="376"/>
      <c r="Z55" s="376"/>
      <c r="AA55" s="376"/>
      <c r="AB55" s="376"/>
      <c r="AC55" s="376"/>
      <c r="AD55" s="376"/>
      <c r="AE55" s="376"/>
      <c r="AF55" s="376"/>
      <c r="AG55" s="376"/>
      <c r="AH55" s="376"/>
      <c r="AI55" s="376"/>
      <c r="AJ55" s="376"/>
      <c r="AK55" s="377"/>
    </row>
    <row r="56" spans="1:37" ht="14.25" customHeight="1">
      <c r="A56" s="619"/>
      <c r="B56" s="253"/>
      <c r="C56" s="259" t="s">
        <v>192</v>
      </c>
      <c r="D56" s="270">
        <v>1.1600000000000001</v>
      </c>
      <c r="E56" s="270">
        <v>1.1600000000000001</v>
      </c>
      <c r="F56" s="270">
        <v>1.1600000000000001</v>
      </c>
      <c r="G56" s="270">
        <v>1.1600000000000001</v>
      </c>
      <c r="H56" s="376"/>
      <c r="I56" s="376"/>
      <c r="J56" s="376"/>
      <c r="K56" s="376"/>
      <c r="L56" s="376"/>
      <c r="M56" s="376"/>
      <c r="N56" s="376"/>
      <c r="O56" s="376"/>
      <c r="P56" s="376"/>
      <c r="Q56" s="376"/>
      <c r="R56" s="376"/>
      <c r="S56" s="376"/>
      <c r="T56" s="376"/>
      <c r="U56" s="376"/>
      <c r="V56" s="376"/>
      <c r="W56" s="376"/>
      <c r="X56" s="376"/>
      <c r="Y56" s="376"/>
      <c r="Z56" s="376"/>
      <c r="AA56" s="376"/>
      <c r="AB56" s="376"/>
      <c r="AC56" s="376"/>
      <c r="AD56" s="376"/>
      <c r="AE56" s="376"/>
      <c r="AF56" s="376"/>
      <c r="AG56" s="376"/>
      <c r="AH56" s="376"/>
      <c r="AI56" s="376"/>
      <c r="AJ56" s="376"/>
      <c r="AK56" s="377"/>
    </row>
    <row r="57" spans="1:37" ht="14.25" customHeight="1">
      <c r="A57" s="619"/>
      <c r="B57" s="253"/>
      <c r="C57" s="259" t="s">
        <v>194</v>
      </c>
      <c r="D57" s="270">
        <v>2.9</v>
      </c>
      <c r="E57" s="270">
        <v>2.9</v>
      </c>
      <c r="F57" s="270">
        <v>2.9</v>
      </c>
      <c r="G57" s="270">
        <v>2.9</v>
      </c>
      <c r="H57" s="376"/>
      <c r="I57" s="376"/>
      <c r="J57" s="376"/>
      <c r="K57" s="376"/>
      <c r="L57" s="376"/>
      <c r="M57" s="376"/>
      <c r="N57" s="376"/>
      <c r="O57" s="376"/>
      <c r="P57" s="376"/>
      <c r="Q57" s="376"/>
      <c r="R57" s="376"/>
      <c r="S57" s="376"/>
      <c r="T57" s="376"/>
      <c r="U57" s="376"/>
      <c r="V57" s="376"/>
      <c r="W57" s="376"/>
      <c r="X57" s="376"/>
      <c r="Y57" s="376"/>
      <c r="Z57" s="376"/>
      <c r="AA57" s="376"/>
      <c r="AB57" s="376"/>
      <c r="AC57" s="376"/>
      <c r="AD57" s="376"/>
      <c r="AE57" s="376"/>
      <c r="AF57" s="376"/>
      <c r="AG57" s="376"/>
      <c r="AH57" s="376"/>
      <c r="AI57" s="376"/>
      <c r="AJ57" s="376"/>
      <c r="AK57" s="377"/>
    </row>
    <row r="58" spans="1:37" ht="14.25" customHeight="1">
      <c r="A58" s="619"/>
      <c r="B58" s="253"/>
      <c r="C58" s="285" t="s">
        <v>195</v>
      </c>
      <c r="D58" s="336"/>
      <c r="E58" s="336"/>
      <c r="F58" s="336"/>
      <c r="G58" s="336"/>
      <c r="H58" s="376"/>
      <c r="I58" s="376"/>
      <c r="J58" s="376"/>
      <c r="K58" s="376"/>
      <c r="L58" s="376"/>
      <c r="M58" s="376"/>
      <c r="N58" s="376"/>
      <c r="O58" s="376"/>
      <c r="P58" s="376"/>
      <c r="Q58" s="376"/>
      <c r="R58" s="376"/>
      <c r="S58" s="376"/>
      <c r="T58" s="376"/>
      <c r="U58" s="376"/>
      <c r="V58" s="376"/>
      <c r="W58" s="376"/>
      <c r="X58" s="376"/>
      <c r="Y58" s="376"/>
      <c r="Z58" s="376"/>
      <c r="AA58" s="376"/>
      <c r="AB58" s="376"/>
      <c r="AC58" s="376"/>
      <c r="AD58" s="376"/>
      <c r="AE58" s="376"/>
      <c r="AF58" s="376"/>
      <c r="AG58" s="376"/>
      <c r="AH58" s="376"/>
      <c r="AI58" s="376"/>
      <c r="AJ58" s="376"/>
      <c r="AK58" s="377"/>
    </row>
    <row r="59" spans="1:37" ht="14.25" customHeight="1">
      <c r="A59" s="619"/>
      <c r="B59" s="253"/>
      <c r="C59" s="259" t="s">
        <v>192</v>
      </c>
      <c r="D59" s="270">
        <v>2</v>
      </c>
      <c r="E59" s="270">
        <v>2</v>
      </c>
      <c r="F59" s="270">
        <v>2</v>
      </c>
      <c r="G59" s="270">
        <v>2</v>
      </c>
      <c r="H59" s="376"/>
      <c r="I59" s="376"/>
      <c r="J59" s="376"/>
      <c r="K59" s="376"/>
      <c r="L59" s="376"/>
      <c r="M59" s="376"/>
      <c r="N59" s="376"/>
      <c r="O59" s="376"/>
      <c r="P59" s="376"/>
      <c r="Q59" s="376"/>
      <c r="R59" s="376"/>
      <c r="S59" s="376"/>
      <c r="T59" s="376"/>
      <c r="U59" s="376"/>
      <c r="V59" s="376"/>
      <c r="W59" s="376"/>
      <c r="X59" s="376"/>
      <c r="Y59" s="376"/>
      <c r="Z59" s="376"/>
      <c r="AA59" s="376"/>
      <c r="AB59" s="376"/>
      <c r="AC59" s="376"/>
      <c r="AD59" s="376"/>
      <c r="AE59" s="376"/>
      <c r="AF59" s="376"/>
      <c r="AG59" s="376"/>
      <c r="AH59" s="376"/>
      <c r="AI59" s="376"/>
      <c r="AJ59" s="376"/>
      <c r="AK59" s="377"/>
    </row>
    <row r="60" spans="1:37" ht="14.25" customHeight="1">
      <c r="A60" s="619"/>
      <c r="B60" s="253"/>
      <c r="C60" s="259" t="s">
        <v>194</v>
      </c>
      <c r="D60" s="270">
        <v>0</v>
      </c>
      <c r="E60" s="270">
        <v>0</v>
      </c>
      <c r="F60" s="270">
        <v>0</v>
      </c>
      <c r="G60" s="270">
        <v>0</v>
      </c>
      <c r="H60" s="376"/>
      <c r="I60" s="376"/>
      <c r="J60" s="376"/>
      <c r="K60" s="376"/>
      <c r="L60" s="376"/>
      <c r="M60" s="376"/>
      <c r="N60" s="376"/>
      <c r="O60" s="376"/>
      <c r="P60" s="376"/>
      <c r="Q60" s="376"/>
      <c r="R60" s="376"/>
      <c r="S60" s="376"/>
      <c r="T60" s="376"/>
      <c r="U60" s="376"/>
      <c r="V60" s="376"/>
      <c r="W60" s="376"/>
      <c r="X60" s="376"/>
      <c r="Y60" s="376"/>
      <c r="Z60" s="376"/>
      <c r="AA60" s="376"/>
      <c r="AB60" s="376"/>
      <c r="AC60" s="376"/>
      <c r="AD60" s="376"/>
      <c r="AE60" s="376"/>
      <c r="AF60" s="376"/>
      <c r="AG60" s="376"/>
      <c r="AH60" s="376"/>
      <c r="AI60" s="376"/>
      <c r="AJ60" s="376"/>
      <c r="AK60" s="377"/>
    </row>
    <row r="61" spans="1:37" ht="14.25" customHeight="1">
      <c r="A61" s="619"/>
      <c r="B61" s="253"/>
      <c r="C61" s="262" t="s">
        <v>808</v>
      </c>
      <c r="D61" s="325">
        <f t="shared" ref="D61:G61" si="13">SUM(D62:D63)</f>
        <v>3.1690199999999997</v>
      </c>
      <c r="E61" s="325">
        <f t="shared" si="13"/>
        <v>3.1690199999999997</v>
      </c>
      <c r="F61" s="325">
        <f t="shared" si="13"/>
        <v>3.1690199999999997</v>
      </c>
      <c r="G61" s="325">
        <f t="shared" si="13"/>
        <v>3.1923599999999999</v>
      </c>
      <c r="H61" s="376"/>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7"/>
    </row>
    <row r="62" spans="1:37" ht="14.25" customHeight="1">
      <c r="A62" s="619"/>
      <c r="B62" s="253"/>
      <c r="C62" s="285" t="s">
        <v>188</v>
      </c>
      <c r="D62" s="336">
        <v>2.5964199999999997</v>
      </c>
      <c r="E62" s="336">
        <v>2.5964199999999997</v>
      </c>
      <c r="F62" s="336">
        <v>2.5964199999999997</v>
      </c>
      <c r="G62" s="336">
        <v>2.6197599999999999</v>
      </c>
      <c r="H62" s="376"/>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7"/>
    </row>
    <row r="63" spans="1:37" ht="14.25" customHeight="1">
      <c r="A63" s="619"/>
      <c r="B63" s="253"/>
      <c r="C63" s="285" t="s">
        <v>190</v>
      </c>
      <c r="D63" s="336">
        <v>0.5726</v>
      </c>
      <c r="E63" s="336">
        <v>0.5726</v>
      </c>
      <c r="F63" s="336">
        <v>0.5726</v>
      </c>
      <c r="G63" s="336">
        <v>0.5726</v>
      </c>
      <c r="H63" s="376"/>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7"/>
    </row>
    <row r="64" spans="1:37" ht="14.25" customHeight="1">
      <c r="A64" s="619"/>
      <c r="B64" s="253"/>
      <c r="C64" s="262" t="s">
        <v>809</v>
      </c>
      <c r="D64" s="325">
        <f t="shared" ref="D64:G64" si="14">SUM(D65,D75,D80)</f>
        <v>1292.5077799999999</v>
      </c>
      <c r="E64" s="325">
        <f t="shared" si="14"/>
        <v>1353.2197799999999</v>
      </c>
      <c r="F64" s="325">
        <f t="shared" si="14"/>
        <v>1358.1607800000002</v>
      </c>
      <c r="G64" s="325">
        <f t="shared" si="14"/>
        <v>1362.6707800000001</v>
      </c>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7"/>
    </row>
    <row r="65" spans="1:37" ht="14.25" customHeight="1">
      <c r="A65" s="619"/>
      <c r="B65" s="253"/>
      <c r="C65" s="266" t="s">
        <v>145</v>
      </c>
      <c r="D65" s="267">
        <f t="shared" ref="D65:G65" si="15">SUM(D67:D74)</f>
        <v>1175.38878</v>
      </c>
      <c r="E65" s="267">
        <f t="shared" si="15"/>
        <v>1236.34078</v>
      </c>
      <c r="F65" s="267">
        <f t="shared" si="15"/>
        <v>1241.2817800000003</v>
      </c>
      <c r="G65" s="267">
        <f t="shared" si="15"/>
        <v>1222.9917800000001</v>
      </c>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7"/>
    </row>
    <row r="66" spans="1:37" ht="14.25" customHeight="1">
      <c r="A66" s="619"/>
      <c r="B66" s="253"/>
      <c r="C66" s="285" t="s">
        <v>190</v>
      </c>
      <c r="D66" s="336"/>
      <c r="E66" s="336"/>
      <c r="F66" s="336"/>
      <c r="G66" s="336"/>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7"/>
    </row>
    <row r="67" spans="1:37" ht="14.25" customHeight="1">
      <c r="A67" s="619"/>
      <c r="B67" s="253"/>
      <c r="C67" s="259" t="s">
        <v>201</v>
      </c>
      <c r="D67" s="270">
        <v>32.799999999999997</v>
      </c>
      <c r="E67" s="270">
        <v>32.25</v>
      </c>
      <c r="F67" s="270">
        <v>33.65</v>
      </c>
      <c r="G67" s="270">
        <v>13.25</v>
      </c>
      <c r="H67" s="376"/>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7"/>
    </row>
    <row r="68" spans="1:37" ht="14.25" customHeight="1">
      <c r="A68" s="619"/>
      <c r="B68" s="253"/>
      <c r="C68" s="285" t="s">
        <v>188</v>
      </c>
      <c r="D68" s="336"/>
      <c r="E68" s="336"/>
      <c r="F68" s="336"/>
      <c r="G68" s="336"/>
      <c r="H68" s="376"/>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7"/>
    </row>
    <row r="69" spans="1:37" ht="14.25" customHeight="1">
      <c r="A69" s="619"/>
      <c r="B69" s="253"/>
      <c r="C69" s="259" t="s">
        <v>201</v>
      </c>
      <c r="D69" s="270">
        <v>27.581999999999997</v>
      </c>
      <c r="E69" s="270">
        <v>24.146999999999998</v>
      </c>
      <c r="F69" s="270">
        <v>24.285</v>
      </c>
      <c r="G69" s="270">
        <v>24.285</v>
      </c>
      <c r="H69" s="376"/>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7"/>
    </row>
    <row r="70" spans="1:37" ht="14.25" customHeight="1">
      <c r="A70" s="619"/>
      <c r="B70" s="253"/>
      <c r="C70" s="285" t="s">
        <v>203</v>
      </c>
      <c r="D70" s="336"/>
      <c r="E70" s="336"/>
      <c r="F70" s="336"/>
      <c r="G70" s="33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7"/>
    </row>
    <row r="71" spans="1:37" ht="14.25" customHeight="1">
      <c r="A71" s="619"/>
      <c r="B71" s="253"/>
      <c r="C71" s="259" t="s">
        <v>205</v>
      </c>
      <c r="D71" s="270">
        <v>378.58699999999993</v>
      </c>
      <c r="E71" s="270">
        <v>378.58699999999993</v>
      </c>
      <c r="F71" s="270">
        <v>378.53699999999992</v>
      </c>
      <c r="G71" s="270">
        <v>432.29199999999997</v>
      </c>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7"/>
    </row>
    <row r="72" spans="1:37" ht="14.25" customHeight="1">
      <c r="A72" s="619"/>
      <c r="B72" s="253"/>
      <c r="C72" s="259" t="s">
        <v>201</v>
      </c>
      <c r="D72" s="270">
        <v>530.94777999999997</v>
      </c>
      <c r="E72" s="270">
        <v>590.61478</v>
      </c>
      <c r="F72" s="270">
        <v>592.51978000000008</v>
      </c>
      <c r="G72" s="270">
        <v>541.50778000000003</v>
      </c>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7"/>
    </row>
    <row r="73" spans="1:37" ht="14.25" customHeight="1">
      <c r="A73" s="619"/>
      <c r="B73" s="253"/>
      <c r="C73" s="259" t="s">
        <v>208</v>
      </c>
      <c r="D73" s="270">
        <v>14.4</v>
      </c>
      <c r="E73" s="270">
        <v>14.4</v>
      </c>
      <c r="F73" s="270">
        <v>14.4</v>
      </c>
      <c r="G73" s="270">
        <v>14.4</v>
      </c>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7"/>
    </row>
    <row r="74" spans="1:37" ht="14.25" customHeight="1">
      <c r="A74" s="619"/>
      <c r="B74" s="253"/>
      <c r="C74" s="259" t="s">
        <v>210</v>
      </c>
      <c r="D74" s="270">
        <v>191.07200000000003</v>
      </c>
      <c r="E74" s="270">
        <v>196.34200000000007</v>
      </c>
      <c r="F74" s="270">
        <v>197.89000000000001</v>
      </c>
      <c r="G74" s="270">
        <v>197.25700000000001</v>
      </c>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7"/>
    </row>
    <row r="75" spans="1:37" ht="14.25" customHeight="1">
      <c r="A75" s="619"/>
      <c r="B75" s="253"/>
      <c r="C75" s="266" t="s">
        <v>153</v>
      </c>
      <c r="D75" s="267">
        <f t="shared" ref="D75:G75" si="16">SUM(D77:D79)</f>
        <v>101.254</v>
      </c>
      <c r="E75" s="267">
        <f t="shared" si="16"/>
        <v>101.254</v>
      </c>
      <c r="F75" s="267">
        <f t="shared" si="16"/>
        <v>101.254</v>
      </c>
      <c r="G75" s="267">
        <f t="shared" si="16"/>
        <v>124.05400000000002</v>
      </c>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7"/>
    </row>
    <row r="76" spans="1:37" ht="14.25" customHeight="1">
      <c r="A76" s="619"/>
      <c r="B76" s="253"/>
      <c r="C76" s="285" t="s">
        <v>203</v>
      </c>
      <c r="D76" s="336"/>
      <c r="E76" s="336"/>
      <c r="F76" s="336"/>
      <c r="G76" s="336"/>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7"/>
    </row>
    <row r="77" spans="1:37" ht="14.25" customHeight="1">
      <c r="A77" s="619"/>
      <c r="B77" s="253"/>
      <c r="C77" s="259" t="s">
        <v>201</v>
      </c>
      <c r="D77" s="25">
        <v>50.4</v>
      </c>
      <c r="E77" s="270">
        <v>50.4</v>
      </c>
      <c r="F77" s="270">
        <v>50.4</v>
      </c>
      <c r="G77" s="270">
        <v>50.4</v>
      </c>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7"/>
    </row>
    <row r="78" spans="1:37" ht="14.25" customHeight="1">
      <c r="A78" s="619"/>
      <c r="B78" s="253"/>
      <c r="C78" s="259" t="s">
        <v>210</v>
      </c>
      <c r="D78" s="270">
        <v>45.85</v>
      </c>
      <c r="E78" s="270">
        <v>45.85</v>
      </c>
      <c r="F78" s="270">
        <v>45.85</v>
      </c>
      <c r="G78" s="270">
        <v>68.650000000000006</v>
      </c>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7"/>
    </row>
    <row r="79" spans="1:37" ht="14.25" customHeight="1">
      <c r="A79" s="619"/>
      <c r="B79" s="253"/>
      <c r="C79" s="259" t="s">
        <v>205</v>
      </c>
      <c r="D79" s="270">
        <v>5.0039999999999996</v>
      </c>
      <c r="E79" s="270">
        <v>5.0039999999999996</v>
      </c>
      <c r="F79" s="270">
        <v>5.0039999999999996</v>
      </c>
      <c r="G79" s="270">
        <v>5.0039999999999996</v>
      </c>
      <c r="H79" s="376"/>
      <c r="I79" s="376"/>
      <c r="J79" s="376"/>
      <c r="K79" s="376"/>
      <c r="L79" s="376"/>
      <c r="M79" s="376"/>
      <c r="N79" s="376"/>
      <c r="O79" s="376"/>
      <c r="P79" s="376"/>
      <c r="Q79" s="376"/>
      <c r="R79" s="376"/>
      <c r="S79" s="376"/>
      <c r="T79" s="376"/>
      <c r="U79" s="376"/>
      <c r="V79" s="376"/>
      <c r="W79" s="376"/>
      <c r="X79" s="376"/>
      <c r="Y79" s="376"/>
      <c r="Z79" s="376"/>
      <c r="AA79" s="376"/>
      <c r="AB79" s="376"/>
      <c r="AC79" s="376"/>
      <c r="AD79" s="376"/>
      <c r="AE79" s="376"/>
      <c r="AF79" s="376"/>
      <c r="AG79" s="376"/>
      <c r="AH79" s="376"/>
      <c r="AI79" s="376"/>
      <c r="AJ79" s="376"/>
      <c r="AK79" s="377"/>
    </row>
    <row r="80" spans="1:37" ht="14.25" customHeight="1">
      <c r="A80" s="619"/>
      <c r="B80" s="253"/>
      <c r="C80" s="266" t="s">
        <v>158</v>
      </c>
      <c r="D80" s="267">
        <f t="shared" ref="D80:G80" si="17">SUM(D82:D86)</f>
        <v>15.865</v>
      </c>
      <c r="E80" s="267">
        <f t="shared" si="17"/>
        <v>15.625</v>
      </c>
      <c r="F80" s="267">
        <f t="shared" si="17"/>
        <v>15.625</v>
      </c>
      <c r="G80" s="267">
        <f t="shared" si="17"/>
        <v>15.625</v>
      </c>
      <c r="H80" s="376"/>
      <c r="I80" s="376"/>
      <c r="J80" s="376"/>
      <c r="K80" s="376"/>
      <c r="L80" s="376"/>
      <c r="M80" s="376"/>
      <c r="N80" s="376"/>
      <c r="O80" s="376"/>
      <c r="P80" s="376"/>
      <c r="Q80" s="376"/>
      <c r="R80" s="376"/>
      <c r="S80" s="376"/>
      <c r="T80" s="376"/>
      <c r="U80" s="376"/>
      <c r="V80" s="376"/>
      <c r="W80" s="376"/>
      <c r="X80" s="376"/>
      <c r="Y80" s="376"/>
      <c r="Z80" s="376"/>
      <c r="AA80" s="376"/>
      <c r="AB80" s="376"/>
      <c r="AC80" s="376"/>
      <c r="AD80" s="376"/>
      <c r="AE80" s="376"/>
      <c r="AF80" s="376"/>
      <c r="AG80" s="376"/>
      <c r="AH80" s="376"/>
      <c r="AI80" s="376"/>
      <c r="AJ80" s="376"/>
      <c r="AK80" s="377"/>
    </row>
    <row r="81" spans="1:37" ht="14.25" customHeight="1">
      <c r="A81" s="619"/>
      <c r="B81" s="253"/>
      <c r="C81" s="285" t="s">
        <v>190</v>
      </c>
      <c r="D81" s="336"/>
      <c r="E81" s="336"/>
      <c r="F81" s="336"/>
      <c r="G81" s="336"/>
      <c r="H81" s="376"/>
      <c r="I81" s="376"/>
      <c r="J81" s="376"/>
      <c r="K81" s="376"/>
      <c r="L81" s="376"/>
      <c r="M81" s="376"/>
      <c r="N81" s="376"/>
      <c r="O81" s="376"/>
      <c r="P81" s="376"/>
      <c r="Q81" s="376"/>
      <c r="R81" s="376"/>
      <c r="S81" s="376"/>
      <c r="T81" s="376"/>
      <c r="U81" s="376"/>
      <c r="V81" s="376"/>
      <c r="W81" s="376"/>
      <c r="X81" s="376"/>
      <c r="Y81" s="376"/>
      <c r="Z81" s="376"/>
      <c r="AA81" s="376"/>
      <c r="AB81" s="376"/>
      <c r="AC81" s="376"/>
      <c r="AD81" s="376"/>
      <c r="AE81" s="376"/>
      <c r="AF81" s="376"/>
      <c r="AG81" s="376"/>
      <c r="AH81" s="376"/>
      <c r="AI81" s="376"/>
      <c r="AJ81" s="376"/>
      <c r="AK81" s="377"/>
    </row>
    <row r="82" spans="1:37" ht="14.25" customHeight="1">
      <c r="A82" s="619"/>
      <c r="B82" s="253"/>
      <c r="C82" s="259" t="s">
        <v>201</v>
      </c>
      <c r="D82" s="25">
        <v>0.24</v>
      </c>
      <c r="E82" s="270">
        <v>0</v>
      </c>
      <c r="F82" s="270">
        <v>0</v>
      </c>
      <c r="G82" s="270">
        <v>0</v>
      </c>
      <c r="H82" s="376"/>
      <c r="I82" s="376"/>
      <c r="J82" s="376"/>
      <c r="K82" s="376"/>
      <c r="L82" s="376"/>
      <c r="M82" s="376"/>
      <c r="N82" s="376"/>
      <c r="O82" s="376"/>
      <c r="P82" s="376"/>
      <c r="Q82" s="376"/>
      <c r="R82" s="376"/>
      <c r="S82" s="376"/>
      <c r="T82" s="376"/>
      <c r="U82" s="376"/>
      <c r="V82" s="376"/>
      <c r="W82" s="376"/>
      <c r="X82" s="376"/>
      <c r="Y82" s="376"/>
      <c r="Z82" s="376"/>
      <c r="AA82" s="376"/>
      <c r="AB82" s="376"/>
      <c r="AC82" s="376"/>
      <c r="AD82" s="376"/>
      <c r="AE82" s="376"/>
      <c r="AF82" s="376"/>
      <c r="AG82" s="376"/>
      <c r="AH82" s="376"/>
      <c r="AI82" s="376"/>
      <c r="AJ82" s="376"/>
      <c r="AK82" s="377"/>
    </row>
    <row r="83" spans="1:37" ht="14.25" customHeight="1">
      <c r="A83" s="619"/>
      <c r="B83" s="253"/>
      <c r="C83" s="285" t="s">
        <v>195</v>
      </c>
      <c r="D83" s="336"/>
      <c r="E83" s="336"/>
      <c r="F83" s="336"/>
      <c r="G83" s="336"/>
      <c r="H83" s="376"/>
      <c r="I83" s="376"/>
      <c r="J83" s="376"/>
      <c r="K83" s="376"/>
      <c r="L83" s="376"/>
      <c r="M83" s="376"/>
      <c r="N83" s="376"/>
      <c r="O83" s="376"/>
      <c r="P83" s="376"/>
      <c r="Q83" s="376"/>
      <c r="R83" s="376"/>
      <c r="S83" s="376"/>
      <c r="T83" s="376"/>
      <c r="U83" s="376"/>
      <c r="V83" s="376"/>
      <c r="W83" s="376"/>
      <c r="X83" s="376"/>
      <c r="Y83" s="376"/>
      <c r="Z83" s="376"/>
      <c r="AA83" s="376"/>
      <c r="AB83" s="376"/>
      <c r="AC83" s="376"/>
      <c r="AD83" s="376"/>
      <c r="AE83" s="376"/>
      <c r="AF83" s="376"/>
      <c r="AG83" s="376"/>
      <c r="AH83" s="376"/>
      <c r="AI83" s="376"/>
      <c r="AJ83" s="376"/>
      <c r="AK83" s="377"/>
    </row>
    <row r="84" spans="1:37" ht="14.25" customHeight="1">
      <c r="A84" s="619"/>
      <c r="B84" s="253"/>
      <c r="C84" s="259" t="s">
        <v>201</v>
      </c>
      <c r="D84" s="270">
        <v>3.625</v>
      </c>
      <c r="E84" s="270">
        <v>3.625</v>
      </c>
      <c r="F84" s="270">
        <v>3.625</v>
      </c>
      <c r="G84" s="270">
        <v>3.625</v>
      </c>
      <c r="H84" s="376"/>
      <c r="I84" s="376"/>
      <c r="J84" s="376"/>
      <c r="K84" s="376"/>
      <c r="L84" s="376"/>
      <c r="M84" s="376"/>
      <c r="N84" s="376"/>
      <c r="O84" s="376"/>
      <c r="P84" s="376"/>
      <c r="Q84" s="376"/>
      <c r="R84" s="376"/>
      <c r="S84" s="376"/>
      <c r="T84" s="376"/>
      <c r="U84" s="376"/>
      <c r="V84" s="376"/>
      <c r="W84" s="376"/>
      <c r="X84" s="376"/>
      <c r="Y84" s="376"/>
      <c r="Z84" s="376"/>
      <c r="AA84" s="376"/>
      <c r="AB84" s="376"/>
      <c r="AC84" s="376"/>
      <c r="AD84" s="376"/>
      <c r="AE84" s="376"/>
      <c r="AF84" s="376"/>
      <c r="AG84" s="376"/>
      <c r="AH84" s="376"/>
      <c r="AI84" s="376"/>
      <c r="AJ84" s="376"/>
      <c r="AK84" s="377"/>
    </row>
    <row r="85" spans="1:37" ht="14.25" customHeight="1">
      <c r="A85" s="619"/>
      <c r="B85" s="253"/>
      <c r="C85" s="285" t="s">
        <v>203</v>
      </c>
      <c r="D85" s="336"/>
      <c r="E85" s="336"/>
      <c r="F85" s="336"/>
      <c r="G85" s="336"/>
      <c r="H85" s="376"/>
      <c r="I85" s="376"/>
      <c r="J85" s="376"/>
      <c r="K85" s="376"/>
      <c r="L85" s="376"/>
      <c r="M85" s="376"/>
      <c r="N85" s="376"/>
      <c r="O85" s="376"/>
      <c r="P85" s="376"/>
      <c r="Q85" s="376"/>
      <c r="R85" s="376"/>
      <c r="S85" s="376"/>
      <c r="T85" s="376"/>
      <c r="U85" s="376"/>
      <c r="V85" s="376"/>
      <c r="W85" s="376"/>
      <c r="X85" s="376"/>
      <c r="Y85" s="376"/>
      <c r="Z85" s="376"/>
      <c r="AA85" s="376"/>
      <c r="AB85" s="376"/>
      <c r="AC85" s="376"/>
      <c r="AD85" s="376"/>
      <c r="AE85" s="376"/>
      <c r="AF85" s="376"/>
      <c r="AG85" s="376"/>
      <c r="AH85" s="376"/>
      <c r="AI85" s="376"/>
      <c r="AJ85" s="376"/>
      <c r="AK85" s="377"/>
    </row>
    <row r="86" spans="1:37" ht="14.25" customHeight="1">
      <c r="A86" s="619"/>
      <c r="B86" s="253"/>
      <c r="C86" s="259" t="s">
        <v>210</v>
      </c>
      <c r="D86" s="270">
        <v>12</v>
      </c>
      <c r="E86" s="270">
        <v>12</v>
      </c>
      <c r="F86" s="270">
        <v>12</v>
      </c>
      <c r="G86" s="270">
        <v>12</v>
      </c>
      <c r="H86" s="376"/>
      <c r="I86" s="376"/>
      <c r="J86" s="376"/>
      <c r="K86" s="376"/>
      <c r="L86" s="376"/>
      <c r="M86" s="376"/>
      <c r="N86" s="376"/>
      <c r="O86" s="376"/>
      <c r="P86" s="376"/>
      <c r="Q86" s="376"/>
      <c r="R86" s="376"/>
      <c r="S86" s="376"/>
      <c r="T86" s="376"/>
      <c r="U86" s="376"/>
      <c r="V86" s="376"/>
      <c r="W86" s="376"/>
      <c r="X86" s="376"/>
      <c r="Y86" s="376"/>
      <c r="Z86" s="376"/>
      <c r="AA86" s="376"/>
      <c r="AB86" s="376"/>
      <c r="AC86" s="376"/>
      <c r="AD86" s="376"/>
      <c r="AE86" s="376"/>
      <c r="AF86" s="376"/>
      <c r="AG86" s="376"/>
      <c r="AH86" s="376"/>
      <c r="AI86" s="376"/>
      <c r="AJ86" s="376"/>
      <c r="AK86" s="377"/>
    </row>
    <row r="87" spans="1:37" ht="14.25" customHeight="1">
      <c r="A87" s="619"/>
      <c r="B87" s="253"/>
      <c r="C87" s="262" t="s">
        <v>810</v>
      </c>
      <c r="D87" s="325"/>
      <c r="E87" s="325"/>
      <c r="F87" s="325"/>
      <c r="G87" s="325"/>
      <c r="H87" s="376"/>
      <c r="I87" s="376"/>
      <c r="J87" s="376"/>
      <c r="K87" s="376"/>
      <c r="L87" s="376"/>
      <c r="M87" s="376"/>
      <c r="N87" s="376"/>
      <c r="O87" s="376"/>
      <c r="P87" s="376"/>
      <c r="Q87" s="376"/>
      <c r="R87" s="376"/>
      <c r="S87" s="376"/>
      <c r="T87" s="376"/>
      <c r="U87" s="376"/>
      <c r="V87" s="376"/>
      <c r="W87" s="376"/>
      <c r="X87" s="376"/>
      <c r="Y87" s="376"/>
      <c r="Z87" s="376"/>
      <c r="AA87" s="376"/>
      <c r="AB87" s="376"/>
      <c r="AC87" s="376"/>
      <c r="AD87" s="376"/>
      <c r="AE87" s="376"/>
      <c r="AF87" s="376"/>
      <c r="AG87" s="376"/>
      <c r="AH87" s="376"/>
      <c r="AI87" s="376"/>
      <c r="AJ87" s="376"/>
      <c r="AK87" s="377"/>
    </row>
    <row r="88" spans="1:37" ht="14.25" customHeight="1">
      <c r="A88" s="619"/>
      <c r="B88" s="253"/>
      <c r="C88" s="259" t="s">
        <v>39</v>
      </c>
      <c r="D88" s="270">
        <f t="shared" ref="D88:G88" si="18">D51+D50+D53+D61+D64+D87</f>
        <v>1306.3868</v>
      </c>
      <c r="E88" s="270">
        <f t="shared" si="18"/>
        <v>1367.0988</v>
      </c>
      <c r="F88" s="270">
        <f t="shared" si="18"/>
        <v>1372.0398000000002</v>
      </c>
      <c r="G88" s="270">
        <f t="shared" si="18"/>
        <v>1376.5731400000002</v>
      </c>
      <c r="H88" s="270"/>
      <c r="I88" s="376"/>
      <c r="J88" s="376"/>
      <c r="K88" s="376"/>
      <c r="L88" s="376"/>
      <c r="M88" s="376"/>
      <c r="N88" s="376"/>
      <c r="O88" s="376"/>
      <c r="P88" s="376"/>
      <c r="Q88" s="376"/>
      <c r="R88" s="376"/>
      <c r="S88" s="376"/>
      <c r="T88" s="376"/>
      <c r="U88" s="376"/>
      <c r="V88" s="376"/>
      <c r="W88" s="376"/>
      <c r="X88" s="376"/>
      <c r="Y88" s="376"/>
      <c r="Z88" s="376"/>
      <c r="AA88" s="376"/>
      <c r="AB88" s="376"/>
      <c r="AC88" s="376"/>
      <c r="AD88" s="376"/>
      <c r="AE88" s="376"/>
      <c r="AF88" s="376"/>
      <c r="AG88" s="376"/>
      <c r="AH88" s="376"/>
      <c r="AI88" s="376"/>
      <c r="AJ88" s="376"/>
      <c r="AK88" s="377"/>
    </row>
    <row r="89" spans="1:37" ht="14.25" customHeight="1">
      <c r="A89" s="619"/>
      <c r="B89" s="253"/>
      <c r="C89" s="281"/>
      <c r="D89" s="270"/>
      <c r="E89" s="270"/>
      <c r="F89" s="270"/>
      <c r="G89" s="270"/>
      <c r="H89" s="270"/>
      <c r="I89" s="376"/>
      <c r="J89" s="376"/>
      <c r="K89" s="376"/>
      <c r="L89" s="376"/>
      <c r="M89" s="376"/>
      <c r="N89" s="376"/>
      <c r="O89" s="376"/>
      <c r="P89" s="376"/>
      <c r="Q89" s="376"/>
      <c r="R89" s="376"/>
      <c r="S89" s="376"/>
      <c r="T89" s="376"/>
      <c r="U89" s="376"/>
      <c r="V89" s="376"/>
      <c r="W89" s="376"/>
      <c r="X89" s="376"/>
      <c r="Y89" s="376"/>
      <c r="Z89" s="376"/>
      <c r="AA89" s="376"/>
      <c r="AB89" s="376"/>
      <c r="AC89" s="376"/>
      <c r="AD89" s="376"/>
      <c r="AE89" s="376"/>
      <c r="AF89" s="376"/>
      <c r="AG89" s="376"/>
      <c r="AH89" s="376"/>
      <c r="AI89" s="376"/>
      <c r="AJ89" s="376"/>
      <c r="AK89" s="377"/>
    </row>
    <row r="90" spans="1:37" ht="14.25" customHeight="1">
      <c r="A90" s="619"/>
      <c r="B90" s="253"/>
      <c r="C90" s="281" t="s">
        <v>218</v>
      </c>
      <c r="D90" s="376"/>
      <c r="E90" s="376"/>
      <c r="F90" s="376"/>
      <c r="G90" s="270"/>
      <c r="H90" s="270"/>
      <c r="I90" s="376"/>
      <c r="J90" s="376"/>
      <c r="K90" s="376"/>
      <c r="L90" s="376"/>
      <c r="M90" s="376"/>
      <c r="N90" s="376"/>
      <c r="O90" s="376"/>
      <c r="P90" s="376"/>
      <c r="Q90" s="376"/>
      <c r="R90" s="376"/>
      <c r="S90" s="376"/>
      <c r="T90" s="376"/>
      <c r="U90" s="376"/>
      <c r="V90" s="376"/>
      <c r="W90" s="376"/>
      <c r="X90" s="376"/>
      <c r="Y90" s="376"/>
      <c r="Z90" s="376"/>
      <c r="AA90" s="376"/>
      <c r="AB90" s="376"/>
      <c r="AC90" s="376"/>
      <c r="AD90" s="376"/>
      <c r="AE90" s="376"/>
      <c r="AF90" s="376"/>
      <c r="AG90" s="376"/>
      <c r="AH90" s="376"/>
      <c r="AI90" s="376"/>
      <c r="AJ90" s="376"/>
      <c r="AK90" s="377"/>
    </row>
    <row r="91" spans="1:37" ht="14.25" customHeight="1">
      <c r="A91" s="619"/>
      <c r="B91" s="253"/>
      <c r="C91" s="262" t="s">
        <v>805</v>
      </c>
      <c r="D91" s="325">
        <f t="shared" ref="D91:G91" si="19">SUM(D7,D50)</f>
        <v>144.30000000000001</v>
      </c>
      <c r="E91" s="325">
        <f t="shared" si="19"/>
        <v>144.30000000000001</v>
      </c>
      <c r="F91" s="325">
        <f t="shared" si="19"/>
        <v>144.30000000000001</v>
      </c>
      <c r="G91" s="325">
        <f t="shared" si="19"/>
        <v>144.30000000000001</v>
      </c>
      <c r="H91" s="270"/>
      <c r="I91" s="376"/>
      <c r="J91" s="376"/>
      <c r="K91" s="376"/>
      <c r="L91" s="376"/>
      <c r="M91" s="376"/>
      <c r="N91" s="376"/>
      <c r="O91" s="376"/>
      <c r="P91" s="376"/>
      <c r="Q91" s="376"/>
      <c r="R91" s="376"/>
      <c r="S91" s="376"/>
      <c r="T91" s="376"/>
      <c r="U91" s="376"/>
      <c r="V91" s="376"/>
      <c r="W91" s="376"/>
      <c r="X91" s="376"/>
      <c r="Y91" s="376"/>
      <c r="Z91" s="376"/>
      <c r="AA91" s="376"/>
      <c r="AB91" s="376"/>
      <c r="AC91" s="376"/>
      <c r="AD91" s="376"/>
      <c r="AE91" s="376"/>
      <c r="AF91" s="376"/>
      <c r="AG91" s="376"/>
      <c r="AH91" s="376"/>
      <c r="AI91" s="376"/>
      <c r="AJ91" s="376"/>
      <c r="AK91" s="377"/>
    </row>
    <row r="92" spans="1:37" ht="14.25" customHeight="1">
      <c r="A92" s="619"/>
      <c r="B92" s="253"/>
      <c r="C92" s="262" t="s">
        <v>806</v>
      </c>
      <c r="D92" s="325">
        <f t="shared" ref="D92:G92" si="20">SUM(D10,D51)</f>
        <v>21.15</v>
      </c>
      <c r="E92" s="325">
        <f t="shared" si="20"/>
        <v>21.15</v>
      </c>
      <c r="F92" s="325">
        <f t="shared" si="20"/>
        <v>21.15</v>
      </c>
      <c r="G92" s="325">
        <f t="shared" si="20"/>
        <v>21.15</v>
      </c>
      <c r="H92" s="270"/>
      <c r="I92" s="376"/>
      <c r="J92" s="376"/>
      <c r="K92" s="376"/>
      <c r="L92" s="376"/>
      <c r="M92" s="376"/>
      <c r="N92" s="376"/>
      <c r="O92" s="376"/>
      <c r="P92" s="376"/>
      <c r="Q92" s="376"/>
      <c r="R92" s="376"/>
      <c r="S92" s="376"/>
      <c r="T92" s="376"/>
      <c r="U92" s="376"/>
      <c r="V92" s="376"/>
      <c r="W92" s="376"/>
      <c r="X92" s="376"/>
      <c r="Y92" s="376"/>
      <c r="Z92" s="376"/>
      <c r="AA92" s="376"/>
      <c r="AB92" s="376"/>
      <c r="AC92" s="376"/>
      <c r="AD92" s="376"/>
      <c r="AE92" s="376"/>
      <c r="AF92" s="376"/>
      <c r="AG92" s="376"/>
      <c r="AH92" s="376"/>
      <c r="AI92" s="376"/>
      <c r="AJ92" s="376"/>
      <c r="AK92" s="377"/>
    </row>
    <row r="93" spans="1:37" ht="14.25" customHeight="1">
      <c r="A93" s="619"/>
      <c r="B93" s="253"/>
      <c r="C93" s="262" t="s">
        <v>807</v>
      </c>
      <c r="D93" s="325">
        <f t="shared" ref="D93:G93" si="21">SUM(D94:D95)</f>
        <v>5066.4039899999998</v>
      </c>
      <c r="E93" s="325">
        <f t="shared" si="21"/>
        <v>5076.4039899999998</v>
      </c>
      <c r="F93" s="325">
        <f t="shared" si="21"/>
        <v>5098.7459900000003</v>
      </c>
      <c r="G93" s="325">
        <f t="shared" si="21"/>
        <v>5106.8459899999998</v>
      </c>
      <c r="H93" s="270"/>
      <c r="I93" s="376"/>
      <c r="J93" s="376"/>
      <c r="K93" s="376"/>
      <c r="L93" s="376"/>
      <c r="M93" s="376"/>
      <c r="N93" s="376"/>
      <c r="O93" s="376"/>
      <c r="P93" s="376"/>
      <c r="Q93" s="376"/>
      <c r="R93" s="376"/>
      <c r="S93" s="376"/>
      <c r="T93" s="376"/>
      <c r="U93" s="376"/>
      <c r="V93" s="376"/>
      <c r="W93" s="376"/>
      <c r="X93" s="376"/>
      <c r="Y93" s="376"/>
      <c r="Z93" s="376"/>
      <c r="AA93" s="376"/>
      <c r="AB93" s="376"/>
      <c r="AC93" s="376"/>
      <c r="AD93" s="376"/>
      <c r="AE93" s="376"/>
      <c r="AF93" s="376"/>
      <c r="AG93" s="376"/>
      <c r="AH93" s="376"/>
      <c r="AI93" s="376"/>
      <c r="AJ93" s="376"/>
      <c r="AK93" s="377"/>
    </row>
    <row r="94" spans="1:37" ht="14.25" customHeight="1">
      <c r="A94" s="619"/>
      <c r="B94" s="253"/>
      <c r="C94" s="266" t="s">
        <v>138</v>
      </c>
      <c r="D94" s="267">
        <f t="shared" ref="D94:G94" si="22">SUM(D12)</f>
        <v>1733.2</v>
      </c>
      <c r="E94" s="267">
        <f t="shared" si="22"/>
        <v>1733.2</v>
      </c>
      <c r="F94" s="267">
        <f t="shared" si="22"/>
        <v>1733.2</v>
      </c>
      <c r="G94" s="267">
        <f t="shared" si="22"/>
        <v>1733.2</v>
      </c>
      <c r="H94" s="270"/>
      <c r="I94" s="376"/>
      <c r="J94" s="376"/>
      <c r="K94" s="376"/>
      <c r="L94" s="376"/>
      <c r="M94" s="376"/>
      <c r="N94" s="376"/>
      <c r="O94" s="376"/>
      <c r="P94" s="376"/>
      <c r="Q94" s="376"/>
      <c r="R94" s="376"/>
      <c r="S94" s="376"/>
      <c r="T94" s="376"/>
      <c r="U94" s="376"/>
      <c r="V94" s="376"/>
      <c r="W94" s="376"/>
      <c r="X94" s="376"/>
      <c r="Y94" s="376"/>
      <c r="Z94" s="376"/>
      <c r="AA94" s="376"/>
      <c r="AB94" s="376"/>
      <c r="AC94" s="376"/>
      <c r="AD94" s="376"/>
      <c r="AE94" s="376"/>
      <c r="AF94" s="376"/>
      <c r="AG94" s="376"/>
      <c r="AH94" s="376"/>
      <c r="AI94" s="376"/>
      <c r="AJ94" s="376"/>
      <c r="AK94" s="377"/>
    </row>
    <row r="95" spans="1:37" ht="14.25" customHeight="1">
      <c r="A95" s="619"/>
      <c r="B95" s="253"/>
      <c r="C95" s="266" t="s">
        <v>141</v>
      </c>
      <c r="D95" s="267">
        <f t="shared" ref="D95:G95" si="23">SUM(D15,D54)</f>
        <v>3333.20399</v>
      </c>
      <c r="E95" s="267">
        <f t="shared" si="23"/>
        <v>3343.20399</v>
      </c>
      <c r="F95" s="267">
        <f t="shared" si="23"/>
        <v>3365.5459900000001</v>
      </c>
      <c r="G95" s="267">
        <f t="shared" si="23"/>
        <v>3373.64599</v>
      </c>
      <c r="H95" s="270"/>
      <c r="I95" s="376"/>
      <c r="J95" s="376"/>
      <c r="K95" s="376"/>
      <c r="L95" s="376"/>
      <c r="M95" s="376"/>
      <c r="N95" s="376"/>
      <c r="O95" s="376"/>
      <c r="P95" s="376"/>
      <c r="Q95" s="376"/>
      <c r="R95" s="376"/>
      <c r="S95" s="376"/>
      <c r="T95" s="376"/>
      <c r="U95" s="376"/>
      <c r="V95" s="376"/>
      <c r="W95" s="376"/>
      <c r="X95" s="376"/>
      <c r="Y95" s="376"/>
      <c r="Z95" s="376"/>
      <c r="AA95" s="376"/>
      <c r="AB95" s="376"/>
      <c r="AC95" s="376"/>
      <c r="AD95" s="376"/>
      <c r="AE95" s="376"/>
      <c r="AF95" s="376"/>
      <c r="AG95" s="376"/>
      <c r="AH95" s="376"/>
      <c r="AI95" s="376"/>
      <c r="AJ95" s="376"/>
      <c r="AK95" s="377"/>
    </row>
    <row r="96" spans="1:37" ht="14.25" customHeight="1">
      <c r="A96" s="619"/>
      <c r="B96" s="253"/>
      <c r="C96" s="262" t="s">
        <v>808</v>
      </c>
      <c r="D96" s="325">
        <f t="shared" ref="D96:G96" si="24">SUM(D18,D61)</f>
        <v>27.629839999999991</v>
      </c>
      <c r="E96" s="325">
        <f t="shared" si="24"/>
        <v>27.629839999999991</v>
      </c>
      <c r="F96" s="325">
        <f t="shared" si="24"/>
        <v>27.629839999999991</v>
      </c>
      <c r="G96" s="325">
        <f t="shared" si="24"/>
        <v>27.653179999999992</v>
      </c>
      <c r="H96" s="270"/>
      <c r="I96" s="376"/>
      <c r="J96" s="376"/>
      <c r="K96" s="376"/>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377"/>
    </row>
    <row r="97" spans="1:37" ht="14.25" customHeight="1">
      <c r="A97" s="619"/>
      <c r="B97" s="253"/>
      <c r="C97" s="262" t="s">
        <v>809</v>
      </c>
      <c r="D97" s="325">
        <f t="shared" ref="D97:G97" si="25">SUM(D98,D99,D100)</f>
        <v>3395.1583799999999</v>
      </c>
      <c r="E97" s="325">
        <f t="shared" si="25"/>
        <v>3408.2703799999999</v>
      </c>
      <c r="F97" s="325">
        <f t="shared" si="25"/>
        <v>3413.2113800000002</v>
      </c>
      <c r="G97" s="325">
        <f t="shared" si="25"/>
        <v>3426.14138</v>
      </c>
      <c r="H97" s="270"/>
      <c r="I97" s="376"/>
      <c r="J97" s="376"/>
      <c r="K97" s="376"/>
      <c r="L97" s="376"/>
      <c r="M97" s="376"/>
      <c r="N97" s="376"/>
      <c r="O97" s="376"/>
      <c r="P97" s="376"/>
      <c r="Q97" s="376"/>
      <c r="R97" s="376"/>
      <c r="S97" s="376"/>
      <c r="T97" s="376"/>
      <c r="U97" s="376"/>
      <c r="V97" s="376"/>
      <c r="W97" s="376"/>
      <c r="X97" s="376"/>
      <c r="Y97" s="376"/>
      <c r="Z97" s="376"/>
      <c r="AA97" s="376"/>
      <c r="AB97" s="376"/>
      <c r="AC97" s="376"/>
      <c r="AD97" s="376"/>
      <c r="AE97" s="376"/>
      <c r="AF97" s="376"/>
      <c r="AG97" s="376"/>
      <c r="AH97" s="376"/>
      <c r="AI97" s="376"/>
      <c r="AJ97" s="376"/>
      <c r="AK97" s="377"/>
    </row>
    <row r="98" spans="1:37" ht="14.25" customHeight="1">
      <c r="A98" s="619"/>
      <c r="B98" s="253"/>
      <c r="C98" s="266" t="s">
        <v>145</v>
      </c>
      <c r="D98" s="267">
        <f t="shared" ref="D98:G98" si="26">SUM(D20,D65)</f>
        <v>2011.4443799999999</v>
      </c>
      <c r="E98" s="267">
        <f t="shared" si="26"/>
        <v>2024.79638</v>
      </c>
      <c r="F98" s="267">
        <f t="shared" si="26"/>
        <v>2029.7373800000003</v>
      </c>
      <c r="G98" s="267">
        <f t="shared" si="26"/>
        <v>2020.6673799999999</v>
      </c>
      <c r="H98" s="270"/>
      <c r="I98" s="376"/>
      <c r="J98" s="376"/>
      <c r="K98" s="376"/>
      <c r="L98" s="376"/>
      <c r="M98" s="376"/>
      <c r="N98" s="376"/>
      <c r="O98" s="376"/>
      <c r="P98" s="376"/>
      <c r="Q98" s="376"/>
      <c r="R98" s="376"/>
      <c r="S98" s="376"/>
      <c r="T98" s="376"/>
      <c r="U98" s="376"/>
      <c r="V98" s="376"/>
      <c r="W98" s="376"/>
      <c r="X98" s="376"/>
      <c r="Y98" s="376"/>
      <c r="Z98" s="376"/>
      <c r="AA98" s="376"/>
      <c r="AB98" s="376"/>
      <c r="AC98" s="376"/>
      <c r="AD98" s="376"/>
      <c r="AE98" s="376"/>
      <c r="AF98" s="376"/>
      <c r="AG98" s="376"/>
      <c r="AH98" s="376"/>
      <c r="AI98" s="376"/>
      <c r="AJ98" s="376"/>
      <c r="AK98" s="377"/>
    </row>
    <row r="99" spans="1:37" ht="14.25" customHeight="1">
      <c r="A99" s="619"/>
      <c r="B99" s="253"/>
      <c r="C99" s="266" t="s">
        <v>153</v>
      </c>
      <c r="D99" s="267">
        <f t="shared" ref="D99:G99" si="27">SUM(D25,D75)</f>
        <v>921.84899999999993</v>
      </c>
      <c r="E99" s="267">
        <f t="shared" si="27"/>
        <v>921.84899999999993</v>
      </c>
      <c r="F99" s="267">
        <f t="shared" si="27"/>
        <v>921.84899999999993</v>
      </c>
      <c r="G99" s="267">
        <f t="shared" si="27"/>
        <v>943.84899999999993</v>
      </c>
      <c r="H99" s="270"/>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7"/>
    </row>
    <row r="100" spans="1:37" ht="14.25" customHeight="1">
      <c r="A100" s="619"/>
      <c r="B100" s="253"/>
      <c r="C100" s="266" t="s">
        <v>158</v>
      </c>
      <c r="D100" s="267">
        <f t="shared" ref="D100:G100" si="28">SUM(D28,D80)</f>
        <v>461.86500000000001</v>
      </c>
      <c r="E100" s="267">
        <f t="shared" si="28"/>
        <v>461.625</v>
      </c>
      <c r="F100" s="267">
        <f t="shared" si="28"/>
        <v>461.625</v>
      </c>
      <c r="G100" s="267">
        <f t="shared" si="28"/>
        <v>461.625</v>
      </c>
      <c r="H100" s="270"/>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7"/>
    </row>
    <row r="101" spans="1:37" ht="14.25" customHeight="1">
      <c r="A101" s="619"/>
      <c r="B101" s="253"/>
      <c r="C101" s="262" t="s">
        <v>810</v>
      </c>
      <c r="D101" s="325">
        <f t="shared" ref="D101:G101" si="29">SUM(D30,D87)</f>
        <v>7.26</v>
      </c>
      <c r="E101" s="325">
        <f t="shared" si="29"/>
        <v>7.26</v>
      </c>
      <c r="F101" s="325">
        <f t="shared" si="29"/>
        <v>7.26</v>
      </c>
      <c r="G101" s="325">
        <f t="shared" si="29"/>
        <v>8.32</v>
      </c>
      <c r="H101" s="270"/>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7"/>
    </row>
    <row r="102" spans="1:37" ht="14.25" customHeight="1">
      <c r="A102" s="619"/>
      <c r="B102" s="253"/>
      <c r="C102" s="281" t="s">
        <v>39</v>
      </c>
      <c r="D102" s="270">
        <f t="shared" ref="D102:G102" si="30">D91+D92+D93+D96+D97+D101</f>
        <v>8661.9022099999984</v>
      </c>
      <c r="E102" s="270">
        <f t="shared" si="30"/>
        <v>8685.0142099999994</v>
      </c>
      <c r="F102" s="270">
        <f t="shared" si="30"/>
        <v>8712.2972100000006</v>
      </c>
      <c r="G102" s="270">
        <f t="shared" si="30"/>
        <v>8734.4105500000005</v>
      </c>
      <c r="H102" s="270"/>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377"/>
    </row>
    <row r="103" spans="1:37" ht="14.25" customHeight="1">
      <c r="A103" s="619"/>
      <c r="B103" s="253"/>
      <c r="C103" s="378"/>
      <c r="D103" s="258"/>
      <c r="E103" s="258"/>
      <c r="F103" s="258"/>
      <c r="G103" s="258"/>
      <c r="H103" s="258"/>
      <c r="I103" s="258"/>
      <c r="J103" s="258"/>
      <c r="K103" s="258"/>
      <c r="L103" s="258"/>
      <c r="M103" s="258"/>
      <c r="N103" s="258"/>
      <c r="O103" s="258"/>
      <c r="P103" s="258"/>
      <c r="Q103" s="258"/>
      <c r="R103" s="258"/>
      <c r="S103" s="258"/>
      <c r="T103" s="258"/>
      <c r="U103" s="258"/>
      <c r="V103" s="258"/>
      <c r="W103" s="258"/>
      <c r="X103" s="258"/>
      <c r="Y103" s="258"/>
      <c r="Z103" s="258"/>
      <c r="AA103" s="258"/>
      <c r="AB103" s="258"/>
      <c r="AC103" s="258"/>
      <c r="AD103" s="258"/>
      <c r="AE103" s="258"/>
      <c r="AF103" s="258"/>
      <c r="AG103" s="258"/>
      <c r="AH103" s="258"/>
      <c r="AI103" s="258"/>
      <c r="AJ103" s="258"/>
      <c r="AK103" s="377"/>
    </row>
    <row r="104" spans="1:37" ht="14.25" customHeight="1">
      <c r="A104" s="619"/>
      <c r="B104" s="253"/>
      <c r="C104" s="386" t="s">
        <v>223</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7"/>
    </row>
    <row r="105" spans="1:37" ht="14.25" customHeight="1">
      <c r="A105" s="619"/>
      <c r="B105" s="253"/>
      <c r="C105" s="259" t="s">
        <v>185</v>
      </c>
      <c r="D105" s="376" t="s">
        <v>186</v>
      </c>
      <c r="E105" s="376" t="s">
        <v>186</v>
      </c>
      <c r="F105" s="376" t="s">
        <v>186</v>
      </c>
      <c r="G105" s="376" t="s">
        <v>186</v>
      </c>
      <c r="H105" s="376" t="s">
        <v>186</v>
      </c>
      <c r="I105" s="376" t="s">
        <v>186</v>
      </c>
      <c r="J105" s="376" t="s">
        <v>186</v>
      </c>
      <c r="K105" s="376" t="s">
        <v>186</v>
      </c>
      <c r="L105" s="376" t="s">
        <v>186</v>
      </c>
      <c r="M105" s="376" t="s">
        <v>186</v>
      </c>
      <c r="N105" s="376" t="s">
        <v>186</v>
      </c>
      <c r="O105" s="376" t="s">
        <v>186</v>
      </c>
      <c r="P105" s="376" t="s">
        <v>186</v>
      </c>
      <c r="Q105" s="376" t="s">
        <v>186</v>
      </c>
      <c r="R105" s="376"/>
      <c r="S105" s="376"/>
      <c r="T105" s="376"/>
      <c r="U105" s="376"/>
      <c r="V105" s="376"/>
      <c r="W105" s="376"/>
      <c r="X105" s="376"/>
      <c r="Y105" s="376"/>
      <c r="Z105" s="376"/>
      <c r="AA105" s="376"/>
      <c r="AB105" s="376"/>
      <c r="AC105" s="376"/>
      <c r="AD105" s="376"/>
      <c r="AE105" s="376"/>
      <c r="AF105" s="376"/>
      <c r="AG105" s="376"/>
      <c r="AH105" s="376"/>
      <c r="AI105" s="376"/>
      <c r="AJ105" s="376"/>
      <c r="AK105" s="377"/>
    </row>
    <row r="106" spans="1:37" ht="14.25" customHeight="1">
      <c r="A106" s="619"/>
      <c r="B106" s="253"/>
      <c r="C106" s="259" t="s">
        <v>225</v>
      </c>
      <c r="D106" s="376" t="s">
        <v>186</v>
      </c>
      <c r="E106" s="376" t="s">
        <v>186</v>
      </c>
      <c r="F106" s="376" t="s">
        <v>186</v>
      </c>
      <c r="G106" s="376" t="s">
        <v>186</v>
      </c>
      <c r="H106" s="376" t="s">
        <v>186</v>
      </c>
      <c r="I106" s="376" t="s">
        <v>186</v>
      </c>
      <c r="J106" s="376" t="s">
        <v>186</v>
      </c>
      <c r="K106" s="376" t="s">
        <v>186</v>
      </c>
      <c r="L106" s="376" t="s">
        <v>186</v>
      </c>
      <c r="M106" s="376" t="s">
        <v>186</v>
      </c>
      <c r="N106" s="376" t="s">
        <v>186</v>
      </c>
      <c r="O106" s="376" t="s">
        <v>186</v>
      </c>
      <c r="P106" s="376" t="s">
        <v>186</v>
      </c>
      <c r="Q106" s="376" t="s">
        <v>186</v>
      </c>
      <c r="R106" s="376"/>
      <c r="S106" s="376"/>
      <c r="T106" s="376"/>
      <c r="U106" s="376"/>
      <c r="V106" s="376"/>
      <c r="W106" s="376"/>
      <c r="X106" s="376"/>
      <c r="Y106" s="376"/>
      <c r="Z106" s="376"/>
      <c r="AA106" s="376"/>
      <c r="AB106" s="376"/>
      <c r="AC106" s="376"/>
      <c r="AD106" s="376"/>
      <c r="AE106" s="376"/>
      <c r="AF106" s="376"/>
      <c r="AG106" s="376"/>
      <c r="AH106" s="376"/>
      <c r="AI106" s="376"/>
      <c r="AJ106" s="376"/>
      <c r="AK106" s="377"/>
    </row>
    <row r="107" spans="1:37" ht="14.25" customHeight="1">
      <c r="A107" s="619">
        <v>4</v>
      </c>
      <c r="B107" s="253"/>
      <c r="C107" s="259" t="s">
        <v>813</v>
      </c>
      <c r="D107" s="376" t="s">
        <v>186</v>
      </c>
      <c r="E107" s="56" t="s">
        <v>186</v>
      </c>
      <c r="F107" s="56" t="s">
        <v>186</v>
      </c>
      <c r="G107" s="56" t="s">
        <v>186</v>
      </c>
      <c r="H107" s="56" t="s">
        <v>186</v>
      </c>
      <c r="I107" s="56" t="s">
        <v>186</v>
      </c>
      <c r="J107" s="56" t="s">
        <v>186</v>
      </c>
      <c r="K107" s="56" t="s">
        <v>186</v>
      </c>
      <c r="L107" s="56" t="s">
        <v>186</v>
      </c>
      <c r="M107" s="56" t="s">
        <v>186</v>
      </c>
      <c r="N107" s="376">
        <v>50</v>
      </c>
      <c r="O107" s="376" t="s">
        <v>186</v>
      </c>
      <c r="P107" s="376" t="s">
        <v>186</v>
      </c>
      <c r="Q107" s="376" t="s">
        <v>186</v>
      </c>
      <c r="R107" s="376"/>
      <c r="S107" s="376"/>
      <c r="T107" s="376"/>
      <c r="U107" s="376"/>
      <c r="V107" s="376"/>
      <c r="W107" s="376"/>
      <c r="X107" s="376"/>
      <c r="Y107" s="376"/>
      <c r="Z107" s="376"/>
      <c r="AA107" s="376"/>
      <c r="AB107" s="376"/>
      <c r="AC107" s="376"/>
      <c r="AD107" s="376"/>
      <c r="AE107" s="376"/>
      <c r="AF107" s="376"/>
      <c r="AG107" s="376"/>
      <c r="AH107" s="376"/>
      <c r="AI107" s="376"/>
      <c r="AJ107" s="376"/>
      <c r="AK107" s="377"/>
    </row>
    <row r="108" spans="1:37" ht="14.25" customHeight="1">
      <c r="A108" s="619"/>
      <c r="B108" s="253"/>
      <c r="C108" s="259" t="s">
        <v>811</v>
      </c>
      <c r="D108" s="56"/>
      <c r="E108" s="56"/>
      <c r="F108" s="56"/>
      <c r="G108" s="56"/>
      <c r="H108" s="56"/>
      <c r="I108" s="56"/>
      <c r="J108" s="56"/>
      <c r="K108" s="56"/>
      <c r="L108" s="56"/>
      <c r="M108" s="5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7"/>
    </row>
    <row r="109" spans="1:37" ht="14.25" customHeight="1">
      <c r="A109" s="619" t="s">
        <v>814</v>
      </c>
      <c r="B109" s="253"/>
      <c r="C109" s="259" t="s">
        <v>166</v>
      </c>
      <c r="D109" s="56">
        <v>0</v>
      </c>
      <c r="E109" s="56" t="s">
        <v>186</v>
      </c>
      <c r="F109" s="56" t="s">
        <v>186</v>
      </c>
      <c r="G109" s="56">
        <v>49</v>
      </c>
      <c r="H109" s="56" t="s">
        <v>186</v>
      </c>
      <c r="I109" s="56" t="s">
        <v>186</v>
      </c>
      <c r="J109" s="56" t="s">
        <v>186</v>
      </c>
      <c r="K109" s="56" t="s">
        <v>186</v>
      </c>
      <c r="L109" s="56" t="s">
        <v>186</v>
      </c>
      <c r="M109" s="56" t="s">
        <v>186</v>
      </c>
      <c r="N109" s="376" t="s">
        <v>186</v>
      </c>
      <c r="O109" s="376" t="s">
        <v>186</v>
      </c>
      <c r="P109" s="376" t="s">
        <v>186</v>
      </c>
      <c r="Q109" s="376" t="s">
        <v>186</v>
      </c>
      <c r="R109" s="376"/>
      <c r="S109" s="376"/>
      <c r="T109" s="376"/>
      <c r="U109" s="376"/>
      <c r="V109" s="376"/>
      <c r="W109" s="376"/>
      <c r="X109" s="376"/>
      <c r="Y109" s="376"/>
      <c r="Z109" s="376"/>
      <c r="AA109" s="376"/>
      <c r="AB109" s="376"/>
      <c r="AC109" s="376"/>
      <c r="AD109" s="376"/>
      <c r="AE109" s="376"/>
      <c r="AF109" s="376"/>
      <c r="AG109" s="376"/>
      <c r="AH109" s="376"/>
      <c r="AI109" s="376"/>
      <c r="AJ109" s="376"/>
      <c r="AK109" s="377"/>
    </row>
    <row r="110" spans="1:37" ht="14.25" customHeight="1">
      <c r="A110" s="619" t="s">
        <v>814</v>
      </c>
      <c r="B110" s="253"/>
      <c r="C110" s="259" t="s">
        <v>168</v>
      </c>
      <c r="D110" s="56">
        <v>0</v>
      </c>
      <c r="E110" s="56" t="s">
        <v>186</v>
      </c>
      <c r="F110" s="56" t="s">
        <v>186</v>
      </c>
      <c r="G110" s="56">
        <v>205.4</v>
      </c>
      <c r="H110" s="56" t="s">
        <v>186</v>
      </c>
      <c r="I110" s="56" t="s">
        <v>186</v>
      </c>
      <c r="J110" s="56" t="s">
        <v>186</v>
      </c>
      <c r="K110" s="56" t="s">
        <v>186</v>
      </c>
      <c r="L110" s="56" t="s">
        <v>186</v>
      </c>
      <c r="M110" s="56" t="s">
        <v>186</v>
      </c>
      <c r="N110" s="376" t="s">
        <v>186</v>
      </c>
      <c r="O110" s="376" t="s">
        <v>186</v>
      </c>
      <c r="P110" s="376" t="s">
        <v>186</v>
      </c>
      <c r="Q110" s="376" t="s">
        <v>186</v>
      </c>
      <c r="R110" s="376"/>
      <c r="S110" s="376"/>
      <c r="T110" s="376"/>
      <c r="U110" s="376"/>
      <c r="V110" s="376"/>
      <c r="W110" s="376"/>
      <c r="X110" s="376"/>
      <c r="Y110" s="376"/>
      <c r="Z110" s="376"/>
      <c r="AA110" s="376"/>
      <c r="AB110" s="376"/>
      <c r="AC110" s="376"/>
      <c r="AD110" s="376"/>
      <c r="AE110" s="376"/>
      <c r="AF110" s="376"/>
      <c r="AG110" s="376"/>
      <c r="AH110" s="376"/>
      <c r="AI110" s="376"/>
      <c r="AJ110" s="376"/>
      <c r="AK110" s="377"/>
    </row>
    <row r="111" spans="1:37" ht="14.25" customHeight="1">
      <c r="A111" s="619">
        <v>2</v>
      </c>
      <c r="B111" s="253"/>
      <c r="C111" s="259" t="s">
        <v>170</v>
      </c>
      <c r="D111" s="56">
        <v>0</v>
      </c>
      <c r="E111" s="56" t="s">
        <v>186</v>
      </c>
      <c r="F111" s="56" t="s">
        <v>186</v>
      </c>
      <c r="G111" s="56" t="s">
        <v>186</v>
      </c>
      <c r="H111" s="56" t="s">
        <v>186</v>
      </c>
      <c r="I111" s="56" t="s">
        <v>186</v>
      </c>
      <c r="J111" s="56" t="s">
        <v>186</v>
      </c>
      <c r="K111" s="56" t="s">
        <v>186</v>
      </c>
      <c r="L111" s="56" t="s">
        <v>186</v>
      </c>
      <c r="M111" s="56" t="s">
        <v>186</v>
      </c>
      <c r="N111" s="376" t="s">
        <v>186</v>
      </c>
      <c r="O111" s="376" t="s">
        <v>186</v>
      </c>
      <c r="P111" s="376" t="s">
        <v>186</v>
      </c>
      <c r="Q111" s="376" t="s">
        <v>186</v>
      </c>
      <c r="R111" s="376"/>
      <c r="S111" s="376"/>
      <c r="T111" s="376"/>
      <c r="U111" s="376"/>
      <c r="V111" s="376"/>
      <c r="W111" s="376"/>
      <c r="X111" s="376"/>
      <c r="Y111" s="376"/>
      <c r="Z111" s="376"/>
      <c r="AA111" s="376"/>
      <c r="AB111" s="376"/>
      <c r="AC111" s="376"/>
      <c r="AD111" s="376"/>
      <c r="AE111" s="376"/>
      <c r="AF111" s="376"/>
      <c r="AG111" s="376"/>
      <c r="AH111" s="376"/>
      <c r="AI111" s="376"/>
      <c r="AJ111" s="376"/>
      <c r="AK111" s="377"/>
    </row>
    <row r="112" spans="1:37" ht="14.25" customHeight="1">
      <c r="A112" s="619">
        <v>2</v>
      </c>
      <c r="B112" s="253"/>
      <c r="C112" s="259" t="s">
        <v>172</v>
      </c>
      <c r="D112" s="56">
        <v>0</v>
      </c>
      <c r="E112" s="56" t="s">
        <v>186</v>
      </c>
      <c r="F112" s="56" t="s">
        <v>186</v>
      </c>
      <c r="G112" s="56" t="s">
        <v>186</v>
      </c>
      <c r="H112" s="56" t="s">
        <v>186</v>
      </c>
      <c r="I112" s="56" t="s">
        <v>186</v>
      </c>
      <c r="J112" s="56">
        <f>7.2+14.6</f>
        <v>21.8</v>
      </c>
      <c r="K112" s="56" t="s">
        <v>186</v>
      </c>
      <c r="L112" s="56" t="s">
        <v>186</v>
      </c>
      <c r="M112" s="56" t="s">
        <v>186</v>
      </c>
      <c r="N112" s="376" t="s">
        <v>186</v>
      </c>
      <c r="O112" s="376" t="s">
        <v>186</v>
      </c>
      <c r="P112" s="376" t="s">
        <v>186</v>
      </c>
      <c r="Q112" s="376" t="s">
        <v>186</v>
      </c>
      <c r="R112" s="376"/>
      <c r="S112" s="376"/>
      <c r="T112" s="376"/>
      <c r="U112" s="376"/>
      <c r="V112" s="376"/>
      <c r="W112" s="376"/>
      <c r="X112" s="376"/>
      <c r="Y112" s="376"/>
      <c r="Z112" s="376"/>
      <c r="AA112" s="376"/>
      <c r="AB112" s="376"/>
      <c r="AC112" s="376"/>
      <c r="AD112" s="376"/>
      <c r="AE112" s="376"/>
      <c r="AF112" s="376"/>
      <c r="AG112" s="376"/>
      <c r="AH112" s="376"/>
      <c r="AI112" s="376"/>
      <c r="AJ112" s="376"/>
      <c r="AK112" s="377"/>
    </row>
    <row r="113" spans="1:37" ht="14.25" customHeight="1">
      <c r="A113" s="619">
        <v>2</v>
      </c>
      <c r="B113" s="253"/>
      <c r="C113" s="259" t="s">
        <v>174</v>
      </c>
      <c r="D113" s="56">
        <v>0</v>
      </c>
      <c r="E113" s="56" t="s">
        <v>186</v>
      </c>
      <c r="F113" s="56" t="s">
        <v>186</v>
      </c>
      <c r="G113" s="56" t="s">
        <v>186</v>
      </c>
      <c r="H113" s="56" t="s">
        <v>186</v>
      </c>
      <c r="I113" s="56" t="s">
        <v>186</v>
      </c>
      <c r="J113" s="56" t="s">
        <v>186</v>
      </c>
      <c r="K113" s="56" t="s">
        <v>186</v>
      </c>
      <c r="L113" s="56" t="s">
        <v>186</v>
      </c>
      <c r="M113" s="56" t="s">
        <v>186</v>
      </c>
      <c r="N113" s="376" t="s">
        <v>186</v>
      </c>
      <c r="O113" s="376" t="s">
        <v>186</v>
      </c>
      <c r="P113" s="376" t="s">
        <v>186</v>
      </c>
      <c r="Q113" s="376" t="s">
        <v>186</v>
      </c>
      <c r="R113" s="376"/>
      <c r="S113" s="376"/>
      <c r="T113" s="376"/>
      <c r="U113" s="376"/>
      <c r="V113" s="376"/>
      <c r="W113" s="376"/>
      <c r="X113" s="376"/>
      <c r="Y113" s="376"/>
      <c r="Z113" s="376"/>
      <c r="AA113" s="376"/>
      <c r="AB113" s="376"/>
      <c r="AC113" s="376"/>
      <c r="AD113" s="376"/>
      <c r="AE113" s="376"/>
      <c r="AF113" s="376"/>
      <c r="AG113" s="376"/>
      <c r="AH113" s="376"/>
      <c r="AI113" s="376"/>
      <c r="AJ113" s="376"/>
      <c r="AK113" s="377"/>
    </row>
    <row r="114" spans="1:37" ht="14.25" customHeight="1">
      <c r="A114" s="619">
        <v>2</v>
      </c>
      <c r="B114" s="253"/>
      <c r="C114" s="259" t="s">
        <v>176</v>
      </c>
      <c r="D114" s="56">
        <v>3600</v>
      </c>
      <c r="E114" s="56" t="s">
        <v>186</v>
      </c>
      <c r="F114" s="56" t="s">
        <v>186</v>
      </c>
      <c r="G114" s="56" t="s">
        <v>186</v>
      </c>
      <c r="H114" s="56" t="s">
        <v>186</v>
      </c>
      <c r="I114" s="56" t="s">
        <v>186</v>
      </c>
      <c r="J114" s="56" t="s">
        <v>186</v>
      </c>
      <c r="K114" s="56" t="s">
        <v>186</v>
      </c>
      <c r="L114" s="56" t="s">
        <v>186</v>
      </c>
      <c r="M114" s="56" t="s">
        <v>186</v>
      </c>
      <c r="N114" s="376" t="s">
        <v>186</v>
      </c>
      <c r="O114" s="376">
        <v>595.6</v>
      </c>
      <c r="P114" s="376">
        <v>1200</v>
      </c>
      <c r="Q114" s="376">
        <v>1200</v>
      </c>
      <c r="R114" s="376"/>
      <c r="S114" s="376"/>
      <c r="T114" s="376"/>
      <c r="U114" s="376"/>
      <c r="V114" s="376"/>
      <c r="W114" s="376"/>
      <c r="X114" s="376"/>
      <c r="Y114" s="376"/>
      <c r="Z114" s="376"/>
      <c r="AA114" s="376"/>
      <c r="AB114" s="376"/>
      <c r="AC114" s="376"/>
      <c r="AD114" s="376"/>
      <c r="AE114" s="376"/>
      <c r="AF114" s="376"/>
      <c r="AG114" s="376"/>
      <c r="AH114" s="376"/>
      <c r="AI114" s="376"/>
      <c r="AJ114" s="376"/>
      <c r="AK114" s="377"/>
    </row>
    <row r="115" spans="1:37" ht="14.25" customHeight="1">
      <c r="A115" s="619"/>
      <c r="B115" s="253"/>
      <c r="C115" s="259" t="s">
        <v>812</v>
      </c>
      <c r="D115" s="56"/>
      <c r="E115" s="376"/>
      <c r="F115" s="376"/>
      <c r="G115" s="376"/>
      <c r="H115" s="376"/>
      <c r="I115" s="376"/>
      <c r="J115" s="376"/>
      <c r="K115" s="376"/>
      <c r="L115" s="376"/>
      <c r="M115" s="376"/>
      <c r="N115" s="376"/>
      <c r="O115" s="376"/>
      <c r="P115" s="376"/>
      <c r="Q115" s="376"/>
      <c r="R115" s="376"/>
      <c r="S115" s="376"/>
      <c r="T115" s="376"/>
      <c r="U115" s="376"/>
      <c r="V115" s="376"/>
      <c r="W115" s="376"/>
      <c r="X115" s="376"/>
      <c r="Y115" s="376"/>
      <c r="Z115" s="376"/>
      <c r="AA115" s="376"/>
      <c r="AB115" s="376"/>
      <c r="AC115" s="376"/>
      <c r="AD115" s="376"/>
      <c r="AE115" s="376"/>
      <c r="AF115" s="376"/>
      <c r="AG115" s="376"/>
      <c r="AH115" s="376"/>
      <c r="AI115" s="376"/>
      <c r="AJ115" s="376"/>
      <c r="AK115" s="377"/>
    </row>
    <row r="116" spans="1:37" ht="14.25" customHeight="1">
      <c r="A116" s="619" t="s">
        <v>814</v>
      </c>
      <c r="B116" s="253"/>
      <c r="C116" s="259" t="s">
        <v>166</v>
      </c>
      <c r="D116" s="56">
        <v>1212.5</v>
      </c>
      <c r="E116" s="376" t="s">
        <v>186</v>
      </c>
      <c r="F116" s="376">
        <v>5.95</v>
      </c>
      <c r="G116" s="376">
        <f>7.59</f>
        <v>7.59</v>
      </c>
      <c r="H116" s="56" t="s">
        <v>186</v>
      </c>
      <c r="I116" s="376">
        <v>9</v>
      </c>
      <c r="J116" s="376">
        <f>20+30</f>
        <v>50</v>
      </c>
      <c r="K116" s="376" t="s">
        <v>186</v>
      </c>
      <c r="L116" s="376" t="s">
        <v>186</v>
      </c>
      <c r="M116" s="376" t="s">
        <v>186</v>
      </c>
      <c r="N116" s="376" t="s">
        <v>186</v>
      </c>
      <c r="O116" s="376" t="s">
        <v>186</v>
      </c>
      <c r="P116" s="376" t="s">
        <v>186</v>
      </c>
      <c r="Q116" s="376" t="s">
        <v>186</v>
      </c>
      <c r="R116" s="376"/>
      <c r="S116" s="376"/>
      <c r="T116" s="376"/>
      <c r="U116" s="376"/>
      <c r="V116" s="376"/>
      <c r="W116" s="376"/>
      <c r="X116" s="376"/>
      <c r="Y116" s="376"/>
      <c r="Z116" s="376"/>
      <c r="AA116" s="376"/>
      <c r="AB116" s="376"/>
      <c r="AC116" s="376"/>
      <c r="AD116" s="376"/>
      <c r="AE116" s="376"/>
      <c r="AF116" s="376"/>
      <c r="AG116" s="376"/>
      <c r="AH116" s="376"/>
      <c r="AI116" s="376"/>
      <c r="AJ116" s="376"/>
      <c r="AK116" s="377"/>
    </row>
    <row r="117" spans="1:37" ht="14.25" customHeight="1">
      <c r="A117" s="619">
        <v>2</v>
      </c>
      <c r="B117" s="253"/>
      <c r="C117" s="259" t="s">
        <v>168</v>
      </c>
      <c r="D117" s="56">
        <v>1358.4</v>
      </c>
      <c r="E117" s="376" t="s">
        <v>186</v>
      </c>
      <c r="F117" s="376" t="s">
        <v>186</v>
      </c>
      <c r="G117" s="376" t="s">
        <v>186</v>
      </c>
      <c r="H117" s="376" t="s">
        <v>186</v>
      </c>
      <c r="I117" s="376" t="s">
        <v>186</v>
      </c>
      <c r="J117" s="376" t="s">
        <v>186</v>
      </c>
      <c r="K117" s="376" t="s">
        <v>186</v>
      </c>
      <c r="L117" s="376" t="s">
        <v>186</v>
      </c>
      <c r="M117" s="376" t="s">
        <v>186</v>
      </c>
      <c r="N117" s="376">
        <v>194</v>
      </c>
      <c r="O117" s="376" t="s">
        <v>186</v>
      </c>
      <c r="P117" s="376" t="s">
        <v>186</v>
      </c>
      <c r="Q117" s="376" t="s">
        <v>186</v>
      </c>
      <c r="R117" s="376"/>
      <c r="S117" s="376"/>
      <c r="T117" s="376"/>
      <c r="U117" s="376"/>
      <c r="V117" s="376"/>
      <c r="W117" s="376"/>
      <c r="X117" s="376"/>
      <c r="Y117" s="376"/>
      <c r="Z117" s="376"/>
      <c r="AA117" s="376"/>
      <c r="AB117" s="376"/>
      <c r="AC117" s="376"/>
      <c r="AD117" s="376"/>
      <c r="AE117" s="376"/>
      <c r="AF117" s="376"/>
      <c r="AG117" s="376"/>
      <c r="AH117" s="376"/>
      <c r="AI117" s="376"/>
      <c r="AJ117" s="376"/>
      <c r="AK117" s="377"/>
    </row>
    <row r="118" spans="1:37" ht="14.25" customHeight="1">
      <c r="A118" s="619">
        <v>2</v>
      </c>
      <c r="B118" s="253"/>
      <c r="C118" s="259" t="s">
        <v>170</v>
      </c>
      <c r="D118" s="56">
        <v>468</v>
      </c>
      <c r="E118" s="376" t="s">
        <v>186</v>
      </c>
      <c r="F118" s="376" t="s">
        <v>186</v>
      </c>
      <c r="G118" s="376" t="s">
        <v>186</v>
      </c>
      <c r="H118" s="376" t="s">
        <v>186</v>
      </c>
      <c r="I118" s="376" t="s">
        <v>186</v>
      </c>
      <c r="J118" s="376" t="s">
        <v>186</v>
      </c>
      <c r="K118" s="376" t="s">
        <v>186</v>
      </c>
      <c r="L118" s="376" t="s">
        <v>186</v>
      </c>
      <c r="M118" s="376" t="s">
        <v>186</v>
      </c>
      <c r="N118" s="376" t="s">
        <v>186</v>
      </c>
      <c r="O118" s="376" t="s">
        <v>186</v>
      </c>
      <c r="P118" s="376" t="s">
        <v>186</v>
      </c>
      <c r="Q118" s="376" t="s">
        <v>186</v>
      </c>
      <c r="R118" s="376"/>
      <c r="S118" s="376"/>
      <c r="T118" s="376"/>
      <c r="U118" s="376"/>
      <c r="V118" s="376"/>
      <c r="W118" s="376"/>
      <c r="X118" s="376"/>
      <c r="Y118" s="376"/>
      <c r="Z118" s="376"/>
      <c r="AA118" s="376"/>
      <c r="AB118" s="376"/>
      <c r="AC118" s="376"/>
      <c r="AD118" s="376"/>
      <c r="AE118" s="376"/>
      <c r="AF118" s="376"/>
      <c r="AG118" s="376"/>
      <c r="AH118" s="376"/>
      <c r="AI118" s="376"/>
      <c r="AJ118" s="376"/>
      <c r="AK118" s="377"/>
    </row>
    <row r="119" spans="1:37" ht="14.25" customHeight="1">
      <c r="A119" s="619">
        <v>2</v>
      </c>
      <c r="B119" s="253"/>
      <c r="C119" s="259" t="s">
        <v>172</v>
      </c>
      <c r="D119" s="56">
        <v>361.4</v>
      </c>
      <c r="E119" s="376" t="s">
        <v>186</v>
      </c>
      <c r="F119" s="376" t="s">
        <v>186</v>
      </c>
      <c r="G119" s="376" t="s">
        <v>186</v>
      </c>
      <c r="H119" s="376">
        <f>30+7.19</f>
        <v>37.19</v>
      </c>
      <c r="I119" s="376" t="s">
        <v>186</v>
      </c>
      <c r="J119" s="376">
        <f>7.38+4</f>
        <v>11.379999999999999</v>
      </c>
      <c r="K119" s="376" t="s">
        <v>186</v>
      </c>
      <c r="L119" s="376" t="s">
        <v>186</v>
      </c>
      <c r="M119" s="376" t="s">
        <v>186</v>
      </c>
      <c r="N119" s="376" t="s">
        <v>186</v>
      </c>
      <c r="O119" s="376" t="s">
        <v>186</v>
      </c>
      <c r="P119" s="376" t="s">
        <v>186</v>
      </c>
      <c r="Q119" s="376" t="s">
        <v>186</v>
      </c>
      <c r="R119" s="376"/>
      <c r="S119" s="376"/>
      <c r="T119" s="376"/>
      <c r="U119" s="376"/>
      <c r="V119" s="376"/>
      <c r="W119" s="376"/>
      <c r="X119" s="376"/>
      <c r="Y119" s="376"/>
      <c r="Z119" s="376"/>
      <c r="AA119" s="376"/>
      <c r="AB119" s="376"/>
      <c r="AC119" s="376"/>
      <c r="AD119" s="376"/>
      <c r="AE119" s="376"/>
      <c r="AF119" s="376"/>
      <c r="AG119" s="376"/>
      <c r="AH119" s="376"/>
      <c r="AI119" s="376"/>
      <c r="AJ119" s="376"/>
      <c r="AK119" s="377"/>
    </row>
    <row r="120" spans="1:37" ht="14.25" customHeight="1">
      <c r="A120" s="619">
        <v>2</v>
      </c>
      <c r="B120" s="253"/>
      <c r="C120" s="259" t="s">
        <v>174</v>
      </c>
      <c r="D120" s="56">
        <v>1237.5</v>
      </c>
      <c r="E120" s="376" t="s">
        <v>186</v>
      </c>
      <c r="F120" s="376" t="s">
        <v>186</v>
      </c>
      <c r="G120" s="376" t="s">
        <v>186</v>
      </c>
      <c r="H120" s="376" t="s">
        <v>186</v>
      </c>
      <c r="I120" s="376" t="s">
        <v>186</v>
      </c>
      <c r="J120" s="376" t="s">
        <v>186</v>
      </c>
      <c r="K120" s="376">
        <v>50</v>
      </c>
      <c r="L120" s="376" t="s">
        <v>186</v>
      </c>
      <c r="M120" s="376" t="s">
        <v>186</v>
      </c>
      <c r="N120" s="376" t="s">
        <v>186</v>
      </c>
      <c r="O120" s="376" t="s">
        <v>186</v>
      </c>
      <c r="P120" s="376" t="s">
        <v>186</v>
      </c>
      <c r="Q120" s="376" t="s">
        <v>186</v>
      </c>
      <c r="R120" s="376"/>
      <c r="S120" s="376"/>
      <c r="T120" s="376"/>
      <c r="U120" s="376"/>
      <c r="V120" s="376"/>
      <c r="W120" s="376"/>
      <c r="X120" s="376"/>
      <c r="Y120" s="376"/>
      <c r="Z120" s="376"/>
      <c r="AA120" s="376"/>
      <c r="AB120" s="376"/>
      <c r="AC120" s="376"/>
      <c r="AD120" s="376"/>
      <c r="AE120" s="376"/>
      <c r="AF120" s="376"/>
      <c r="AG120" s="376"/>
      <c r="AH120" s="376"/>
      <c r="AI120" s="376"/>
      <c r="AJ120" s="376"/>
      <c r="AK120" s="377"/>
    </row>
    <row r="121" spans="1:37" ht="14.25" customHeight="1">
      <c r="A121" s="619">
        <v>2</v>
      </c>
      <c r="B121" s="253"/>
      <c r="C121" s="259" t="s">
        <v>176</v>
      </c>
      <c r="D121" s="56">
        <v>4836</v>
      </c>
      <c r="E121" s="376" t="s">
        <v>186</v>
      </c>
      <c r="F121" s="376" t="s">
        <v>186</v>
      </c>
      <c r="G121" s="376" t="s">
        <v>186</v>
      </c>
      <c r="H121" s="376" t="s">
        <v>186</v>
      </c>
      <c r="I121" s="376" t="s">
        <v>186</v>
      </c>
      <c r="J121" s="376" t="s">
        <v>186</v>
      </c>
      <c r="K121" s="376" t="s">
        <v>186</v>
      </c>
      <c r="L121" s="376" t="s">
        <v>186</v>
      </c>
      <c r="M121" s="376" t="s">
        <v>186</v>
      </c>
      <c r="N121" s="376" t="s">
        <v>186</v>
      </c>
      <c r="O121" s="376" t="s">
        <v>186</v>
      </c>
      <c r="P121" s="376" t="s">
        <v>186</v>
      </c>
      <c r="Q121" s="376" t="s">
        <v>186</v>
      </c>
      <c r="R121" s="376"/>
      <c r="S121" s="376"/>
      <c r="T121" s="376"/>
      <c r="U121" s="376"/>
      <c r="V121" s="376"/>
      <c r="W121" s="376"/>
      <c r="X121" s="376"/>
      <c r="Y121" s="376"/>
      <c r="Z121" s="376"/>
      <c r="AA121" s="376"/>
      <c r="AB121" s="376"/>
      <c r="AC121" s="376"/>
      <c r="AD121" s="376"/>
      <c r="AE121" s="376"/>
      <c r="AF121" s="376"/>
      <c r="AG121" s="376"/>
      <c r="AH121" s="376"/>
      <c r="AI121" s="376"/>
      <c r="AJ121" s="376"/>
      <c r="AK121" s="377"/>
    </row>
    <row r="122" spans="1:37" ht="14.25" customHeight="1">
      <c r="A122" s="619"/>
      <c r="B122" s="253"/>
      <c r="C122" s="259" t="s">
        <v>227</v>
      </c>
      <c r="D122" s="376" t="s">
        <v>186</v>
      </c>
      <c r="E122" s="376" t="s">
        <v>186</v>
      </c>
      <c r="F122" s="376" t="s">
        <v>186</v>
      </c>
      <c r="G122" s="376" t="s">
        <v>186</v>
      </c>
      <c r="H122" s="376" t="s">
        <v>186</v>
      </c>
      <c r="I122" s="376" t="s">
        <v>186</v>
      </c>
      <c r="J122" s="376" t="s">
        <v>186</v>
      </c>
      <c r="K122" s="376" t="s">
        <v>186</v>
      </c>
      <c r="L122" s="376" t="s">
        <v>186</v>
      </c>
      <c r="M122" s="376" t="s">
        <v>186</v>
      </c>
      <c r="N122" s="376" t="s">
        <v>186</v>
      </c>
      <c r="O122" s="376" t="s">
        <v>186</v>
      </c>
      <c r="P122" s="376" t="s">
        <v>186</v>
      </c>
      <c r="Q122" s="376" t="s">
        <v>186</v>
      </c>
      <c r="R122" s="376"/>
      <c r="S122" s="376"/>
      <c r="T122" s="376"/>
      <c r="U122" s="376"/>
      <c r="V122" s="376"/>
      <c r="W122" s="376"/>
      <c r="X122" s="376"/>
      <c r="Y122" s="376"/>
      <c r="Z122" s="376"/>
      <c r="AA122" s="376"/>
      <c r="AB122" s="376"/>
      <c r="AC122" s="376"/>
      <c r="AD122" s="376"/>
      <c r="AE122" s="376"/>
      <c r="AF122" s="376"/>
      <c r="AG122" s="376"/>
      <c r="AH122" s="376"/>
      <c r="AI122" s="376"/>
      <c r="AJ122" s="376"/>
      <c r="AK122" s="377"/>
    </row>
    <row r="123" spans="1:37" ht="14.25" customHeight="1">
      <c r="A123" s="619">
        <v>4</v>
      </c>
      <c r="B123" s="253"/>
      <c r="C123" s="259" t="s">
        <v>815</v>
      </c>
      <c r="D123" s="376" t="s">
        <v>186</v>
      </c>
      <c r="E123" s="376" t="s">
        <v>186</v>
      </c>
      <c r="F123" s="376" t="s">
        <v>186</v>
      </c>
      <c r="G123" s="376" t="s">
        <v>186</v>
      </c>
      <c r="H123" s="376">
        <v>200</v>
      </c>
      <c r="I123" s="376" t="s">
        <v>186</v>
      </c>
      <c r="J123" s="376" t="s">
        <v>186</v>
      </c>
      <c r="K123" s="376" t="s">
        <v>186</v>
      </c>
      <c r="L123" s="376" t="s">
        <v>186</v>
      </c>
      <c r="M123" s="376" t="s">
        <v>186</v>
      </c>
      <c r="N123" s="376" t="s">
        <v>186</v>
      </c>
      <c r="O123" s="376" t="s">
        <v>186</v>
      </c>
      <c r="P123" s="376" t="s">
        <v>186</v>
      </c>
      <c r="Q123" s="376" t="s">
        <v>186</v>
      </c>
      <c r="R123" s="376"/>
      <c r="S123" s="376"/>
      <c r="T123" s="376"/>
      <c r="U123" s="376"/>
      <c r="V123" s="376"/>
      <c r="W123" s="376"/>
      <c r="X123" s="376"/>
      <c r="Y123" s="376"/>
      <c r="Z123" s="376"/>
      <c r="AA123" s="376"/>
      <c r="AB123" s="376"/>
      <c r="AC123" s="376"/>
      <c r="AD123" s="376"/>
      <c r="AE123" s="376"/>
      <c r="AF123" s="376"/>
      <c r="AG123" s="376"/>
      <c r="AH123" s="376"/>
      <c r="AI123" s="376"/>
      <c r="AJ123" s="376"/>
      <c r="AK123" s="377"/>
    </row>
    <row r="124" spans="1:37" ht="14.25" customHeight="1">
      <c r="A124" s="619">
        <v>4</v>
      </c>
      <c r="B124" s="253"/>
      <c r="C124" s="259" t="s">
        <v>816</v>
      </c>
      <c r="D124" s="376" t="s">
        <v>186</v>
      </c>
      <c r="E124" s="376" t="s">
        <v>186</v>
      </c>
      <c r="F124" s="376" t="s">
        <v>186</v>
      </c>
      <c r="G124" s="376">
        <v>50</v>
      </c>
      <c r="H124" s="376" t="s">
        <v>186</v>
      </c>
      <c r="I124" s="376">
        <v>110</v>
      </c>
      <c r="J124" s="376" t="s">
        <v>186</v>
      </c>
      <c r="K124" s="376" t="s">
        <v>186</v>
      </c>
      <c r="L124" s="376" t="s">
        <v>186</v>
      </c>
      <c r="M124" s="376" t="s">
        <v>186</v>
      </c>
      <c r="N124" s="376" t="s">
        <v>186</v>
      </c>
      <c r="O124" s="376" t="s">
        <v>186</v>
      </c>
      <c r="P124" s="376" t="s">
        <v>186</v>
      </c>
      <c r="Q124" s="376" t="s">
        <v>186</v>
      </c>
      <c r="R124" s="376"/>
      <c r="S124" s="376"/>
      <c r="T124" s="376"/>
      <c r="U124" s="376"/>
      <c r="V124" s="376"/>
      <c r="W124" s="376"/>
      <c r="X124" s="376"/>
      <c r="Y124" s="376"/>
      <c r="Z124" s="376"/>
      <c r="AA124" s="376"/>
      <c r="AB124" s="376"/>
      <c r="AC124" s="376"/>
      <c r="AD124" s="376"/>
      <c r="AE124" s="376"/>
      <c r="AF124" s="376"/>
      <c r="AG124" s="376"/>
      <c r="AH124" s="376"/>
      <c r="AI124" s="376"/>
      <c r="AJ124" s="376"/>
      <c r="AK124" s="377"/>
    </row>
    <row r="125" spans="1:37" ht="14.25" customHeight="1">
      <c r="A125" s="619"/>
      <c r="B125" s="253"/>
      <c r="C125" s="259" t="s">
        <v>230</v>
      </c>
      <c r="D125" s="376" t="s">
        <v>186</v>
      </c>
      <c r="E125" s="376" t="s">
        <v>186</v>
      </c>
      <c r="F125" s="376" t="s">
        <v>186</v>
      </c>
      <c r="G125" s="376" t="s">
        <v>186</v>
      </c>
      <c r="H125" s="376" t="s">
        <v>186</v>
      </c>
      <c r="I125" s="376" t="s">
        <v>186</v>
      </c>
      <c r="J125" s="376" t="s">
        <v>186</v>
      </c>
      <c r="K125" s="376" t="s">
        <v>186</v>
      </c>
      <c r="L125" s="376" t="s">
        <v>186</v>
      </c>
      <c r="M125" s="376" t="s">
        <v>186</v>
      </c>
      <c r="N125" s="376" t="s">
        <v>186</v>
      </c>
      <c r="O125" s="376" t="s">
        <v>186</v>
      </c>
      <c r="P125" s="376" t="s">
        <v>186</v>
      </c>
      <c r="Q125" s="376" t="s">
        <v>186</v>
      </c>
      <c r="R125" s="376"/>
      <c r="S125" s="376"/>
      <c r="T125" s="376"/>
      <c r="U125" s="376"/>
      <c r="V125" s="376"/>
      <c r="W125" s="376"/>
      <c r="X125" s="376"/>
      <c r="Y125" s="376"/>
      <c r="Z125" s="376"/>
      <c r="AA125" s="376"/>
      <c r="AB125" s="376"/>
      <c r="AC125" s="376"/>
      <c r="AD125" s="376"/>
      <c r="AE125" s="376"/>
      <c r="AF125" s="376"/>
      <c r="AG125" s="376"/>
      <c r="AH125" s="376"/>
      <c r="AI125" s="376"/>
      <c r="AJ125" s="376"/>
      <c r="AK125" s="377"/>
    </row>
    <row r="126" spans="1:37" ht="14.25" customHeight="1">
      <c r="A126" s="619"/>
      <c r="B126" s="253"/>
      <c r="C126" s="259" t="s">
        <v>231</v>
      </c>
      <c r="D126" s="376" t="s">
        <v>186</v>
      </c>
      <c r="E126" s="376" t="s">
        <v>186</v>
      </c>
      <c r="F126" s="376" t="s">
        <v>186</v>
      </c>
      <c r="G126" s="376" t="s">
        <v>186</v>
      </c>
      <c r="H126" s="376" t="s">
        <v>186</v>
      </c>
      <c r="I126" s="376" t="s">
        <v>186</v>
      </c>
      <c r="J126" s="376" t="s">
        <v>186</v>
      </c>
      <c r="K126" s="376" t="s">
        <v>186</v>
      </c>
      <c r="L126" s="376" t="s">
        <v>186</v>
      </c>
      <c r="M126" s="376" t="s">
        <v>186</v>
      </c>
      <c r="N126" s="376" t="s">
        <v>186</v>
      </c>
      <c r="O126" s="376" t="s">
        <v>186</v>
      </c>
      <c r="P126" s="376" t="s">
        <v>186</v>
      </c>
      <c r="Q126" s="376" t="s">
        <v>186</v>
      </c>
      <c r="R126" s="376"/>
      <c r="S126" s="376"/>
      <c r="T126" s="376"/>
      <c r="U126" s="376"/>
      <c r="V126" s="376"/>
      <c r="W126" s="376"/>
      <c r="X126" s="376"/>
      <c r="Y126" s="376"/>
      <c r="Z126" s="376"/>
      <c r="AA126" s="376"/>
      <c r="AB126" s="376"/>
      <c r="AC126" s="376"/>
      <c r="AD126" s="376"/>
      <c r="AE126" s="376"/>
      <c r="AF126" s="376"/>
      <c r="AG126" s="376"/>
      <c r="AH126" s="376"/>
      <c r="AI126" s="376"/>
      <c r="AJ126" s="376"/>
      <c r="AK126" s="377"/>
    </row>
    <row r="127" spans="1:37" ht="14.25" customHeight="1">
      <c r="A127" s="619"/>
      <c r="B127" s="253"/>
      <c r="C127" s="259" t="s">
        <v>232</v>
      </c>
      <c r="D127" s="376" t="s">
        <v>186</v>
      </c>
      <c r="E127" s="376" t="s">
        <v>186</v>
      </c>
      <c r="F127" s="376" t="s">
        <v>186</v>
      </c>
      <c r="G127" s="376" t="s">
        <v>186</v>
      </c>
      <c r="H127" s="376" t="s">
        <v>186</v>
      </c>
      <c r="I127" s="376" t="s">
        <v>186</v>
      </c>
      <c r="J127" s="376" t="s">
        <v>186</v>
      </c>
      <c r="K127" s="376" t="s">
        <v>186</v>
      </c>
      <c r="L127" s="376" t="s">
        <v>186</v>
      </c>
      <c r="M127" s="376" t="s">
        <v>186</v>
      </c>
      <c r="N127" s="376" t="s">
        <v>186</v>
      </c>
      <c r="O127" s="376" t="s">
        <v>186</v>
      </c>
      <c r="P127" s="376" t="s">
        <v>186</v>
      </c>
      <c r="Q127" s="376" t="s">
        <v>186</v>
      </c>
      <c r="R127" s="376"/>
      <c r="S127" s="376"/>
      <c r="T127" s="376"/>
      <c r="U127" s="376"/>
      <c r="V127" s="376"/>
      <c r="W127" s="376"/>
      <c r="X127" s="376"/>
      <c r="Y127" s="376"/>
      <c r="Z127" s="376"/>
      <c r="AA127" s="376"/>
      <c r="AB127" s="376"/>
      <c r="AC127" s="376"/>
      <c r="AD127" s="376"/>
      <c r="AE127" s="376"/>
      <c r="AF127" s="376"/>
      <c r="AG127" s="376"/>
      <c r="AH127" s="376"/>
      <c r="AI127" s="376"/>
      <c r="AJ127" s="376"/>
      <c r="AK127" s="377"/>
    </row>
    <row r="128" spans="1:37" ht="14.25" customHeight="1">
      <c r="A128" s="619">
        <v>4</v>
      </c>
      <c r="B128" s="253"/>
      <c r="C128" s="355" t="s">
        <v>817</v>
      </c>
      <c r="D128" s="376" t="s">
        <v>186</v>
      </c>
      <c r="E128" s="376" t="s">
        <v>186</v>
      </c>
      <c r="F128" s="376" t="s">
        <v>186</v>
      </c>
      <c r="G128" s="376" t="s">
        <v>186</v>
      </c>
      <c r="H128" s="376" t="s">
        <v>186</v>
      </c>
      <c r="I128" s="376" t="s">
        <v>186</v>
      </c>
      <c r="J128" s="376">
        <v>110</v>
      </c>
      <c r="K128" s="376" t="s">
        <v>186</v>
      </c>
      <c r="L128" s="376">
        <v>400</v>
      </c>
      <c r="M128" s="376" t="s">
        <v>186</v>
      </c>
      <c r="N128" s="376" t="s">
        <v>186</v>
      </c>
      <c r="O128" s="376" t="s">
        <v>186</v>
      </c>
      <c r="P128" s="376" t="s">
        <v>186</v>
      </c>
      <c r="Q128" s="376" t="s">
        <v>186</v>
      </c>
      <c r="R128" s="376"/>
      <c r="S128" s="376"/>
      <c r="T128" s="376"/>
      <c r="U128" s="376"/>
      <c r="V128" s="376"/>
      <c r="W128" s="376"/>
      <c r="X128" s="376"/>
      <c r="Y128" s="376"/>
      <c r="Z128" s="376"/>
      <c r="AA128" s="376"/>
      <c r="AB128" s="376"/>
      <c r="AC128" s="376"/>
      <c r="AD128" s="376"/>
      <c r="AE128" s="376"/>
      <c r="AF128" s="376"/>
      <c r="AG128" s="376"/>
      <c r="AH128" s="376"/>
      <c r="AI128" s="376"/>
      <c r="AJ128" s="376"/>
      <c r="AK128" s="377"/>
    </row>
    <row r="129" spans="1:37" ht="14.25" customHeight="1">
      <c r="A129" s="619">
        <v>4</v>
      </c>
      <c r="B129" s="253"/>
      <c r="C129" s="355" t="s">
        <v>818</v>
      </c>
      <c r="D129" s="376" t="s">
        <v>186</v>
      </c>
      <c r="E129" s="376" t="s">
        <v>186</v>
      </c>
      <c r="F129" s="376" t="s">
        <v>186</v>
      </c>
      <c r="G129" s="376" t="s">
        <v>186</v>
      </c>
      <c r="H129" s="376" t="s">
        <v>186</v>
      </c>
      <c r="I129" s="376" t="s">
        <v>186</v>
      </c>
      <c r="J129" s="376"/>
      <c r="K129" s="376">
        <v>500</v>
      </c>
      <c r="L129" s="376">
        <v>120</v>
      </c>
      <c r="M129" s="376" t="s">
        <v>186</v>
      </c>
      <c r="N129" s="376">
        <v>320</v>
      </c>
      <c r="O129" s="376" t="s">
        <v>186</v>
      </c>
      <c r="P129" s="376" t="s">
        <v>186</v>
      </c>
      <c r="Q129" s="376" t="s">
        <v>186</v>
      </c>
      <c r="R129" s="376"/>
      <c r="S129" s="376"/>
      <c r="T129" s="376"/>
      <c r="U129" s="376"/>
      <c r="V129" s="376"/>
      <c r="W129" s="376"/>
      <c r="X129" s="376"/>
      <c r="Y129" s="376"/>
      <c r="Z129" s="376"/>
      <c r="AA129" s="376"/>
      <c r="AB129" s="376"/>
      <c r="AC129" s="376"/>
      <c r="AD129" s="376"/>
      <c r="AE129" s="376"/>
      <c r="AF129" s="376"/>
      <c r="AG129" s="376"/>
      <c r="AH129" s="376"/>
      <c r="AI129" s="376"/>
      <c r="AJ129" s="376"/>
      <c r="AK129" s="377"/>
    </row>
    <row r="130" spans="1:37" ht="14.25" customHeight="1">
      <c r="A130" s="619">
        <v>5</v>
      </c>
      <c r="B130" s="253"/>
      <c r="C130" s="355" t="s">
        <v>235</v>
      </c>
      <c r="D130" s="376" t="s">
        <v>186</v>
      </c>
      <c r="E130" s="376" t="s">
        <v>186</v>
      </c>
      <c r="F130" s="376" t="s">
        <v>186</v>
      </c>
      <c r="G130" s="376" t="s">
        <v>186</v>
      </c>
      <c r="H130" s="376" t="s">
        <v>186</v>
      </c>
      <c r="I130" s="376" t="s">
        <v>186</v>
      </c>
      <c r="J130" s="376">
        <v>150</v>
      </c>
      <c r="K130" s="376" t="s">
        <v>186</v>
      </c>
      <c r="L130" s="376" t="s">
        <v>186</v>
      </c>
      <c r="M130" s="376" t="s">
        <v>186</v>
      </c>
      <c r="N130" s="376" t="s">
        <v>186</v>
      </c>
      <c r="O130" s="376" t="s">
        <v>186</v>
      </c>
      <c r="P130" s="376" t="s">
        <v>186</v>
      </c>
      <c r="Q130" s="376" t="s">
        <v>186</v>
      </c>
      <c r="R130" s="376"/>
      <c r="S130" s="376"/>
      <c r="T130" s="376"/>
      <c r="U130" s="376"/>
      <c r="V130" s="376"/>
      <c r="W130" s="376"/>
      <c r="X130" s="376"/>
      <c r="Y130" s="376"/>
      <c r="Z130" s="376"/>
      <c r="AA130" s="376"/>
      <c r="AB130" s="376"/>
      <c r="AC130" s="376"/>
      <c r="AD130" s="376"/>
      <c r="AE130" s="376"/>
      <c r="AF130" s="376"/>
      <c r="AG130" s="376"/>
      <c r="AH130" s="376"/>
      <c r="AI130" s="376"/>
      <c r="AJ130" s="376"/>
      <c r="AK130" s="377"/>
    </row>
    <row r="131" spans="1:37" ht="14.25" customHeight="1">
      <c r="A131" s="619">
        <v>5</v>
      </c>
      <c r="B131" s="253"/>
      <c r="C131" s="355" t="s">
        <v>236</v>
      </c>
      <c r="D131" s="376" t="s">
        <v>186</v>
      </c>
      <c r="E131" s="376" t="s">
        <v>186</v>
      </c>
      <c r="F131" s="376" t="s">
        <v>186</v>
      </c>
      <c r="G131" s="376" t="s">
        <v>186</v>
      </c>
      <c r="H131" s="376" t="s">
        <v>186</v>
      </c>
      <c r="I131" s="376" t="s">
        <v>186</v>
      </c>
      <c r="J131" s="376">
        <v>200</v>
      </c>
      <c r="K131" s="376" t="s">
        <v>186</v>
      </c>
      <c r="L131" s="376" t="s">
        <v>186</v>
      </c>
      <c r="M131" s="376" t="s">
        <v>186</v>
      </c>
      <c r="N131" s="376" t="s">
        <v>186</v>
      </c>
      <c r="O131" s="376" t="s">
        <v>186</v>
      </c>
      <c r="P131" s="376" t="s">
        <v>186</v>
      </c>
      <c r="Q131" s="376" t="s">
        <v>186</v>
      </c>
      <c r="R131" s="376"/>
      <c r="S131" s="376"/>
      <c r="T131" s="376"/>
      <c r="U131" s="376"/>
      <c r="V131" s="376"/>
      <c r="W131" s="376"/>
      <c r="X131" s="376"/>
      <c r="Y131" s="376"/>
      <c r="Z131" s="376"/>
      <c r="AA131" s="376"/>
      <c r="AB131" s="376"/>
      <c r="AC131" s="376"/>
      <c r="AD131" s="376"/>
      <c r="AE131" s="376"/>
      <c r="AF131" s="376"/>
      <c r="AG131" s="376"/>
      <c r="AH131" s="376"/>
      <c r="AI131" s="376"/>
      <c r="AJ131" s="376"/>
      <c r="AK131" s="377"/>
    </row>
    <row r="132" spans="1:37" ht="14.25" customHeight="1">
      <c r="A132" s="619">
        <v>5</v>
      </c>
      <c r="B132" s="253"/>
      <c r="C132" s="355" t="s">
        <v>237</v>
      </c>
      <c r="D132" s="376" t="s">
        <v>186</v>
      </c>
      <c r="E132" s="376" t="s">
        <v>186</v>
      </c>
      <c r="F132" s="376" t="s">
        <v>186</v>
      </c>
      <c r="G132" s="376" t="s">
        <v>186</v>
      </c>
      <c r="H132" s="376" t="s">
        <v>186</v>
      </c>
      <c r="I132" s="376" t="s">
        <v>186</v>
      </c>
      <c r="J132" s="376">
        <v>120</v>
      </c>
      <c r="K132" s="376" t="s">
        <v>186</v>
      </c>
      <c r="L132" s="376" t="s">
        <v>186</v>
      </c>
      <c r="M132" s="376" t="s">
        <v>186</v>
      </c>
      <c r="N132" s="376" t="s">
        <v>186</v>
      </c>
      <c r="O132" s="376" t="s">
        <v>186</v>
      </c>
      <c r="P132" s="376" t="s">
        <v>186</v>
      </c>
      <c r="Q132" s="376" t="s">
        <v>186</v>
      </c>
      <c r="R132" s="376"/>
      <c r="S132" s="376"/>
      <c r="T132" s="376"/>
      <c r="U132" s="376"/>
      <c r="V132" s="376"/>
      <c r="W132" s="376"/>
      <c r="X132" s="376"/>
      <c r="Y132" s="376"/>
      <c r="Z132" s="376"/>
      <c r="AA132" s="376"/>
      <c r="AB132" s="376"/>
      <c r="AC132" s="376"/>
      <c r="AD132" s="376"/>
      <c r="AE132" s="376"/>
      <c r="AF132" s="376"/>
      <c r="AG132" s="376"/>
      <c r="AH132" s="376"/>
      <c r="AI132" s="376"/>
      <c r="AJ132" s="376"/>
      <c r="AK132" s="377"/>
    </row>
    <row r="133" spans="1:37" ht="14.25" customHeight="1">
      <c r="A133" s="619">
        <v>5</v>
      </c>
      <c r="B133" s="253"/>
      <c r="C133" s="355" t="s">
        <v>238</v>
      </c>
      <c r="D133" s="376" t="s">
        <v>186</v>
      </c>
      <c r="E133" s="376" t="s">
        <v>186</v>
      </c>
      <c r="F133" s="376" t="s">
        <v>186</v>
      </c>
      <c r="G133" s="376" t="s">
        <v>186</v>
      </c>
      <c r="H133" s="376" t="s">
        <v>186</v>
      </c>
      <c r="I133" s="376" t="s">
        <v>186</v>
      </c>
      <c r="J133" s="376">
        <v>30</v>
      </c>
      <c r="K133" s="376" t="s">
        <v>186</v>
      </c>
      <c r="L133" s="376" t="s">
        <v>186</v>
      </c>
      <c r="M133" s="376" t="s">
        <v>186</v>
      </c>
      <c r="N133" s="376" t="s">
        <v>186</v>
      </c>
      <c r="O133" s="376" t="s">
        <v>186</v>
      </c>
      <c r="P133" s="376" t="s">
        <v>186</v>
      </c>
      <c r="Q133" s="376" t="s">
        <v>186</v>
      </c>
      <c r="R133" s="376"/>
      <c r="S133" s="376"/>
      <c r="T133" s="376"/>
      <c r="U133" s="376"/>
      <c r="V133" s="376"/>
      <c r="W133" s="376"/>
      <c r="X133" s="376"/>
      <c r="Y133" s="376"/>
      <c r="Z133" s="376"/>
      <c r="AA133" s="376"/>
      <c r="AB133" s="376"/>
      <c r="AC133" s="376"/>
      <c r="AD133" s="376"/>
      <c r="AE133" s="376"/>
      <c r="AF133" s="376"/>
      <c r="AG133" s="376"/>
      <c r="AH133" s="376"/>
      <c r="AI133" s="376"/>
      <c r="AJ133" s="376"/>
      <c r="AK133" s="377"/>
    </row>
    <row r="134" spans="1:37" ht="14.25" customHeight="1">
      <c r="A134" s="619"/>
      <c r="B134" s="253"/>
      <c r="C134" s="259"/>
      <c r="D134" s="376"/>
      <c r="E134" s="376"/>
      <c r="F134" s="376"/>
      <c r="G134" s="376"/>
      <c r="H134" s="376"/>
      <c r="I134" s="376"/>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376"/>
      <c r="AI134" s="376"/>
      <c r="AJ134" s="376"/>
      <c r="AK134" s="377"/>
    </row>
    <row r="135" spans="1:37" ht="14.25" customHeight="1">
      <c r="A135" s="619"/>
      <c r="B135" s="253"/>
      <c r="C135" s="259" t="s">
        <v>239</v>
      </c>
      <c r="D135" s="376">
        <f t="shared" ref="D135:Q135" si="31">SUM(D105:D107,D109:D114,D116:D121,D122:D127,D128:D133)</f>
        <v>13073.8</v>
      </c>
      <c r="E135" s="376">
        <f t="shared" si="31"/>
        <v>0</v>
      </c>
      <c r="F135" s="376">
        <f t="shared" si="31"/>
        <v>5.95</v>
      </c>
      <c r="G135" s="376">
        <f t="shared" si="31"/>
        <v>311.99</v>
      </c>
      <c r="H135" s="376">
        <f t="shared" si="31"/>
        <v>237.19</v>
      </c>
      <c r="I135" s="376">
        <f t="shared" si="31"/>
        <v>119</v>
      </c>
      <c r="J135" s="376">
        <f t="shared" si="31"/>
        <v>693.18000000000006</v>
      </c>
      <c r="K135" s="376">
        <f t="shared" si="31"/>
        <v>550</v>
      </c>
      <c r="L135" s="376">
        <f t="shared" si="31"/>
        <v>520</v>
      </c>
      <c r="M135" s="376">
        <f t="shared" si="31"/>
        <v>0</v>
      </c>
      <c r="N135" s="376">
        <f t="shared" si="31"/>
        <v>564</v>
      </c>
      <c r="O135" s="376">
        <f t="shared" si="31"/>
        <v>595.6</v>
      </c>
      <c r="P135" s="376">
        <f t="shared" si="31"/>
        <v>1200</v>
      </c>
      <c r="Q135" s="376">
        <f t="shared" si="31"/>
        <v>1200</v>
      </c>
      <c r="R135" s="376"/>
      <c r="S135" s="376"/>
      <c r="T135" s="376"/>
      <c r="U135" s="376"/>
      <c r="V135" s="376"/>
      <c r="W135" s="376"/>
      <c r="X135" s="376"/>
      <c r="Y135" s="376"/>
      <c r="Z135" s="376"/>
      <c r="AA135" s="376"/>
      <c r="AB135" s="376"/>
      <c r="AC135" s="376"/>
      <c r="AD135" s="376"/>
      <c r="AE135" s="376"/>
      <c r="AF135" s="376"/>
      <c r="AG135" s="376"/>
      <c r="AH135" s="376"/>
      <c r="AI135" s="376"/>
      <c r="AJ135" s="376"/>
      <c r="AK135" s="377"/>
    </row>
    <row r="136" spans="1:37" ht="14.25" customHeight="1">
      <c r="A136" s="619"/>
      <c r="B136" s="253"/>
      <c r="C136" s="378"/>
      <c r="D136" s="258"/>
      <c r="E136" s="258"/>
      <c r="F136" s="258"/>
      <c r="G136" s="258"/>
      <c r="H136" s="258"/>
      <c r="I136" s="258"/>
      <c r="J136" s="258"/>
      <c r="K136" s="258"/>
      <c r="L136" s="258"/>
      <c r="M136" s="258"/>
      <c r="N136" s="258"/>
      <c r="O136" s="258"/>
      <c r="P136" s="258"/>
      <c r="Q136" s="258"/>
      <c r="R136" s="258"/>
      <c r="S136" s="258"/>
      <c r="T136" s="258"/>
      <c r="U136" s="258"/>
      <c r="V136" s="258"/>
      <c r="W136" s="258"/>
      <c r="X136" s="258"/>
      <c r="Y136" s="258"/>
      <c r="Z136" s="258"/>
      <c r="AA136" s="258"/>
      <c r="AB136" s="258"/>
      <c r="AC136" s="258"/>
      <c r="AD136" s="258"/>
      <c r="AE136" s="258"/>
      <c r="AF136" s="258"/>
      <c r="AG136" s="258"/>
      <c r="AH136" s="258"/>
      <c r="AI136" s="258"/>
      <c r="AJ136" s="258"/>
      <c r="AK136" s="377"/>
    </row>
    <row r="137" spans="1:37" ht="14.25" customHeight="1">
      <c r="A137" s="619"/>
      <c r="B137" s="253"/>
      <c r="C137" s="281" t="s">
        <v>819</v>
      </c>
      <c r="D137" s="376"/>
      <c r="E137" s="376"/>
      <c r="F137" s="376"/>
      <c r="G137" s="376"/>
      <c r="H137" s="376"/>
      <c r="I137" s="376"/>
      <c r="J137" s="376"/>
      <c r="K137" s="376"/>
      <c r="L137" s="376"/>
      <c r="M137" s="376"/>
      <c r="N137" s="376"/>
      <c r="O137" s="376"/>
      <c r="P137" s="376"/>
      <c r="Q137" s="376"/>
      <c r="R137" s="376"/>
      <c r="S137" s="376"/>
      <c r="T137" s="376"/>
      <c r="U137" s="376"/>
      <c r="V137" s="376"/>
      <c r="W137" s="376"/>
      <c r="X137" s="376"/>
      <c r="Y137" s="376"/>
      <c r="Z137" s="376"/>
      <c r="AA137" s="376"/>
      <c r="AB137" s="376"/>
      <c r="AC137" s="376"/>
      <c r="AD137" s="376"/>
      <c r="AE137" s="376"/>
      <c r="AF137" s="376"/>
      <c r="AG137" s="376"/>
      <c r="AH137" s="376"/>
      <c r="AI137" s="376"/>
      <c r="AJ137" s="376"/>
      <c r="AK137" s="377"/>
    </row>
    <row r="138" spans="1:37" ht="14.25" customHeight="1">
      <c r="A138" s="619"/>
      <c r="B138" s="253"/>
      <c r="C138" s="259" t="s">
        <v>185</v>
      </c>
      <c r="D138" s="376" t="s">
        <v>186</v>
      </c>
      <c r="E138" s="376" t="s">
        <v>186</v>
      </c>
      <c r="F138" s="376" t="s">
        <v>186</v>
      </c>
      <c r="G138" s="376"/>
      <c r="H138" s="376"/>
      <c r="I138" s="376"/>
      <c r="J138" s="376"/>
      <c r="K138" s="376"/>
      <c r="L138" s="376"/>
      <c r="M138" s="376"/>
      <c r="N138" s="376"/>
      <c r="O138" s="376"/>
      <c r="P138" s="376"/>
      <c r="Q138" s="376"/>
      <c r="R138" s="376"/>
      <c r="S138" s="376"/>
      <c r="T138" s="376"/>
      <c r="U138" s="376"/>
      <c r="V138" s="376"/>
      <c r="W138" s="376"/>
      <c r="X138" s="376"/>
      <c r="Y138" s="376"/>
      <c r="Z138" s="376"/>
      <c r="AA138" s="376"/>
      <c r="AB138" s="376"/>
      <c r="AC138" s="376"/>
      <c r="AD138" s="376"/>
      <c r="AE138" s="376"/>
      <c r="AF138" s="376"/>
      <c r="AG138" s="376"/>
      <c r="AH138" s="376"/>
      <c r="AI138" s="376"/>
      <c r="AJ138" s="376"/>
      <c r="AK138" s="377"/>
    </row>
    <row r="139" spans="1:37" ht="14.25" customHeight="1">
      <c r="A139" s="619"/>
      <c r="B139" s="253"/>
      <c r="C139" s="259" t="s">
        <v>225</v>
      </c>
      <c r="D139" s="376" t="s">
        <v>186</v>
      </c>
      <c r="E139" s="376" t="s">
        <v>186</v>
      </c>
      <c r="F139" s="376" t="s">
        <v>186</v>
      </c>
      <c r="G139" s="376"/>
      <c r="H139" s="376"/>
      <c r="I139" s="376"/>
      <c r="J139" s="376"/>
      <c r="K139" s="376"/>
      <c r="L139" s="376"/>
      <c r="M139" s="376"/>
      <c r="N139" s="376"/>
      <c r="O139" s="376"/>
      <c r="P139" s="376"/>
      <c r="Q139" s="376"/>
      <c r="R139" s="376"/>
      <c r="S139" s="376"/>
      <c r="T139" s="376"/>
      <c r="U139" s="376"/>
      <c r="V139" s="376"/>
      <c r="W139" s="376"/>
      <c r="X139" s="376"/>
      <c r="Y139" s="376"/>
      <c r="Z139" s="376"/>
      <c r="AA139" s="376"/>
      <c r="AB139" s="376"/>
      <c r="AC139" s="376"/>
      <c r="AD139" s="376"/>
      <c r="AE139" s="376"/>
      <c r="AF139" s="376"/>
      <c r="AG139" s="376"/>
      <c r="AH139" s="376"/>
      <c r="AI139" s="376"/>
      <c r="AJ139" s="376"/>
      <c r="AK139" s="377"/>
    </row>
    <row r="140" spans="1:37" ht="14.25" customHeight="1">
      <c r="A140" s="619"/>
      <c r="B140" s="253"/>
      <c r="C140" s="259" t="s">
        <v>226</v>
      </c>
      <c r="D140" s="376" t="s">
        <v>186</v>
      </c>
      <c r="E140" s="376" t="s">
        <v>186</v>
      </c>
      <c r="F140" s="376" t="s">
        <v>186</v>
      </c>
      <c r="G140" s="376"/>
      <c r="H140" s="376"/>
      <c r="I140" s="376"/>
      <c r="J140" s="376"/>
      <c r="K140" s="376"/>
      <c r="L140" s="376"/>
      <c r="M140" s="376"/>
      <c r="N140" s="376"/>
      <c r="O140" s="376"/>
      <c r="P140" s="376"/>
      <c r="Q140" s="376"/>
      <c r="R140" s="376"/>
      <c r="S140" s="376"/>
      <c r="T140" s="376"/>
      <c r="U140" s="376"/>
      <c r="V140" s="376"/>
      <c r="W140" s="376"/>
      <c r="X140" s="376"/>
      <c r="Y140" s="376"/>
      <c r="Z140" s="376"/>
      <c r="AA140" s="376"/>
      <c r="AB140" s="376"/>
      <c r="AC140" s="376"/>
      <c r="AD140" s="376"/>
      <c r="AE140" s="376"/>
      <c r="AF140" s="376"/>
      <c r="AG140" s="376"/>
      <c r="AH140" s="376"/>
      <c r="AI140" s="376"/>
      <c r="AJ140" s="376"/>
      <c r="AK140" s="377"/>
    </row>
    <row r="141" spans="1:37" ht="14.25" customHeight="1">
      <c r="A141" s="619"/>
      <c r="B141" s="253"/>
      <c r="C141" s="259" t="s">
        <v>164</v>
      </c>
      <c r="D141" s="376" t="s">
        <v>186</v>
      </c>
      <c r="E141" s="376" t="s">
        <v>186</v>
      </c>
      <c r="F141" s="376" t="s">
        <v>186</v>
      </c>
      <c r="G141" s="376"/>
      <c r="H141" s="376"/>
      <c r="I141" s="376"/>
      <c r="J141" s="376"/>
      <c r="K141" s="376"/>
      <c r="L141" s="376"/>
      <c r="M141" s="376"/>
      <c r="N141" s="376"/>
      <c r="O141" s="376"/>
      <c r="P141" s="376"/>
      <c r="Q141" s="376"/>
      <c r="R141" s="376"/>
      <c r="S141" s="376"/>
      <c r="T141" s="376"/>
      <c r="U141" s="376"/>
      <c r="V141" s="376"/>
      <c r="W141" s="376"/>
      <c r="X141" s="376"/>
      <c r="Y141" s="376"/>
      <c r="Z141" s="376"/>
      <c r="AA141" s="376"/>
      <c r="AB141" s="376"/>
      <c r="AC141" s="376"/>
      <c r="AD141" s="376"/>
      <c r="AE141" s="376"/>
      <c r="AF141" s="376"/>
      <c r="AG141" s="376"/>
      <c r="AH141" s="376"/>
      <c r="AI141" s="376"/>
      <c r="AJ141" s="376"/>
      <c r="AK141" s="377"/>
    </row>
    <row r="142" spans="1:37" ht="14.25" customHeight="1">
      <c r="A142" s="619"/>
      <c r="B142" s="253"/>
      <c r="C142" s="259" t="s">
        <v>177</v>
      </c>
      <c r="D142" s="376" t="s">
        <v>186</v>
      </c>
      <c r="E142" s="376" t="s">
        <v>186</v>
      </c>
      <c r="F142" s="376" t="s">
        <v>186</v>
      </c>
      <c r="G142" s="376"/>
      <c r="H142" s="376"/>
      <c r="I142" s="376"/>
      <c r="J142" s="376"/>
      <c r="K142" s="376"/>
      <c r="L142" s="376"/>
      <c r="M142" s="376"/>
      <c r="N142" s="376"/>
      <c r="O142" s="376"/>
      <c r="P142" s="376"/>
      <c r="Q142" s="376"/>
      <c r="R142" s="376"/>
      <c r="S142" s="376"/>
      <c r="T142" s="376"/>
      <c r="U142" s="376"/>
      <c r="V142" s="376"/>
      <c r="W142" s="376"/>
      <c r="X142" s="376"/>
      <c r="Y142" s="376"/>
      <c r="Z142" s="376"/>
      <c r="AA142" s="376"/>
      <c r="AB142" s="376"/>
      <c r="AC142" s="376"/>
      <c r="AD142" s="376"/>
      <c r="AE142" s="376"/>
      <c r="AF142" s="376"/>
      <c r="AG142" s="376"/>
      <c r="AH142" s="376"/>
      <c r="AI142" s="376"/>
      <c r="AJ142" s="376"/>
      <c r="AK142" s="377"/>
    </row>
    <row r="143" spans="1:37" ht="14.25" customHeight="1">
      <c r="A143" s="619"/>
      <c r="B143" s="253"/>
      <c r="C143" s="259" t="s">
        <v>227</v>
      </c>
      <c r="D143" s="376" t="s">
        <v>186</v>
      </c>
      <c r="E143" s="376" t="s">
        <v>186</v>
      </c>
      <c r="F143" s="376" t="s">
        <v>186</v>
      </c>
      <c r="G143" s="376"/>
      <c r="H143" s="376"/>
      <c r="I143" s="376"/>
      <c r="J143" s="376"/>
      <c r="K143" s="376"/>
      <c r="L143" s="376"/>
      <c r="M143" s="376"/>
      <c r="N143" s="376"/>
      <c r="O143" s="376"/>
      <c r="P143" s="376"/>
      <c r="Q143" s="376"/>
      <c r="R143" s="376"/>
      <c r="S143" s="376"/>
      <c r="T143" s="376"/>
      <c r="U143" s="376"/>
      <c r="V143" s="376"/>
      <c r="W143" s="376"/>
      <c r="X143" s="376"/>
      <c r="Y143" s="376"/>
      <c r="Z143" s="376"/>
      <c r="AA143" s="376"/>
      <c r="AB143" s="376"/>
      <c r="AC143" s="376"/>
      <c r="AD143" s="376"/>
      <c r="AE143" s="376"/>
      <c r="AF143" s="376"/>
      <c r="AG143" s="376"/>
      <c r="AH143" s="376"/>
      <c r="AI143" s="376"/>
      <c r="AJ143" s="376"/>
      <c r="AK143" s="377"/>
    </row>
    <row r="144" spans="1:37" ht="14.25" customHeight="1">
      <c r="A144" s="619"/>
      <c r="B144" s="253"/>
      <c r="C144" s="259" t="s">
        <v>228</v>
      </c>
      <c r="D144" s="376" t="s">
        <v>186</v>
      </c>
      <c r="E144" s="376" t="s">
        <v>186</v>
      </c>
      <c r="F144" s="376" t="s">
        <v>186</v>
      </c>
      <c r="G144" s="376"/>
      <c r="H144" s="376"/>
      <c r="I144" s="376"/>
      <c r="J144" s="376"/>
      <c r="K144" s="376"/>
      <c r="L144" s="376"/>
      <c r="M144" s="376"/>
      <c r="N144" s="376"/>
      <c r="O144" s="376"/>
      <c r="P144" s="376"/>
      <c r="Q144" s="376"/>
      <c r="R144" s="376"/>
      <c r="S144" s="376"/>
      <c r="T144" s="376"/>
      <c r="U144" s="376"/>
      <c r="V144" s="376"/>
      <c r="W144" s="376"/>
      <c r="X144" s="376"/>
      <c r="Y144" s="376"/>
      <c r="Z144" s="376"/>
      <c r="AA144" s="376"/>
      <c r="AB144" s="376"/>
      <c r="AC144" s="376"/>
      <c r="AD144" s="376"/>
      <c r="AE144" s="376"/>
      <c r="AF144" s="376"/>
      <c r="AG144" s="376"/>
      <c r="AH144" s="376"/>
      <c r="AI144" s="376"/>
      <c r="AJ144" s="376"/>
      <c r="AK144" s="377"/>
    </row>
    <row r="145" spans="1:37" ht="14.25" customHeight="1">
      <c r="A145" s="619"/>
      <c r="B145" s="253"/>
      <c r="C145" s="259" t="s">
        <v>229</v>
      </c>
      <c r="D145" s="376" t="s">
        <v>186</v>
      </c>
      <c r="E145" s="376" t="s">
        <v>186</v>
      </c>
      <c r="F145" s="376" t="s">
        <v>186</v>
      </c>
      <c r="G145" s="376"/>
      <c r="H145" s="376"/>
      <c r="I145" s="376"/>
      <c r="J145" s="376"/>
      <c r="K145" s="376"/>
      <c r="L145" s="376"/>
      <c r="M145" s="376"/>
      <c r="N145" s="376"/>
      <c r="O145" s="376"/>
      <c r="P145" s="376"/>
      <c r="Q145" s="376"/>
      <c r="R145" s="376"/>
      <c r="S145" s="376"/>
      <c r="T145" s="376"/>
      <c r="U145" s="376"/>
      <c r="V145" s="376"/>
      <c r="W145" s="376"/>
      <c r="X145" s="376"/>
      <c r="Y145" s="376"/>
      <c r="Z145" s="376"/>
      <c r="AA145" s="376"/>
      <c r="AB145" s="376"/>
      <c r="AC145" s="376"/>
      <c r="AD145" s="376"/>
      <c r="AE145" s="376"/>
      <c r="AF145" s="376"/>
      <c r="AG145" s="376"/>
      <c r="AH145" s="376"/>
      <c r="AI145" s="376"/>
      <c r="AJ145" s="376"/>
      <c r="AK145" s="377"/>
    </row>
    <row r="146" spans="1:37" ht="14.25" customHeight="1">
      <c r="A146" s="619"/>
      <c r="B146" s="253"/>
      <c r="C146" s="259" t="s">
        <v>230</v>
      </c>
      <c r="D146" s="376" t="s">
        <v>186</v>
      </c>
      <c r="E146" s="376" t="s">
        <v>186</v>
      </c>
      <c r="F146" s="376" t="s">
        <v>186</v>
      </c>
      <c r="G146" s="376"/>
      <c r="H146" s="376"/>
      <c r="I146" s="376"/>
      <c r="J146" s="376"/>
      <c r="K146" s="376"/>
      <c r="L146" s="376"/>
      <c r="M146" s="376"/>
      <c r="N146" s="376"/>
      <c r="O146" s="376"/>
      <c r="P146" s="376"/>
      <c r="Q146" s="376"/>
      <c r="R146" s="376"/>
      <c r="S146" s="376"/>
      <c r="T146" s="376"/>
      <c r="U146" s="376"/>
      <c r="V146" s="376"/>
      <c r="W146" s="376"/>
      <c r="X146" s="376"/>
      <c r="Y146" s="376"/>
      <c r="Z146" s="376"/>
      <c r="AA146" s="376"/>
      <c r="AB146" s="376"/>
      <c r="AC146" s="376"/>
      <c r="AD146" s="376"/>
      <c r="AE146" s="376"/>
      <c r="AF146" s="376"/>
      <c r="AG146" s="376"/>
      <c r="AH146" s="376"/>
      <c r="AI146" s="376"/>
      <c r="AJ146" s="376"/>
      <c r="AK146" s="377"/>
    </row>
    <row r="147" spans="1:37" ht="14.25" customHeight="1">
      <c r="A147" s="619"/>
      <c r="B147" s="253"/>
      <c r="C147" s="259" t="s">
        <v>231</v>
      </c>
      <c r="D147" s="376" t="s">
        <v>186</v>
      </c>
      <c r="E147" s="376" t="s">
        <v>186</v>
      </c>
      <c r="F147" s="376" t="s">
        <v>186</v>
      </c>
      <c r="G147" s="376"/>
      <c r="H147" s="376"/>
      <c r="I147" s="376"/>
      <c r="J147" s="376"/>
      <c r="K147" s="376"/>
      <c r="L147" s="376"/>
      <c r="M147" s="376"/>
      <c r="N147" s="376"/>
      <c r="O147" s="376"/>
      <c r="P147" s="376"/>
      <c r="Q147" s="376"/>
      <c r="R147" s="376"/>
      <c r="S147" s="376"/>
      <c r="T147" s="376"/>
      <c r="U147" s="376"/>
      <c r="V147" s="376"/>
      <c r="W147" s="376"/>
      <c r="X147" s="376"/>
      <c r="Y147" s="376"/>
      <c r="Z147" s="376"/>
      <c r="AA147" s="376"/>
      <c r="AB147" s="376"/>
      <c r="AC147" s="376"/>
      <c r="AD147" s="376"/>
      <c r="AE147" s="376"/>
      <c r="AF147" s="376"/>
      <c r="AG147" s="376"/>
      <c r="AH147" s="376"/>
      <c r="AI147" s="376"/>
      <c r="AJ147" s="376"/>
      <c r="AK147" s="377"/>
    </row>
    <row r="148" spans="1:37" ht="14.25" customHeight="1">
      <c r="A148" s="619"/>
      <c r="B148" s="253"/>
      <c r="C148" s="259" t="s">
        <v>232</v>
      </c>
      <c r="D148" s="376" t="s">
        <v>186</v>
      </c>
      <c r="E148" s="376" t="s">
        <v>186</v>
      </c>
      <c r="F148" s="376" t="s">
        <v>186</v>
      </c>
      <c r="G148" s="376"/>
      <c r="H148" s="376"/>
      <c r="I148" s="376"/>
      <c r="J148" s="376"/>
      <c r="K148" s="376"/>
      <c r="L148" s="376"/>
      <c r="M148" s="376"/>
      <c r="N148" s="376"/>
      <c r="O148" s="376"/>
      <c r="P148" s="376"/>
      <c r="Q148" s="376"/>
      <c r="R148" s="376"/>
      <c r="S148" s="376"/>
      <c r="T148" s="376"/>
      <c r="U148" s="376"/>
      <c r="V148" s="376"/>
      <c r="W148" s="376"/>
      <c r="X148" s="376"/>
      <c r="Y148" s="376"/>
      <c r="Z148" s="376"/>
      <c r="AA148" s="376"/>
      <c r="AB148" s="376"/>
      <c r="AC148" s="376"/>
      <c r="AD148" s="376"/>
      <c r="AE148" s="376"/>
      <c r="AF148" s="376"/>
      <c r="AG148" s="376"/>
      <c r="AH148" s="376"/>
      <c r="AI148" s="376"/>
      <c r="AJ148" s="376"/>
      <c r="AK148" s="377"/>
    </row>
    <row r="149" spans="1:37" ht="14.25" customHeight="1">
      <c r="A149" s="619"/>
      <c r="B149" s="253"/>
      <c r="C149" s="259"/>
      <c r="D149" s="376"/>
      <c r="E149" s="376"/>
      <c r="F149" s="376"/>
      <c r="G149" s="376"/>
      <c r="H149" s="376"/>
      <c r="I149" s="376"/>
      <c r="J149" s="376"/>
      <c r="K149" s="376"/>
      <c r="L149" s="376"/>
      <c r="M149" s="376"/>
      <c r="N149" s="376"/>
      <c r="O149" s="376"/>
      <c r="P149" s="376"/>
      <c r="Q149" s="376"/>
      <c r="R149" s="376"/>
      <c r="S149" s="376"/>
      <c r="T149" s="376"/>
      <c r="U149" s="376"/>
      <c r="V149" s="376"/>
      <c r="W149" s="376"/>
      <c r="X149" s="376"/>
      <c r="Y149" s="376"/>
      <c r="Z149" s="376"/>
      <c r="AA149" s="376"/>
      <c r="AB149" s="376"/>
      <c r="AC149" s="376"/>
      <c r="AD149" s="376"/>
      <c r="AE149" s="376"/>
      <c r="AF149" s="376"/>
      <c r="AG149" s="376"/>
      <c r="AH149" s="376"/>
      <c r="AI149" s="376"/>
      <c r="AJ149" s="376"/>
      <c r="AK149" s="377"/>
    </row>
    <row r="150" spans="1:37" ht="14.25" customHeight="1">
      <c r="A150" s="619"/>
      <c r="B150" s="253"/>
      <c r="C150" s="259" t="s">
        <v>239</v>
      </c>
      <c r="D150" s="376"/>
      <c r="E150" s="376"/>
      <c r="F150" s="376"/>
      <c r="G150" s="376"/>
      <c r="H150" s="376"/>
      <c r="I150" s="376"/>
      <c r="J150" s="376"/>
      <c r="K150" s="376"/>
      <c r="L150" s="376"/>
      <c r="M150" s="376"/>
      <c r="N150" s="376"/>
      <c r="O150" s="376"/>
      <c r="P150" s="376"/>
      <c r="Q150" s="376"/>
      <c r="R150" s="376"/>
      <c r="S150" s="376"/>
      <c r="T150" s="376"/>
      <c r="U150" s="376"/>
      <c r="V150" s="376"/>
      <c r="W150" s="376"/>
      <c r="X150" s="376"/>
      <c r="Y150" s="376"/>
      <c r="Z150" s="376"/>
      <c r="AA150" s="376"/>
      <c r="AB150" s="376"/>
      <c r="AC150" s="376"/>
      <c r="AD150" s="376"/>
      <c r="AE150" s="376"/>
      <c r="AF150" s="376"/>
      <c r="AG150" s="376"/>
      <c r="AH150" s="376"/>
      <c r="AI150" s="376"/>
      <c r="AJ150" s="376"/>
      <c r="AK150" s="377"/>
    </row>
    <row r="151" spans="1:37" ht="14.25" customHeight="1">
      <c r="A151" s="619"/>
      <c r="B151" s="253"/>
      <c r="C151" s="378"/>
      <c r="D151" s="258"/>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377"/>
    </row>
    <row r="152" spans="1:37" ht="14.25" customHeight="1">
      <c r="A152" s="619">
        <v>2</v>
      </c>
      <c r="B152" s="253"/>
      <c r="C152" s="281" t="s">
        <v>242</v>
      </c>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c r="AD152" s="376"/>
      <c r="AE152" s="376"/>
      <c r="AF152" s="376"/>
      <c r="AG152" s="376"/>
      <c r="AH152" s="376"/>
      <c r="AI152" s="376"/>
      <c r="AJ152" s="376"/>
      <c r="AK152" s="377"/>
    </row>
    <row r="153" spans="1:37" ht="14.25" customHeight="1">
      <c r="A153" s="619"/>
      <c r="B153" s="253"/>
      <c r="C153" s="259" t="s">
        <v>131</v>
      </c>
      <c r="D153" s="376">
        <v>20</v>
      </c>
      <c r="E153" s="376"/>
      <c r="F153" s="376"/>
      <c r="G153" s="376"/>
      <c r="H153" s="376"/>
      <c r="I153" s="376"/>
      <c r="J153" s="376"/>
      <c r="K153" s="376"/>
      <c r="L153" s="376"/>
      <c r="M153" s="376"/>
      <c r="N153" s="376"/>
      <c r="O153" s="376"/>
      <c r="P153" s="376"/>
      <c r="Q153" s="376"/>
      <c r="R153" s="376"/>
      <c r="S153" s="376"/>
      <c r="T153" s="376"/>
      <c r="U153" s="376"/>
      <c r="V153" s="376"/>
      <c r="W153" s="376"/>
      <c r="X153" s="376"/>
      <c r="Y153" s="376"/>
      <c r="Z153" s="376"/>
      <c r="AA153" s="376"/>
      <c r="AB153" s="376"/>
      <c r="AC153" s="376"/>
      <c r="AD153" s="376"/>
      <c r="AE153" s="376"/>
      <c r="AF153" s="376"/>
      <c r="AG153" s="376"/>
      <c r="AH153" s="376"/>
      <c r="AI153" s="376"/>
      <c r="AJ153" s="376"/>
      <c r="AK153" s="377"/>
    </row>
    <row r="154" spans="1:37" ht="14.25" customHeight="1">
      <c r="A154" s="619"/>
      <c r="B154" s="253"/>
      <c r="C154" s="259" t="s">
        <v>245</v>
      </c>
      <c r="D154" s="376">
        <v>15</v>
      </c>
      <c r="E154" s="376"/>
      <c r="F154" s="376"/>
      <c r="G154" s="376"/>
      <c r="H154" s="376"/>
      <c r="I154" s="376"/>
      <c r="J154" s="376"/>
      <c r="K154" s="376"/>
      <c r="L154" s="376"/>
      <c r="M154" s="376"/>
      <c r="N154" s="376"/>
      <c r="O154" s="376"/>
      <c r="P154" s="376"/>
      <c r="Q154" s="376"/>
      <c r="R154" s="376"/>
      <c r="S154" s="376"/>
      <c r="T154" s="376"/>
      <c r="U154" s="376"/>
      <c r="V154" s="376"/>
      <c r="W154" s="376"/>
      <c r="X154" s="376"/>
      <c r="Y154" s="376"/>
      <c r="Z154" s="376"/>
      <c r="AA154" s="376"/>
      <c r="AB154" s="376"/>
      <c r="AC154" s="376"/>
      <c r="AD154" s="376"/>
      <c r="AE154" s="376"/>
      <c r="AF154" s="376"/>
      <c r="AG154" s="376"/>
      <c r="AH154" s="376"/>
      <c r="AI154" s="376"/>
      <c r="AJ154" s="376"/>
      <c r="AK154" s="377"/>
    </row>
    <row r="155" spans="1:37" ht="14.25" customHeight="1">
      <c r="A155" s="619"/>
      <c r="B155" s="253"/>
      <c r="C155" s="259" t="s">
        <v>246</v>
      </c>
      <c r="D155" s="376">
        <v>30</v>
      </c>
      <c r="E155" s="376"/>
      <c r="F155" s="376"/>
      <c r="G155" s="376"/>
      <c r="H155" s="376"/>
      <c r="I155" s="376"/>
      <c r="J155" s="376"/>
      <c r="K155" s="376"/>
      <c r="L155" s="376"/>
      <c r="M155" s="376"/>
      <c r="N155" s="376"/>
      <c r="O155" s="376"/>
      <c r="P155" s="376"/>
      <c r="Q155" s="376"/>
      <c r="R155" s="376"/>
      <c r="S155" s="376"/>
      <c r="T155" s="376"/>
      <c r="U155" s="376"/>
      <c r="V155" s="376"/>
      <c r="W155" s="376"/>
      <c r="X155" s="376"/>
      <c r="Y155" s="376"/>
      <c r="Z155" s="376"/>
      <c r="AA155" s="376"/>
      <c r="AB155" s="376"/>
      <c r="AC155" s="376"/>
      <c r="AD155" s="376"/>
      <c r="AE155" s="376"/>
      <c r="AF155" s="376"/>
      <c r="AG155" s="376"/>
      <c r="AH155" s="376"/>
      <c r="AI155" s="376"/>
      <c r="AJ155" s="376"/>
      <c r="AK155" s="377"/>
    </row>
    <row r="156" spans="1:37" ht="14.25" customHeight="1">
      <c r="A156" s="619"/>
      <c r="B156" s="253"/>
      <c r="C156" s="259" t="s">
        <v>247</v>
      </c>
      <c r="D156" s="376">
        <v>75</v>
      </c>
      <c r="E156" s="376"/>
      <c r="F156" s="376"/>
      <c r="G156" s="376"/>
      <c r="H156" s="376"/>
      <c r="I156" s="376"/>
      <c r="J156" s="376"/>
      <c r="K156" s="376"/>
      <c r="L156" s="376"/>
      <c r="M156" s="376"/>
      <c r="N156" s="376"/>
      <c r="O156" s="376"/>
      <c r="P156" s="376"/>
      <c r="Q156" s="376"/>
      <c r="R156" s="376"/>
      <c r="S156" s="376"/>
      <c r="T156" s="376"/>
      <c r="U156" s="376"/>
      <c r="V156" s="376"/>
      <c r="W156" s="376"/>
      <c r="X156" s="376"/>
      <c r="Y156" s="376"/>
      <c r="Z156" s="376"/>
      <c r="AA156" s="376"/>
      <c r="AB156" s="376"/>
      <c r="AC156" s="376"/>
      <c r="AD156" s="376"/>
      <c r="AE156" s="376"/>
      <c r="AF156" s="376"/>
      <c r="AG156" s="376"/>
      <c r="AH156" s="376"/>
      <c r="AI156" s="376"/>
      <c r="AJ156" s="376"/>
      <c r="AK156" s="377"/>
    </row>
    <row r="157" spans="1:37" ht="14.25" customHeight="1">
      <c r="A157" s="619"/>
      <c r="B157" s="253"/>
      <c r="C157" s="259" t="s">
        <v>249</v>
      </c>
      <c r="D157" s="376">
        <v>75</v>
      </c>
      <c r="E157" s="376"/>
      <c r="F157" s="376"/>
      <c r="G157" s="376"/>
      <c r="H157" s="376"/>
      <c r="I157" s="376"/>
      <c r="J157" s="376"/>
      <c r="K157" s="376"/>
      <c r="L157" s="376"/>
      <c r="M157" s="376"/>
      <c r="N157" s="376"/>
      <c r="O157" s="376"/>
      <c r="P157" s="376"/>
      <c r="Q157" s="376"/>
      <c r="R157" s="376"/>
      <c r="S157" s="376"/>
      <c r="T157" s="376"/>
      <c r="U157" s="376"/>
      <c r="V157" s="376"/>
      <c r="W157" s="376"/>
      <c r="X157" s="376"/>
      <c r="Y157" s="376"/>
      <c r="Z157" s="376"/>
      <c r="AA157" s="376"/>
      <c r="AB157" s="376"/>
      <c r="AC157" s="376"/>
      <c r="AD157" s="376"/>
      <c r="AE157" s="376"/>
      <c r="AF157" s="376"/>
      <c r="AG157" s="376"/>
      <c r="AH157" s="376"/>
      <c r="AI157" s="376"/>
      <c r="AJ157" s="376"/>
      <c r="AK157" s="377"/>
    </row>
    <row r="158" spans="1:37" ht="14.25" customHeight="1">
      <c r="A158" s="619"/>
      <c r="B158" s="253"/>
      <c r="C158" s="259" t="s">
        <v>250</v>
      </c>
      <c r="D158" s="376">
        <v>15</v>
      </c>
      <c r="E158" s="376"/>
      <c r="F158" s="376"/>
      <c r="G158" s="376"/>
      <c r="H158" s="376"/>
      <c r="I158" s="376"/>
      <c r="J158" s="376"/>
      <c r="K158" s="376"/>
      <c r="L158" s="376"/>
      <c r="M158" s="376"/>
      <c r="N158" s="376"/>
      <c r="O158" s="376"/>
      <c r="P158" s="376"/>
      <c r="Q158" s="376"/>
      <c r="R158" s="376"/>
      <c r="S158" s="376"/>
      <c r="T158" s="376"/>
      <c r="U158" s="376"/>
      <c r="V158" s="376"/>
      <c r="W158" s="376"/>
      <c r="X158" s="376"/>
      <c r="Y158" s="376"/>
      <c r="Z158" s="376"/>
      <c r="AA158" s="376"/>
      <c r="AB158" s="376"/>
      <c r="AC158" s="376"/>
      <c r="AD158" s="376"/>
      <c r="AE158" s="376"/>
      <c r="AF158" s="376"/>
      <c r="AG158" s="376"/>
      <c r="AH158" s="376"/>
      <c r="AI158" s="376"/>
      <c r="AJ158" s="376"/>
      <c r="AK158" s="377"/>
    </row>
    <row r="159" spans="1:37" ht="14.25" customHeight="1">
      <c r="A159" s="619"/>
      <c r="B159" s="253"/>
      <c r="C159" s="259" t="s">
        <v>251</v>
      </c>
      <c r="D159" s="376">
        <v>25</v>
      </c>
      <c r="E159" s="376"/>
      <c r="F159" s="376"/>
      <c r="G159" s="376"/>
      <c r="H159" s="376"/>
      <c r="I159" s="376"/>
      <c r="J159" s="376"/>
      <c r="K159" s="376"/>
      <c r="L159" s="376"/>
      <c r="M159" s="376"/>
      <c r="N159" s="376"/>
      <c r="O159" s="376"/>
      <c r="P159" s="376"/>
      <c r="Q159" s="376"/>
      <c r="R159" s="376"/>
      <c r="S159" s="376"/>
      <c r="T159" s="376"/>
      <c r="U159" s="376"/>
      <c r="V159" s="376"/>
      <c r="W159" s="376"/>
      <c r="X159" s="376"/>
      <c r="Y159" s="376"/>
      <c r="Z159" s="376"/>
      <c r="AA159" s="376"/>
      <c r="AB159" s="376"/>
      <c r="AC159" s="376"/>
      <c r="AD159" s="376"/>
      <c r="AE159" s="376"/>
      <c r="AF159" s="376"/>
      <c r="AG159" s="376"/>
      <c r="AH159" s="376"/>
      <c r="AI159" s="376"/>
      <c r="AJ159" s="376"/>
      <c r="AK159" s="377"/>
    </row>
    <row r="160" spans="1:37" ht="14.25" customHeight="1">
      <c r="A160" s="619"/>
      <c r="B160" s="253"/>
      <c r="C160" s="259" t="s">
        <v>252</v>
      </c>
      <c r="D160" s="376">
        <v>20</v>
      </c>
      <c r="E160" s="376"/>
      <c r="F160" s="376"/>
      <c r="G160" s="376"/>
      <c r="H160" s="376"/>
      <c r="I160" s="376"/>
      <c r="J160" s="376"/>
      <c r="K160" s="376"/>
      <c r="L160" s="376"/>
      <c r="M160" s="376"/>
      <c r="N160" s="376"/>
      <c r="O160" s="376"/>
      <c r="P160" s="376"/>
      <c r="Q160" s="376"/>
      <c r="R160" s="376"/>
      <c r="S160" s="376"/>
      <c r="T160" s="376"/>
      <c r="U160" s="376"/>
      <c r="V160" s="376"/>
      <c r="W160" s="376"/>
      <c r="X160" s="376"/>
      <c r="Y160" s="376"/>
      <c r="Z160" s="376"/>
      <c r="AA160" s="376"/>
      <c r="AB160" s="376"/>
      <c r="AC160" s="376"/>
      <c r="AD160" s="376"/>
      <c r="AE160" s="376"/>
      <c r="AF160" s="376"/>
      <c r="AG160" s="376"/>
      <c r="AH160" s="376"/>
      <c r="AI160" s="376"/>
      <c r="AJ160" s="376"/>
      <c r="AK160" s="377"/>
    </row>
    <row r="161" spans="1:37" ht="14.25" customHeight="1">
      <c r="A161" s="619"/>
      <c r="B161" s="253"/>
      <c r="C161" s="259" t="s">
        <v>253</v>
      </c>
      <c r="D161" s="376">
        <v>40</v>
      </c>
      <c r="E161" s="376"/>
      <c r="F161" s="376"/>
      <c r="G161" s="376"/>
      <c r="H161" s="376"/>
      <c r="I161" s="376"/>
      <c r="J161" s="376"/>
      <c r="K161" s="376"/>
      <c r="L161" s="376"/>
      <c r="M161" s="376"/>
      <c r="N161" s="376"/>
      <c r="O161" s="376"/>
      <c r="P161" s="376"/>
      <c r="Q161" s="376"/>
      <c r="R161" s="376"/>
      <c r="S161" s="376"/>
      <c r="T161" s="376"/>
      <c r="U161" s="376"/>
      <c r="V161" s="376"/>
      <c r="W161" s="376"/>
      <c r="X161" s="376"/>
      <c r="Y161" s="376"/>
      <c r="Z161" s="376"/>
      <c r="AA161" s="376"/>
      <c r="AB161" s="376"/>
      <c r="AC161" s="376"/>
      <c r="AD161" s="376"/>
      <c r="AE161" s="376"/>
      <c r="AF161" s="376"/>
      <c r="AG161" s="376"/>
      <c r="AH161" s="376"/>
      <c r="AI161" s="376"/>
      <c r="AJ161" s="376"/>
      <c r="AK161" s="377"/>
    </row>
    <row r="162" spans="1:37" ht="14.25" customHeight="1">
      <c r="A162" s="619"/>
      <c r="B162" s="253"/>
      <c r="C162" s="259" t="s">
        <v>254</v>
      </c>
      <c r="D162" s="376">
        <v>30</v>
      </c>
      <c r="E162" s="376"/>
      <c r="F162" s="376"/>
      <c r="G162" s="376"/>
      <c r="H162" s="376"/>
      <c r="I162" s="376"/>
      <c r="J162" s="376"/>
      <c r="K162" s="376"/>
      <c r="L162" s="376"/>
      <c r="M162" s="376"/>
      <c r="N162" s="376"/>
      <c r="O162" s="376"/>
      <c r="P162" s="376"/>
      <c r="Q162" s="376"/>
      <c r="R162" s="376"/>
      <c r="S162" s="376"/>
      <c r="T162" s="376"/>
      <c r="U162" s="376"/>
      <c r="V162" s="376"/>
      <c r="W162" s="376"/>
      <c r="X162" s="376"/>
      <c r="Y162" s="376"/>
      <c r="Z162" s="376"/>
      <c r="AA162" s="376"/>
      <c r="AB162" s="376"/>
      <c r="AC162" s="376"/>
      <c r="AD162" s="376"/>
      <c r="AE162" s="376"/>
      <c r="AF162" s="376"/>
      <c r="AG162" s="376"/>
      <c r="AH162" s="376"/>
      <c r="AI162" s="376"/>
      <c r="AJ162" s="376"/>
      <c r="AK162" s="377"/>
    </row>
    <row r="163" spans="1:37" ht="14.25" customHeight="1">
      <c r="A163" s="619"/>
      <c r="B163" s="253"/>
      <c r="C163" s="259" t="s">
        <v>255</v>
      </c>
      <c r="D163" s="376" t="s">
        <v>186</v>
      </c>
      <c r="E163" s="376"/>
      <c r="F163" s="376"/>
      <c r="G163" s="376"/>
      <c r="H163" s="376"/>
      <c r="I163" s="376"/>
      <c r="J163" s="376"/>
      <c r="K163" s="376"/>
      <c r="L163" s="376"/>
      <c r="M163" s="376"/>
      <c r="N163" s="376"/>
      <c r="O163" s="376"/>
      <c r="P163" s="376"/>
      <c r="Q163" s="376"/>
      <c r="R163" s="376"/>
      <c r="S163" s="376"/>
      <c r="T163" s="376"/>
      <c r="U163" s="376"/>
      <c r="V163" s="376"/>
      <c r="W163" s="376"/>
      <c r="X163" s="376"/>
      <c r="Y163" s="376"/>
      <c r="Z163" s="376"/>
      <c r="AA163" s="376"/>
      <c r="AB163" s="376"/>
      <c r="AC163" s="376"/>
      <c r="AD163" s="376"/>
      <c r="AE163" s="376"/>
      <c r="AF163" s="376"/>
      <c r="AG163" s="376"/>
      <c r="AH163" s="376"/>
      <c r="AI163" s="376"/>
      <c r="AJ163" s="376"/>
      <c r="AK163" s="377"/>
    </row>
    <row r="164" spans="1:37" ht="14.25" customHeight="1">
      <c r="A164" s="619"/>
      <c r="B164" s="253"/>
      <c r="C164" s="355" t="s">
        <v>256</v>
      </c>
      <c r="D164" s="376">
        <v>25</v>
      </c>
      <c r="E164" s="376"/>
      <c r="F164" s="376"/>
      <c r="G164" s="376"/>
      <c r="H164" s="376"/>
      <c r="I164" s="376"/>
      <c r="J164" s="376"/>
      <c r="K164" s="376"/>
      <c r="L164" s="376"/>
      <c r="M164" s="376"/>
      <c r="N164" s="376"/>
      <c r="O164" s="376"/>
      <c r="P164" s="376"/>
      <c r="Q164" s="376"/>
      <c r="R164" s="376"/>
      <c r="S164" s="376"/>
      <c r="T164" s="376"/>
      <c r="U164" s="376"/>
      <c r="V164" s="376"/>
      <c r="W164" s="376"/>
      <c r="X164" s="376"/>
      <c r="Y164" s="376"/>
      <c r="Z164" s="376"/>
      <c r="AA164" s="376"/>
      <c r="AB164" s="376"/>
      <c r="AC164" s="376"/>
      <c r="AD164" s="376"/>
      <c r="AE164" s="376"/>
      <c r="AF164" s="376"/>
      <c r="AG164" s="376"/>
      <c r="AH164" s="376"/>
      <c r="AI164" s="376"/>
      <c r="AJ164" s="376"/>
      <c r="AK164" s="377"/>
    </row>
    <row r="165" spans="1:37" ht="14.25" customHeight="1">
      <c r="A165" s="619"/>
      <c r="B165" s="253"/>
      <c r="C165" s="355" t="s">
        <v>257</v>
      </c>
      <c r="D165" s="376">
        <v>21</v>
      </c>
      <c r="E165" s="376"/>
      <c r="F165" s="376"/>
      <c r="G165" s="376"/>
      <c r="H165" s="376"/>
      <c r="I165" s="376"/>
      <c r="J165" s="376"/>
      <c r="K165" s="376"/>
      <c r="L165" s="376"/>
      <c r="M165" s="376"/>
      <c r="N165" s="376"/>
      <c r="O165" s="376"/>
      <c r="P165" s="376"/>
      <c r="Q165" s="376"/>
      <c r="R165" s="376"/>
      <c r="S165" s="376"/>
      <c r="T165" s="376"/>
      <c r="U165" s="376"/>
      <c r="V165" s="376"/>
      <c r="W165" s="376"/>
      <c r="X165" s="376"/>
      <c r="Y165" s="376"/>
      <c r="Z165" s="376"/>
      <c r="AA165" s="376"/>
      <c r="AB165" s="376"/>
      <c r="AC165" s="376"/>
      <c r="AD165" s="376"/>
      <c r="AE165" s="376"/>
      <c r="AF165" s="376"/>
      <c r="AG165" s="376"/>
      <c r="AH165" s="376"/>
      <c r="AI165" s="376"/>
      <c r="AJ165" s="376"/>
      <c r="AK165" s="377"/>
    </row>
    <row r="166" spans="1:37" ht="14.25" customHeight="1">
      <c r="A166" s="619"/>
      <c r="B166" s="253"/>
      <c r="C166" s="355" t="s">
        <v>258</v>
      </c>
      <c r="D166" s="376">
        <v>20</v>
      </c>
      <c r="E166" s="376"/>
      <c r="F166" s="376"/>
      <c r="G166" s="376"/>
      <c r="H166" s="376"/>
      <c r="I166" s="376"/>
      <c r="J166" s="376"/>
      <c r="K166" s="376"/>
      <c r="L166" s="376"/>
      <c r="M166" s="376"/>
      <c r="N166" s="376"/>
      <c r="O166" s="376"/>
      <c r="P166" s="376"/>
      <c r="Q166" s="376"/>
      <c r="R166" s="376"/>
      <c r="S166" s="376"/>
      <c r="T166" s="376"/>
      <c r="U166" s="376"/>
      <c r="V166" s="376"/>
      <c r="W166" s="376"/>
      <c r="X166" s="376"/>
      <c r="Y166" s="376"/>
      <c r="Z166" s="376"/>
      <c r="AA166" s="376"/>
      <c r="AB166" s="376"/>
      <c r="AC166" s="376"/>
      <c r="AD166" s="376"/>
      <c r="AE166" s="376"/>
      <c r="AF166" s="376"/>
      <c r="AG166" s="376"/>
      <c r="AH166" s="376"/>
      <c r="AI166" s="376"/>
      <c r="AJ166" s="376"/>
      <c r="AK166" s="377"/>
    </row>
    <row r="167" spans="1:37" ht="14.25" customHeight="1">
      <c r="A167" s="619"/>
      <c r="B167" s="253"/>
      <c r="C167" s="355" t="s">
        <v>259</v>
      </c>
      <c r="D167" s="376">
        <v>20</v>
      </c>
      <c r="E167" s="376"/>
      <c r="F167" s="376"/>
      <c r="G167" s="376"/>
      <c r="H167" s="376"/>
      <c r="I167" s="376"/>
      <c r="J167" s="376"/>
      <c r="K167" s="376"/>
      <c r="L167" s="376"/>
      <c r="M167" s="376"/>
      <c r="N167" s="376"/>
      <c r="O167" s="376"/>
      <c r="P167" s="376"/>
      <c r="Q167" s="376"/>
      <c r="R167" s="376"/>
      <c r="S167" s="376"/>
      <c r="T167" s="376"/>
      <c r="U167" s="376"/>
      <c r="V167" s="376"/>
      <c r="W167" s="376"/>
      <c r="X167" s="376"/>
      <c r="Y167" s="376"/>
      <c r="Z167" s="376"/>
      <c r="AA167" s="376"/>
      <c r="AB167" s="376"/>
      <c r="AC167" s="376"/>
      <c r="AD167" s="376"/>
      <c r="AE167" s="376"/>
      <c r="AF167" s="376"/>
      <c r="AG167" s="376"/>
      <c r="AH167" s="376"/>
      <c r="AI167" s="376"/>
      <c r="AJ167" s="376"/>
      <c r="AK167" s="377"/>
    </row>
    <row r="168" spans="1:37" ht="14.25" customHeight="1">
      <c r="A168" s="619"/>
      <c r="B168" s="253"/>
      <c r="C168" s="355" t="s">
        <v>260</v>
      </c>
      <c r="D168" s="376">
        <v>30</v>
      </c>
      <c r="E168" s="376"/>
      <c r="F168" s="376"/>
      <c r="G168" s="376"/>
      <c r="H168" s="376"/>
      <c r="I168" s="376"/>
      <c r="J168" s="376"/>
      <c r="K168" s="376"/>
      <c r="L168" s="376"/>
      <c r="M168" s="376"/>
      <c r="N168" s="376"/>
      <c r="O168" s="376"/>
      <c r="P168" s="376"/>
      <c r="Q168" s="376"/>
      <c r="R168" s="376"/>
      <c r="S168" s="376"/>
      <c r="T168" s="376"/>
      <c r="U168" s="376"/>
      <c r="V168" s="376"/>
      <c r="W168" s="376"/>
      <c r="X168" s="376"/>
      <c r="Y168" s="376"/>
      <c r="Z168" s="376"/>
      <c r="AA168" s="376"/>
      <c r="AB168" s="376"/>
      <c r="AC168" s="376"/>
      <c r="AD168" s="376"/>
      <c r="AE168" s="376"/>
      <c r="AF168" s="376"/>
      <c r="AG168" s="376"/>
      <c r="AH168" s="376"/>
      <c r="AI168" s="376"/>
      <c r="AJ168" s="376"/>
      <c r="AK168" s="377"/>
    </row>
    <row r="169" spans="1:37" ht="14.25" customHeight="1">
      <c r="A169" s="619"/>
      <c r="B169" s="253"/>
      <c r="C169" s="378"/>
      <c r="D169" s="258"/>
      <c r="E169" s="258"/>
      <c r="F169" s="258"/>
      <c r="G169" s="258"/>
      <c r="H169" s="258"/>
      <c r="I169" s="258"/>
      <c r="J169" s="258"/>
      <c r="K169" s="258"/>
      <c r="L169" s="258"/>
      <c r="M169" s="258"/>
      <c r="N169" s="258"/>
      <c r="O169" s="258"/>
      <c r="P169" s="258"/>
      <c r="Q169" s="258"/>
      <c r="R169" s="258"/>
      <c r="S169" s="258"/>
      <c r="T169" s="258"/>
      <c r="U169" s="258"/>
      <c r="V169" s="258"/>
      <c r="W169" s="258"/>
      <c r="X169" s="258"/>
      <c r="Y169" s="258"/>
      <c r="Z169" s="258"/>
      <c r="AA169" s="258"/>
      <c r="AB169" s="258"/>
      <c r="AC169" s="258"/>
      <c r="AD169" s="258"/>
      <c r="AE169" s="258"/>
      <c r="AF169" s="258"/>
      <c r="AG169" s="258"/>
      <c r="AH169" s="258"/>
      <c r="AI169" s="258"/>
      <c r="AJ169" s="258"/>
      <c r="AK169" s="377"/>
    </row>
    <row r="170" spans="1:37" ht="14.25" customHeight="1">
      <c r="A170" s="619"/>
      <c r="B170" s="253"/>
      <c r="C170" s="281" t="s">
        <v>262</v>
      </c>
      <c r="D170" s="376"/>
      <c r="E170" s="376"/>
      <c r="F170" s="376"/>
      <c r="G170" s="376"/>
      <c r="H170" s="376"/>
      <c r="I170" s="376"/>
      <c r="J170" s="376"/>
      <c r="K170" s="376"/>
      <c r="L170" s="376"/>
      <c r="M170" s="376"/>
      <c r="N170" s="376"/>
      <c r="O170" s="376"/>
      <c r="P170" s="376"/>
      <c r="Q170" s="376"/>
      <c r="R170" s="376"/>
      <c r="S170" s="376"/>
      <c r="T170" s="376"/>
      <c r="U170" s="376"/>
      <c r="V170" s="376"/>
      <c r="W170" s="376"/>
      <c r="X170" s="376"/>
      <c r="Y170" s="376"/>
      <c r="Z170" s="376"/>
      <c r="AA170" s="376"/>
      <c r="AB170" s="376"/>
      <c r="AC170" s="376"/>
      <c r="AD170" s="376"/>
      <c r="AE170" s="376"/>
      <c r="AF170" s="376"/>
      <c r="AG170" s="376"/>
      <c r="AH170" s="376"/>
      <c r="AI170" s="376"/>
      <c r="AJ170" s="376"/>
      <c r="AK170" s="377"/>
    </row>
    <row r="171" spans="1:37" ht="14.25" customHeight="1">
      <c r="A171" s="619"/>
      <c r="B171" s="253"/>
      <c r="C171" s="259" t="s">
        <v>805</v>
      </c>
      <c r="D171" s="376"/>
      <c r="E171" s="376"/>
      <c r="F171" s="376"/>
      <c r="G171" s="376"/>
      <c r="H171" s="376"/>
      <c r="I171" s="376"/>
      <c r="J171" s="376"/>
      <c r="K171" s="376"/>
      <c r="L171" s="376"/>
      <c r="M171" s="376"/>
      <c r="N171" s="376"/>
      <c r="O171" s="376"/>
      <c r="P171" s="376"/>
      <c r="Q171" s="376"/>
      <c r="R171" s="376"/>
      <c r="S171" s="376"/>
      <c r="T171" s="376"/>
      <c r="U171" s="376"/>
      <c r="V171" s="376"/>
      <c r="W171" s="376"/>
      <c r="X171" s="376"/>
      <c r="Y171" s="376"/>
      <c r="Z171" s="376"/>
      <c r="AA171" s="376"/>
      <c r="AB171" s="376"/>
      <c r="AC171" s="376"/>
      <c r="AD171" s="376"/>
      <c r="AE171" s="376"/>
      <c r="AF171" s="376"/>
      <c r="AG171" s="376"/>
      <c r="AH171" s="376"/>
      <c r="AI171" s="376"/>
      <c r="AJ171" s="376"/>
      <c r="AK171" s="377"/>
    </row>
    <row r="172" spans="1:37" ht="14.25" customHeight="1">
      <c r="A172" s="1" t="s">
        <v>820</v>
      </c>
      <c r="B172" s="253"/>
      <c r="C172" s="259" t="s">
        <v>264</v>
      </c>
      <c r="D172" s="376">
        <v>730</v>
      </c>
      <c r="E172" s="376" t="s">
        <v>186</v>
      </c>
      <c r="F172" s="376" t="s">
        <v>186</v>
      </c>
      <c r="G172" s="376" t="s">
        <v>186</v>
      </c>
      <c r="H172" s="376" t="s">
        <v>186</v>
      </c>
      <c r="I172" s="376"/>
      <c r="J172" s="376"/>
      <c r="K172" s="376"/>
      <c r="L172" s="376"/>
      <c r="M172" s="376"/>
      <c r="N172" s="376"/>
      <c r="O172" s="376"/>
      <c r="P172" s="376"/>
      <c r="Q172" s="376"/>
      <c r="R172" s="376"/>
      <c r="S172" s="376"/>
      <c r="T172" s="376"/>
      <c r="U172" s="376"/>
      <c r="V172" s="376"/>
      <c r="W172" s="376"/>
      <c r="X172" s="376"/>
      <c r="Y172" s="376"/>
      <c r="Z172" s="376"/>
      <c r="AA172" s="376"/>
      <c r="AB172" s="376"/>
      <c r="AC172" s="376"/>
      <c r="AD172" s="376"/>
      <c r="AE172" s="376"/>
      <c r="AF172" s="376"/>
      <c r="AG172" s="376"/>
      <c r="AH172" s="376"/>
      <c r="AI172" s="376"/>
      <c r="AJ172" s="376"/>
      <c r="AK172" s="377"/>
    </row>
    <row r="173" spans="1:37" ht="14.25" customHeight="1">
      <c r="A173" s="1" t="s">
        <v>820</v>
      </c>
      <c r="B173" s="253"/>
      <c r="C173" s="259" t="s">
        <v>265</v>
      </c>
      <c r="D173" s="376">
        <v>93</v>
      </c>
      <c r="E173" s="376" t="s">
        <v>186</v>
      </c>
      <c r="F173" s="376" t="s">
        <v>186</v>
      </c>
      <c r="G173" s="376" t="s">
        <v>186</v>
      </c>
      <c r="H173" s="376" t="s">
        <v>186</v>
      </c>
      <c r="I173" s="376"/>
      <c r="J173" s="376"/>
      <c r="K173" s="376"/>
      <c r="L173" s="376"/>
      <c r="M173" s="376"/>
      <c r="N173" s="376"/>
      <c r="O173" s="376"/>
      <c r="P173" s="376"/>
      <c r="Q173" s="376"/>
      <c r="R173" s="376"/>
      <c r="S173" s="376"/>
      <c r="T173" s="376"/>
      <c r="U173" s="376"/>
      <c r="V173" s="376"/>
      <c r="W173" s="376"/>
      <c r="X173" s="376"/>
      <c r="Y173" s="376"/>
      <c r="Z173" s="376"/>
      <c r="AA173" s="376"/>
      <c r="AB173" s="376"/>
      <c r="AC173" s="376"/>
      <c r="AD173" s="376"/>
      <c r="AE173" s="376"/>
      <c r="AF173" s="376"/>
      <c r="AG173" s="376"/>
      <c r="AH173" s="376"/>
      <c r="AI173" s="376"/>
      <c r="AJ173" s="376"/>
      <c r="AK173" s="377"/>
    </row>
    <row r="174" spans="1:37" ht="14.25" customHeight="1">
      <c r="A174" s="1" t="s">
        <v>820</v>
      </c>
      <c r="B174" s="253"/>
      <c r="C174" s="259" t="s">
        <v>266</v>
      </c>
      <c r="D174" s="376">
        <v>11</v>
      </c>
      <c r="E174" s="376" t="s">
        <v>186</v>
      </c>
      <c r="F174" s="376" t="s">
        <v>186</v>
      </c>
      <c r="G174" s="376" t="s">
        <v>186</v>
      </c>
      <c r="H174" s="376" t="s">
        <v>186</v>
      </c>
      <c r="I174" s="376"/>
      <c r="J174" s="376"/>
      <c r="K174" s="376"/>
      <c r="L174" s="376"/>
      <c r="M174" s="376"/>
      <c r="N174" s="376"/>
      <c r="O174" s="376"/>
      <c r="P174" s="376"/>
      <c r="Q174" s="376"/>
      <c r="R174" s="376"/>
      <c r="S174" s="376"/>
      <c r="T174" s="376"/>
      <c r="U174" s="376"/>
      <c r="V174" s="376"/>
      <c r="W174" s="376"/>
      <c r="X174" s="376"/>
      <c r="Y174" s="376"/>
      <c r="Z174" s="376"/>
      <c r="AA174" s="376"/>
      <c r="AB174" s="376"/>
      <c r="AC174" s="376"/>
      <c r="AD174" s="376"/>
      <c r="AE174" s="376"/>
      <c r="AF174" s="376"/>
      <c r="AG174" s="376"/>
      <c r="AH174" s="376"/>
      <c r="AI174" s="376"/>
      <c r="AJ174" s="376"/>
      <c r="AK174" s="377"/>
    </row>
    <row r="175" spans="1:37" ht="14.25" customHeight="1">
      <c r="A175" s="1" t="s">
        <v>820</v>
      </c>
      <c r="B175" s="253"/>
      <c r="C175" s="259" t="s">
        <v>268</v>
      </c>
      <c r="D175" s="376">
        <v>15</v>
      </c>
      <c r="E175" s="376" t="s">
        <v>186</v>
      </c>
      <c r="F175" s="376" t="s">
        <v>186</v>
      </c>
      <c r="G175" s="376" t="s">
        <v>186</v>
      </c>
      <c r="H175" s="376" t="s">
        <v>186</v>
      </c>
      <c r="I175" s="376"/>
      <c r="J175" s="376"/>
      <c r="K175" s="376"/>
      <c r="L175" s="376"/>
      <c r="M175" s="376"/>
      <c r="N175" s="376"/>
      <c r="O175" s="376"/>
      <c r="P175" s="376"/>
      <c r="Q175" s="376"/>
      <c r="R175" s="376"/>
      <c r="S175" s="376"/>
      <c r="T175" s="376"/>
      <c r="U175" s="376"/>
      <c r="V175" s="376"/>
      <c r="W175" s="376"/>
      <c r="X175" s="376"/>
      <c r="Y175" s="376"/>
      <c r="Z175" s="376"/>
      <c r="AA175" s="376"/>
      <c r="AB175" s="376"/>
      <c r="AC175" s="376"/>
      <c r="AD175" s="376"/>
      <c r="AE175" s="376"/>
      <c r="AF175" s="376"/>
      <c r="AG175" s="376"/>
      <c r="AH175" s="376"/>
      <c r="AI175" s="376"/>
      <c r="AJ175" s="376"/>
      <c r="AK175" s="377"/>
    </row>
    <row r="176" spans="1:37" ht="14.25" customHeight="1">
      <c r="A176" s="1" t="s">
        <v>820</v>
      </c>
      <c r="B176" s="253"/>
      <c r="C176" s="259" t="s">
        <v>269</v>
      </c>
      <c r="D176" s="376">
        <v>70</v>
      </c>
      <c r="E176" s="376" t="s">
        <v>186</v>
      </c>
      <c r="F176" s="376" t="s">
        <v>186</v>
      </c>
      <c r="G176" s="376" t="s">
        <v>186</v>
      </c>
      <c r="H176" s="376" t="s">
        <v>186</v>
      </c>
      <c r="I176" s="376"/>
      <c r="J176" s="376"/>
      <c r="K176" s="376"/>
      <c r="L176" s="376"/>
      <c r="M176" s="376"/>
      <c r="N176" s="376"/>
      <c r="O176" s="376"/>
      <c r="P176" s="376"/>
      <c r="Q176" s="376"/>
      <c r="R176" s="376"/>
      <c r="S176" s="376"/>
      <c r="T176" s="376"/>
      <c r="U176" s="376"/>
      <c r="V176" s="376"/>
      <c r="W176" s="376"/>
      <c r="X176" s="376"/>
      <c r="Y176" s="376"/>
      <c r="Z176" s="376"/>
      <c r="AA176" s="376"/>
      <c r="AB176" s="376"/>
      <c r="AC176" s="376"/>
      <c r="AD176" s="376"/>
      <c r="AE176" s="376"/>
      <c r="AF176" s="376"/>
      <c r="AG176" s="376"/>
      <c r="AH176" s="376"/>
      <c r="AI176" s="376"/>
      <c r="AJ176" s="376"/>
      <c r="AK176" s="377"/>
    </row>
    <row r="177" spans="1:37" ht="14.25" customHeight="1">
      <c r="A177" s="138">
        <v>9</v>
      </c>
      <c r="B177" s="253"/>
      <c r="C177" s="313" t="s">
        <v>271</v>
      </c>
      <c r="D177" s="376">
        <v>10</v>
      </c>
      <c r="E177" s="376"/>
      <c r="F177" s="376"/>
      <c r="G177" s="376"/>
      <c r="H177" s="376"/>
      <c r="I177" s="376"/>
      <c r="J177" s="376"/>
      <c r="K177" s="376"/>
      <c r="L177" s="376"/>
      <c r="M177" s="376"/>
      <c r="N177" s="376"/>
      <c r="O177" s="376"/>
      <c r="P177" s="376"/>
      <c r="Q177" s="376"/>
      <c r="R177" s="376"/>
      <c r="S177" s="376"/>
      <c r="T177" s="376"/>
      <c r="U177" s="376"/>
      <c r="V177" s="376"/>
      <c r="W177" s="376"/>
      <c r="X177" s="376"/>
      <c r="Y177" s="376"/>
      <c r="Z177" s="376"/>
      <c r="AA177" s="376"/>
      <c r="AB177" s="376"/>
      <c r="AC177" s="376"/>
      <c r="AD177" s="376"/>
      <c r="AE177" s="376"/>
      <c r="AF177" s="376"/>
      <c r="AG177" s="376"/>
      <c r="AH177" s="376"/>
      <c r="AI177" s="376"/>
      <c r="AJ177" s="376"/>
      <c r="AK177" s="377"/>
    </row>
    <row r="178" spans="1:37" ht="14.25" customHeight="1">
      <c r="A178" s="138">
        <v>9</v>
      </c>
      <c r="B178" s="253"/>
      <c r="C178" s="313" t="s">
        <v>272</v>
      </c>
      <c r="D178" s="376">
        <v>160</v>
      </c>
      <c r="E178" s="376"/>
      <c r="F178" s="376"/>
      <c r="G178" s="376"/>
      <c r="H178" s="376"/>
      <c r="I178" s="376"/>
      <c r="J178" s="376"/>
      <c r="K178" s="376"/>
      <c r="L178" s="376"/>
      <c r="M178" s="376"/>
      <c r="N178" s="376"/>
      <c r="O178" s="376"/>
      <c r="P178" s="376"/>
      <c r="Q178" s="376"/>
      <c r="R178" s="376"/>
      <c r="S178" s="376"/>
      <c r="T178" s="376"/>
      <c r="U178" s="376"/>
      <c r="V178" s="376"/>
      <c r="W178" s="376"/>
      <c r="X178" s="376"/>
      <c r="Y178" s="376"/>
      <c r="Z178" s="376"/>
      <c r="AA178" s="376"/>
      <c r="AB178" s="376"/>
      <c r="AC178" s="376"/>
      <c r="AD178" s="376"/>
      <c r="AE178" s="376"/>
      <c r="AF178" s="376"/>
      <c r="AG178" s="376"/>
      <c r="AH178" s="376"/>
      <c r="AI178" s="376"/>
      <c r="AJ178" s="376"/>
      <c r="AK178" s="377"/>
    </row>
    <row r="179" spans="1:37" ht="14.25" customHeight="1">
      <c r="A179" s="138">
        <v>8</v>
      </c>
      <c r="B179" s="253"/>
      <c r="C179" s="259" t="s">
        <v>273</v>
      </c>
      <c r="D179" s="376">
        <v>31.3</v>
      </c>
      <c r="E179" s="376"/>
      <c r="F179" s="376"/>
      <c r="G179" s="376"/>
      <c r="H179" s="376"/>
      <c r="I179" s="376"/>
      <c r="J179" s="376"/>
      <c r="K179" s="376"/>
      <c r="L179" s="376"/>
      <c r="M179" s="376"/>
      <c r="N179" s="376"/>
      <c r="O179" s="376"/>
      <c r="P179" s="376"/>
      <c r="Q179" s="376"/>
      <c r="R179" s="376"/>
      <c r="S179" s="376"/>
      <c r="T179" s="376"/>
      <c r="U179" s="376"/>
      <c r="V179" s="376"/>
      <c r="W179" s="376"/>
      <c r="X179" s="376"/>
      <c r="Y179" s="376"/>
      <c r="Z179" s="376"/>
      <c r="AA179" s="376"/>
      <c r="AB179" s="376"/>
      <c r="AC179" s="376"/>
      <c r="AD179" s="376"/>
      <c r="AE179" s="376"/>
      <c r="AF179" s="376"/>
      <c r="AG179" s="376"/>
      <c r="AH179" s="376"/>
      <c r="AI179" s="376"/>
      <c r="AJ179" s="376"/>
      <c r="AK179" s="377"/>
    </row>
    <row r="180" spans="1:37" ht="14.25" customHeight="1">
      <c r="A180" s="138">
        <v>9</v>
      </c>
      <c r="B180" s="253"/>
      <c r="C180" s="313" t="s">
        <v>274</v>
      </c>
      <c r="D180" s="376">
        <v>30</v>
      </c>
      <c r="E180" s="376"/>
      <c r="F180" s="376"/>
      <c r="G180" s="376"/>
      <c r="H180" s="376"/>
      <c r="I180" s="376"/>
      <c r="J180" s="376"/>
      <c r="K180" s="376"/>
      <c r="L180" s="376"/>
      <c r="M180" s="376"/>
      <c r="N180" s="376"/>
      <c r="O180" s="376"/>
      <c r="P180" s="376"/>
      <c r="Q180" s="376"/>
      <c r="R180" s="376"/>
      <c r="S180" s="376"/>
      <c r="T180" s="376"/>
      <c r="U180" s="376"/>
      <c r="V180" s="376"/>
      <c r="W180" s="376"/>
      <c r="X180" s="376"/>
      <c r="Y180" s="376"/>
      <c r="Z180" s="376"/>
      <c r="AA180" s="376"/>
      <c r="AB180" s="376"/>
      <c r="AC180" s="376"/>
      <c r="AD180" s="376"/>
      <c r="AE180" s="376"/>
      <c r="AF180" s="376"/>
      <c r="AG180" s="376"/>
      <c r="AH180" s="376"/>
      <c r="AI180" s="376"/>
      <c r="AJ180" s="376"/>
      <c r="AK180" s="377"/>
    </row>
    <row r="181" spans="1:37" ht="14.25" customHeight="1">
      <c r="A181" s="138">
        <v>8</v>
      </c>
      <c r="B181" s="253"/>
      <c r="C181" s="259" t="s">
        <v>275</v>
      </c>
      <c r="D181" s="376">
        <v>10</v>
      </c>
      <c r="E181" s="376"/>
      <c r="F181" s="376"/>
      <c r="G181" s="376"/>
      <c r="H181" s="376"/>
      <c r="I181" s="376"/>
      <c r="J181" s="376"/>
      <c r="K181" s="376"/>
      <c r="L181" s="376"/>
      <c r="M181" s="376"/>
      <c r="N181" s="376"/>
      <c r="O181" s="376"/>
      <c r="P181" s="376"/>
      <c r="Q181" s="376"/>
      <c r="R181" s="376"/>
      <c r="S181" s="376"/>
      <c r="T181" s="376"/>
      <c r="U181" s="376"/>
      <c r="V181" s="376"/>
      <c r="W181" s="376"/>
      <c r="X181" s="376"/>
      <c r="Y181" s="376"/>
      <c r="Z181" s="376"/>
      <c r="AA181" s="376"/>
      <c r="AB181" s="376"/>
      <c r="AC181" s="376"/>
      <c r="AD181" s="376"/>
      <c r="AE181" s="376"/>
      <c r="AF181" s="376"/>
      <c r="AG181" s="376"/>
      <c r="AH181" s="376"/>
      <c r="AI181" s="376"/>
      <c r="AJ181" s="376"/>
      <c r="AK181" s="377"/>
    </row>
    <row r="182" spans="1:37" ht="14.25" customHeight="1">
      <c r="A182" s="1"/>
      <c r="B182" s="253"/>
      <c r="C182" s="259" t="s">
        <v>821</v>
      </c>
      <c r="D182" s="376"/>
      <c r="E182" s="376"/>
      <c r="F182" s="376"/>
      <c r="G182" s="376"/>
      <c r="H182" s="376"/>
      <c r="I182" s="376"/>
      <c r="J182" s="376"/>
      <c r="K182" s="376"/>
      <c r="L182" s="376"/>
      <c r="M182" s="376"/>
      <c r="N182" s="376"/>
      <c r="O182" s="376"/>
      <c r="P182" s="376"/>
      <c r="Q182" s="376"/>
      <c r="R182" s="376"/>
      <c r="S182" s="376"/>
      <c r="T182" s="376"/>
      <c r="U182" s="376"/>
      <c r="V182" s="376"/>
      <c r="W182" s="376"/>
      <c r="X182" s="376"/>
      <c r="Y182" s="376"/>
      <c r="Z182" s="376"/>
      <c r="AA182" s="376"/>
      <c r="AB182" s="376"/>
      <c r="AC182" s="376"/>
      <c r="AD182" s="376"/>
      <c r="AE182" s="376"/>
      <c r="AF182" s="376"/>
      <c r="AG182" s="376"/>
      <c r="AH182" s="376"/>
      <c r="AI182" s="376"/>
      <c r="AJ182" s="376"/>
      <c r="AK182" s="377"/>
    </row>
    <row r="183" spans="1:37" ht="14.25" customHeight="1">
      <c r="A183" s="619" t="s">
        <v>820</v>
      </c>
      <c r="B183" s="253"/>
      <c r="C183" s="259" t="s">
        <v>822</v>
      </c>
      <c r="D183" s="307">
        <v>900</v>
      </c>
      <c r="E183" s="376" t="s">
        <v>186</v>
      </c>
      <c r="F183" s="376" t="s">
        <v>186</v>
      </c>
      <c r="G183" s="376" t="s">
        <v>186</v>
      </c>
      <c r="H183" s="376" t="s">
        <v>186</v>
      </c>
      <c r="I183" s="376"/>
      <c r="J183" s="376"/>
      <c r="K183" s="376"/>
      <c r="L183" s="376"/>
      <c r="M183" s="376"/>
      <c r="N183" s="376"/>
      <c r="O183" s="376"/>
      <c r="P183" s="376"/>
      <c r="Q183" s="376"/>
      <c r="R183" s="376"/>
      <c r="S183" s="376"/>
      <c r="T183" s="376"/>
      <c r="U183" s="376"/>
      <c r="V183" s="376"/>
      <c r="W183" s="376"/>
      <c r="X183" s="376"/>
      <c r="Y183" s="376"/>
      <c r="Z183" s="376"/>
      <c r="AA183" s="376"/>
      <c r="AB183" s="376"/>
      <c r="AC183" s="376"/>
      <c r="AD183" s="376"/>
      <c r="AE183" s="376"/>
      <c r="AF183" s="376"/>
      <c r="AG183" s="376"/>
      <c r="AH183" s="376"/>
      <c r="AI183" s="376"/>
      <c r="AJ183" s="376"/>
      <c r="AK183" s="377"/>
    </row>
    <row r="184" spans="1:37" ht="14.25" customHeight="1">
      <c r="A184" s="619"/>
      <c r="B184" s="253"/>
      <c r="C184" s="259" t="s">
        <v>823</v>
      </c>
      <c r="D184" s="307"/>
      <c r="E184" s="376"/>
      <c r="F184" s="376"/>
      <c r="G184" s="376"/>
      <c r="H184" s="376"/>
      <c r="I184" s="376"/>
      <c r="J184" s="376"/>
      <c r="K184" s="376"/>
      <c r="L184" s="376"/>
      <c r="M184" s="376"/>
      <c r="N184" s="376"/>
      <c r="O184" s="376"/>
      <c r="P184" s="376"/>
      <c r="Q184" s="376"/>
      <c r="R184" s="376"/>
      <c r="S184" s="376"/>
      <c r="T184" s="376"/>
      <c r="U184" s="376"/>
      <c r="V184" s="376"/>
      <c r="W184" s="376"/>
      <c r="X184" s="376"/>
      <c r="Y184" s="376"/>
      <c r="Z184" s="376"/>
      <c r="AA184" s="376"/>
      <c r="AB184" s="376"/>
      <c r="AC184" s="376"/>
      <c r="AD184" s="376"/>
      <c r="AE184" s="376"/>
      <c r="AF184" s="376"/>
      <c r="AG184" s="376"/>
      <c r="AH184" s="376"/>
      <c r="AI184" s="376"/>
      <c r="AJ184" s="376"/>
      <c r="AK184" s="377"/>
    </row>
    <row r="185" spans="1:37" ht="14.25" customHeight="1">
      <c r="A185" s="619">
        <v>4</v>
      </c>
      <c r="B185" s="253"/>
      <c r="C185" s="259" t="s">
        <v>278</v>
      </c>
      <c r="D185" s="307">
        <v>91000</v>
      </c>
      <c r="E185" s="376" t="s">
        <v>186</v>
      </c>
      <c r="F185" s="376" t="s">
        <v>186</v>
      </c>
      <c r="G185" s="376" t="s">
        <v>186</v>
      </c>
      <c r="H185" s="376" t="s">
        <v>186</v>
      </c>
      <c r="I185" s="376"/>
      <c r="J185" s="376"/>
      <c r="K185" s="376"/>
      <c r="L185" s="376"/>
      <c r="M185" s="376"/>
      <c r="N185" s="376"/>
      <c r="O185" s="376"/>
      <c r="P185" s="376"/>
      <c r="Q185" s="376"/>
      <c r="R185" s="376"/>
      <c r="S185" s="376"/>
      <c r="T185" s="376"/>
      <c r="U185" s="376"/>
      <c r="V185" s="376"/>
      <c r="W185" s="376"/>
      <c r="X185" s="376"/>
      <c r="Y185" s="376"/>
      <c r="Z185" s="376"/>
      <c r="AA185" s="376"/>
      <c r="AB185" s="376"/>
      <c r="AC185" s="376"/>
      <c r="AD185" s="376"/>
      <c r="AE185" s="376"/>
      <c r="AF185" s="376"/>
      <c r="AG185" s="376"/>
      <c r="AH185" s="376"/>
      <c r="AI185" s="376"/>
      <c r="AJ185" s="376"/>
      <c r="AK185" s="377"/>
    </row>
    <row r="186" spans="1:37" ht="14.25" customHeight="1">
      <c r="A186" s="619">
        <v>4</v>
      </c>
      <c r="B186" s="253"/>
      <c r="C186" s="259" t="s">
        <v>279</v>
      </c>
      <c r="D186" s="307">
        <v>31000</v>
      </c>
      <c r="E186" s="376" t="s">
        <v>186</v>
      </c>
      <c r="F186" s="376" t="s">
        <v>186</v>
      </c>
      <c r="G186" s="376" t="s">
        <v>186</v>
      </c>
      <c r="H186" s="376" t="s">
        <v>186</v>
      </c>
      <c r="I186" s="376"/>
      <c r="J186" s="376"/>
      <c r="K186" s="376"/>
      <c r="L186" s="376"/>
      <c r="M186" s="376"/>
      <c r="N186" s="376"/>
      <c r="O186" s="376"/>
      <c r="P186" s="376"/>
      <c r="Q186" s="376"/>
      <c r="R186" s="376"/>
      <c r="S186" s="376"/>
      <c r="T186" s="376"/>
      <c r="U186" s="376"/>
      <c r="V186" s="376"/>
      <c r="W186" s="376"/>
      <c r="X186" s="376"/>
      <c r="Y186" s="376"/>
      <c r="Z186" s="376"/>
      <c r="AA186" s="376"/>
      <c r="AB186" s="376"/>
      <c r="AC186" s="376"/>
      <c r="AD186" s="376"/>
      <c r="AE186" s="376"/>
      <c r="AF186" s="376"/>
      <c r="AG186" s="376"/>
      <c r="AH186" s="376"/>
      <c r="AI186" s="376"/>
      <c r="AJ186" s="376"/>
      <c r="AK186" s="377"/>
    </row>
    <row r="187" spans="1:37" ht="14.25" customHeight="1">
      <c r="A187" s="619">
        <v>4</v>
      </c>
      <c r="B187" s="253"/>
      <c r="C187" s="259" t="s">
        <v>280</v>
      </c>
      <c r="D187" s="307">
        <v>22000</v>
      </c>
      <c r="E187" s="376" t="s">
        <v>186</v>
      </c>
      <c r="F187" s="376" t="s">
        <v>186</v>
      </c>
      <c r="G187" s="376" t="s">
        <v>186</v>
      </c>
      <c r="H187" s="376" t="s">
        <v>186</v>
      </c>
      <c r="I187" s="376"/>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6"/>
      <c r="AK187" s="377"/>
    </row>
    <row r="188" spans="1:37" ht="14.25" customHeight="1">
      <c r="A188" s="619" t="s">
        <v>820</v>
      </c>
      <c r="B188" s="253"/>
      <c r="C188" s="259" t="s">
        <v>281</v>
      </c>
      <c r="D188" s="307">
        <v>16500</v>
      </c>
      <c r="E188" s="376" t="s">
        <v>186</v>
      </c>
      <c r="F188" s="376" t="s">
        <v>186</v>
      </c>
      <c r="G188" s="376" t="s">
        <v>186</v>
      </c>
      <c r="H188" s="376" t="s">
        <v>186</v>
      </c>
      <c r="I188" s="376"/>
      <c r="J188" s="376"/>
      <c r="K188" s="376"/>
      <c r="L188" s="376"/>
      <c r="M188" s="376"/>
      <c r="N188" s="376"/>
      <c r="O188" s="376"/>
      <c r="P188" s="376"/>
      <c r="Q188" s="376"/>
      <c r="R188" s="376"/>
      <c r="S188" s="376"/>
      <c r="T188" s="376"/>
      <c r="U188" s="376"/>
      <c r="V188" s="376"/>
      <c r="W188" s="376"/>
      <c r="X188" s="376"/>
      <c r="Y188" s="376"/>
      <c r="Z188" s="376"/>
      <c r="AA188" s="376"/>
      <c r="AB188" s="376"/>
      <c r="AC188" s="376"/>
      <c r="AD188" s="376"/>
      <c r="AE188" s="376"/>
      <c r="AF188" s="376"/>
      <c r="AG188" s="376"/>
      <c r="AH188" s="376"/>
      <c r="AI188" s="376"/>
      <c r="AJ188" s="376"/>
      <c r="AK188" s="377"/>
    </row>
    <row r="189" spans="1:37" ht="14.25" customHeight="1">
      <c r="A189" s="619"/>
      <c r="B189" s="253"/>
      <c r="C189" s="259" t="s">
        <v>283</v>
      </c>
      <c r="D189" s="307" t="s">
        <v>186</v>
      </c>
      <c r="E189" s="376" t="s">
        <v>186</v>
      </c>
      <c r="F189" s="376" t="s">
        <v>186</v>
      </c>
      <c r="G189" s="376" t="s">
        <v>186</v>
      </c>
      <c r="H189" s="376" t="s">
        <v>186</v>
      </c>
      <c r="I189" s="376"/>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6"/>
      <c r="AK189" s="377"/>
    </row>
    <row r="190" spans="1:37" ht="14.25" customHeight="1">
      <c r="A190" s="619"/>
      <c r="B190" s="253"/>
      <c r="C190" s="259" t="s">
        <v>285</v>
      </c>
      <c r="D190" s="307" t="s">
        <v>186</v>
      </c>
      <c r="E190" s="376"/>
      <c r="F190" s="376"/>
      <c r="G190" s="376"/>
      <c r="H190" s="515"/>
      <c r="I190" s="376"/>
      <c r="J190" s="376"/>
      <c r="K190" s="376"/>
      <c r="L190" s="376"/>
      <c r="M190" s="376"/>
      <c r="N190" s="376"/>
      <c r="O190" s="376"/>
      <c r="P190" s="376"/>
      <c r="Q190" s="376"/>
      <c r="R190" s="376"/>
      <c r="S190" s="376"/>
      <c r="T190" s="376"/>
      <c r="U190" s="376"/>
      <c r="V190" s="376"/>
      <c r="W190" s="376"/>
      <c r="X190" s="376"/>
      <c r="Y190" s="376"/>
      <c r="Z190" s="376"/>
      <c r="AA190" s="376"/>
      <c r="AB190" s="376"/>
      <c r="AC190" s="376"/>
      <c r="AD190" s="376"/>
      <c r="AE190" s="376"/>
      <c r="AF190" s="376"/>
      <c r="AG190" s="376"/>
      <c r="AH190" s="376"/>
      <c r="AI190" s="376"/>
      <c r="AJ190" s="376"/>
      <c r="AK190" s="377"/>
    </row>
    <row r="191" spans="1:37" ht="14.25" customHeight="1">
      <c r="A191" s="619">
        <v>2</v>
      </c>
      <c r="B191" s="253"/>
      <c r="C191" s="259" t="s">
        <v>824</v>
      </c>
      <c r="D191" s="307">
        <v>137</v>
      </c>
      <c r="E191" s="376"/>
      <c r="F191" s="376"/>
      <c r="G191" s="376"/>
      <c r="H191" s="515"/>
      <c r="I191" s="376"/>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6"/>
      <c r="AK191" s="377"/>
    </row>
    <row r="192" spans="1:37" ht="14.25" customHeight="1">
      <c r="A192" s="619">
        <v>2</v>
      </c>
      <c r="B192" s="253"/>
      <c r="C192" s="259" t="s">
        <v>825</v>
      </c>
      <c r="D192" s="307" t="s">
        <v>186</v>
      </c>
      <c r="E192" s="376"/>
      <c r="F192" s="376"/>
      <c r="G192" s="376"/>
      <c r="H192" s="515"/>
      <c r="I192" s="376"/>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76"/>
      <c r="AH192" s="376"/>
      <c r="AI192" s="376"/>
      <c r="AJ192" s="376"/>
      <c r="AK192" s="377"/>
    </row>
    <row r="193" spans="1:37" ht="14.25" customHeight="1">
      <c r="A193" s="619">
        <v>2</v>
      </c>
      <c r="B193" s="253"/>
      <c r="C193" s="259" t="s">
        <v>290</v>
      </c>
      <c r="D193" s="307" t="s">
        <v>186</v>
      </c>
      <c r="E193" s="376"/>
      <c r="F193" s="376"/>
      <c r="G193" s="376"/>
      <c r="H193" s="515"/>
      <c r="I193" s="376"/>
      <c r="J193" s="376"/>
      <c r="K193" s="376"/>
      <c r="L193" s="376"/>
      <c r="M193" s="376"/>
      <c r="N193" s="376"/>
      <c r="O193" s="376"/>
      <c r="P193" s="376"/>
      <c r="Q193" s="376"/>
      <c r="R193" s="376"/>
      <c r="S193" s="376"/>
      <c r="T193" s="376"/>
      <c r="U193" s="376"/>
      <c r="V193" s="376"/>
      <c r="W193" s="376"/>
      <c r="X193" s="376"/>
      <c r="Y193" s="376"/>
      <c r="Z193" s="376"/>
      <c r="AA193" s="376"/>
      <c r="AB193" s="376"/>
      <c r="AC193" s="376"/>
      <c r="AD193" s="376"/>
      <c r="AE193" s="376"/>
      <c r="AF193" s="376"/>
      <c r="AG193" s="376"/>
      <c r="AH193" s="376"/>
      <c r="AI193" s="376"/>
      <c r="AJ193" s="376"/>
      <c r="AK193" s="377"/>
    </row>
    <row r="194" spans="1:37" ht="14.25" customHeight="1">
      <c r="A194" s="619">
        <v>2</v>
      </c>
      <c r="B194" s="253"/>
      <c r="C194" s="259" t="s">
        <v>826</v>
      </c>
      <c r="D194" s="307">
        <f>240.3+1196.6</f>
        <v>1436.8999999999999</v>
      </c>
      <c r="E194" s="376"/>
      <c r="F194" s="376"/>
      <c r="G194" s="376"/>
      <c r="H194" s="515"/>
      <c r="I194" s="376"/>
      <c r="J194" s="376"/>
      <c r="K194" s="376"/>
      <c r="L194" s="376"/>
      <c r="M194" s="376"/>
      <c r="N194" s="376"/>
      <c r="O194" s="376"/>
      <c r="P194" s="376"/>
      <c r="Q194" s="376"/>
      <c r="R194" s="376"/>
      <c r="S194" s="376"/>
      <c r="T194" s="376"/>
      <c r="U194" s="376"/>
      <c r="V194" s="376"/>
      <c r="W194" s="376"/>
      <c r="X194" s="376"/>
      <c r="Y194" s="376"/>
      <c r="Z194" s="376"/>
      <c r="AA194" s="376"/>
      <c r="AB194" s="376"/>
      <c r="AC194" s="376"/>
      <c r="AD194" s="376"/>
      <c r="AE194" s="376"/>
      <c r="AF194" s="376"/>
      <c r="AG194" s="376"/>
      <c r="AH194" s="376"/>
      <c r="AI194" s="376"/>
      <c r="AJ194" s="376"/>
      <c r="AK194" s="377"/>
    </row>
    <row r="195" spans="1:37" ht="14.25" customHeight="1">
      <c r="A195" s="619">
        <v>2</v>
      </c>
      <c r="B195" s="253"/>
      <c r="C195" s="259" t="s">
        <v>827</v>
      </c>
      <c r="D195" s="307">
        <f>1067.5+1528.4</f>
        <v>2595.9</v>
      </c>
      <c r="E195" s="376"/>
      <c r="F195" s="376"/>
      <c r="G195" s="376"/>
      <c r="H195" s="515"/>
      <c r="I195" s="376"/>
      <c r="J195" s="376"/>
      <c r="K195" s="376"/>
      <c r="L195" s="376"/>
      <c r="M195" s="376"/>
      <c r="N195" s="376"/>
      <c r="O195" s="376"/>
      <c r="P195" s="376"/>
      <c r="Q195" s="376"/>
      <c r="R195" s="376"/>
      <c r="S195" s="376"/>
      <c r="T195" s="376"/>
      <c r="U195" s="376"/>
      <c r="V195" s="376"/>
      <c r="W195" s="376"/>
      <c r="X195" s="376"/>
      <c r="Y195" s="376"/>
      <c r="Z195" s="376"/>
      <c r="AA195" s="376"/>
      <c r="AB195" s="376"/>
      <c r="AC195" s="376"/>
      <c r="AD195" s="376"/>
      <c r="AE195" s="376"/>
      <c r="AF195" s="376"/>
      <c r="AG195" s="376"/>
      <c r="AH195" s="376"/>
      <c r="AI195" s="376"/>
      <c r="AJ195" s="376"/>
      <c r="AK195" s="377"/>
    </row>
    <row r="196" spans="1:37" ht="14.25" customHeight="1">
      <c r="A196" s="619">
        <v>2</v>
      </c>
      <c r="B196" s="253"/>
      <c r="C196" s="259" t="s">
        <v>828</v>
      </c>
      <c r="D196" s="307">
        <f>8436+468</f>
        <v>8904</v>
      </c>
      <c r="E196" s="376"/>
      <c r="F196" s="376"/>
      <c r="G196" s="376"/>
      <c r="H196" s="515"/>
      <c r="I196" s="376"/>
      <c r="J196" s="376"/>
      <c r="K196" s="376"/>
      <c r="L196" s="376"/>
      <c r="M196" s="376"/>
      <c r="N196" s="376"/>
      <c r="O196" s="376"/>
      <c r="P196" s="376"/>
      <c r="Q196" s="376"/>
      <c r="R196" s="376"/>
      <c r="S196" s="376"/>
      <c r="T196" s="376"/>
      <c r="U196" s="376"/>
      <c r="V196" s="376"/>
      <c r="W196" s="376"/>
      <c r="X196" s="376"/>
      <c r="Y196" s="376"/>
      <c r="Z196" s="376"/>
      <c r="AA196" s="376"/>
      <c r="AB196" s="376"/>
      <c r="AC196" s="376"/>
      <c r="AD196" s="376"/>
      <c r="AE196" s="376"/>
      <c r="AF196" s="376"/>
      <c r="AG196" s="376"/>
      <c r="AH196" s="376"/>
      <c r="AI196" s="376"/>
      <c r="AJ196" s="376"/>
      <c r="AK196" s="377"/>
    </row>
    <row r="197" spans="1:37" ht="14.25" customHeight="1">
      <c r="A197" s="619"/>
      <c r="B197" s="253"/>
      <c r="C197" s="259" t="s">
        <v>829</v>
      </c>
      <c r="D197" s="376" t="s">
        <v>186</v>
      </c>
      <c r="E197" s="376" t="s">
        <v>186</v>
      </c>
      <c r="F197" s="376" t="s">
        <v>186</v>
      </c>
      <c r="G197" s="376" t="s">
        <v>186</v>
      </c>
      <c r="H197" s="376" t="s">
        <v>186</v>
      </c>
      <c r="I197" s="376"/>
      <c r="J197" s="376"/>
      <c r="K197" s="376"/>
      <c r="L197" s="376"/>
      <c r="M197" s="376"/>
      <c r="N197" s="376"/>
      <c r="O197" s="376"/>
      <c r="P197" s="376"/>
      <c r="Q197" s="376"/>
      <c r="R197" s="376"/>
      <c r="S197" s="376"/>
      <c r="T197" s="376"/>
      <c r="U197" s="376"/>
      <c r="V197" s="376"/>
      <c r="W197" s="376"/>
      <c r="X197" s="376"/>
      <c r="Y197" s="376"/>
      <c r="Z197" s="376"/>
      <c r="AA197" s="376"/>
      <c r="AB197" s="376"/>
      <c r="AC197" s="376"/>
      <c r="AD197" s="376"/>
      <c r="AE197" s="376"/>
      <c r="AF197" s="376"/>
      <c r="AG197" s="376"/>
      <c r="AH197" s="376"/>
      <c r="AI197" s="376"/>
      <c r="AJ197" s="376"/>
      <c r="AK197" s="377"/>
    </row>
    <row r="198" spans="1:37" ht="14.25" customHeight="1">
      <c r="A198" s="619" t="s">
        <v>820</v>
      </c>
      <c r="B198" s="253"/>
      <c r="C198" s="259" t="s">
        <v>830</v>
      </c>
      <c r="D198" s="307">
        <v>18000</v>
      </c>
      <c r="E198" s="376" t="s">
        <v>186</v>
      </c>
      <c r="F198" s="376" t="s">
        <v>186</v>
      </c>
      <c r="G198" s="376" t="s">
        <v>186</v>
      </c>
      <c r="H198" s="376" t="s">
        <v>186</v>
      </c>
      <c r="I198" s="376"/>
      <c r="J198" s="376"/>
      <c r="K198" s="376"/>
      <c r="L198" s="376"/>
      <c r="M198" s="376"/>
      <c r="N198" s="376"/>
      <c r="O198" s="376"/>
      <c r="P198" s="376"/>
      <c r="Q198" s="376"/>
      <c r="R198" s="376"/>
      <c r="S198" s="376"/>
      <c r="T198" s="376"/>
      <c r="U198" s="376"/>
      <c r="V198" s="376"/>
      <c r="W198" s="376"/>
      <c r="X198" s="376"/>
      <c r="Y198" s="376"/>
      <c r="Z198" s="376"/>
      <c r="AA198" s="376"/>
      <c r="AB198" s="376"/>
      <c r="AC198" s="376"/>
      <c r="AD198" s="376"/>
      <c r="AE198" s="376"/>
      <c r="AF198" s="376"/>
      <c r="AG198" s="376"/>
      <c r="AH198" s="376"/>
      <c r="AI198" s="376"/>
      <c r="AJ198" s="376"/>
      <c r="AK198" s="377"/>
    </row>
    <row r="199" spans="1:37" ht="14.25" customHeight="1">
      <c r="A199" s="1"/>
      <c r="B199" s="253"/>
      <c r="C199" s="259" t="s">
        <v>816</v>
      </c>
      <c r="D199" s="376"/>
      <c r="E199" s="376"/>
      <c r="F199" s="376"/>
      <c r="G199" s="376"/>
      <c r="H199" s="376"/>
      <c r="I199" s="376"/>
      <c r="J199" s="376"/>
      <c r="K199" s="376"/>
      <c r="L199" s="376"/>
      <c r="M199" s="376"/>
      <c r="N199" s="376"/>
      <c r="O199" s="376"/>
      <c r="P199" s="376"/>
      <c r="Q199" s="376"/>
      <c r="R199" s="376"/>
      <c r="S199" s="376"/>
      <c r="T199" s="376"/>
      <c r="U199" s="376"/>
      <c r="V199" s="376"/>
      <c r="W199" s="376"/>
      <c r="X199" s="376"/>
      <c r="Y199" s="376"/>
      <c r="Z199" s="376"/>
      <c r="AA199" s="376"/>
      <c r="AB199" s="376"/>
      <c r="AC199" s="376"/>
      <c r="AD199" s="376"/>
      <c r="AE199" s="376"/>
      <c r="AF199" s="376"/>
      <c r="AG199" s="376"/>
      <c r="AH199" s="376"/>
      <c r="AI199" s="376"/>
      <c r="AJ199" s="376"/>
      <c r="AK199" s="377"/>
    </row>
    <row r="200" spans="1:37" ht="14.25" customHeight="1">
      <c r="A200" s="619">
        <v>4</v>
      </c>
      <c r="B200" s="253"/>
      <c r="C200" s="259" t="s">
        <v>278</v>
      </c>
      <c r="D200" s="376">
        <v>1691</v>
      </c>
      <c r="E200" s="376" t="s">
        <v>186</v>
      </c>
      <c r="F200" s="376" t="s">
        <v>186</v>
      </c>
      <c r="G200" s="376" t="s">
        <v>186</v>
      </c>
      <c r="H200" s="376" t="s">
        <v>186</v>
      </c>
      <c r="I200" s="376"/>
      <c r="J200" s="376"/>
      <c r="K200" s="376"/>
      <c r="L200" s="376"/>
      <c r="M200" s="376"/>
      <c r="N200" s="376"/>
      <c r="O200" s="376"/>
      <c r="P200" s="376"/>
      <c r="Q200" s="376"/>
      <c r="R200" s="376"/>
      <c r="S200" s="376"/>
      <c r="T200" s="376"/>
      <c r="U200" s="376"/>
      <c r="V200" s="376"/>
      <c r="W200" s="376"/>
      <c r="X200" s="376"/>
      <c r="Y200" s="376"/>
      <c r="Z200" s="376"/>
      <c r="AA200" s="376"/>
      <c r="AB200" s="376"/>
      <c r="AC200" s="376"/>
      <c r="AD200" s="376"/>
      <c r="AE200" s="376"/>
      <c r="AF200" s="376"/>
      <c r="AG200" s="376"/>
      <c r="AH200" s="376"/>
      <c r="AI200" s="376"/>
      <c r="AJ200" s="376"/>
      <c r="AK200" s="377"/>
    </row>
    <row r="201" spans="1:37" ht="14.25" customHeight="1">
      <c r="A201" s="619" t="s">
        <v>820</v>
      </c>
      <c r="B201" s="253"/>
      <c r="C201" s="259" t="s">
        <v>831</v>
      </c>
      <c r="D201" s="376">
        <v>884</v>
      </c>
      <c r="E201" s="376" t="s">
        <v>186</v>
      </c>
      <c r="F201" s="376" t="s">
        <v>186</v>
      </c>
      <c r="G201" s="376" t="s">
        <v>186</v>
      </c>
      <c r="H201" s="376" t="s">
        <v>186</v>
      </c>
      <c r="I201" s="376"/>
      <c r="J201" s="376"/>
      <c r="K201" s="376"/>
      <c r="L201" s="376"/>
      <c r="M201" s="376"/>
      <c r="N201" s="376"/>
      <c r="O201" s="376"/>
      <c r="P201" s="376"/>
      <c r="Q201" s="376"/>
      <c r="R201" s="376"/>
      <c r="S201" s="376"/>
      <c r="T201" s="376"/>
      <c r="U201" s="376"/>
      <c r="V201" s="376"/>
      <c r="W201" s="376"/>
      <c r="X201" s="376"/>
      <c r="Y201" s="376"/>
      <c r="Z201" s="376"/>
      <c r="AA201" s="376"/>
      <c r="AB201" s="376"/>
      <c r="AC201" s="376"/>
      <c r="AD201" s="376"/>
      <c r="AE201" s="376"/>
      <c r="AF201" s="376"/>
      <c r="AG201" s="376"/>
      <c r="AH201" s="376"/>
      <c r="AI201" s="376"/>
      <c r="AJ201" s="376"/>
      <c r="AK201" s="377"/>
    </row>
    <row r="202" spans="1:37" ht="14.25" customHeight="1">
      <c r="A202" s="619"/>
      <c r="B202" s="253"/>
      <c r="C202" s="259" t="s">
        <v>298</v>
      </c>
      <c r="D202" s="376" t="s">
        <v>186</v>
      </c>
      <c r="E202" s="376" t="s">
        <v>186</v>
      </c>
      <c r="F202" s="376" t="s">
        <v>186</v>
      </c>
      <c r="G202" s="376" t="s">
        <v>186</v>
      </c>
      <c r="H202" s="376" t="s">
        <v>186</v>
      </c>
      <c r="I202" s="376"/>
      <c r="J202" s="376"/>
      <c r="K202" s="376"/>
      <c r="L202" s="376"/>
      <c r="M202" s="376"/>
      <c r="N202" s="376"/>
      <c r="O202" s="376"/>
      <c r="P202" s="376"/>
      <c r="Q202" s="376"/>
      <c r="R202" s="376"/>
      <c r="S202" s="376"/>
      <c r="T202" s="376"/>
      <c r="U202" s="376"/>
      <c r="V202" s="376"/>
      <c r="W202" s="376"/>
      <c r="X202" s="376"/>
      <c r="Y202" s="376"/>
      <c r="Z202" s="376"/>
      <c r="AA202" s="376"/>
      <c r="AB202" s="376"/>
      <c r="AC202" s="376"/>
      <c r="AD202" s="376"/>
      <c r="AE202" s="376"/>
      <c r="AF202" s="376"/>
      <c r="AG202" s="376"/>
      <c r="AH202" s="376"/>
      <c r="AI202" s="376"/>
      <c r="AJ202" s="376"/>
      <c r="AK202" s="377"/>
    </row>
    <row r="203" spans="1:37" ht="14.25" customHeight="1">
      <c r="A203" s="619" t="s">
        <v>820</v>
      </c>
      <c r="B203" s="253"/>
      <c r="C203" s="259" t="s">
        <v>822</v>
      </c>
      <c r="D203" s="376">
        <v>780</v>
      </c>
      <c r="E203" s="376" t="s">
        <v>186</v>
      </c>
      <c r="F203" s="376" t="s">
        <v>186</v>
      </c>
      <c r="G203" s="376" t="s">
        <v>186</v>
      </c>
      <c r="H203" s="376" t="s">
        <v>186</v>
      </c>
      <c r="I203" s="376" t="s">
        <v>186</v>
      </c>
      <c r="J203" s="376" t="s">
        <v>186</v>
      </c>
      <c r="K203" s="376" t="s">
        <v>186</v>
      </c>
      <c r="L203" s="376" t="s">
        <v>186</v>
      </c>
      <c r="M203" s="376" t="s">
        <v>186</v>
      </c>
      <c r="N203" s="376" t="s">
        <v>186</v>
      </c>
      <c r="O203" s="376" t="s">
        <v>186</v>
      </c>
      <c r="P203" s="376" t="s">
        <v>186</v>
      </c>
      <c r="Q203" s="376" t="s">
        <v>186</v>
      </c>
      <c r="R203" s="376" t="s">
        <v>186</v>
      </c>
      <c r="S203" s="376" t="s">
        <v>186</v>
      </c>
      <c r="T203" s="376" t="s">
        <v>186</v>
      </c>
      <c r="U203" s="376" t="s">
        <v>186</v>
      </c>
      <c r="V203" s="376" t="s">
        <v>186</v>
      </c>
      <c r="W203" s="376" t="s">
        <v>186</v>
      </c>
      <c r="X203" s="376" t="s">
        <v>186</v>
      </c>
      <c r="Y203" s="376" t="s">
        <v>186</v>
      </c>
      <c r="Z203" s="376" t="s">
        <v>186</v>
      </c>
      <c r="AA203" s="376" t="s">
        <v>186</v>
      </c>
      <c r="AB203" s="376" t="s">
        <v>186</v>
      </c>
      <c r="AC203" s="376" t="s">
        <v>186</v>
      </c>
      <c r="AD203" s="376" t="s">
        <v>186</v>
      </c>
      <c r="AE203" s="376" t="s">
        <v>186</v>
      </c>
      <c r="AF203" s="376" t="s">
        <v>186</v>
      </c>
      <c r="AG203" s="376" t="s">
        <v>186</v>
      </c>
      <c r="AH203" s="376" t="s">
        <v>186</v>
      </c>
      <c r="AI203" s="376" t="s">
        <v>186</v>
      </c>
      <c r="AJ203" s="376">
        <v>3300</v>
      </c>
      <c r="AK203" s="377"/>
    </row>
    <row r="204" spans="1:37" ht="14.25" customHeight="1">
      <c r="A204" s="619"/>
      <c r="B204" s="253"/>
      <c r="C204" s="319" t="s">
        <v>232</v>
      </c>
      <c r="D204" s="376" t="s">
        <v>186</v>
      </c>
      <c r="E204" s="376" t="s">
        <v>186</v>
      </c>
      <c r="F204" s="376" t="s">
        <v>186</v>
      </c>
      <c r="G204" s="376" t="s">
        <v>186</v>
      </c>
      <c r="H204" s="376" t="s">
        <v>186</v>
      </c>
      <c r="I204" s="376"/>
      <c r="J204" s="376"/>
      <c r="K204" s="376"/>
      <c r="L204" s="376"/>
      <c r="M204" s="376"/>
      <c r="N204" s="376"/>
      <c r="O204" s="376"/>
      <c r="P204" s="376"/>
      <c r="Q204" s="376"/>
      <c r="R204" s="376"/>
      <c r="S204" s="376"/>
      <c r="T204" s="376"/>
      <c r="U204" s="376"/>
      <c r="V204" s="376"/>
      <c r="W204" s="376"/>
      <c r="X204" s="376"/>
      <c r="Y204" s="376"/>
      <c r="Z204" s="376"/>
      <c r="AA204" s="376"/>
      <c r="AB204" s="376"/>
      <c r="AC204" s="376"/>
      <c r="AD204" s="376"/>
      <c r="AE204" s="376"/>
      <c r="AF204" s="376"/>
      <c r="AG204" s="376"/>
      <c r="AH204" s="376"/>
      <c r="AI204" s="376"/>
      <c r="AJ204" s="376"/>
      <c r="AK204" s="377"/>
    </row>
    <row r="205" spans="1:37" ht="14.25" customHeight="1">
      <c r="A205" s="619"/>
      <c r="B205" s="253"/>
      <c r="C205" s="259"/>
      <c r="D205" s="376"/>
      <c r="E205" s="376"/>
      <c r="F205" s="376"/>
      <c r="G205" s="376"/>
      <c r="H205" s="376"/>
      <c r="I205" s="376"/>
      <c r="J205" s="376"/>
      <c r="K205" s="376"/>
      <c r="L205" s="376"/>
      <c r="M205" s="376"/>
      <c r="N205" s="376"/>
      <c r="O205" s="376"/>
      <c r="P205" s="376"/>
      <c r="Q205" s="376"/>
      <c r="R205" s="376"/>
      <c r="S205" s="376"/>
      <c r="T205" s="376"/>
      <c r="U205" s="376"/>
      <c r="V205" s="376"/>
      <c r="W205" s="376"/>
      <c r="X205" s="376"/>
      <c r="Y205" s="376"/>
      <c r="Z205" s="376"/>
      <c r="AA205" s="376"/>
      <c r="AB205" s="376"/>
      <c r="AC205" s="376"/>
      <c r="AD205" s="376"/>
      <c r="AE205" s="376"/>
      <c r="AF205" s="376"/>
      <c r="AG205" s="376"/>
      <c r="AH205" s="376"/>
      <c r="AI205" s="376"/>
      <c r="AJ205" s="376"/>
      <c r="AK205" s="377"/>
    </row>
    <row r="206" spans="1:37" ht="14.25" customHeight="1">
      <c r="A206" s="619"/>
      <c r="B206" s="253"/>
      <c r="C206" s="378"/>
      <c r="D206" s="258"/>
      <c r="E206" s="258"/>
      <c r="F206" s="258"/>
      <c r="G206" s="258"/>
      <c r="H206" s="258"/>
      <c r="I206" s="258"/>
      <c r="J206" s="258"/>
      <c r="K206" s="258"/>
      <c r="L206" s="258"/>
      <c r="M206" s="258"/>
      <c r="N206" s="258"/>
      <c r="O206" s="258"/>
      <c r="P206" s="258"/>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377"/>
    </row>
    <row r="207" spans="1:37" ht="14.25" customHeight="1">
      <c r="A207" s="619">
        <v>10</v>
      </c>
      <c r="B207" s="253"/>
      <c r="C207" s="281" t="s">
        <v>832</v>
      </c>
      <c r="D207" s="376"/>
      <c r="E207" s="376"/>
      <c r="F207" s="376"/>
      <c r="G207" s="376"/>
      <c r="H207" s="376"/>
      <c r="I207" s="376"/>
      <c r="J207" s="376"/>
      <c r="K207" s="376"/>
      <c r="L207" s="376"/>
      <c r="M207" s="376"/>
      <c r="N207" s="376"/>
      <c r="O207" s="376"/>
      <c r="P207" s="376"/>
      <c r="Q207" s="376"/>
      <c r="R207" s="376"/>
      <c r="S207" s="376"/>
      <c r="T207" s="376"/>
      <c r="U207" s="376"/>
      <c r="V207" s="376"/>
      <c r="W207" s="376"/>
      <c r="X207" s="376"/>
      <c r="Y207" s="376"/>
      <c r="Z207" s="376"/>
      <c r="AA207" s="376"/>
      <c r="AB207" s="376"/>
      <c r="AC207" s="376"/>
      <c r="AD207" s="376"/>
      <c r="AE207" s="376"/>
      <c r="AF207" s="376"/>
      <c r="AG207" s="376"/>
      <c r="AH207" s="376"/>
      <c r="AI207" s="376"/>
      <c r="AJ207" s="376"/>
      <c r="AK207" s="377"/>
    </row>
    <row r="208" spans="1:37" ht="14.25" customHeight="1">
      <c r="A208" s="619"/>
      <c r="B208" s="253"/>
      <c r="C208" s="259"/>
      <c r="D208" s="323"/>
      <c r="E208" s="323"/>
      <c r="F208" s="323"/>
      <c r="G208" s="323"/>
      <c r="H208" s="376"/>
      <c r="I208" s="376"/>
      <c r="J208" s="376"/>
      <c r="K208" s="376"/>
      <c r="L208" s="376"/>
      <c r="M208" s="376"/>
      <c r="N208" s="376"/>
      <c r="O208" s="376"/>
      <c r="P208" s="376"/>
      <c r="Q208" s="376"/>
      <c r="R208" s="376"/>
      <c r="S208" s="376"/>
      <c r="T208" s="376"/>
      <c r="U208" s="376"/>
      <c r="V208" s="376"/>
      <c r="W208" s="376"/>
      <c r="X208" s="376"/>
      <c r="Y208" s="376"/>
      <c r="Z208" s="376"/>
      <c r="AA208" s="376"/>
      <c r="AB208" s="376"/>
      <c r="AC208" s="376"/>
      <c r="AD208" s="376"/>
      <c r="AE208" s="376"/>
      <c r="AF208" s="376"/>
      <c r="AG208" s="376"/>
      <c r="AH208" s="376"/>
      <c r="AI208" s="376"/>
      <c r="AJ208" s="376"/>
      <c r="AK208" s="377"/>
    </row>
    <row r="209" spans="1:37" ht="14.25" customHeight="1">
      <c r="A209" s="619"/>
      <c r="B209" s="253"/>
      <c r="C209" s="281" t="s">
        <v>302</v>
      </c>
      <c r="D209" s="376"/>
      <c r="E209" s="376"/>
      <c r="F209" s="376"/>
      <c r="G209" s="323"/>
      <c r="H209" s="376"/>
      <c r="I209" s="376"/>
      <c r="J209" s="376"/>
      <c r="K209" s="376"/>
      <c r="L209" s="376"/>
      <c r="M209" s="376"/>
      <c r="N209" s="376"/>
      <c r="O209" s="376"/>
      <c r="P209" s="376"/>
      <c r="Q209" s="376"/>
      <c r="R209" s="376"/>
      <c r="S209" s="376"/>
      <c r="T209" s="376"/>
      <c r="U209" s="376"/>
      <c r="V209" s="376"/>
      <c r="W209" s="376"/>
      <c r="X209" s="376"/>
      <c r="Y209" s="376"/>
      <c r="Z209" s="376"/>
      <c r="AA209" s="376"/>
      <c r="AB209" s="376"/>
      <c r="AC209" s="376"/>
      <c r="AD209" s="376"/>
      <c r="AE209" s="376"/>
      <c r="AF209" s="376"/>
      <c r="AG209" s="376"/>
      <c r="AH209" s="376"/>
      <c r="AI209" s="376"/>
      <c r="AJ209" s="376"/>
      <c r="AK209" s="377"/>
    </row>
    <row r="210" spans="1:37" ht="14.25" customHeight="1">
      <c r="A210" s="619"/>
      <c r="B210" s="253"/>
      <c r="C210" s="262" t="s">
        <v>833</v>
      </c>
      <c r="D210" s="325">
        <f t="shared" ref="D210:G210" si="32">SUM(D212)</f>
        <v>382.44</v>
      </c>
      <c r="E210" s="325">
        <f t="shared" si="32"/>
        <v>413.55961000000002</v>
      </c>
      <c r="F210" s="325">
        <f t="shared" si="32"/>
        <v>426.58668</v>
      </c>
      <c r="G210" s="325">
        <f t="shared" si="32"/>
        <v>372.79780949999997</v>
      </c>
      <c r="H210" s="376"/>
      <c r="I210" s="376"/>
      <c r="J210" s="376"/>
      <c r="K210" s="376"/>
      <c r="L210" s="376"/>
      <c r="M210" s="376"/>
      <c r="N210" s="376"/>
      <c r="O210" s="376"/>
      <c r="P210" s="376"/>
      <c r="Q210" s="376"/>
      <c r="R210" s="376"/>
      <c r="S210" s="376"/>
      <c r="T210" s="376"/>
      <c r="U210" s="376"/>
      <c r="V210" s="376"/>
      <c r="W210" s="376"/>
      <c r="X210" s="376"/>
      <c r="Y210" s="376"/>
      <c r="Z210" s="376"/>
      <c r="AA210" s="376"/>
      <c r="AB210" s="376"/>
      <c r="AC210" s="376"/>
      <c r="AD210" s="376"/>
      <c r="AE210" s="376"/>
      <c r="AF210" s="376"/>
      <c r="AG210" s="376"/>
      <c r="AH210" s="376"/>
      <c r="AI210" s="376"/>
      <c r="AJ210" s="376"/>
      <c r="AK210" s="377"/>
    </row>
    <row r="211" spans="1:37" ht="14.25" customHeight="1">
      <c r="A211" s="619"/>
      <c r="B211" s="253"/>
      <c r="C211" s="266" t="s">
        <v>132</v>
      </c>
      <c r="D211" s="267"/>
      <c r="E211" s="267"/>
      <c r="F211" s="267"/>
      <c r="G211" s="267"/>
      <c r="H211" s="376"/>
      <c r="I211" s="376"/>
      <c r="J211" s="376"/>
      <c r="K211" s="376"/>
      <c r="L211" s="376"/>
      <c r="M211" s="376"/>
      <c r="N211" s="376"/>
      <c r="O211" s="376"/>
      <c r="P211" s="376"/>
      <c r="Q211" s="376"/>
      <c r="R211" s="376"/>
      <c r="S211" s="376"/>
      <c r="T211" s="376"/>
      <c r="U211" s="376"/>
      <c r="V211" s="376"/>
      <c r="W211" s="376"/>
      <c r="X211" s="376"/>
      <c r="Y211" s="376"/>
      <c r="Z211" s="376"/>
      <c r="AA211" s="376"/>
      <c r="AB211" s="376"/>
      <c r="AC211" s="376"/>
      <c r="AD211" s="376"/>
      <c r="AE211" s="376"/>
      <c r="AF211" s="376"/>
      <c r="AG211" s="376"/>
      <c r="AH211" s="376"/>
      <c r="AI211" s="376"/>
      <c r="AJ211" s="376"/>
      <c r="AK211" s="377"/>
    </row>
    <row r="212" spans="1:37" ht="14.25" customHeight="1">
      <c r="A212" s="619"/>
      <c r="B212" s="253"/>
      <c r="C212" s="259" t="s">
        <v>134</v>
      </c>
      <c r="D212" s="270">
        <v>382.44</v>
      </c>
      <c r="E212" s="270">
        <v>413.55961000000002</v>
      </c>
      <c r="F212" s="270">
        <v>426.58668</v>
      </c>
      <c r="G212" s="270">
        <v>372.79780949999997</v>
      </c>
      <c r="H212" s="376"/>
      <c r="I212" s="376"/>
      <c r="J212" s="376"/>
      <c r="K212" s="376"/>
      <c r="L212" s="376"/>
      <c r="M212" s="376"/>
      <c r="N212" s="376"/>
      <c r="O212" s="376"/>
      <c r="P212" s="376"/>
      <c r="Q212" s="376"/>
      <c r="R212" s="376"/>
      <c r="S212" s="376"/>
      <c r="T212" s="376"/>
      <c r="U212" s="376"/>
      <c r="V212" s="376"/>
      <c r="W212" s="376"/>
      <c r="X212" s="376"/>
      <c r="Y212" s="376"/>
      <c r="Z212" s="376"/>
      <c r="AA212" s="376"/>
      <c r="AB212" s="376"/>
      <c r="AC212" s="376"/>
      <c r="AD212" s="376"/>
      <c r="AE212" s="376"/>
      <c r="AF212" s="376"/>
      <c r="AG212" s="376"/>
      <c r="AH212" s="376"/>
      <c r="AI212" s="376"/>
      <c r="AJ212" s="376"/>
      <c r="AK212" s="377"/>
    </row>
    <row r="213" spans="1:37" ht="14.25" customHeight="1">
      <c r="A213" s="619"/>
      <c r="B213" s="253"/>
      <c r="C213" s="262" t="s">
        <v>834</v>
      </c>
      <c r="D213" s="325">
        <v>73.7</v>
      </c>
      <c r="E213" s="325">
        <v>79.98</v>
      </c>
      <c r="F213" s="325">
        <v>71.640320000000003</v>
      </c>
      <c r="G213" s="325">
        <v>60.06002000000003</v>
      </c>
      <c r="H213" s="376"/>
      <c r="I213" s="376"/>
      <c r="J213" s="376"/>
      <c r="K213" s="376"/>
      <c r="L213" s="376"/>
      <c r="M213" s="376"/>
      <c r="N213" s="376"/>
      <c r="O213" s="376"/>
      <c r="P213" s="376"/>
      <c r="Q213" s="376"/>
      <c r="R213" s="376"/>
      <c r="S213" s="376"/>
      <c r="T213" s="376"/>
      <c r="U213" s="376"/>
      <c r="V213" s="376"/>
      <c r="W213" s="376"/>
      <c r="X213" s="376"/>
      <c r="Y213" s="376"/>
      <c r="Z213" s="376"/>
      <c r="AA213" s="376"/>
      <c r="AB213" s="376"/>
      <c r="AC213" s="376"/>
      <c r="AD213" s="376"/>
      <c r="AE213" s="376"/>
      <c r="AF213" s="376"/>
      <c r="AG213" s="376"/>
      <c r="AH213" s="376"/>
      <c r="AI213" s="376"/>
      <c r="AJ213" s="376"/>
      <c r="AK213" s="377"/>
    </row>
    <row r="214" spans="1:37" ht="14.25" customHeight="1">
      <c r="A214" s="619"/>
      <c r="B214" s="253"/>
      <c r="C214" s="262" t="s">
        <v>835</v>
      </c>
      <c r="D214" s="325">
        <f t="shared" ref="D214:G214" si="33">SUM(D216:D217,D219:D220)</f>
        <v>20661.613359999999</v>
      </c>
      <c r="E214" s="325">
        <f t="shared" si="33"/>
        <v>24619.132790885</v>
      </c>
      <c r="F214" s="325">
        <f t="shared" si="33"/>
        <v>24312.850760651996</v>
      </c>
      <c r="G214" s="325">
        <f t="shared" si="33"/>
        <v>25555.527087327002</v>
      </c>
      <c r="H214" s="376"/>
      <c r="I214" s="376"/>
      <c r="J214" s="376"/>
      <c r="K214" s="376"/>
      <c r="L214" s="376"/>
      <c r="M214" s="376"/>
      <c r="N214" s="376"/>
      <c r="O214" s="376"/>
      <c r="P214" s="376"/>
      <c r="Q214" s="376"/>
      <c r="R214" s="376"/>
      <c r="S214" s="376"/>
      <c r="T214" s="376"/>
      <c r="U214" s="376"/>
      <c r="V214" s="376"/>
      <c r="W214" s="376"/>
      <c r="X214" s="376"/>
      <c r="Y214" s="376"/>
      <c r="Z214" s="376"/>
      <c r="AA214" s="376"/>
      <c r="AB214" s="376"/>
      <c r="AC214" s="376"/>
      <c r="AD214" s="376"/>
      <c r="AE214" s="376"/>
      <c r="AF214" s="376"/>
      <c r="AG214" s="376"/>
      <c r="AH214" s="376"/>
      <c r="AI214" s="376"/>
      <c r="AJ214" s="376"/>
      <c r="AK214" s="377"/>
    </row>
    <row r="215" spans="1:37" ht="14.25" customHeight="1">
      <c r="A215" s="619"/>
      <c r="B215" s="253"/>
      <c r="C215" s="266" t="s">
        <v>138</v>
      </c>
      <c r="D215" s="267">
        <f t="shared" ref="D215:G215" si="34">SUM(D216:D217)</f>
        <v>7709.74</v>
      </c>
      <c r="E215" s="267">
        <f t="shared" si="34"/>
        <v>8951.7123226279982</v>
      </c>
      <c r="F215" s="267">
        <f t="shared" si="34"/>
        <v>8075.3943276150003</v>
      </c>
      <c r="G215" s="267">
        <f t="shared" si="34"/>
        <v>8705.3032754990018</v>
      </c>
      <c r="H215" s="376"/>
      <c r="I215" s="376"/>
      <c r="J215" s="376"/>
      <c r="K215" s="376"/>
      <c r="L215" s="376"/>
      <c r="M215" s="376"/>
      <c r="N215" s="376"/>
      <c r="O215" s="376"/>
      <c r="P215" s="376"/>
      <c r="Q215" s="376"/>
      <c r="R215" s="376"/>
      <c r="S215" s="376"/>
      <c r="T215" s="376"/>
      <c r="U215" s="376"/>
      <c r="V215" s="376"/>
      <c r="W215" s="376"/>
      <c r="X215" s="376"/>
      <c r="Y215" s="376"/>
      <c r="Z215" s="376"/>
      <c r="AA215" s="376"/>
      <c r="AB215" s="376"/>
      <c r="AC215" s="376"/>
      <c r="AD215" s="376"/>
      <c r="AE215" s="376"/>
      <c r="AF215" s="376"/>
      <c r="AG215" s="376"/>
      <c r="AH215" s="376"/>
      <c r="AI215" s="376"/>
      <c r="AJ215" s="376"/>
      <c r="AK215" s="377"/>
    </row>
    <row r="216" spans="1:37" ht="14.25" customHeight="1">
      <c r="A216" s="619"/>
      <c r="B216" s="253"/>
      <c r="C216" s="259" t="s">
        <v>139</v>
      </c>
      <c r="D216" s="270">
        <v>6717.41</v>
      </c>
      <c r="E216" s="344">
        <v>7621.0502735059981</v>
      </c>
      <c r="F216" s="270">
        <v>7053.9252855499999</v>
      </c>
      <c r="G216" s="270">
        <v>7488.2580144660014</v>
      </c>
      <c r="H216" s="376"/>
      <c r="I216" s="376"/>
      <c r="J216" s="376"/>
      <c r="K216" s="376"/>
      <c r="L216" s="376"/>
      <c r="M216" s="376"/>
      <c r="N216" s="376"/>
      <c r="O216" s="376"/>
      <c r="P216" s="376"/>
      <c r="Q216" s="376"/>
      <c r="R216" s="376"/>
      <c r="S216" s="376"/>
      <c r="T216" s="376"/>
      <c r="U216" s="376"/>
      <c r="V216" s="376"/>
      <c r="W216" s="376"/>
      <c r="X216" s="376"/>
      <c r="Y216" s="376"/>
      <c r="Z216" s="376"/>
      <c r="AA216" s="376"/>
      <c r="AB216" s="376"/>
      <c r="AC216" s="376"/>
      <c r="AD216" s="376"/>
      <c r="AE216" s="376"/>
      <c r="AF216" s="376"/>
      <c r="AG216" s="376"/>
      <c r="AH216" s="376"/>
      <c r="AI216" s="376"/>
      <c r="AJ216" s="376"/>
      <c r="AK216" s="377"/>
    </row>
    <row r="217" spans="1:37" ht="14.25" customHeight="1">
      <c r="A217" s="619"/>
      <c r="B217" s="253"/>
      <c r="C217" s="259" t="s">
        <v>140</v>
      </c>
      <c r="D217" s="270">
        <v>992.33</v>
      </c>
      <c r="E217" s="270">
        <v>1330.6620491220003</v>
      </c>
      <c r="F217" s="270">
        <v>1021.4690420650001</v>
      </c>
      <c r="G217" s="323">
        <v>1217.0452610330003</v>
      </c>
      <c r="H217" s="376"/>
      <c r="I217" s="376"/>
      <c r="J217" s="376"/>
      <c r="K217" s="376"/>
      <c r="L217" s="376"/>
      <c r="M217" s="376"/>
      <c r="N217" s="376"/>
      <c r="O217" s="376"/>
      <c r="P217" s="376"/>
      <c r="Q217" s="376"/>
      <c r="R217" s="376"/>
      <c r="S217" s="376"/>
      <c r="T217" s="376"/>
      <c r="U217" s="376"/>
      <c r="V217" s="376"/>
      <c r="W217" s="376"/>
      <c r="X217" s="376"/>
      <c r="Y217" s="376"/>
      <c r="Z217" s="376"/>
      <c r="AA217" s="376"/>
      <c r="AB217" s="376"/>
      <c r="AC217" s="376"/>
      <c r="AD217" s="376"/>
      <c r="AE217" s="376"/>
      <c r="AF217" s="376"/>
      <c r="AG217" s="376"/>
      <c r="AH217" s="376"/>
      <c r="AI217" s="376"/>
      <c r="AJ217" s="376"/>
      <c r="AK217" s="377"/>
    </row>
    <row r="218" spans="1:37" ht="14.25" customHeight="1">
      <c r="A218" s="619"/>
      <c r="B218" s="253"/>
      <c r="C218" s="266" t="s">
        <v>141</v>
      </c>
      <c r="D218" s="267">
        <f t="shared" ref="D218:G218" si="35">SUM(D219:D220)</f>
        <v>12951.873360000001</v>
      </c>
      <c r="E218" s="267">
        <f t="shared" si="35"/>
        <v>15667.420468257002</v>
      </c>
      <c r="F218" s="267">
        <f t="shared" si="35"/>
        <v>16237.456433036996</v>
      </c>
      <c r="G218" s="267">
        <f t="shared" si="35"/>
        <v>16850.223811828004</v>
      </c>
      <c r="H218" s="376"/>
      <c r="I218" s="376"/>
      <c r="J218" s="376"/>
      <c r="K218" s="376"/>
      <c r="L218" s="376"/>
      <c r="M218" s="376"/>
      <c r="N218" s="376"/>
      <c r="O218" s="376"/>
      <c r="P218" s="376"/>
      <c r="Q218" s="376"/>
      <c r="R218" s="376"/>
      <c r="S218" s="376"/>
      <c r="T218" s="376"/>
      <c r="U218" s="376"/>
      <c r="V218" s="376"/>
      <c r="W218" s="376"/>
      <c r="X218" s="376"/>
      <c r="Y218" s="376"/>
      <c r="Z218" s="376"/>
      <c r="AA218" s="376"/>
      <c r="AB218" s="376"/>
      <c r="AC218" s="376"/>
      <c r="AD218" s="376"/>
      <c r="AE218" s="376"/>
      <c r="AF218" s="376"/>
      <c r="AG218" s="376"/>
      <c r="AH218" s="376"/>
      <c r="AI218" s="376"/>
      <c r="AJ218" s="376"/>
      <c r="AK218" s="377"/>
    </row>
    <row r="219" spans="1:37" ht="14.25" customHeight="1">
      <c r="A219" s="619"/>
      <c r="B219" s="253"/>
      <c r="C219" s="259" t="s">
        <v>139</v>
      </c>
      <c r="D219" s="270">
        <v>12292.683490000001</v>
      </c>
      <c r="E219" s="344">
        <v>14051.488436770001</v>
      </c>
      <c r="F219" s="344">
        <v>14581.403333742996</v>
      </c>
      <c r="G219" s="323">
        <v>14935.635020694002</v>
      </c>
      <c r="H219" s="376"/>
      <c r="I219" s="376"/>
      <c r="J219" s="376"/>
      <c r="K219" s="376"/>
      <c r="L219" s="376"/>
      <c r="M219" s="376"/>
      <c r="N219" s="376"/>
      <c r="O219" s="376"/>
      <c r="P219" s="376"/>
      <c r="Q219" s="376"/>
      <c r="R219" s="376"/>
      <c r="S219" s="376"/>
      <c r="T219" s="376"/>
      <c r="U219" s="376"/>
      <c r="V219" s="376"/>
      <c r="W219" s="376"/>
      <c r="X219" s="376"/>
      <c r="Y219" s="376"/>
      <c r="Z219" s="376"/>
      <c r="AA219" s="376"/>
      <c r="AB219" s="376"/>
      <c r="AC219" s="376"/>
      <c r="AD219" s="376"/>
      <c r="AE219" s="376"/>
      <c r="AF219" s="376"/>
      <c r="AG219" s="376"/>
      <c r="AH219" s="376"/>
      <c r="AI219" s="376"/>
      <c r="AJ219" s="376"/>
      <c r="AK219" s="377"/>
    </row>
    <row r="220" spans="1:37" ht="14.25" customHeight="1">
      <c r="A220" s="619"/>
      <c r="B220" s="253"/>
      <c r="C220" s="259" t="s">
        <v>140</v>
      </c>
      <c r="D220" s="25">
        <v>659.18987000000004</v>
      </c>
      <c r="E220" s="270">
        <v>1615.9320314869994</v>
      </c>
      <c r="F220" s="344">
        <v>1656.053099294</v>
      </c>
      <c r="G220" s="323">
        <v>1914.5887911340003</v>
      </c>
      <c r="H220" s="376"/>
      <c r="I220" s="376"/>
      <c r="J220" s="376"/>
      <c r="K220" s="376"/>
      <c r="L220" s="376"/>
      <c r="M220" s="376"/>
      <c r="N220" s="376"/>
      <c r="O220" s="376"/>
      <c r="P220" s="376"/>
      <c r="Q220" s="376"/>
      <c r="R220" s="376"/>
      <c r="S220" s="376"/>
      <c r="T220" s="376"/>
      <c r="U220" s="376"/>
      <c r="V220" s="376"/>
      <c r="W220" s="376"/>
      <c r="X220" s="376"/>
      <c r="Y220" s="376"/>
      <c r="Z220" s="376"/>
      <c r="AA220" s="376"/>
      <c r="AB220" s="376"/>
      <c r="AC220" s="376"/>
      <c r="AD220" s="376"/>
      <c r="AE220" s="376"/>
      <c r="AF220" s="376"/>
      <c r="AG220" s="376"/>
      <c r="AH220" s="376"/>
      <c r="AI220" s="376"/>
      <c r="AJ220" s="376"/>
      <c r="AK220" s="377"/>
    </row>
    <row r="221" spans="1:37" ht="14.25" customHeight="1">
      <c r="A221" s="619"/>
      <c r="B221" s="253"/>
      <c r="C221" s="262" t="s">
        <v>836</v>
      </c>
      <c r="D221" s="325">
        <v>34.770000000000003</v>
      </c>
      <c r="E221" s="330">
        <v>33.130000000000003</v>
      </c>
      <c r="F221" s="330">
        <v>33.815750715999997</v>
      </c>
      <c r="G221" s="325">
        <v>33.44</v>
      </c>
      <c r="H221" s="376"/>
      <c r="I221" s="376"/>
      <c r="J221" s="376"/>
      <c r="K221" s="376"/>
      <c r="L221" s="376"/>
      <c r="M221" s="376"/>
      <c r="N221" s="376"/>
      <c r="O221" s="376"/>
      <c r="P221" s="376"/>
      <c r="Q221" s="376"/>
      <c r="R221" s="376"/>
      <c r="S221" s="376"/>
      <c r="T221" s="376"/>
      <c r="U221" s="376"/>
      <c r="V221" s="376"/>
      <c r="W221" s="376"/>
      <c r="X221" s="376"/>
      <c r="Y221" s="376"/>
      <c r="Z221" s="376"/>
      <c r="AA221" s="376"/>
      <c r="AB221" s="376"/>
      <c r="AC221" s="376"/>
      <c r="AD221" s="376"/>
      <c r="AE221" s="376"/>
      <c r="AF221" s="376"/>
      <c r="AG221" s="376"/>
      <c r="AH221" s="376"/>
      <c r="AI221" s="376"/>
      <c r="AJ221" s="376"/>
      <c r="AK221" s="377"/>
    </row>
    <row r="222" spans="1:37" ht="14.25" customHeight="1">
      <c r="A222" s="619"/>
      <c r="B222" s="253"/>
      <c r="C222" s="262" t="s">
        <v>837</v>
      </c>
      <c r="D222" s="325">
        <f t="shared" ref="D222:G222" si="36">SUM(D223,D228,D231)</f>
        <v>4177.9142300000003</v>
      </c>
      <c r="E222" s="325">
        <f t="shared" si="36"/>
        <v>2977.1760454069999</v>
      </c>
      <c r="F222" s="325">
        <f t="shared" si="36"/>
        <v>2411.6312917199998</v>
      </c>
      <c r="G222" s="325">
        <f t="shared" si="36"/>
        <v>2109.5412593460001</v>
      </c>
      <c r="H222" s="376"/>
      <c r="I222" s="376"/>
      <c r="J222" s="376"/>
      <c r="K222" s="376"/>
      <c r="L222" s="376"/>
      <c r="M222" s="376"/>
      <c r="N222" s="376"/>
      <c r="O222" s="376"/>
      <c r="P222" s="376"/>
      <c r="Q222" s="376"/>
      <c r="R222" s="376"/>
      <c r="S222" s="376"/>
      <c r="T222" s="376"/>
      <c r="U222" s="376"/>
      <c r="V222" s="376"/>
      <c r="W222" s="376"/>
      <c r="X222" s="376"/>
      <c r="Y222" s="376"/>
      <c r="Z222" s="376"/>
      <c r="AA222" s="376"/>
      <c r="AB222" s="376"/>
      <c r="AC222" s="376"/>
      <c r="AD222" s="376"/>
      <c r="AE222" s="376"/>
      <c r="AF222" s="376"/>
      <c r="AG222" s="376"/>
      <c r="AH222" s="376"/>
      <c r="AI222" s="376"/>
      <c r="AJ222" s="376"/>
      <c r="AK222" s="377"/>
    </row>
    <row r="223" spans="1:37" ht="14.25" customHeight="1">
      <c r="A223" s="619"/>
      <c r="B223" s="253"/>
      <c r="C223" s="266" t="s">
        <v>145</v>
      </c>
      <c r="D223" s="267">
        <f t="shared" ref="D223:G223" si="37">SUM(D224:D227)</f>
        <v>1449.5744</v>
      </c>
      <c r="E223" s="267">
        <f t="shared" si="37"/>
        <v>854.22286518300007</v>
      </c>
      <c r="F223" s="267">
        <f t="shared" si="37"/>
        <v>783.10426369299989</v>
      </c>
      <c r="G223" s="267">
        <f t="shared" si="37"/>
        <v>671.95028997300005</v>
      </c>
      <c r="H223" s="376"/>
      <c r="I223" s="376"/>
      <c r="J223" s="376"/>
      <c r="K223" s="376"/>
      <c r="L223" s="376"/>
      <c r="M223" s="376"/>
      <c r="N223" s="376"/>
      <c r="O223" s="376"/>
      <c r="P223" s="376"/>
      <c r="Q223" s="376"/>
      <c r="R223" s="376"/>
      <c r="S223" s="376"/>
      <c r="T223" s="376"/>
      <c r="U223" s="376"/>
      <c r="V223" s="376"/>
      <c r="W223" s="376"/>
      <c r="X223" s="376"/>
      <c r="Y223" s="376"/>
      <c r="Z223" s="376"/>
      <c r="AA223" s="376"/>
      <c r="AB223" s="376"/>
      <c r="AC223" s="376"/>
      <c r="AD223" s="376"/>
      <c r="AE223" s="376"/>
      <c r="AF223" s="376"/>
      <c r="AG223" s="376"/>
      <c r="AH223" s="376"/>
      <c r="AI223" s="376"/>
      <c r="AJ223" s="376"/>
      <c r="AK223" s="377"/>
    </row>
    <row r="224" spans="1:37" ht="14.25" customHeight="1">
      <c r="A224" s="619"/>
      <c r="B224" s="253"/>
      <c r="C224" s="259" t="s">
        <v>155</v>
      </c>
      <c r="D224" s="545">
        <v>221.07223000000002</v>
      </c>
      <c r="E224" s="344">
        <v>23.632748481</v>
      </c>
      <c r="F224" s="344">
        <v>80.203914416000003</v>
      </c>
      <c r="G224" s="323">
        <v>38.275748651000015</v>
      </c>
      <c r="H224" s="376"/>
      <c r="I224" s="376"/>
      <c r="J224" s="376"/>
      <c r="K224" s="376"/>
      <c r="L224" s="376"/>
      <c r="M224" s="376"/>
      <c r="N224" s="376"/>
      <c r="O224" s="376"/>
      <c r="P224" s="376"/>
      <c r="Q224" s="376"/>
      <c r="R224" s="376"/>
      <c r="S224" s="376"/>
      <c r="T224" s="376"/>
      <c r="U224" s="376"/>
      <c r="V224" s="376"/>
      <c r="W224" s="376"/>
      <c r="X224" s="376"/>
      <c r="Y224" s="376"/>
      <c r="Z224" s="376"/>
      <c r="AA224" s="376"/>
      <c r="AB224" s="376"/>
      <c r="AC224" s="376"/>
      <c r="AD224" s="376"/>
      <c r="AE224" s="376"/>
      <c r="AF224" s="376"/>
      <c r="AG224" s="376"/>
      <c r="AH224" s="376"/>
      <c r="AI224" s="376"/>
      <c r="AJ224" s="376"/>
      <c r="AK224" s="377"/>
    </row>
    <row r="225" spans="1:37" ht="14.25" customHeight="1">
      <c r="A225" s="619"/>
      <c r="B225" s="253"/>
      <c r="C225" s="259" t="s">
        <v>160</v>
      </c>
      <c r="D225" s="545">
        <v>991.70216999999991</v>
      </c>
      <c r="E225" s="344">
        <v>671.15736114599997</v>
      </c>
      <c r="F225" s="270">
        <v>547.78452914599995</v>
      </c>
      <c r="G225" s="323">
        <v>441.877426808</v>
      </c>
      <c r="H225" s="376"/>
      <c r="I225" s="376"/>
      <c r="J225" s="376"/>
      <c r="K225" s="376"/>
      <c r="L225" s="376"/>
      <c r="M225" s="376"/>
      <c r="N225" s="376"/>
      <c r="O225" s="376"/>
      <c r="P225" s="376"/>
      <c r="Q225" s="376"/>
      <c r="R225" s="376"/>
      <c r="S225" s="376"/>
      <c r="T225" s="376"/>
      <c r="U225" s="376"/>
      <c r="V225" s="376"/>
      <c r="W225" s="376"/>
      <c r="X225" s="376"/>
      <c r="Y225" s="376"/>
      <c r="Z225" s="376"/>
      <c r="AA225" s="376"/>
      <c r="AB225" s="376"/>
      <c r="AC225" s="376"/>
      <c r="AD225" s="376"/>
      <c r="AE225" s="376"/>
      <c r="AF225" s="376"/>
      <c r="AG225" s="376"/>
      <c r="AH225" s="376"/>
      <c r="AI225" s="376"/>
      <c r="AJ225" s="376"/>
      <c r="AK225" s="377"/>
    </row>
    <row r="226" spans="1:37" ht="14.25" customHeight="1">
      <c r="A226" s="619"/>
      <c r="B226" s="253"/>
      <c r="C226" s="259" t="s">
        <v>308</v>
      </c>
      <c r="D226" s="270">
        <v>0.44</v>
      </c>
      <c r="E226" s="270">
        <v>0</v>
      </c>
      <c r="F226" s="270">
        <v>0</v>
      </c>
      <c r="G226" s="323">
        <v>0</v>
      </c>
      <c r="H226" s="376"/>
      <c r="I226" s="376"/>
      <c r="J226" s="376"/>
      <c r="K226" s="376"/>
      <c r="L226" s="376"/>
      <c r="M226" s="376"/>
      <c r="N226" s="376"/>
      <c r="O226" s="376"/>
      <c r="P226" s="376"/>
      <c r="Q226" s="376"/>
      <c r="R226" s="376"/>
      <c r="S226" s="376"/>
      <c r="T226" s="376"/>
      <c r="U226" s="376"/>
      <c r="V226" s="376"/>
      <c r="W226" s="376"/>
      <c r="X226" s="376"/>
      <c r="Y226" s="376"/>
      <c r="Z226" s="376"/>
      <c r="AA226" s="376"/>
      <c r="AB226" s="376"/>
      <c r="AC226" s="376"/>
      <c r="AD226" s="376"/>
      <c r="AE226" s="376"/>
      <c r="AF226" s="376"/>
      <c r="AG226" s="376"/>
      <c r="AH226" s="376"/>
      <c r="AI226" s="376"/>
      <c r="AJ226" s="376"/>
      <c r="AK226" s="377"/>
    </row>
    <row r="227" spans="1:37" ht="14.25" customHeight="1">
      <c r="A227" s="619"/>
      <c r="B227" s="253"/>
      <c r="C227" s="259" t="s">
        <v>309</v>
      </c>
      <c r="D227" s="545">
        <v>236.36</v>
      </c>
      <c r="E227" s="270">
        <v>159.43275555600005</v>
      </c>
      <c r="F227" s="344">
        <v>155.11582013099996</v>
      </c>
      <c r="G227" s="323">
        <v>191.79711451400004</v>
      </c>
      <c r="H227" s="376"/>
      <c r="I227" s="376"/>
      <c r="J227" s="376"/>
      <c r="K227" s="376"/>
      <c r="L227" s="376"/>
      <c r="M227" s="376"/>
      <c r="N227" s="376"/>
      <c r="O227" s="376"/>
      <c r="P227" s="376"/>
      <c r="Q227" s="376"/>
      <c r="R227" s="376"/>
      <c r="S227" s="376"/>
      <c r="T227" s="376"/>
      <c r="U227" s="376"/>
      <c r="V227" s="376"/>
      <c r="W227" s="376"/>
      <c r="X227" s="376"/>
      <c r="Y227" s="376"/>
      <c r="Z227" s="376"/>
      <c r="AA227" s="376"/>
      <c r="AB227" s="376"/>
      <c r="AC227" s="376"/>
      <c r="AD227" s="376"/>
      <c r="AE227" s="376"/>
      <c r="AF227" s="376"/>
      <c r="AG227" s="376"/>
      <c r="AH227" s="376"/>
      <c r="AI227" s="376"/>
      <c r="AJ227" s="376"/>
      <c r="AK227" s="377"/>
    </row>
    <row r="228" spans="1:37" ht="14.25" customHeight="1">
      <c r="A228" s="619"/>
      <c r="B228" s="253"/>
      <c r="C228" s="266" t="s">
        <v>153</v>
      </c>
      <c r="D228" s="267">
        <f t="shared" ref="D228:G228" si="38">SUM(D229:D230)</f>
        <v>1019.80983</v>
      </c>
      <c r="E228" s="267">
        <f t="shared" si="38"/>
        <v>888.65048518899994</v>
      </c>
      <c r="F228" s="267">
        <f t="shared" si="38"/>
        <v>708.16172016500002</v>
      </c>
      <c r="G228" s="267">
        <f t="shared" si="38"/>
        <v>594.53481072799991</v>
      </c>
      <c r="H228" s="376"/>
      <c r="I228" s="376"/>
      <c r="J228" s="376"/>
      <c r="K228" s="376"/>
      <c r="L228" s="376"/>
      <c r="M228" s="376"/>
      <c r="N228" s="376"/>
      <c r="O228" s="376"/>
      <c r="P228" s="376"/>
      <c r="Q228" s="376"/>
      <c r="R228" s="376"/>
      <c r="S228" s="376"/>
      <c r="T228" s="376"/>
      <c r="U228" s="376"/>
      <c r="V228" s="376"/>
      <c r="W228" s="376"/>
      <c r="X228" s="376"/>
      <c r="Y228" s="376"/>
      <c r="Z228" s="376"/>
      <c r="AA228" s="376"/>
      <c r="AB228" s="376"/>
      <c r="AC228" s="376"/>
      <c r="AD228" s="376"/>
      <c r="AE228" s="376"/>
      <c r="AF228" s="376"/>
      <c r="AG228" s="376"/>
      <c r="AH228" s="376"/>
      <c r="AI228" s="376"/>
      <c r="AJ228" s="376"/>
      <c r="AK228" s="377"/>
    </row>
    <row r="229" spans="1:37" ht="14.25" customHeight="1">
      <c r="A229" s="619"/>
      <c r="B229" s="253"/>
      <c r="C229" s="259" t="s">
        <v>155</v>
      </c>
      <c r="D229" s="139">
        <v>119.83982999999999</v>
      </c>
      <c r="E229" s="344">
        <v>68.469887980999999</v>
      </c>
      <c r="F229" s="344">
        <v>23.064528576000001</v>
      </c>
      <c r="G229" s="323">
        <v>15.517378860000001</v>
      </c>
      <c r="H229" s="376"/>
      <c r="I229" s="376"/>
      <c r="J229" s="376"/>
      <c r="K229" s="376"/>
      <c r="L229" s="376"/>
      <c r="M229" s="376"/>
      <c r="N229" s="376"/>
      <c r="O229" s="376"/>
      <c r="P229" s="376"/>
      <c r="Q229" s="376"/>
      <c r="R229" s="376"/>
      <c r="S229" s="376"/>
      <c r="T229" s="376"/>
      <c r="U229" s="376"/>
      <c r="V229" s="376"/>
      <c r="W229" s="376"/>
      <c r="X229" s="376"/>
      <c r="Y229" s="376"/>
      <c r="Z229" s="376"/>
      <c r="AA229" s="376"/>
      <c r="AB229" s="376"/>
      <c r="AC229" s="376"/>
      <c r="AD229" s="376"/>
      <c r="AE229" s="376"/>
      <c r="AF229" s="376"/>
      <c r="AG229" s="376"/>
      <c r="AH229" s="376"/>
      <c r="AI229" s="376"/>
      <c r="AJ229" s="376"/>
      <c r="AK229" s="377"/>
    </row>
    <row r="230" spans="1:37" ht="14.25" customHeight="1">
      <c r="A230" s="619"/>
      <c r="B230" s="253"/>
      <c r="C230" s="259" t="s">
        <v>157</v>
      </c>
      <c r="D230" s="139">
        <v>899.97</v>
      </c>
      <c r="E230" s="270">
        <v>820.18059720799999</v>
      </c>
      <c r="F230" s="270">
        <v>685.09719158899998</v>
      </c>
      <c r="G230" s="323">
        <v>579.0174318679999</v>
      </c>
      <c r="H230" s="376"/>
      <c r="I230" s="376"/>
      <c r="J230" s="376"/>
      <c r="K230" s="376"/>
      <c r="L230" s="376"/>
      <c r="M230" s="376"/>
      <c r="N230" s="376"/>
      <c r="O230" s="376"/>
      <c r="P230" s="376"/>
      <c r="Q230" s="376"/>
      <c r="R230" s="376"/>
      <c r="S230" s="376"/>
      <c r="T230" s="376"/>
      <c r="U230" s="376"/>
      <c r="V230" s="376"/>
      <c r="W230" s="376"/>
      <c r="X230" s="376"/>
      <c r="Y230" s="376"/>
      <c r="Z230" s="376"/>
      <c r="AA230" s="376"/>
      <c r="AB230" s="376"/>
      <c r="AC230" s="376"/>
      <c r="AD230" s="376"/>
      <c r="AE230" s="376"/>
      <c r="AF230" s="376"/>
      <c r="AG230" s="376"/>
      <c r="AH230" s="376"/>
      <c r="AI230" s="376"/>
      <c r="AJ230" s="376"/>
      <c r="AK230" s="377"/>
    </row>
    <row r="231" spans="1:37" ht="14.25" customHeight="1">
      <c r="A231" s="619"/>
      <c r="B231" s="253"/>
      <c r="C231" s="266" t="s">
        <v>158</v>
      </c>
      <c r="D231" s="267">
        <f t="shared" ref="D231:G231" si="39">SUM(D232)</f>
        <v>1708.53</v>
      </c>
      <c r="E231" s="267">
        <f t="shared" si="39"/>
        <v>1234.3026950349999</v>
      </c>
      <c r="F231" s="267">
        <f t="shared" si="39"/>
        <v>920.36530786200001</v>
      </c>
      <c r="G231" s="267">
        <f t="shared" si="39"/>
        <v>843.0561586450001</v>
      </c>
      <c r="H231" s="376"/>
      <c r="I231" s="376"/>
      <c r="J231" s="376"/>
      <c r="K231" s="376"/>
      <c r="L231" s="376"/>
      <c r="M231" s="376"/>
      <c r="N231" s="376"/>
      <c r="O231" s="376"/>
      <c r="P231" s="376"/>
      <c r="Q231" s="376"/>
      <c r="R231" s="376"/>
      <c r="S231" s="376"/>
      <c r="T231" s="376"/>
      <c r="U231" s="376"/>
      <c r="V231" s="376"/>
      <c r="W231" s="376"/>
      <c r="X231" s="376"/>
      <c r="Y231" s="376"/>
      <c r="Z231" s="376"/>
      <c r="AA231" s="376"/>
      <c r="AB231" s="376"/>
      <c r="AC231" s="376"/>
      <c r="AD231" s="376"/>
      <c r="AE231" s="376"/>
      <c r="AF231" s="376"/>
      <c r="AG231" s="376"/>
      <c r="AH231" s="376"/>
      <c r="AI231" s="376"/>
      <c r="AJ231" s="376"/>
      <c r="AK231" s="377"/>
    </row>
    <row r="232" spans="1:37" ht="14.25" customHeight="1">
      <c r="A232" s="619"/>
      <c r="B232" s="253"/>
      <c r="C232" s="259" t="s">
        <v>160</v>
      </c>
      <c r="D232" s="139">
        <v>1708.53</v>
      </c>
      <c r="E232" s="270">
        <v>1234.3026950349999</v>
      </c>
      <c r="F232" s="270">
        <v>920.36530786200001</v>
      </c>
      <c r="G232" s="323">
        <v>843.0561586450001</v>
      </c>
      <c r="H232" s="376"/>
      <c r="I232" s="376"/>
      <c r="J232" s="376"/>
      <c r="K232" s="376"/>
      <c r="L232" s="376"/>
      <c r="M232" s="376"/>
      <c r="N232" s="376"/>
      <c r="O232" s="376"/>
      <c r="P232" s="376"/>
      <c r="Q232" s="376"/>
      <c r="R232" s="376"/>
      <c r="S232" s="376"/>
      <c r="T232" s="376"/>
      <c r="U232" s="376"/>
      <c r="V232" s="376"/>
      <c r="W232" s="376"/>
      <c r="X232" s="376"/>
      <c r="Y232" s="376"/>
      <c r="Z232" s="376"/>
      <c r="AA232" s="376"/>
      <c r="AB232" s="376"/>
      <c r="AC232" s="376"/>
      <c r="AD232" s="376"/>
      <c r="AE232" s="376"/>
      <c r="AF232" s="376"/>
      <c r="AG232" s="376"/>
      <c r="AH232" s="376"/>
      <c r="AI232" s="376"/>
      <c r="AJ232" s="376"/>
      <c r="AK232" s="377"/>
    </row>
    <row r="233" spans="1:37" ht="14.25" customHeight="1">
      <c r="A233" s="619"/>
      <c r="B233" s="253"/>
      <c r="C233" s="262" t="s">
        <v>838</v>
      </c>
      <c r="D233" s="325">
        <f t="shared" ref="D233:G233" si="40">SUM(D235)</f>
        <v>45.53</v>
      </c>
      <c r="E233" s="325">
        <f t="shared" si="40"/>
        <v>41.160000000000004</v>
      </c>
      <c r="F233" s="325">
        <f t="shared" si="40"/>
        <v>43.99</v>
      </c>
      <c r="G233" s="325">
        <f t="shared" si="40"/>
        <v>42.13</v>
      </c>
      <c r="H233" s="376"/>
      <c r="I233" s="376"/>
      <c r="J233" s="376"/>
      <c r="K233" s="376"/>
      <c r="L233" s="376"/>
      <c r="M233" s="376"/>
      <c r="N233" s="376"/>
      <c r="O233" s="376"/>
      <c r="P233" s="376"/>
      <c r="Q233" s="376"/>
      <c r="R233" s="376"/>
      <c r="S233" s="376"/>
      <c r="T233" s="376"/>
      <c r="U233" s="376"/>
      <c r="V233" s="376"/>
      <c r="W233" s="376"/>
      <c r="X233" s="376"/>
      <c r="Y233" s="376"/>
      <c r="Z233" s="376"/>
      <c r="AA233" s="376"/>
      <c r="AB233" s="376"/>
      <c r="AC233" s="376"/>
      <c r="AD233" s="376"/>
      <c r="AE233" s="376"/>
      <c r="AF233" s="376"/>
      <c r="AG233" s="376"/>
      <c r="AH233" s="376"/>
      <c r="AI233" s="376"/>
      <c r="AJ233" s="376"/>
      <c r="AK233" s="377"/>
    </row>
    <row r="234" spans="1:37" ht="14.25" customHeight="1">
      <c r="A234" s="619"/>
      <c r="B234" s="253"/>
      <c r="C234" s="266" t="s">
        <v>162</v>
      </c>
      <c r="D234" s="267"/>
      <c r="E234" s="267"/>
      <c r="F234" s="267"/>
      <c r="G234" s="267"/>
      <c r="H234" s="376"/>
      <c r="I234" s="376"/>
      <c r="J234" s="376"/>
      <c r="K234" s="376"/>
      <c r="L234" s="376"/>
      <c r="M234" s="376"/>
      <c r="N234" s="376"/>
      <c r="O234" s="376"/>
      <c r="P234" s="376"/>
      <c r="Q234" s="376"/>
      <c r="R234" s="376"/>
      <c r="S234" s="376"/>
      <c r="T234" s="376"/>
      <c r="U234" s="376"/>
      <c r="V234" s="376"/>
      <c r="W234" s="376"/>
      <c r="X234" s="376"/>
      <c r="Y234" s="376"/>
      <c r="Z234" s="376"/>
      <c r="AA234" s="376"/>
      <c r="AB234" s="376"/>
      <c r="AC234" s="376"/>
      <c r="AD234" s="376"/>
      <c r="AE234" s="376"/>
      <c r="AF234" s="376"/>
      <c r="AG234" s="376"/>
      <c r="AH234" s="376"/>
      <c r="AI234" s="376"/>
      <c r="AJ234" s="376"/>
      <c r="AK234" s="377"/>
    </row>
    <row r="235" spans="1:37" ht="14.25" customHeight="1">
      <c r="A235" s="619"/>
      <c r="B235" s="253"/>
      <c r="C235" s="259" t="s">
        <v>161</v>
      </c>
      <c r="D235" s="270">
        <v>45.53</v>
      </c>
      <c r="E235" s="270">
        <v>41.160000000000004</v>
      </c>
      <c r="F235" s="270">
        <v>43.99</v>
      </c>
      <c r="G235" s="270">
        <v>42.13</v>
      </c>
      <c r="H235" s="376"/>
      <c r="I235" s="376"/>
      <c r="J235" s="376"/>
      <c r="K235" s="376"/>
      <c r="L235" s="376"/>
      <c r="M235" s="376"/>
      <c r="N235" s="376"/>
      <c r="O235" s="376"/>
      <c r="P235" s="376"/>
      <c r="Q235" s="376"/>
      <c r="R235" s="376"/>
      <c r="S235" s="376"/>
      <c r="T235" s="376"/>
      <c r="U235" s="376"/>
      <c r="V235" s="376"/>
      <c r="W235" s="376"/>
      <c r="X235" s="376"/>
      <c r="Y235" s="376"/>
      <c r="Z235" s="376"/>
      <c r="AA235" s="376"/>
      <c r="AB235" s="376"/>
      <c r="AC235" s="376"/>
      <c r="AD235" s="376"/>
      <c r="AE235" s="376"/>
      <c r="AF235" s="376"/>
      <c r="AG235" s="376"/>
      <c r="AH235" s="376"/>
      <c r="AI235" s="376"/>
      <c r="AJ235" s="376"/>
      <c r="AK235" s="377"/>
    </row>
    <row r="236" spans="1:37" ht="14.25" customHeight="1">
      <c r="A236" s="619"/>
      <c r="B236" s="253"/>
      <c r="C236" s="272" t="s">
        <v>839</v>
      </c>
      <c r="D236" s="256"/>
      <c r="E236" s="357"/>
      <c r="F236" s="376"/>
      <c r="G236" s="256"/>
      <c r="H236" s="357"/>
      <c r="I236" s="376"/>
      <c r="J236" s="376"/>
      <c r="K236" s="376"/>
      <c r="L236" s="376"/>
      <c r="M236" s="376"/>
      <c r="N236" s="376"/>
      <c r="O236" s="376"/>
      <c r="P236" s="376"/>
      <c r="Q236" s="376"/>
      <c r="R236" s="376"/>
      <c r="S236" s="376"/>
      <c r="T236" s="376"/>
      <c r="U236" s="376"/>
      <c r="V236" s="376"/>
      <c r="W236" s="376"/>
      <c r="X236" s="376"/>
      <c r="Y236" s="376"/>
      <c r="Z236" s="376"/>
      <c r="AA236" s="376"/>
      <c r="AB236" s="376"/>
      <c r="AC236" s="376"/>
      <c r="AD236" s="376"/>
      <c r="AE236" s="376"/>
      <c r="AF236" s="376"/>
      <c r="AG236" s="376"/>
      <c r="AH236" s="376"/>
      <c r="AI236" s="376"/>
      <c r="AJ236" s="376"/>
      <c r="AK236" s="376"/>
    </row>
    <row r="237" spans="1:37" ht="14.25" customHeight="1">
      <c r="A237" s="619"/>
      <c r="B237" s="253"/>
      <c r="C237" s="334" t="s">
        <v>166</v>
      </c>
      <c r="D237" s="270">
        <v>104.35</v>
      </c>
      <c r="E237" s="270">
        <v>150.52000000000001</v>
      </c>
      <c r="F237" s="270">
        <v>142.69</v>
      </c>
      <c r="G237" s="270">
        <v>150.37126260000002</v>
      </c>
      <c r="H237" s="357"/>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row>
    <row r="238" spans="1:37" ht="14.25" customHeight="1">
      <c r="A238" s="619"/>
      <c r="B238" s="253"/>
      <c r="C238" s="334" t="s">
        <v>168</v>
      </c>
      <c r="D238" s="270">
        <v>887.98</v>
      </c>
      <c r="E238" s="270">
        <v>1180.1400000000001</v>
      </c>
      <c r="F238" s="270">
        <v>878.78</v>
      </c>
      <c r="G238" s="270">
        <v>1066.6739984330002</v>
      </c>
      <c r="H238" s="357"/>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row>
    <row r="239" spans="1:37" ht="14.25" customHeight="1">
      <c r="A239" s="619"/>
      <c r="B239" s="253"/>
      <c r="C239" s="334" t="s">
        <v>170</v>
      </c>
      <c r="D239" s="270" t="s">
        <v>186</v>
      </c>
      <c r="E239" s="270" t="s">
        <v>186</v>
      </c>
      <c r="F239" s="270" t="s">
        <v>186</v>
      </c>
      <c r="G239" s="270" t="s">
        <v>186</v>
      </c>
      <c r="H239" s="357"/>
      <c r="I239" s="376"/>
      <c r="J239" s="376"/>
      <c r="K239" s="376"/>
      <c r="L239" s="376"/>
      <c r="M239" s="376"/>
      <c r="N239" s="376"/>
      <c r="O239" s="376"/>
      <c r="P239" s="376"/>
      <c r="Q239" s="376"/>
      <c r="R239" s="376"/>
      <c r="S239" s="376"/>
      <c r="T239" s="376"/>
      <c r="U239" s="376"/>
      <c r="V239" s="376"/>
      <c r="W239" s="376"/>
      <c r="X239" s="376"/>
      <c r="Y239" s="376"/>
      <c r="Z239" s="376"/>
      <c r="AA239" s="376"/>
      <c r="AB239" s="376"/>
      <c r="AC239" s="376"/>
      <c r="AD239" s="376"/>
      <c r="AE239" s="376"/>
      <c r="AF239" s="376"/>
      <c r="AG239" s="376"/>
      <c r="AH239" s="376"/>
      <c r="AI239" s="376"/>
      <c r="AJ239" s="376"/>
      <c r="AK239" s="376"/>
    </row>
    <row r="240" spans="1:37" ht="14.25" customHeight="1">
      <c r="A240" s="619"/>
      <c r="B240" s="253"/>
      <c r="C240" s="334" t="s">
        <v>172</v>
      </c>
      <c r="D240" s="270" t="s">
        <v>186</v>
      </c>
      <c r="E240" s="270" t="s">
        <v>186</v>
      </c>
      <c r="F240" s="270" t="s">
        <v>186</v>
      </c>
      <c r="G240" s="270" t="s">
        <v>186</v>
      </c>
      <c r="H240" s="357"/>
      <c r="I240" s="376"/>
      <c r="J240" s="376"/>
      <c r="K240" s="376"/>
      <c r="L240" s="376"/>
      <c r="M240" s="376"/>
      <c r="N240" s="376"/>
      <c r="O240" s="376"/>
      <c r="P240" s="376"/>
      <c r="Q240" s="376"/>
      <c r="R240" s="376"/>
      <c r="S240" s="376"/>
      <c r="T240" s="376"/>
      <c r="U240" s="376"/>
      <c r="V240" s="376"/>
      <c r="W240" s="376"/>
      <c r="X240" s="376"/>
      <c r="Y240" s="376"/>
      <c r="Z240" s="376"/>
      <c r="AA240" s="376"/>
      <c r="AB240" s="376"/>
      <c r="AC240" s="376"/>
      <c r="AD240" s="376"/>
      <c r="AE240" s="376"/>
      <c r="AF240" s="376"/>
      <c r="AG240" s="376"/>
      <c r="AH240" s="376"/>
      <c r="AI240" s="376"/>
      <c r="AJ240" s="376"/>
      <c r="AK240" s="376"/>
    </row>
    <row r="241" spans="1:37" ht="14.25" customHeight="1">
      <c r="A241" s="619"/>
      <c r="B241" s="253"/>
      <c r="C241" s="334" t="s">
        <v>174</v>
      </c>
      <c r="D241" s="270">
        <v>1813.56</v>
      </c>
      <c r="E241" s="344">
        <v>2012.3057756910002</v>
      </c>
      <c r="F241" s="270">
        <v>1855.1156071469998</v>
      </c>
      <c r="G241" s="270">
        <v>2000.6859121830003</v>
      </c>
      <c r="H241" s="357"/>
      <c r="I241" s="376"/>
      <c r="J241" s="376"/>
      <c r="K241" s="376"/>
      <c r="L241" s="376"/>
      <c r="M241" s="376"/>
      <c r="N241" s="376"/>
      <c r="O241" s="376"/>
      <c r="P241" s="376"/>
      <c r="Q241" s="376"/>
      <c r="R241" s="376"/>
      <c r="S241" s="376"/>
      <c r="T241" s="376"/>
      <c r="U241" s="376"/>
      <c r="V241" s="376"/>
      <c r="W241" s="376"/>
      <c r="X241" s="376"/>
      <c r="Y241" s="376"/>
      <c r="Z241" s="376"/>
      <c r="AA241" s="376"/>
      <c r="AB241" s="376"/>
      <c r="AC241" s="376"/>
      <c r="AD241" s="376"/>
      <c r="AE241" s="376"/>
      <c r="AF241" s="376"/>
      <c r="AG241" s="376"/>
      <c r="AH241" s="376"/>
      <c r="AI241" s="376"/>
      <c r="AJ241" s="376"/>
      <c r="AK241" s="376"/>
    </row>
    <row r="242" spans="1:37" ht="14.25" customHeight="1">
      <c r="A242" s="619"/>
      <c r="B242" s="253"/>
      <c r="C242" s="334" t="s">
        <v>176</v>
      </c>
      <c r="D242" s="270">
        <v>4903.8500000000004</v>
      </c>
      <c r="E242" s="270">
        <v>5608.7444978149979</v>
      </c>
      <c r="F242" s="270">
        <v>5198.8096784030004</v>
      </c>
      <c r="G242" s="270">
        <v>5487.5721022830012</v>
      </c>
      <c r="H242" s="357"/>
      <c r="I242" s="376"/>
      <c r="J242" s="376"/>
      <c r="K242" s="376"/>
      <c r="L242" s="376"/>
      <c r="M242" s="376"/>
      <c r="N242" s="376"/>
      <c r="O242" s="376"/>
      <c r="P242" s="376"/>
      <c r="Q242" s="376"/>
      <c r="R242" s="376"/>
      <c r="S242" s="376"/>
      <c r="T242" s="376"/>
      <c r="U242" s="376"/>
      <c r="V242" s="376"/>
      <c r="W242" s="376"/>
      <c r="X242" s="376"/>
      <c r="Y242" s="376"/>
      <c r="Z242" s="376"/>
      <c r="AA242" s="376"/>
      <c r="AB242" s="376"/>
      <c r="AC242" s="376"/>
      <c r="AD242" s="376"/>
      <c r="AE242" s="376"/>
      <c r="AF242" s="376"/>
      <c r="AG242" s="376"/>
      <c r="AH242" s="376"/>
      <c r="AI242" s="376"/>
      <c r="AJ242" s="376"/>
      <c r="AK242" s="376"/>
    </row>
    <row r="243" spans="1:37" ht="14.25" customHeight="1">
      <c r="A243" s="619"/>
      <c r="B243" s="253"/>
      <c r="C243" s="272" t="s">
        <v>840</v>
      </c>
      <c r="D243" s="270"/>
      <c r="E243" s="270"/>
      <c r="F243" s="270"/>
      <c r="G243" s="256"/>
      <c r="H243" s="357"/>
      <c r="I243" s="376"/>
      <c r="J243" s="376"/>
      <c r="K243" s="376"/>
      <c r="L243" s="376"/>
      <c r="M243" s="376"/>
      <c r="N243" s="376"/>
      <c r="O243" s="376"/>
      <c r="P243" s="376"/>
      <c r="Q243" s="376"/>
      <c r="R243" s="376"/>
      <c r="S243" s="376"/>
      <c r="T243" s="376"/>
      <c r="U243" s="376"/>
      <c r="V243" s="376"/>
      <c r="W243" s="376"/>
      <c r="X243" s="376"/>
      <c r="Y243" s="376"/>
      <c r="Z243" s="376"/>
      <c r="AA243" s="376"/>
      <c r="AB243" s="376"/>
      <c r="AC243" s="376"/>
      <c r="AD243" s="376"/>
      <c r="AE243" s="376"/>
      <c r="AF243" s="376"/>
      <c r="AG243" s="376"/>
      <c r="AH243" s="376"/>
      <c r="AI243" s="376"/>
      <c r="AJ243" s="376"/>
      <c r="AK243" s="376"/>
    </row>
    <row r="244" spans="1:37" ht="14.25" customHeight="1">
      <c r="A244" s="619"/>
      <c r="B244" s="253"/>
      <c r="C244" s="334" t="s">
        <v>166</v>
      </c>
      <c r="D244" s="270">
        <v>269.97986999999995</v>
      </c>
      <c r="E244" s="344">
        <v>271.41713802999993</v>
      </c>
      <c r="F244" s="344">
        <v>302.71075421300003</v>
      </c>
      <c r="G244" s="270">
        <v>373.67837470899997</v>
      </c>
      <c r="H244" s="357"/>
      <c r="I244" s="376"/>
      <c r="J244" s="376"/>
      <c r="K244" s="376"/>
      <c r="L244" s="376"/>
      <c r="M244" s="376"/>
      <c r="N244" s="376"/>
      <c r="O244" s="376"/>
      <c r="P244" s="376"/>
      <c r="Q244" s="376"/>
      <c r="R244" s="376"/>
      <c r="S244" s="376"/>
      <c r="T244" s="376"/>
      <c r="U244" s="376"/>
      <c r="V244" s="376"/>
      <c r="W244" s="376"/>
      <c r="X244" s="376"/>
      <c r="Y244" s="376"/>
      <c r="Z244" s="376"/>
      <c r="AA244" s="376"/>
      <c r="AB244" s="376"/>
      <c r="AC244" s="376"/>
      <c r="AD244" s="376"/>
      <c r="AE244" s="376"/>
      <c r="AF244" s="376"/>
      <c r="AG244" s="376"/>
      <c r="AH244" s="376"/>
      <c r="AI244" s="376"/>
      <c r="AJ244" s="376"/>
      <c r="AK244" s="376"/>
    </row>
    <row r="245" spans="1:37" ht="14.25" customHeight="1">
      <c r="A245" s="619"/>
      <c r="B245" s="253"/>
      <c r="C245" s="334" t="s">
        <v>168</v>
      </c>
      <c r="D245" s="270">
        <v>389.21000000000004</v>
      </c>
      <c r="E245" s="344">
        <v>1344.514893457</v>
      </c>
      <c r="F245" s="270">
        <v>1353.3423450810001</v>
      </c>
      <c r="G245" s="270">
        <v>1540.910416425</v>
      </c>
      <c r="H245" s="357"/>
      <c r="I245" s="376"/>
      <c r="J245" s="376"/>
      <c r="K245" s="376"/>
      <c r="L245" s="376"/>
      <c r="M245" s="376"/>
      <c r="N245" s="376"/>
      <c r="O245" s="376"/>
      <c r="P245" s="376"/>
      <c r="Q245" s="376"/>
      <c r="R245" s="376"/>
      <c r="S245" s="376"/>
      <c r="T245" s="376"/>
      <c r="U245" s="376"/>
      <c r="V245" s="376"/>
      <c r="W245" s="376"/>
      <c r="X245" s="376"/>
      <c r="Y245" s="376"/>
      <c r="Z245" s="376"/>
      <c r="AA245" s="376"/>
      <c r="AB245" s="376"/>
      <c r="AC245" s="376"/>
      <c r="AD245" s="376"/>
      <c r="AE245" s="376"/>
      <c r="AF245" s="376"/>
      <c r="AG245" s="376"/>
      <c r="AH245" s="376"/>
      <c r="AI245" s="376"/>
      <c r="AJ245" s="376"/>
      <c r="AK245" s="376"/>
    </row>
    <row r="246" spans="1:37" ht="14.25" customHeight="1">
      <c r="A246" s="619"/>
      <c r="B246" s="253"/>
      <c r="C246" s="334" t="s">
        <v>170</v>
      </c>
      <c r="D246" s="270" t="s">
        <v>186</v>
      </c>
      <c r="E246" s="270" t="s">
        <v>186</v>
      </c>
      <c r="F246" s="270" t="s">
        <v>186</v>
      </c>
      <c r="G246" s="270" t="s">
        <v>186</v>
      </c>
      <c r="H246" s="357"/>
      <c r="I246" s="376"/>
      <c r="J246" s="376"/>
      <c r="K246" s="376"/>
      <c r="L246" s="376"/>
      <c r="M246" s="376"/>
      <c r="N246" s="376"/>
      <c r="O246" s="376"/>
      <c r="P246" s="376"/>
      <c r="Q246" s="376"/>
      <c r="R246" s="376"/>
      <c r="S246" s="376"/>
      <c r="T246" s="376"/>
      <c r="U246" s="376"/>
      <c r="V246" s="376"/>
      <c r="W246" s="376"/>
      <c r="X246" s="376"/>
      <c r="Y246" s="376"/>
      <c r="Z246" s="376"/>
      <c r="AA246" s="376"/>
      <c r="AB246" s="376"/>
      <c r="AC246" s="376"/>
      <c r="AD246" s="376"/>
      <c r="AE246" s="376"/>
      <c r="AF246" s="376"/>
      <c r="AG246" s="376"/>
      <c r="AH246" s="376"/>
      <c r="AI246" s="376"/>
      <c r="AJ246" s="376"/>
      <c r="AK246" s="376"/>
    </row>
    <row r="247" spans="1:37" ht="14.25" customHeight="1">
      <c r="A247" s="619"/>
      <c r="B247" s="253"/>
      <c r="C247" s="334" t="s">
        <v>172</v>
      </c>
      <c r="D247" s="270">
        <v>2720.2434900000003</v>
      </c>
      <c r="E247" s="270">
        <v>3330.0412400000005</v>
      </c>
      <c r="F247" s="270">
        <v>2862.8140399999997</v>
      </c>
      <c r="G247" s="270">
        <v>3086.5289692439992</v>
      </c>
      <c r="H247" s="357"/>
      <c r="I247" s="376"/>
      <c r="J247" s="376"/>
      <c r="K247" s="376"/>
      <c r="L247" s="376"/>
      <c r="M247" s="376"/>
      <c r="N247" s="376"/>
      <c r="O247" s="376"/>
      <c r="P247" s="376"/>
      <c r="Q247" s="376"/>
      <c r="R247" s="376"/>
      <c r="S247" s="376"/>
      <c r="T247" s="376"/>
      <c r="U247" s="376"/>
      <c r="V247" s="376"/>
      <c r="W247" s="376"/>
      <c r="X247" s="376"/>
      <c r="Y247" s="376"/>
      <c r="Z247" s="376"/>
      <c r="AA247" s="376"/>
      <c r="AB247" s="376"/>
      <c r="AC247" s="376"/>
      <c r="AD247" s="376"/>
      <c r="AE247" s="376"/>
      <c r="AF247" s="376"/>
      <c r="AG247" s="376"/>
      <c r="AH247" s="376"/>
      <c r="AI247" s="376"/>
      <c r="AJ247" s="376"/>
      <c r="AK247" s="376"/>
    </row>
    <row r="248" spans="1:37" ht="14.25" customHeight="1">
      <c r="A248" s="619"/>
      <c r="B248" s="253"/>
      <c r="C248" s="334" t="s">
        <v>174</v>
      </c>
      <c r="D248" s="270">
        <v>1234.06</v>
      </c>
      <c r="E248" s="344">
        <v>1922.6003049999999</v>
      </c>
      <c r="F248" s="270">
        <v>2468.4015100000001</v>
      </c>
      <c r="G248" s="270">
        <v>2641.7119395679997</v>
      </c>
      <c r="H248" s="357"/>
      <c r="I248" s="376"/>
      <c r="J248" s="376"/>
      <c r="K248" s="376"/>
      <c r="L248" s="376"/>
      <c r="M248" s="376"/>
      <c r="N248" s="376"/>
      <c r="O248" s="376"/>
      <c r="P248" s="376"/>
      <c r="Q248" s="376"/>
      <c r="R248" s="376"/>
      <c r="S248" s="376"/>
      <c r="T248" s="376"/>
      <c r="U248" s="376"/>
      <c r="V248" s="376"/>
      <c r="W248" s="376"/>
      <c r="X248" s="376"/>
      <c r="Y248" s="376"/>
      <c r="Z248" s="376"/>
      <c r="AA248" s="376"/>
      <c r="AB248" s="376"/>
      <c r="AC248" s="376"/>
      <c r="AD248" s="376"/>
      <c r="AE248" s="376"/>
      <c r="AF248" s="376"/>
      <c r="AG248" s="376"/>
      <c r="AH248" s="376"/>
      <c r="AI248" s="376"/>
      <c r="AJ248" s="376"/>
      <c r="AK248" s="376"/>
    </row>
    <row r="249" spans="1:37" ht="14.25" customHeight="1">
      <c r="A249" s="619"/>
      <c r="B249" s="253"/>
      <c r="C249" s="334" t="s">
        <v>176</v>
      </c>
      <c r="D249" s="270">
        <v>8338.380000000001</v>
      </c>
      <c r="E249" s="270">
        <v>8798.85</v>
      </c>
      <c r="F249" s="270">
        <v>9250.199166088998</v>
      </c>
      <c r="G249" s="270">
        <v>9207.3941118819985</v>
      </c>
      <c r="H249" s="357"/>
      <c r="I249" s="376"/>
      <c r="J249" s="376"/>
      <c r="K249" s="376"/>
      <c r="L249" s="376"/>
      <c r="M249" s="376"/>
      <c r="N249" s="376"/>
      <c r="O249" s="376"/>
      <c r="P249" s="376"/>
      <c r="Q249" s="376"/>
      <c r="R249" s="376"/>
      <c r="S249" s="376"/>
      <c r="T249" s="376"/>
      <c r="U249" s="376"/>
      <c r="V249" s="376"/>
      <c r="W249" s="376"/>
      <c r="X249" s="376"/>
      <c r="Y249" s="376"/>
      <c r="Z249" s="376"/>
      <c r="AA249" s="376"/>
      <c r="AB249" s="376"/>
      <c r="AC249" s="376"/>
      <c r="AD249" s="376"/>
      <c r="AE249" s="376"/>
      <c r="AF249" s="376"/>
      <c r="AG249" s="376"/>
      <c r="AH249" s="376"/>
      <c r="AI249" s="376"/>
      <c r="AJ249" s="376"/>
      <c r="AK249" s="376"/>
    </row>
    <row r="250" spans="1:37" ht="14.25" customHeight="1">
      <c r="A250" s="619"/>
      <c r="B250" s="253"/>
      <c r="C250" s="259" t="s">
        <v>313</v>
      </c>
      <c r="D250" s="25">
        <f t="shared" ref="D250:G250" si="41">D210+D213+D214+D221+D222+D233</f>
        <v>25375.96759</v>
      </c>
      <c r="E250" s="25">
        <f t="shared" si="41"/>
        <v>28164.138446292</v>
      </c>
      <c r="F250" s="25">
        <f t="shared" si="41"/>
        <v>27300.514803087997</v>
      </c>
      <c r="G250" s="25">
        <f t="shared" si="41"/>
        <v>28173.496176173001</v>
      </c>
      <c r="H250" s="376"/>
      <c r="I250" s="376"/>
      <c r="J250" s="376"/>
      <c r="K250" s="376"/>
      <c r="L250" s="376"/>
      <c r="M250" s="376"/>
      <c r="N250" s="376"/>
      <c r="O250" s="376"/>
      <c r="P250" s="376"/>
      <c r="Q250" s="376"/>
      <c r="R250" s="376"/>
      <c r="S250" s="376"/>
      <c r="T250" s="376"/>
      <c r="U250" s="376"/>
      <c r="V250" s="376"/>
      <c r="W250" s="376"/>
      <c r="X250" s="376"/>
      <c r="Y250" s="376"/>
      <c r="Z250" s="376"/>
      <c r="AA250" s="376"/>
      <c r="AB250" s="376"/>
      <c r="AC250" s="376"/>
      <c r="AD250" s="376"/>
      <c r="AE250" s="376"/>
      <c r="AF250" s="376"/>
      <c r="AG250" s="376"/>
      <c r="AH250" s="376"/>
      <c r="AI250" s="376"/>
      <c r="AJ250" s="376"/>
      <c r="AK250" s="377"/>
    </row>
    <row r="251" spans="1:37" ht="14.25" customHeight="1">
      <c r="A251" s="619"/>
      <c r="B251" s="253"/>
      <c r="C251" s="259"/>
      <c r="D251" s="270"/>
      <c r="E251" s="270"/>
      <c r="F251" s="270"/>
      <c r="G251" s="323"/>
      <c r="H251" s="376"/>
      <c r="I251" s="376"/>
      <c r="J251" s="376"/>
      <c r="K251" s="376"/>
      <c r="L251" s="376"/>
      <c r="M251" s="376"/>
      <c r="N251" s="376"/>
      <c r="O251" s="376"/>
      <c r="P251" s="376"/>
      <c r="Q251" s="376"/>
      <c r="R251" s="376"/>
      <c r="S251" s="376"/>
      <c r="T251" s="376"/>
      <c r="U251" s="376"/>
      <c r="V251" s="376"/>
      <c r="W251" s="376"/>
      <c r="X251" s="376"/>
      <c r="Y251" s="376"/>
      <c r="Z251" s="376"/>
      <c r="AA251" s="376"/>
      <c r="AB251" s="376"/>
      <c r="AC251" s="376"/>
      <c r="AD251" s="376"/>
      <c r="AE251" s="376"/>
      <c r="AF251" s="376"/>
      <c r="AG251" s="376"/>
      <c r="AH251" s="376"/>
      <c r="AI251" s="376"/>
      <c r="AJ251" s="376"/>
      <c r="AK251" s="377"/>
    </row>
    <row r="252" spans="1:37" ht="14.25" customHeight="1">
      <c r="A252" s="619"/>
      <c r="B252" s="253"/>
      <c r="C252" s="281" t="s">
        <v>314</v>
      </c>
      <c r="D252" s="376"/>
      <c r="E252" s="376"/>
      <c r="F252" s="376"/>
      <c r="G252" s="323"/>
      <c r="H252" s="376"/>
      <c r="I252" s="376"/>
      <c r="J252" s="376"/>
      <c r="K252" s="376"/>
      <c r="L252" s="376"/>
      <c r="M252" s="376"/>
      <c r="N252" s="376"/>
      <c r="O252" s="376"/>
      <c r="P252" s="376"/>
      <c r="Q252" s="376"/>
      <c r="R252" s="376"/>
      <c r="S252" s="376"/>
      <c r="T252" s="376"/>
      <c r="U252" s="376"/>
      <c r="V252" s="376"/>
      <c r="W252" s="376"/>
      <c r="X252" s="376"/>
      <c r="Y252" s="376"/>
      <c r="Z252" s="376"/>
      <c r="AA252" s="376"/>
      <c r="AB252" s="376"/>
      <c r="AC252" s="376"/>
      <c r="AD252" s="376"/>
      <c r="AE252" s="376"/>
      <c r="AF252" s="376"/>
      <c r="AG252" s="376"/>
      <c r="AH252" s="376"/>
      <c r="AI252" s="376"/>
      <c r="AJ252" s="376"/>
      <c r="AK252" s="377"/>
    </row>
    <row r="253" spans="1:37" ht="14.25" customHeight="1">
      <c r="A253" s="619"/>
      <c r="B253" s="253"/>
      <c r="C253" s="262" t="s">
        <v>833</v>
      </c>
      <c r="D253" s="325"/>
      <c r="E253" s="325"/>
      <c r="F253" s="325"/>
      <c r="G253" s="325"/>
      <c r="H253" s="376"/>
      <c r="I253" s="376"/>
      <c r="J253" s="376"/>
      <c r="K253" s="376"/>
      <c r="L253" s="376"/>
      <c r="M253" s="376"/>
      <c r="N253" s="376"/>
      <c r="O253" s="376"/>
      <c r="P253" s="376"/>
      <c r="Q253" s="376"/>
      <c r="R253" s="376"/>
      <c r="S253" s="376"/>
      <c r="T253" s="376"/>
      <c r="U253" s="376"/>
      <c r="V253" s="376"/>
      <c r="W253" s="376"/>
      <c r="X253" s="376"/>
      <c r="Y253" s="376"/>
      <c r="Z253" s="376"/>
      <c r="AA253" s="376"/>
      <c r="AB253" s="376"/>
      <c r="AC253" s="376"/>
      <c r="AD253" s="376"/>
      <c r="AE253" s="376"/>
      <c r="AF253" s="376"/>
      <c r="AG253" s="376"/>
      <c r="AH253" s="376"/>
      <c r="AI253" s="376"/>
      <c r="AJ253" s="376"/>
      <c r="AK253" s="377"/>
    </row>
    <row r="254" spans="1:37" ht="14.25" customHeight="1">
      <c r="A254" s="619"/>
      <c r="B254" s="253"/>
      <c r="C254" s="262" t="s">
        <v>834</v>
      </c>
      <c r="D254" s="325">
        <f t="shared" ref="D254:G254" si="42">D255</f>
        <v>6.5557800000000004</v>
      </c>
      <c r="E254" s="325">
        <f t="shared" si="42"/>
        <v>5.5464500000000001</v>
      </c>
      <c r="F254" s="325">
        <f t="shared" si="42"/>
        <v>5.4634099999999997</v>
      </c>
      <c r="G254" s="325">
        <f t="shared" si="42"/>
        <v>1.95</v>
      </c>
      <c r="H254" s="376"/>
      <c r="I254" s="376"/>
      <c r="J254" s="376"/>
      <c r="K254" s="376"/>
      <c r="L254" s="376"/>
      <c r="M254" s="376"/>
      <c r="N254" s="376"/>
      <c r="O254" s="376"/>
      <c r="P254" s="376"/>
      <c r="Q254" s="376"/>
      <c r="R254" s="376"/>
      <c r="S254" s="376"/>
      <c r="T254" s="376"/>
      <c r="U254" s="376"/>
      <c r="V254" s="376"/>
      <c r="W254" s="376"/>
      <c r="X254" s="376"/>
      <c r="Y254" s="376"/>
      <c r="Z254" s="376"/>
      <c r="AA254" s="376"/>
      <c r="AB254" s="376"/>
      <c r="AC254" s="376"/>
      <c r="AD254" s="376"/>
      <c r="AE254" s="376"/>
      <c r="AF254" s="376"/>
      <c r="AG254" s="376"/>
      <c r="AH254" s="376"/>
      <c r="AI254" s="376"/>
      <c r="AJ254" s="376"/>
      <c r="AK254" s="377"/>
    </row>
    <row r="255" spans="1:37" ht="14.25" customHeight="1">
      <c r="A255" s="619"/>
      <c r="B255" s="253"/>
      <c r="C255" s="285" t="s">
        <v>188</v>
      </c>
      <c r="D255" s="336">
        <v>6.5557800000000004</v>
      </c>
      <c r="E255" s="336">
        <v>5.5464500000000001</v>
      </c>
      <c r="F255" s="336">
        <v>5.4634099999999997</v>
      </c>
      <c r="G255" s="336">
        <v>1.95</v>
      </c>
      <c r="H255" s="376"/>
      <c r="I255" s="376"/>
      <c r="J255" s="376"/>
      <c r="K255" s="376"/>
      <c r="L255" s="376"/>
      <c r="M255" s="376"/>
      <c r="N255" s="376"/>
      <c r="O255" s="376"/>
      <c r="P255" s="376"/>
      <c r="Q255" s="376"/>
      <c r="R255" s="376"/>
      <c r="S255" s="376"/>
      <c r="T255" s="376"/>
      <c r="U255" s="376"/>
      <c r="V255" s="376"/>
      <c r="W255" s="376"/>
      <c r="X255" s="376"/>
      <c r="Y255" s="376"/>
      <c r="Z255" s="376"/>
      <c r="AA255" s="376"/>
      <c r="AB255" s="376"/>
      <c r="AC255" s="376"/>
      <c r="AD255" s="376"/>
      <c r="AE255" s="376"/>
      <c r="AF255" s="376"/>
      <c r="AG255" s="376"/>
      <c r="AH255" s="376"/>
      <c r="AI255" s="376"/>
      <c r="AJ255" s="376"/>
      <c r="AK255" s="377"/>
    </row>
    <row r="256" spans="1:37" ht="14.25" customHeight="1">
      <c r="A256" s="619"/>
      <c r="B256" s="253"/>
      <c r="C256" s="262" t="s">
        <v>835</v>
      </c>
      <c r="D256" s="325">
        <f t="shared" ref="D256:G256" si="43">SUM(D257)</f>
        <v>16.413810000000002</v>
      </c>
      <c r="E256" s="325">
        <f t="shared" si="43"/>
        <v>21.440620000000003</v>
      </c>
      <c r="F256" s="325">
        <f t="shared" si="43"/>
        <v>20.406079999999999</v>
      </c>
      <c r="G256" s="325">
        <f t="shared" si="43"/>
        <v>19.080446999999999</v>
      </c>
      <c r="H256" s="376"/>
      <c r="I256" s="376"/>
      <c r="J256" s="376"/>
      <c r="K256" s="376"/>
      <c r="L256" s="376"/>
      <c r="M256" s="376"/>
      <c r="N256" s="376"/>
      <c r="O256" s="376"/>
      <c r="P256" s="376"/>
      <c r="Q256" s="376"/>
      <c r="R256" s="376"/>
      <c r="S256" s="376"/>
      <c r="T256" s="376"/>
      <c r="U256" s="376"/>
      <c r="V256" s="376"/>
      <c r="W256" s="376"/>
      <c r="X256" s="376"/>
      <c r="Y256" s="376"/>
      <c r="Z256" s="376"/>
      <c r="AA256" s="376"/>
      <c r="AB256" s="376"/>
      <c r="AC256" s="376"/>
      <c r="AD256" s="376"/>
      <c r="AE256" s="376"/>
      <c r="AF256" s="376"/>
      <c r="AG256" s="376"/>
      <c r="AH256" s="376"/>
      <c r="AI256" s="376"/>
      <c r="AJ256" s="376"/>
      <c r="AK256" s="377"/>
    </row>
    <row r="257" spans="1:37" ht="14.25" customHeight="1">
      <c r="A257" s="619"/>
      <c r="B257" s="253"/>
      <c r="C257" s="266" t="s">
        <v>189</v>
      </c>
      <c r="D257" s="267">
        <f t="shared" ref="D257:G257" si="44">SUM(D259:D260,D262:D263)</f>
        <v>16.413810000000002</v>
      </c>
      <c r="E257" s="267">
        <f t="shared" si="44"/>
        <v>21.440620000000003</v>
      </c>
      <c r="F257" s="267">
        <f t="shared" si="44"/>
        <v>20.406079999999999</v>
      </c>
      <c r="G257" s="267">
        <f t="shared" si="44"/>
        <v>19.080446999999999</v>
      </c>
      <c r="H257" s="376"/>
      <c r="I257" s="376"/>
      <c r="J257" s="376"/>
      <c r="K257" s="376"/>
      <c r="L257" s="376"/>
      <c r="M257" s="376"/>
      <c r="N257" s="376"/>
      <c r="O257" s="376"/>
      <c r="P257" s="376"/>
      <c r="Q257" s="376"/>
      <c r="R257" s="376"/>
      <c r="S257" s="376"/>
      <c r="T257" s="376"/>
      <c r="U257" s="376"/>
      <c r="V257" s="376"/>
      <c r="W257" s="376"/>
      <c r="X257" s="376"/>
      <c r="Y257" s="376"/>
      <c r="Z257" s="376"/>
      <c r="AA257" s="376"/>
      <c r="AB257" s="376"/>
      <c r="AC257" s="376"/>
      <c r="AD257" s="376"/>
      <c r="AE257" s="376"/>
      <c r="AF257" s="376"/>
      <c r="AG257" s="376"/>
      <c r="AH257" s="376"/>
      <c r="AI257" s="376"/>
      <c r="AJ257" s="376"/>
      <c r="AK257" s="377"/>
    </row>
    <row r="258" spans="1:37" ht="14.25" customHeight="1">
      <c r="A258" s="619"/>
      <c r="B258" s="253"/>
      <c r="C258" s="285" t="s">
        <v>190</v>
      </c>
      <c r="D258" s="336"/>
      <c r="E258" s="336"/>
      <c r="F258" s="336"/>
      <c r="G258" s="336"/>
      <c r="H258" s="376"/>
      <c r="I258" s="376"/>
      <c r="J258" s="376"/>
      <c r="K258" s="376"/>
      <c r="L258" s="376"/>
      <c r="M258" s="376"/>
      <c r="N258" s="376"/>
      <c r="O258" s="376"/>
      <c r="P258" s="376"/>
      <c r="Q258" s="376"/>
      <c r="R258" s="376"/>
      <c r="S258" s="376"/>
      <c r="T258" s="376"/>
      <c r="U258" s="376"/>
      <c r="V258" s="376"/>
      <c r="W258" s="376"/>
      <c r="X258" s="376"/>
      <c r="Y258" s="376"/>
      <c r="Z258" s="376"/>
      <c r="AA258" s="376"/>
      <c r="AB258" s="376"/>
      <c r="AC258" s="376"/>
      <c r="AD258" s="376"/>
      <c r="AE258" s="376"/>
      <c r="AF258" s="376"/>
      <c r="AG258" s="376"/>
      <c r="AH258" s="376"/>
      <c r="AI258" s="376"/>
      <c r="AJ258" s="376"/>
      <c r="AK258" s="377"/>
    </row>
    <row r="259" spans="1:37" ht="14.25" customHeight="1">
      <c r="A259" s="619"/>
      <c r="B259" s="253"/>
      <c r="C259" s="259" t="s">
        <v>192</v>
      </c>
      <c r="D259" s="270">
        <v>4.7797100000000006</v>
      </c>
      <c r="E259" s="270">
        <v>5.6303299999999998</v>
      </c>
      <c r="F259" s="270">
        <v>4.8783400000000006</v>
      </c>
      <c r="G259" s="323">
        <v>3.59</v>
      </c>
      <c r="H259" s="376"/>
      <c r="I259" s="376"/>
      <c r="J259" s="376"/>
      <c r="K259" s="376"/>
      <c r="L259" s="376"/>
      <c r="M259" s="376"/>
      <c r="N259" s="376"/>
      <c r="O259" s="376"/>
      <c r="P259" s="376"/>
      <c r="Q259" s="376"/>
      <c r="R259" s="376"/>
      <c r="S259" s="376"/>
      <c r="T259" s="376"/>
      <c r="U259" s="376"/>
      <c r="V259" s="376"/>
      <c r="W259" s="376"/>
      <c r="X259" s="376"/>
      <c r="Y259" s="376"/>
      <c r="Z259" s="376"/>
      <c r="AA259" s="376"/>
      <c r="AB259" s="376"/>
      <c r="AC259" s="376"/>
      <c r="AD259" s="376"/>
      <c r="AE259" s="376"/>
      <c r="AF259" s="376"/>
      <c r="AG259" s="376"/>
      <c r="AH259" s="376"/>
      <c r="AI259" s="376"/>
      <c r="AJ259" s="376"/>
      <c r="AK259" s="377"/>
    </row>
    <row r="260" spans="1:37" ht="14.25" customHeight="1">
      <c r="A260" s="619"/>
      <c r="B260" s="253"/>
      <c r="C260" s="259" t="s">
        <v>194</v>
      </c>
      <c r="D260" s="270">
        <v>10.254100000000001</v>
      </c>
      <c r="E260" s="270">
        <v>11.51135</v>
      </c>
      <c r="F260" s="270">
        <v>15.409599999999999</v>
      </c>
      <c r="G260" s="323">
        <v>15.25</v>
      </c>
      <c r="H260" s="376"/>
      <c r="I260" s="376"/>
      <c r="J260" s="376"/>
      <c r="K260" s="376"/>
      <c r="L260" s="376"/>
      <c r="M260" s="376"/>
      <c r="N260" s="376"/>
      <c r="O260" s="376"/>
      <c r="P260" s="376"/>
      <c r="Q260" s="376"/>
      <c r="R260" s="376"/>
      <c r="S260" s="376"/>
      <c r="T260" s="376"/>
      <c r="U260" s="376"/>
      <c r="V260" s="376"/>
      <c r="W260" s="376"/>
      <c r="X260" s="376"/>
      <c r="Y260" s="376"/>
      <c r="Z260" s="376"/>
      <c r="AA260" s="376"/>
      <c r="AB260" s="376"/>
      <c r="AC260" s="376"/>
      <c r="AD260" s="376"/>
      <c r="AE260" s="376"/>
      <c r="AF260" s="376"/>
      <c r="AG260" s="376"/>
      <c r="AH260" s="376"/>
      <c r="AI260" s="376"/>
      <c r="AJ260" s="376"/>
      <c r="AK260" s="377"/>
    </row>
    <row r="261" spans="1:37" ht="14.25" customHeight="1">
      <c r="A261" s="619"/>
      <c r="B261" s="253"/>
      <c r="C261" s="285" t="s">
        <v>195</v>
      </c>
      <c r="D261" s="336"/>
      <c r="E261" s="336"/>
      <c r="F261" s="336"/>
      <c r="G261" s="336"/>
      <c r="H261" s="376"/>
      <c r="I261" s="376"/>
      <c r="J261" s="376"/>
      <c r="K261" s="376"/>
      <c r="L261" s="376"/>
      <c r="M261" s="376"/>
      <c r="N261" s="376"/>
      <c r="O261" s="376"/>
      <c r="P261" s="376"/>
      <c r="Q261" s="376"/>
      <c r="R261" s="376"/>
      <c r="S261" s="376"/>
      <c r="T261" s="376"/>
      <c r="U261" s="376"/>
      <c r="V261" s="376"/>
      <c r="W261" s="376"/>
      <c r="X261" s="376"/>
      <c r="Y261" s="376"/>
      <c r="Z261" s="376"/>
      <c r="AA261" s="376"/>
      <c r="AB261" s="376"/>
      <c r="AC261" s="376"/>
      <c r="AD261" s="376"/>
      <c r="AE261" s="376"/>
      <c r="AF261" s="376"/>
      <c r="AG261" s="376"/>
      <c r="AH261" s="376"/>
      <c r="AI261" s="376"/>
      <c r="AJ261" s="376"/>
      <c r="AK261" s="377"/>
    </row>
    <row r="262" spans="1:37" ht="14.25" customHeight="1">
      <c r="A262" s="619"/>
      <c r="B262" s="253"/>
      <c r="C262" s="259" t="s">
        <v>192</v>
      </c>
      <c r="D262" s="270">
        <v>1.38</v>
      </c>
      <c r="E262" s="270">
        <v>4.29894</v>
      </c>
      <c r="F262" s="270">
        <v>0.11814</v>
      </c>
      <c r="G262" s="323">
        <v>0.24044699999999999</v>
      </c>
      <c r="H262" s="376"/>
      <c r="I262" s="376"/>
      <c r="J262" s="376"/>
      <c r="K262" s="376"/>
      <c r="L262" s="376"/>
      <c r="M262" s="376"/>
      <c r="N262" s="376"/>
      <c r="O262" s="376"/>
      <c r="P262" s="376"/>
      <c r="Q262" s="376"/>
      <c r="R262" s="376"/>
      <c r="S262" s="376"/>
      <c r="T262" s="376"/>
      <c r="U262" s="376"/>
      <c r="V262" s="376"/>
      <c r="W262" s="376"/>
      <c r="X262" s="376"/>
      <c r="Y262" s="376"/>
      <c r="Z262" s="376"/>
      <c r="AA262" s="376"/>
      <c r="AB262" s="376"/>
      <c r="AC262" s="376"/>
      <c r="AD262" s="376"/>
      <c r="AE262" s="376"/>
      <c r="AF262" s="376"/>
      <c r="AG262" s="376"/>
      <c r="AH262" s="376"/>
      <c r="AI262" s="376"/>
      <c r="AJ262" s="376"/>
      <c r="AK262" s="377"/>
    </row>
    <row r="263" spans="1:37" ht="14.25" customHeight="1">
      <c r="A263" s="619"/>
      <c r="B263" s="253"/>
      <c r="C263" s="259" t="s">
        <v>194</v>
      </c>
      <c r="D263" s="270">
        <v>0</v>
      </c>
      <c r="E263" s="270">
        <v>0</v>
      </c>
      <c r="F263" s="270">
        <v>0</v>
      </c>
      <c r="G263" s="270">
        <v>0</v>
      </c>
      <c r="H263" s="376"/>
      <c r="I263" s="376"/>
      <c r="J263" s="376"/>
      <c r="K263" s="376"/>
      <c r="L263" s="376"/>
      <c r="M263" s="376"/>
      <c r="N263" s="376"/>
      <c r="O263" s="376"/>
      <c r="P263" s="376"/>
      <c r="Q263" s="376"/>
      <c r="R263" s="376"/>
      <c r="S263" s="376"/>
      <c r="T263" s="376"/>
      <c r="U263" s="376"/>
      <c r="V263" s="376"/>
      <c r="W263" s="376"/>
      <c r="X263" s="376"/>
      <c r="Y263" s="376"/>
      <c r="Z263" s="376"/>
      <c r="AA263" s="376"/>
      <c r="AB263" s="376"/>
      <c r="AC263" s="376"/>
      <c r="AD263" s="376"/>
      <c r="AE263" s="376"/>
      <c r="AF263" s="376"/>
      <c r="AG263" s="376"/>
      <c r="AH263" s="376"/>
      <c r="AI263" s="376"/>
      <c r="AJ263" s="376"/>
      <c r="AK263" s="377"/>
    </row>
    <row r="264" spans="1:37" ht="14.25" customHeight="1">
      <c r="A264" s="619"/>
      <c r="B264" s="253"/>
      <c r="C264" s="262" t="s">
        <v>836</v>
      </c>
      <c r="D264" s="325">
        <f t="shared" ref="D264:G264" si="45">SUM(D265:D266)</f>
        <v>3.3109399999999996</v>
      </c>
      <c r="E264" s="325">
        <f t="shared" si="45"/>
        <v>4.4920400000000003</v>
      </c>
      <c r="F264" s="325">
        <f t="shared" si="45"/>
        <v>3.9489299999999998</v>
      </c>
      <c r="G264" s="325">
        <f t="shared" si="45"/>
        <v>3.4245465399999997</v>
      </c>
      <c r="H264" s="376"/>
      <c r="I264" s="376"/>
      <c r="J264" s="376"/>
      <c r="K264" s="376"/>
      <c r="L264" s="376"/>
      <c r="M264" s="376"/>
      <c r="N264" s="376"/>
      <c r="O264" s="376"/>
      <c r="P264" s="376"/>
      <c r="Q264" s="376"/>
      <c r="R264" s="376"/>
      <c r="S264" s="376"/>
      <c r="T264" s="376"/>
      <c r="U264" s="376"/>
      <c r="V264" s="376"/>
      <c r="W264" s="376"/>
      <c r="X264" s="376"/>
      <c r="Y264" s="376"/>
      <c r="Z264" s="376"/>
      <c r="AA264" s="376"/>
      <c r="AB264" s="376"/>
      <c r="AC264" s="376"/>
      <c r="AD264" s="376"/>
      <c r="AE264" s="376"/>
      <c r="AF264" s="376"/>
      <c r="AG264" s="376"/>
      <c r="AH264" s="376"/>
      <c r="AI264" s="376"/>
      <c r="AJ264" s="376"/>
      <c r="AK264" s="377"/>
    </row>
    <row r="265" spans="1:37" ht="14.25" customHeight="1">
      <c r="A265" s="619"/>
      <c r="B265" s="253"/>
      <c r="C265" s="285" t="s">
        <v>188</v>
      </c>
      <c r="D265" s="336">
        <v>0.75429999999999997</v>
      </c>
      <c r="E265" s="336">
        <v>0.72505000000000008</v>
      </c>
      <c r="F265" s="336">
        <v>0.73980000000000001</v>
      </c>
      <c r="G265" s="344">
        <v>0.73865100000000006</v>
      </c>
      <c r="H265" s="376"/>
      <c r="I265" s="376"/>
      <c r="J265" s="376"/>
      <c r="K265" s="376"/>
      <c r="L265" s="376"/>
      <c r="M265" s="376"/>
      <c r="N265" s="376"/>
      <c r="O265" s="376"/>
      <c r="P265" s="376"/>
      <c r="Q265" s="376"/>
      <c r="R265" s="376"/>
      <c r="S265" s="376"/>
      <c r="T265" s="376"/>
      <c r="U265" s="376"/>
      <c r="V265" s="376"/>
      <c r="W265" s="376"/>
      <c r="X265" s="376"/>
      <c r="Y265" s="376"/>
      <c r="Z265" s="376"/>
      <c r="AA265" s="376"/>
      <c r="AB265" s="376"/>
      <c r="AC265" s="376"/>
      <c r="AD265" s="376"/>
      <c r="AE265" s="376"/>
      <c r="AF265" s="376"/>
      <c r="AG265" s="376"/>
      <c r="AH265" s="376"/>
      <c r="AI265" s="376"/>
      <c r="AJ265" s="376"/>
      <c r="AK265" s="377"/>
    </row>
    <row r="266" spans="1:37" ht="14.25" customHeight="1">
      <c r="A266" s="619"/>
      <c r="B266" s="253"/>
      <c r="C266" s="285" t="s">
        <v>190</v>
      </c>
      <c r="D266" s="336">
        <v>2.5566399999999998</v>
      </c>
      <c r="E266" s="336">
        <v>3.7669900000000003</v>
      </c>
      <c r="F266" s="336">
        <v>3.20913</v>
      </c>
      <c r="G266" s="344">
        <v>2.6858955399999997</v>
      </c>
      <c r="H266" s="376"/>
      <c r="I266" s="376"/>
      <c r="J266" s="376"/>
      <c r="K266" s="376"/>
      <c r="L266" s="376"/>
      <c r="M266" s="376"/>
      <c r="N266" s="376"/>
      <c r="O266" s="376"/>
      <c r="P266" s="376"/>
      <c r="Q266" s="376"/>
      <c r="R266" s="376"/>
      <c r="S266" s="376"/>
      <c r="T266" s="376"/>
      <c r="U266" s="376"/>
      <c r="V266" s="376"/>
      <c r="W266" s="376"/>
      <c r="X266" s="376"/>
      <c r="Y266" s="376"/>
      <c r="Z266" s="376"/>
      <c r="AA266" s="376"/>
      <c r="AB266" s="376"/>
      <c r="AC266" s="376"/>
      <c r="AD266" s="376"/>
      <c r="AE266" s="376"/>
      <c r="AF266" s="376"/>
      <c r="AG266" s="376"/>
      <c r="AH266" s="376"/>
      <c r="AI266" s="376"/>
      <c r="AJ266" s="376"/>
      <c r="AK266" s="377"/>
    </row>
    <row r="267" spans="1:37" ht="14.25" customHeight="1">
      <c r="A267" s="619"/>
      <c r="B267" s="253"/>
      <c r="C267" s="262" t="s">
        <v>837</v>
      </c>
      <c r="D267" s="325">
        <f t="shared" ref="D267:G267" si="46">SUM(D268,D278,D283)</f>
        <v>3841.2616899999994</v>
      </c>
      <c r="E267" s="325">
        <f t="shared" si="46"/>
        <v>4088.3414279300009</v>
      </c>
      <c r="F267" s="325">
        <f t="shared" si="46"/>
        <v>3917.6574513529999</v>
      </c>
      <c r="G267" s="325">
        <f t="shared" si="46"/>
        <v>4008.9170553649983</v>
      </c>
      <c r="H267" s="376"/>
      <c r="I267" s="376"/>
      <c r="J267" s="376"/>
      <c r="K267" s="376"/>
      <c r="L267" s="376"/>
      <c r="M267" s="376"/>
      <c r="N267" s="376"/>
      <c r="O267" s="376"/>
      <c r="P267" s="376"/>
      <c r="Q267" s="376"/>
      <c r="R267" s="376"/>
      <c r="S267" s="376"/>
      <c r="T267" s="376"/>
      <c r="U267" s="376"/>
      <c r="V267" s="376"/>
      <c r="W267" s="376"/>
      <c r="X267" s="376"/>
      <c r="Y267" s="376"/>
      <c r="Z267" s="376"/>
      <c r="AA267" s="376"/>
      <c r="AB267" s="376"/>
      <c r="AC267" s="376"/>
      <c r="AD267" s="376"/>
      <c r="AE267" s="376"/>
      <c r="AF267" s="376"/>
      <c r="AG267" s="376"/>
      <c r="AH267" s="376"/>
      <c r="AI267" s="376"/>
      <c r="AJ267" s="376"/>
      <c r="AK267" s="377"/>
    </row>
    <row r="268" spans="1:37" ht="14.25" customHeight="1">
      <c r="A268" s="619"/>
      <c r="B268" s="253"/>
      <c r="C268" s="266" t="s">
        <v>145</v>
      </c>
      <c r="D268" s="267">
        <f t="shared" ref="D268:G268" si="47">SUM(D270:D277)</f>
        <v>3493.2668899999994</v>
      </c>
      <c r="E268" s="267">
        <f t="shared" si="47"/>
        <v>3764.1677279310006</v>
      </c>
      <c r="F268" s="267">
        <f t="shared" si="47"/>
        <v>3638.9996823229999</v>
      </c>
      <c r="G268" s="267">
        <f t="shared" si="47"/>
        <v>3663.6138899429984</v>
      </c>
      <c r="H268" s="376"/>
      <c r="I268" s="376"/>
      <c r="J268" s="376"/>
      <c r="K268" s="376"/>
      <c r="L268" s="376"/>
      <c r="M268" s="376"/>
      <c r="N268" s="376"/>
      <c r="O268" s="376"/>
      <c r="P268" s="376"/>
      <c r="Q268" s="376"/>
      <c r="R268" s="376"/>
      <c r="S268" s="376"/>
      <c r="T268" s="376"/>
      <c r="U268" s="376"/>
      <c r="V268" s="376"/>
      <c r="W268" s="376"/>
      <c r="X268" s="376"/>
      <c r="Y268" s="376"/>
      <c r="Z268" s="376"/>
      <c r="AA268" s="376"/>
      <c r="AB268" s="376"/>
      <c r="AC268" s="376"/>
      <c r="AD268" s="376"/>
      <c r="AE268" s="376"/>
      <c r="AF268" s="376"/>
      <c r="AG268" s="376"/>
      <c r="AH268" s="376"/>
      <c r="AI268" s="376"/>
      <c r="AJ268" s="376"/>
      <c r="AK268" s="377"/>
    </row>
    <row r="269" spans="1:37" ht="14.25" customHeight="1">
      <c r="A269" s="619"/>
      <c r="B269" s="253"/>
      <c r="C269" s="285" t="s">
        <v>190</v>
      </c>
      <c r="D269" s="336"/>
      <c r="E269" s="336"/>
      <c r="F269" s="336"/>
      <c r="G269" s="336"/>
      <c r="H269" s="376"/>
      <c r="I269" s="376"/>
      <c r="J269" s="376"/>
      <c r="K269" s="376"/>
      <c r="L269" s="376"/>
      <c r="M269" s="376"/>
      <c r="N269" s="376"/>
      <c r="O269" s="376"/>
      <c r="P269" s="376"/>
      <c r="Q269" s="376"/>
      <c r="R269" s="376"/>
      <c r="S269" s="376"/>
      <c r="T269" s="376"/>
      <c r="U269" s="376"/>
      <c r="V269" s="376"/>
      <c r="W269" s="376"/>
      <c r="X269" s="376"/>
      <c r="Y269" s="376"/>
      <c r="Z269" s="376"/>
      <c r="AA269" s="376"/>
      <c r="AB269" s="376"/>
      <c r="AC269" s="376"/>
      <c r="AD269" s="376"/>
      <c r="AE269" s="376"/>
      <c r="AF269" s="376"/>
      <c r="AG269" s="376"/>
      <c r="AH269" s="376"/>
      <c r="AI269" s="376"/>
      <c r="AJ269" s="376"/>
      <c r="AK269" s="377"/>
    </row>
    <row r="270" spans="1:37" ht="14.25" customHeight="1">
      <c r="A270" s="619"/>
      <c r="B270" s="253"/>
      <c r="C270" s="259" t="s">
        <v>201</v>
      </c>
      <c r="D270" s="545">
        <v>120.27</v>
      </c>
      <c r="E270" s="270">
        <v>108.66</v>
      </c>
      <c r="F270" s="270">
        <v>119.61000000000001</v>
      </c>
      <c r="G270" s="323">
        <v>15.043623696000003</v>
      </c>
      <c r="H270" s="376"/>
      <c r="I270" s="376"/>
      <c r="J270" s="376"/>
      <c r="K270" s="376"/>
      <c r="L270" s="376"/>
      <c r="M270" s="376"/>
      <c r="N270" s="376"/>
      <c r="O270" s="376"/>
      <c r="P270" s="376"/>
      <c r="Q270" s="376"/>
      <c r="R270" s="376"/>
      <c r="S270" s="376"/>
      <c r="T270" s="376"/>
      <c r="U270" s="376"/>
      <c r="V270" s="376"/>
      <c r="W270" s="376"/>
      <c r="X270" s="376"/>
      <c r="Y270" s="376"/>
      <c r="Z270" s="376"/>
      <c r="AA270" s="376"/>
      <c r="AB270" s="376"/>
      <c r="AC270" s="376"/>
      <c r="AD270" s="376"/>
      <c r="AE270" s="376"/>
      <c r="AF270" s="376"/>
      <c r="AG270" s="376"/>
      <c r="AH270" s="376"/>
      <c r="AI270" s="376"/>
      <c r="AJ270" s="376"/>
      <c r="AK270" s="377"/>
    </row>
    <row r="271" spans="1:37" ht="14.25" customHeight="1">
      <c r="A271" s="619"/>
      <c r="B271" s="253"/>
      <c r="C271" s="285" t="s">
        <v>188</v>
      </c>
      <c r="D271" s="336"/>
      <c r="E271" s="336"/>
      <c r="F271" s="336"/>
      <c r="G271" s="336"/>
      <c r="H271" s="376"/>
      <c r="I271" s="376"/>
      <c r="J271" s="376"/>
      <c r="K271" s="376"/>
      <c r="L271" s="376"/>
      <c r="M271" s="376"/>
      <c r="N271" s="376"/>
      <c r="O271" s="376"/>
      <c r="P271" s="376"/>
      <c r="Q271" s="376"/>
      <c r="R271" s="376"/>
      <c r="S271" s="376"/>
      <c r="T271" s="376"/>
      <c r="U271" s="376"/>
      <c r="V271" s="376"/>
      <c r="W271" s="376"/>
      <c r="X271" s="376"/>
      <c r="Y271" s="376"/>
      <c r="Z271" s="376"/>
      <c r="AA271" s="376"/>
      <c r="AB271" s="376"/>
      <c r="AC271" s="376"/>
      <c r="AD271" s="376"/>
      <c r="AE271" s="376"/>
      <c r="AF271" s="376"/>
      <c r="AG271" s="376"/>
      <c r="AH271" s="376"/>
      <c r="AI271" s="376"/>
      <c r="AJ271" s="376"/>
      <c r="AK271" s="377"/>
    </row>
    <row r="272" spans="1:37" ht="14.25" customHeight="1">
      <c r="A272" s="619"/>
      <c r="B272" s="253"/>
      <c r="C272" s="259" t="s">
        <v>201</v>
      </c>
      <c r="D272" s="545">
        <v>46.5</v>
      </c>
      <c r="E272" s="344">
        <v>47.977692488999985</v>
      </c>
      <c r="F272" s="270">
        <v>42.129999999999995</v>
      </c>
      <c r="G272" s="323">
        <v>46.509805733999997</v>
      </c>
      <c r="H272" s="376"/>
      <c r="I272" s="376"/>
      <c r="J272" s="376"/>
      <c r="K272" s="376"/>
      <c r="L272" s="376"/>
      <c r="M272" s="376"/>
      <c r="N272" s="376"/>
      <c r="O272" s="376"/>
      <c r="P272" s="376"/>
      <c r="Q272" s="376"/>
      <c r="R272" s="376"/>
      <c r="S272" s="376"/>
      <c r="T272" s="376"/>
      <c r="U272" s="376"/>
      <c r="V272" s="376"/>
      <c r="W272" s="376"/>
      <c r="X272" s="376"/>
      <c r="Y272" s="376"/>
      <c r="Z272" s="376"/>
      <c r="AA272" s="376"/>
      <c r="AB272" s="376"/>
      <c r="AC272" s="376"/>
      <c r="AD272" s="376"/>
      <c r="AE272" s="376"/>
      <c r="AF272" s="376"/>
      <c r="AG272" s="376"/>
      <c r="AH272" s="376"/>
      <c r="AI272" s="376"/>
      <c r="AJ272" s="376"/>
      <c r="AK272" s="377"/>
    </row>
    <row r="273" spans="1:37" ht="14.25" customHeight="1">
      <c r="A273" s="619"/>
      <c r="B273" s="253"/>
      <c r="C273" s="285" t="s">
        <v>203</v>
      </c>
      <c r="D273" s="336"/>
      <c r="E273" s="336"/>
      <c r="F273" s="336"/>
      <c r="G273" s="336"/>
      <c r="H273" s="376"/>
      <c r="I273" s="376"/>
      <c r="J273" s="376"/>
      <c r="K273" s="376"/>
      <c r="L273" s="376"/>
      <c r="M273" s="376"/>
      <c r="N273" s="376"/>
      <c r="O273" s="376"/>
      <c r="P273" s="376"/>
      <c r="Q273" s="376"/>
      <c r="R273" s="376"/>
      <c r="S273" s="376"/>
      <c r="T273" s="376"/>
      <c r="U273" s="376"/>
      <c r="V273" s="376"/>
      <c r="W273" s="376"/>
      <c r="X273" s="376"/>
      <c r="Y273" s="376"/>
      <c r="Z273" s="376"/>
      <c r="AA273" s="376"/>
      <c r="AB273" s="376"/>
      <c r="AC273" s="376"/>
      <c r="AD273" s="376"/>
      <c r="AE273" s="376"/>
      <c r="AF273" s="376"/>
      <c r="AG273" s="376"/>
      <c r="AH273" s="376"/>
      <c r="AI273" s="376"/>
      <c r="AJ273" s="376"/>
      <c r="AK273" s="377"/>
    </row>
    <row r="274" spans="1:37" ht="14.25" customHeight="1">
      <c r="A274" s="619"/>
      <c r="B274" s="253"/>
      <c r="C274" s="259" t="s">
        <v>205</v>
      </c>
      <c r="D274" s="545">
        <v>1715.8951999999999</v>
      </c>
      <c r="E274" s="344">
        <v>1690.8709894870003</v>
      </c>
      <c r="F274" s="344">
        <v>1636.7736917929997</v>
      </c>
      <c r="G274" s="323">
        <v>1735.2301718479994</v>
      </c>
      <c r="H274" s="376"/>
      <c r="I274" s="376"/>
      <c r="J274" s="376"/>
      <c r="K274" s="376"/>
      <c r="L274" s="376"/>
      <c r="M274" s="376"/>
      <c r="N274" s="376"/>
      <c r="O274" s="376"/>
      <c r="P274" s="376"/>
      <c r="Q274" s="376"/>
      <c r="R274" s="376"/>
      <c r="S274" s="376"/>
      <c r="T274" s="376"/>
      <c r="U274" s="376"/>
      <c r="V274" s="376"/>
      <c r="W274" s="376"/>
      <c r="X274" s="376"/>
      <c r="Y274" s="376"/>
      <c r="Z274" s="376"/>
      <c r="AA274" s="376"/>
      <c r="AB274" s="376"/>
      <c r="AC274" s="376"/>
      <c r="AD274" s="376"/>
      <c r="AE274" s="376"/>
      <c r="AF274" s="376"/>
      <c r="AG274" s="376"/>
      <c r="AH274" s="376"/>
      <c r="AI274" s="376"/>
      <c r="AJ274" s="376"/>
      <c r="AK274" s="377"/>
    </row>
    <row r="275" spans="1:37" ht="14.25" customHeight="1">
      <c r="A275" s="619"/>
      <c r="B275" s="253"/>
      <c r="C275" s="259" t="s">
        <v>201</v>
      </c>
      <c r="D275" s="545">
        <v>939.64599999999984</v>
      </c>
      <c r="E275" s="344">
        <v>1281.784456437</v>
      </c>
      <c r="F275" s="344">
        <v>1220.8664890000002</v>
      </c>
      <c r="G275" s="323">
        <v>1182.0103151619992</v>
      </c>
      <c r="H275" s="376"/>
      <c r="I275" s="376"/>
      <c r="J275" s="376"/>
      <c r="K275" s="376"/>
      <c r="L275" s="376"/>
      <c r="M275" s="376"/>
      <c r="N275" s="376"/>
      <c r="O275" s="376"/>
      <c r="P275" s="376"/>
      <c r="Q275" s="376"/>
      <c r="R275" s="376"/>
      <c r="S275" s="376"/>
      <c r="T275" s="376"/>
      <c r="U275" s="376"/>
      <c r="V275" s="376"/>
      <c r="W275" s="376"/>
      <c r="X275" s="376"/>
      <c r="Y275" s="376"/>
      <c r="Z275" s="376"/>
      <c r="AA275" s="376"/>
      <c r="AB275" s="376"/>
      <c r="AC275" s="376"/>
      <c r="AD275" s="376"/>
      <c r="AE275" s="376"/>
      <c r="AF275" s="376"/>
      <c r="AG275" s="376"/>
      <c r="AH275" s="376"/>
      <c r="AI275" s="376"/>
      <c r="AJ275" s="376"/>
      <c r="AK275" s="377"/>
    </row>
    <row r="276" spans="1:37" ht="14.25" customHeight="1">
      <c r="A276" s="619"/>
      <c r="B276" s="253"/>
      <c r="C276" s="259" t="s">
        <v>208</v>
      </c>
      <c r="D276" s="270">
        <v>71.58</v>
      </c>
      <c r="E276" s="270">
        <v>66.11277905999998</v>
      </c>
      <c r="F276" s="270">
        <v>69.427269999999993</v>
      </c>
      <c r="G276" s="323">
        <v>70.977553760000021</v>
      </c>
      <c r="H276" s="376"/>
      <c r="I276" s="376"/>
      <c r="J276" s="376"/>
      <c r="K276" s="376"/>
      <c r="L276" s="376"/>
      <c r="M276" s="376"/>
      <c r="N276" s="376"/>
      <c r="O276" s="376"/>
      <c r="P276" s="376"/>
      <c r="Q276" s="376"/>
      <c r="R276" s="376"/>
      <c r="S276" s="376"/>
      <c r="T276" s="376"/>
      <c r="U276" s="376"/>
      <c r="V276" s="376"/>
      <c r="W276" s="376"/>
      <c r="X276" s="376"/>
      <c r="Y276" s="376"/>
      <c r="Z276" s="376"/>
      <c r="AA276" s="376"/>
      <c r="AB276" s="376"/>
      <c r="AC276" s="376"/>
      <c r="AD276" s="376"/>
      <c r="AE276" s="376"/>
      <c r="AF276" s="376"/>
      <c r="AG276" s="376"/>
      <c r="AH276" s="376"/>
      <c r="AI276" s="376"/>
      <c r="AJ276" s="376"/>
      <c r="AK276" s="377"/>
    </row>
    <row r="277" spans="1:37" ht="14.25" customHeight="1">
      <c r="A277" s="619"/>
      <c r="B277" s="253"/>
      <c r="C277" s="259" t="s">
        <v>210</v>
      </c>
      <c r="D277" s="545">
        <v>599.37568999999985</v>
      </c>
      <c r="E277" s="344">
        <v>568.76181045800001</v>
      </c>
      <c r="F277" s="344">
        <v>550.19223152999996</v>
      </c>
      <c r="G277" s="323">
        <v>613.84241974300005</v>
      </c>
      <c r="H277" s="376"/>
      <c r="I277" s="376"/>
      <c r="J277" s="376"/>
      <c r="K277" s="376"/>
      <c r="L277" s="376"/>
      <c r="M277" s="376"/>
      <c r="N277" s="376"/>
      <c r="O277" s="376"/>
      <c r="P277" s="376"/>
      <c r="Q277" s="376"/>
      <c r="R277" s="376"/>
      <c r="S277" s="376"/>
      <c r="T277" s="376"/>
      <c r="U277" s="376"/>
      <c r="V277" s="376"/>
      <c r="W277" s="376"/>
      <c r="X277" s="376"/>
      <c r="Y277" s="376"/>
      <c r="Z277" s="376"/>
      <c r="AA277" s="376"/>
      <c r="AB277" s="376"/>
      <c r="AC277" s="376"/>
      <c r="AD277" s="376"/>
      <c r="AE277" s="376"/>
      <c r="AF277" s="376"/>
      <c r="AG277" s="376"/>
      <c r="AH277" s="376"/>
      <c r="AI277" s="376"/>
      <c r="AJ277" s="376"/>
      <c r="AK277" s="377"/>
    </row>
    <row r="278" spans="1:37" ht="14.25" customHeight="1">
      <c r="A278" s="619"/>
      <c r="B278" s="253"/>
      <c r="C278" s="266" t="s">
        <v>153</v>
      </c>
      <c r="D278" s="267">
        <f t="shared" ref="D278:G278" si="48">SUM(D280:D282)</f>
        <v>318.59480000000002</v>
      </c>
      <c r="E278" s="267">
        <f t="shared" si="48"/>
        <v>297.08369999899998</v>
      </c>
      <c r="F278" s="267">
        <f t="shared" si="48"/>
        <v>273.59214902999997</v>
      </c>
      <c r="G278" s="267">
        <f t="shared" si="48"/>
        <v>317.28770346199991</v>
      </c>
      <c r="H278" s="376"/>
      <c r="I278" s="376"/>
      <c r="J278" s="376"/>
      <c r="K278" s="376"/>
      <c r="L278" s="376"/>
      <c r="M278" s="376"/>
      <c r="N278" s="376"/>
      <c r="O278" s="376"/>
      <c r="P278" s="376"/>
      <c r="Q278" s="376"/>
      <c r="R278" s="376"/>
      <c r="S278" s="376"/>
      <c r="T278" s="376"/>
      <c r="U278" s="376"/>
      <c r="V278" s="376"/>
      <c r="W278" s="376"/>
      <c r="X278" s="376"/>
      <c r="Y278" s="376"/>
      <c r="Z278" s="376"/>
      <c r="AA278" s="376"/>
      <c r="AB278" s="376"/>
      <c r="AC278" s="376"/>
      <c r="AD278" s="376"/>
      <c r="AE278" s="376"/>
      <c r="AF278" s="376"/>
      <c r="AG278" s="376"/>
      <c r="AH278" s="376"/>
      <c r="AI278" s="376"/>
      <c r="AJ278" s="376"/>
      <c r="AK278" s="377"/>
    </row>
    <row r="279" spans="1:37" ht="14.25" customHeight="1">
      <c r="A279" s="619"/>
      <c r="B279" s="253"/>
      <c r="C279" s="285" t="s">
        <v>203</v>
      </c>
      <c r="D279" s="336"/>
      <c r="E279" s="336"/>
      <c r="F279" s="336"/>
      <c r="G279" s="336"/>
      <c r="H279" s="376"/>
      <c r="I279" s="376"/>
      <c r="J279" s="376"/>
      <c r="K279" s="376"/>
      <c r="L279" s="376"/>
      <c r="M279" s="376"/>
      <c r="N279" s="376"/>
      <c r="O279" s="376"/>
      <c r="P279" s="376"/>
      <c r="Q279" s="376"/>
      <c r="R279" s="376"/>
      <c r="S279" s="376"/>
      <c r="T279" s="376"/>
      <c r="U279" s="376"/>
      <c r="V279" s="376"/>
      <c r="W279" s="376"/>
      <c r="X279" s="376"/>
      <c r="Y279" s="376"/>
      <c r="Z279" s="376"/>
      <c r="AA279" s="376"/>
      <c r="AB279" s="376"/>
      <c r="AC279" s="376"/>
      <c r="AD279" s="376"/>
      <c r="AE279" s="376"/>
      <c r="AF279" s="376"/>
      <c r="AG279" s="376"/>
      <c r="AH279" s="376"/>
      <c r="AI279" s="376"/>
      <c r="AJ279" s="376"/>
      <c r="AK279" s="377"/>
    </row>
    <row r="280" spans="1:37" ht="14.25" customHeight="1">
      <c r="A280" s="619"/>
      <c r="B280" s="253"/>
      <c r="C280" s="259" t="s">
        <v>201</v>
      </c>
      <c r="D280" s="139">
        <v>156.92400000000001</v>
      </c>
      <c r="E280" s="344">
        <v>154.03159999900001</v>
      </c>
      <c r="F280" s="344">
        <v>137.25133600000001</v>
      </c>
      <c r="G280" s="323">
        <v>139.96931199999997</v>
      </c>
      <c r="H280" s="376"/>
      <c r="I280" s="376"/>
      <c r="J280" s="376"/>
      <c r="K280" s="376"/>
      <c r="L280" s="376"/>
      <c r="M280" s="376"/>
      <c r="N280" s="376"/>
      <c r="O280" s="376"/>
      <c r="P280" s="376"/>
      <c r="Q280" s="376"/>
      <c r="R280" s="376"/>
      <c r="S280" s="376"/>
      <c r="T280" s="376"/>
      <c r="U280" s="376"/>
      <c r="V280" s="376"/>
      <c r="W280" s="376"/>
      <c r="X280" s="376"/>
      <c r="Y280" s="376"/>
      <c r="Z280" s="376"/>
      <c r="AA280" s="376"/>
      <c r="AB280" s="376"/>
      <c r="AC280" s="376"/>
      <c r="AD280" s="376"/>
      <c r="AE280" s="376"/>
      <c r="AF280" s="376"/>
      <c r="AG280" s="376"/>
      <c r="AH280" s="376"/>
      <c r="AI280" s="376"/>
      <c r="AJ280" s="376"/>
      <c r="AK280" s="377"/>
    </row>
    <row r="281" spans="1:37" ht="14.25" customHeight="1">
      <c r="A281" s="619"/>
      <c r="B281" s="253"/>
      <c r="C281" s="259" t="s">
        <v>210</v>
      </c>
      <c r="D281" s="545">
        <v>148.82599999999999</v>
      </c>
      <c r="E281" s="344">
        <v>135.54679999999999</v>
      </c>
      <c r="F281" s="344">
        <v>129.67383602999999</v>
      </c>
      <c r="G281" s="323">
        <v>175.37838946199997</v>
      </c>
      <c r="H281" s="376"/>
      <c r="I281" s="376"/>
      <c r="J281" s="376"/>
      <c r="K281" s="376"/>
      <c r="L281" s="376"/>
      <c r="M281" s="376"/>
      <c r="N281" s="376"/>
      <c r="O281" s="376"/>
      <c r="P281" s="376"/>
      <c r="Q281" s="376"/>
      <c r="R281" s="376"/>
      <c r="S281" s="376"/>
      <c r="T281" s="376"/>
      <c r="U281" s="376"/>
      <c r="V281" s="376"/>
      <c r="W281" s="376"/>
      <c r="X281" s="376"/>
      <c r="Y281" s="376"/>
      <c r="Z281" s="376"/>
      <c r="AA281" s="376"/>
      <c r="AB281" s="376"/>
      <c r="AC281" s="376"/>
      <c r="AD281" s="376"/>
      <c r="AE281" s="376"/>
      <c r="AF281" s="376"/>
      <c r="AG281" s="376"/>
      <c r="AH281" s="376"/>
      <c r="AI281" s="376"/>
      <c r="AJ281" s="376"/>
      <c r="AK281" s="377"/>
    </row>
    <row r="282" spans="1:37" ht="14.25" customHeight="1">
      <c r="A282" s="619"/>
      <c r="B282" s="253"/>
      <c r="C282" s="259" t="s">
        <v>205</v>
      </c>
      <c r="D282" s="545">
        <v>12.844799999999999</v>
      </c>
      <c r="E282" s="344">
        <v>7.5053000000000001</v>
      </c>
      <c r="F282" s="344">
        <v>6.6669770000000002</v>
      </c>
      <c r="G282" s="323">
        <v>1.940002</v>
      </c>
      <c r="H282" s="376"/>
      <c r="I282" s="376"/>
      <c r="J282" s="376"/>
      <c r="K282" s="376"/>
      <c r="L282" s="376"/>
      <c r="M282" s="376"/>
      <c r="N282" s="376"/>
      <c r="O282" s="376"/>
      <c r="P282" s="376"/>
      <c r="Q282" s="376"/>
      <c r="R282" s="376"/>
      <c r="S282" s="376"/>
      <c r="T282" s="376"/>
      <c r="U282" s="376"/>
      <c r="V282" s="376"/>
      <c r="W282" s="376"/>
      <c r="X282" s="376"/>
      <c r="Y282" s="376"/>
      <c r="Z282" s="376"/>
      <c r="AA282" s="376"/>
      <c r="AB282" s="376"/>
      <c r="AC282" s="376"/>
      <c r="AD282" s="376"/>
      <c r="AE282" s="376"/>
      <c r="AF282" s="376"/>
      <c r="AG282" s="376"/>
      <c r="AH282" s="376"/>
      <c r="AI282" s="376"/>
      <c r="AJ282" s="376"/>
      <c r="AK282" s="377"/>
    </row>
    <row r="283" spans="1:37" ht="14.25" customHeight="1">
      <c r="A283" s="619"/>
      <c r="B283" s="253"/>
      <c r="C283" s="266" t="s">
        <v>158</v>
      </c>
      <c r="D283" s="267">
        <f t="shared" ref="D283:G283" si="49">SUM(D285:D289)</f>
        <v>29.400000000000066</v>
      </c>
      <c r="E283" s="267">
        <f t="shared" si="49"/>
        <v>27.090000000000128</v>
      </c>
      <c r="F283" s="267">
        <f t="shared" si="49"/>
        <v>5.06562</v>
      </c>
      <c r="G283" s="267">
        <f t="shared" si="49"/>
        <v>28.01546196</v>
      </c>
      <c r="H283" s="376"/>
      <c r="I283" s="376"/>
      <c r="J283" s="376"/>
      <c r="K283" s="376"/>
      <c r="L283" s="376"/>
      <c r="M283" s="376"/>
      <c r="N283" s="376"/>
      <c r="O283" s="376"/>
      <c r="P283" s="376"/>
      <c r="Q283" s="376"/>
      <c r="R283" s="376"/>
      <c r="S283" s="376"/>
      <c r="T283" s="376"/>
      <c r="U283" s="376"/>
      <c r="V283" s="376"/>
      <c r="W283" s="376"/>
      <c r="X283" s="376"/>
      <c r="Y283" s="376"/>
      <c r="Z283" s="376"/>
      <c r="AA283" s="376"/>
      <c r="AB283" s="376"/>
      <c r="AC283" s="376"/>
      <c r="AD283" s="376"/>
      <c r="AE283" s="376"/>
      <c r="AF283" s="376"/>
      <c r="AG283" s="376"/>
      <c r="AH283" s="376"/>
      <c r="AI283" s="376"/>
      <c r="AJ283" s="376"/>
      <c r="AK283" s="377"/>
    </row>
    <row r="284" spans="1:37" ht="14.25" customHeight="1">
      <c r="A284" s="619"/>
      <c r="B284" s="253"/>
      <c r="C284" s="285" t="s">
        <v>190</v>
      </c>
      <c r="D284" s="336"/>
      <c r="E284" s="336"/>
      <c r="F284" s="336"/>
      <c r="G284" s="336"/>
      <c r="H284" s="376"/>
      <c r="I284" s="376"/>
      <c r="J284" s="376"/>
      <c r="K284" s="376"/>
      <c r="L284" s="376"/>
      <c r="M284" s="376"/>
      <c r="N284" s="376"/>
      <c r="O284" s="376"/>
      <c r="P284" s="376"/>
      <c r="Q284" s="376"/>
      <c r="R284" s="376"/>
      <c r="S284" s="376"/>
      <c r="T284" s="376"/>
      <c r="U284" s="376"/>
      <c r="V284" s="376"/>
      <c r="W284" s="376"/>
      <c r="X284" s="376"/>
      <c r="Y284" s="376"/>
      <c r="Z284" s="376"/>
      <c r="AA284" s="376"/>
      <c r="AB284" s="376"/>
      <c r="AC284" s="376"/>
      <c r="AD284" s="376"/>
      <c r="AE284" s="376"/>
      <c r="AF284" s="376"/>
      <c r="AG284" s="376"/>
      <c r="AH284" s="376"/>
      <c r="AI284" s="376"/>
      <c r="AJ284" s="376"/>
      <c r="AK284" s="377"/>
    </row>
    <row r="285" spans="1:37" ht="14.25" customHeight="1">
      <c r="A285" s="619"/>
      <c r="B285" s="253"/>
      <c r="C285" s="259" t="s">
        <v>201</v>
      </c>
      <c r="D285" s="139">
        <v>1.6900000000000001E-3</v>
      </c>
      <c r="E285" s="270">
        <v>0</v>
      </c>
      <c r="F285" s="270">
        <v>0</v>
      </c>
      <c r="G285" s="270">
        <v>0</v>
      </c>
      <c r="H285" s="376"/>
      <c r="I285" s="376"/>
      <c r="J285" s="376"/>
      <c r="K285" s="376"/>
      <c r="L285" s="376"/>
      <c r="M285" s="376"/>
      <c r="N285" s="376"/>
      <c r="O285" s="376"/>
      <c r="P285" s="376"/>
      <c r="Q285" s="376"/>
      <c r="R285" s="376"/>
      <c r="S285" s="376"/>
      <c r="T285" s="376"/>
      <c r="U285" s="376"/>
      <c r="V285" s="376"/>
      <c r="W285" s="376"/>
      <c r="X285" s="376"/>
      <c r="Y285" s="376"/>
      <c r="Z285" s="376"/>
      <c r="AA285" s="376"/>
      <c r="AB285" s="376"/>
      <c r="AC285" s="376"/>
      <c r="AD285" s="376"/>
      <c r="AE285" s="376"/>
      <c r="AF285" s="376"/>
      <c r="AG285" s="376"/>
      <c r="AH285" s="376"/>
      <c r="AI285" s="376"/>
      <c r="AJ285" s="376"/>
      <c r="AK285" s="377"/>
    </row>
    <row r="286" spans="1:37" ht="14.25" customHeight="1">
      <c r="A286" s="619"/>
      <c r="B286" s="253"/>
      <c r="C286" s="285" t="s">
        <v>195</v>
      </c>
      <c r="D286" s="336"/>
      <c r="E286" s="336"/>
      <c r="F286" s="336"/>
      <c r="G286" s="336"/>
      <c r="H286" s="376"/>
      <c r="I286" s="376"/>
      <c r="J286" s="376"/>
      <c r="K286" s="376"/>
      <c r="L286" s="376"/>
      <c r="M286" s="376"/>
      <c r="N286" s="376"/>
      <c r="O286" s="376"/>
      <c r="P286" s="376"/>
      <c r="Q286" s="376"/>
      <c r="R286" s="376"/>
      <c r="S286" s="376"/>
      <c r="T286" s="376"/>
      <c r="U286" s="376"/>
      <c r="V286" s="376"/>
      <c r="W286" s="376"/>
      <c r="X286" s="376"/>
      <c r="Y286" s="376"/>
      <c r="Z286" s="376"/>
      <c r="AA286" s="376"/>
      <c r="AB286" s="376"/>
      <c r="AC286" s="376"/>
      <c r="AD286" s="376"/>
      <c r="AE286" s="376"/>
      <c r="AF286" s="376"/>
      <c r="AG286" s="376"/>
      <c r="AH286" s="376"/>
      <c r="AI286" s="376"/>
      <c r="AJ286" s="376"/>
      <c r="AK286" s="377"/>
    </row>
    <row r="287" spans="1:37" ht="14.25" customHeight="1">
      <c r="A287" s="619"/>
      <c r="B287" s="253"/>
      <c r="C287" s="259" t="s">
        <v>201</v>
      </c>
      <c r="D287" s="545">
        <v>0.03</v>
      </c>
      <c r="E287" s="270">
        <v>1.206E-2</v>
      </c>
      <c r="F287" s="270">
        <v>1.2E-4</v>
      </c>
      <c r="G287" s="270">
        <v>0</v>
      </c>
      <c r="H287" s="376"/>
      <c r="I287" s="376"/>
      <c r="J287" s="376"/>
      <c r="K287" s="376"/>
      <c r="L287" s="376"/>
      <c r="M287" s="376"/>
      <c r="N287" s="376"/>
      <c r="O287" s="376"/>
      <c r="P287" s="376"/>
      <c r="Q287" s="376"/>
      <c r="R287" s="376"/>
      <c r="S287" s="376"/>
      <c r="T287" s="376"/>
      <c r="U287" s="376"/>
      <c r="V287" s="376"/>
      <c r="W287" s="376"/>
      <c r="X287" s="376"/>
      <c r="Y287" s="376"/>
      <c r="Z287" s="376"/>
      <c r="AA287" s="376"/>
      <c r="AB287" s="376"/>
      <c r="AC287" s="376"/>
      <c r="AD287" s="376"/>
      <c r="AE287" s="376"/>
      <c r="AF287" s="376"/>
      <c r="AG287" s="376"/>
      <c r="AH287" s="376"/>
      <c r="AI287" s="376"/>
      <c r="AJ287" s="376"/>
      <c r="AK287" s="377"/>
    </row>
    <row r="288" spans="1:37" ht="14.25" customHeight="1">
      <c r="A288" s="619"/>
      <c r="B288" s="253"/>
      <c r="C288" s="285" t="s">
        <v>203</v>
      </c>
      <c r="D288" s="336"/>
      <c r="E288" s="336"/>
      <c r="F288" s="336"/>
      <c r="G288" s="336"/>
      <c r="H288" s="376"/>
      <c r="I288" s="376"/>
      <c r="J288" s="376"/>
      <c r="K288" s="376"/>
      <c r="L288" s="376"/>
      <c r="M288" s="376"/>
      <c r="N288" s="376"/>
      <c r="O288" s="376"/>
      <c r="P288" s="376"/>
      <c r="Q288" s="376"/>
      <c r="R288" s="376"/>
      <c r="S288" s="376"/>
      <c r="T288" s="376"/>
      <c r="U288" s="376"/>
      <c r="V288" s="376"/>
      <c r="W288" s="376"/>
      <c r="X288" s="376"/>
      <c r="Y288" s="376"/>
      <c r="Z288" s="376"/>
      <c r="AA288" s="376"/>
      <c r="AB288" s="376"/>
      <c r="AC288" s="376"/>
      <c r="AD288" s="376"/>
      <c r="AE288" s="376"/>
      <c r="AF288" s="376"/>
      <c r="AG288" s="376"/>
      <c r="AH288" s="376"/>
      <c r="AI288" s="376"/>
      <c r="AJ288" s="376"/>
      <c r="AK288" s="377"/>
    </row>
    <row r="289" spans="1:37" ht="14.25" customHeight="1">
      <c r="A289" s="619"/>
      <c r="B289" s="253"/>
      <c r="C289" s="259" t="s">
        <v>210</v>
      </c>
      <c r="D289" s="545">
        <v>29.368310000000065</v>
      </c>
      <c r="E289" s="270">
        <v>27.077940000000126</v>
      </c>
      <c r="F289" s="344">
        <v>5.0655000000000001</v>
      </c>
      <c r="G289" s="323">
        <v>28.01546196</v>
      </c>
      <c r="H289" s="376"/>
      <c r="I289" s="376"/>
      <c r="J289" s="376"/>
      <c r="K289" s="376"/>
      <c r="L289" s="376"/>
      <c r="M289" s="376"/>
      <c r="N289" s="376"/>
      <c r="O289" s="376"/>
      <c r="P289" s="376"/>
      <c r="Q289" s="376"/>
      <c r="R289" s="376"/>
      <c r="S289" s="376"/>
      <c r="T289" s="376"/>
      <c r="U289" s="376"/>
      <c r="V289" s="376"/>
      <c r="W289" s="376"/>
      <c r="X289" s="376"/>
      <c r="Y289" s="376"/>
      <c r="Z289" s="376"/>
      <c r="AA289" s="376"/>
      <c r="AB289" s="376"/>
      <c r="AC289" s="376"/>
      <c r="AD289" s="376"/>
      <c r="AE289" s="376"/>
      <c r="AF289" s="376"/>
      <c r="AG289" s="376"/>
      <c r="AH289" s="376"/>
      <c r="AI289" s="376"/>
      <c r="AJ289" s="376"/>
      <c r="AK289" s="377"/>
    </row>
    <row r="290" spans="1:37" ht="14.25" customHeight="1">
      <c r="A290" s="619"/>
      <c r="B290" s="253"/>
      <c r="C290" s="262" t="s">
        <v>838</v>
      </c>
      <c r="D290" s="325"/>
      <c r="E290" s="325"/>
      <c r="F290" s="325"/>
      <c r="G290" s="325"/>
      <c r="H290" s="376"/>
      <c r="I290" s="376"/>
      <c r="J290" s="376"/>
      <c r="K290" s="376"/>
      <c r="L290" s="376"/>
      <c r="M290" s="376"/>
      <c r="N290" s="376"/>
      <c r="O290" s="376"/>
      <c r="P290" s="376"/>
      <c r="Q290" s="376"/>
      <c r="R290" s="376"/>
      <c r="S290" s="376"/>
      <c r="T290" s="376"/>
      <c r="U290" s="376"/>
      <c r="V290" s="376"/>
      <c r="W290" s="376"/>
      <c r="X290" s="376"/>
      <c r="Y290" s="376"/>
      <c r="Z290" s="376"/>
      <c r="AA290" s="376"/>
      <c r="AB290" s="376"/>
      <c r="AC290" s="376"/>
      <c r="AD290" s="376"/>
      <c r="AE290" s="376"/>
      <c r="AF290" s="376"/>
      <c r="AG290" s="376"/>
      <c r="AH290" s="376"/>
      <c r="AI290" s="376"/>
      <c r="AJ290" s="376"/>
      <c r="AK290" s="377"/>
    </row>
    <row r="291" spans="1:37" ht="14.25" customHeight="1">
      <c r="A291" s="619"/>
      <c r="B291" s="253"/>
      <c r="C291" s="259" t="s">
        <v>313</v>
      </c>
      <c r="D291" s="270">
        <f t="shared" ref="D291:G291" si="50">D254+D253+D256+D264+D267+D290</f>
        <v>3867.5422199999994</v>
      </c>
      <c r="E291" s="270">
        <f t="shared" si="50"/>
        <v>4119.8205379300007</v>
      </c>
      <c r="F291" s="270">
        <f t="shared" si="50"/>
        <v>3947.475871353</v>
      </c>
      <c r="G291" s="270">
        <f t="shared" si="50"/>
        <v>4033.3720489049983</v>
      </c>
      <c r="H291" s="376"/>
      <c r="I291" s="376"/>
      <c r="J291" s="376"/>
      <c r="K291" s="376"/>
      <c r="L291" s="376"/>
      <c r="M291" s="376"/>
      <c r="N291" s="376"/>
      <c r="O291" s="376"/>
      <c r="P291" s="376"/>
      <c r="Q291" s="376"/>
      <c r="R291" s="376"/>
      <c r="S291" s="376"/>
      <c r="T291" s="376"/>
      <c r="U291" s="376"/>
      <c r="V291" s="376"/>
      <c r="W291" s="376"/>
      <c r="X291" s="376"/>
      <c r="Y291" s="376"/>
      <c r="Z291" s="376"/>
      <c r="AA291" s="376"/>
      <c r="AB291" s="376"/>
      <c r="AC291" s="376"/>
      <c r="AD291" s="376"/>
      <c r="AE291" s="376"/>
      <c r="AF291" s="376"/>
      <c r="AG291" s="376"/>
      <c r="AH291" s="376"/>
      <c r="AI291" s="376"/>
      <c r="AJ291" s="376"/>
      <c r="AK291" s="377"/>
    </row>
    <row r="292" spans="1:37" ht="14.25" customHeight="1">
      <c r="A292" s="619"/>
      <c r="B292" s="253"/>
      <c r="C292" s="281"/>
      <c r="D292" s="270"/>
      <c r="E292" s="270"/>
      <c r="F292" s="270"/>
      <c r="G292" s="323"/>
      <c r="H292" s="376"/>
      <c r="I292" s="376"/>
      <c r="J292" s="376"/>
      <c r="K292" s="376"/>
      <c r="L292" s="376"/>
      <c r="M292" s="376"/>
      <c r="N292" s="376"/>
      <c r="O292" s="376"/>
      <c r="P292" s="376"/>
      <c r="Q292" s="376"/>
      <c r="R292" s="376"/>
      <c r="S292" s="376"/>
      <c r="T292" s="376"/>
      <c r="U292" s="376"/>
      <c r="V292" s="376"/>
      <c r="W292" s="376"/>
      <c r="X292" s="376"/>
      <c r="Y292" s="376"/>
      <c r="Z292" s="376"/>
      <c r="AA292" s="376"/>
      <c r="AB292" s="376"/>
      <c r="AC292" s="376"/>
      <c r="AD292" s="376"/>
      <c r="AE292" s="376"/>
      <c r="AF292" s="376"/>
      <c r="AG292" s="376"/>
      <c r="AH292" s="376"/>
      <c r="AI292" s="376"/>
      <c r="AJ292" s="376"/>
      <c r="AK292" s="377"/>
    </row>
    <row r="293" spans="1:37" ht="14.25" customHeight="1">
      <c r="A293" s="619"/>
      <c r="B293" s="253"/>
      <c r="C293" s="281" t="s">
        <v>315</v>
      </c>
      <c r="D293" s="376"/>
      <c r="E293" s="376"/>
      <c r="F293" s="376"/>
      <c r="G293" s="323"/>
      <c r="H293" s="376"/>
      <c r="I293" s="376"/>
      <c r="J293" s="376"/>
      <c r="K293" s="376"/>
      <c r="L293" s="376"/>
      <c r="M293" s="376"/>
      <c r="N293" s="376"/>
      <c r="O293" s="376"/>
      <c r="P293" s="376"/>
      <c r="Q293" s="376"/>
      <c r="R293" s="376"/>
      <c r="S293" s="376"/>
      <c r="T293" s="376"/>
      <c r="U293" s="376"/>
      <c r="V293" s="376"/>
      <c r="W293" s="376"/>
      <c r="X293" s="376"/>
      <c r="Y293" s="376"/>
      <c r="Z293" s="376"/>
      <c r="AA293" s="376"/>
      <c r="AB293" s="376"/>
      <c r="AC293" s="376"/>
      <c r="AD293" s="376"/>
      <c r="AE293" s="376"/>
      <c r="AF293" s="376"/>
      <c r="AG293" s="376"/>
      <c r="AH293" s="376"/>
      <c r="AI293" s="376"/>
      <c r="AJ293" s="376"/>
      <c r="AK293" s="377"/>
    </row>
    <row r="294" spans="1:37" ht="14.25" customHeight="1">
      <c r="A294" s="619"/>
      <c r="B294" s="253"/>
      <c r="C294" s="262" t="s">
        <v>833</v>
      </c>
      <c r="D294" s="325">
        <f t="shared" ref="D294:G294" si="51">SUM(D210,D253)</f>
        <v>382.44</v>
      </c>
      <c r="E294" s="325">
        <f t="shared" si="51"/>
        <v>413.55961000000002</v>
      </c>
      <c r="F294" s="325">
        <f t="shared" si="51"/>
        <v>426.58668</v>
      </c>
      <c r="G294" s="325">
        <f t="shared" si="51"/>
        <v>372.79780949999997</v>
      </c>
      <c r="H294" s="376"/>
      <c r="I294" s="376"/>
      <c r="J294" s="376"/>
      <c r="K294" s="376"/>
      <c r="L294" s="376"/>
      <c r="M294" s="376"/>
      <c r="N294" s="376"/>
      <c r="O294" s="376"/>
      <c r="P294" s="376"/>
      <c r="Q294" s="376"/>
      <c r="R294" s="376"/>
      <c r="S294" s="376"/>
      <c r="T294" s="376"/>
      <c r="U294" s="376"/>
      <c r="V294" s="376"/>
      <c r="W294" s="376"/>
      <c r="X294" s="376"/>
      <c r="Y294" s="376"/>
      <c r="Z294" s="376"/>
      <c r="AA294" s="376"/>
      <c r="AB294" s="376"/>
      <c r="AC294" s="376"/>
      <c r="AD294" s="376"/>
      <c r="AE294" s="376"/>
      <c r="AF294" s="376"/>
      <c r="AG294" s="376"/>
      <c r="AH294" s="376"/>
      <c r="AI294" s="376"/>
      <c r="AJ294" s="376"/>
      <c r="AK294" s="377"/>
    </row>
    <row r="295" spans="1:37" ht="14.25" customHeight="1">
      <c r="A295" s="619"/>
      <c r="B295" s="253"/>
      <c r="C295" s="262" t="s">
        <v>834</v>
      </c>
      <c r="D295" s="325">
        <f t="shared" ref="D295:G295" si="52">SUM(D213,D254)</f>
        <v>80.255780000000001</v>
      </c>
      <c r="E295" s="325">
        <f t="shared" si="52"/>
        <v>85.526450000000011</v>
      </c>
      <c r="F295" s="325">
        <f t="shared" si="52"/>
        <v>77.103729999999999</v>
      </c>
      <c r="G295" s="325">
        <f t="shared" si="52"/>
        <v>62.010020000000033</v>
      </c>
      <c r="H295" s="376"/>
      <c r="I295" s="376"/>
      <c r="J295" s="376"/>
      <c r="K295" s="376"/>
      <c r="L295" s="376"/>
      <c r="M295" s="376"/>
      <c r="N295" s="376"/>
      <c r="O295" s="376"/>
      <c r="P295" s="376"/>
      <c r="Q295" s="376"/>
      <c r="R295" s="376"/>
      <c r="S295" s="376"/>
      <c r="T295" s="376"/>
      <c r="U295" s="376"/>
      <c r="V295" s="376"/>
      <c r="W295" s="376"/>
      <c r="X295" s="376"/>
      <c r="Y295" s="376"/>
      <c r="Z295" s="376"/>
      <c r="AA295" s="376"/>
      <c r="AB295" s="376"/>
      <c r="AC295" s="376"/>
      <c r="AD295" s="376"/>
      <c r="AE295" s="376"/>
      <c r="AF295" s="376"/>
      <c r="AG295" s="376"/>
      <c r="AH295" s="376"/>
      <c r="AI295" s="376"/>
      <c r="AJ295" s="376"/>
      <c r="AK295" s="377"/>
    </row>
    <row r="296" spans="1:37" ht="14.25" customHeight="1">
      <c r="A296" s="619"/>
      <c r="B296" s="253"/>
      <c r="C296" s="262" t="s">
        <v>835</v>
      </c>
      <c r="D296" s="325">
        <f t="shared" ref="D296:G296" si="53">SUM(D297:D298)</f>
        <v>20678.027170000001</v>
      </c>
      <c r="E296" s="325">
        <f t="shared" si="53"/>
        <v>24640.573410885001</v>
      </c>
      <c r="F296" s="325">
        <f t="shared" si="53"/>
        <v>24333.256840651997</v>
      </c>
      <c r="G296" s="325">
        <f t="shared" si="53"/>
        <v>25574.607534327006</v>
      </c>
      <c r="H296" s="376"/>
      <c r="I296" s="376"/>
      <c r="J296" s="376"/>
      <c r="K296" s="376"/>
      <c r="L296" s="376"/>
      <c r="M296" s="376"/>
      <c r="N296" s="376"/>
      <c r="O296" s="376"/>
      <c r="P296" s="376"/>
      <c r="Q296" s="376"/>
      <c r="R296" s="376"/>
      <c r="S296" s="376"/>
      <c r="T296" s="376"/>
      <c r="U296" s="376"/>
      <c r="V296" s="376"/>
      <c r="W296" s="376"/>
      <c r="X296" s="376"/>
      <c r="Y296" s="376"/>
      <c r="Z296" s="376"/>
      <c r="AA296" s="376"/>
      <c r="AB296" s="376"/>
      <c r="AC296" s="376"/>
      <c r="AD296" s="376"/>
      <c r="AE296" s="376"/>
      <c r="AF296" s="376"/>
      <c r="AG296" s="376"/>
      <c r="AH296" s="376"/>
      <c r="AI296" s="376"/>
      <c r="AJ296" s="376"/>
      <c r="AK296" s="377"/>
    </row>
    <row r="297" spans="1:37" ht="14.25" customHeight="1">
      <c r="A297" s="619"/>
      <c r="B297" s="253"/>
      <c r="C297" s="266" t="s">
        <v>138</v>
      </c>
      <c r="D297" s="267">
        <f t="shared" ref="D297:G297" si="54">SUM(D215)</f>
        <v>7709.74</v>
      </c>
      <c r="E297" s="267">
        <f t="shared" si="54"/>
        <v>8951.7123226279982</v>
      </c>
      <c r="F297" s="267">
        <f t="shared" si="54"/>
        <v>8075.3943276150003</v>
      </c>
      <c r="G297" s="267">
        <f t="shared" si="54"/>
        <v>8705.3032754990018</v>
      </c>
      <c r="H297" s="376"/>
      <c r="I297" s="376"/>
      <c r="J297" s="376"/>
      <c r="K297" s="376"/>
      <c r="L297" s="376"/>
      <c r="M297" s="376"/>
      <c r="N297" s="376"/>
      <c r="O297" s="376"/>
      <c r="P297" s="376"/>
      <c r="Q297" s="376"/>
      <c r="R297" s="376"/>
      <c r="S297" s="376"/>
      <c r="T297" s="376"/>
      <c r="U297" s="376"/>
      <c r="V297" s="376"/>
      <c r="W297" s="376"/>
      <c r="X297" s="376"/>
      <c r="Y297" s="376"/>
      <c r="Z297" s="376"/>
      <c r="AA297" s="376"/>
      <c r="AB297" s="376"/>
      <c r="AC297" s="376"/>
      <c r="AD297" s="376"/>
      <c r="AE297" s="376"/>
      <c r="AF297" s="376"/>
      <c r="AG297" s="376"/>
      <c r="AH297" s="376"/>
      <c r="AI297" s="376"/>
      <c r="AJ297" s="376"/>
      <c r="AK297" s="377"/>
    </row>
    <row r="298" spans="1:37" ht="14.25" customHeight="1">
      <c r="A298" s="619"/>
      <c r="B298" s="253"/>
      <c r="C298" s="266" t="s">
        <v>141</v>
      </c>
      <c r="D298" s="267">
        <f t="shared" ref="D298:G298" si="55">SUM(D218,D257)</f>
        <v>12968.287170000001</v>
      </c>
      <c r="E298" s="267">
        <f t="shared" si="55"/>
        <v>15688.861088257001</v>
      </c>
      <c r="F298" s="267">
        <f t="shared" si="55"/>
        <v>16257.862513036996</v>
      </c>
      <c r="G298" s="267">
        <f t="shared" si="55"/>
        <v>16869.304258828004</v>
      </c>
      <c r="H298" s="376"/>
      <c r="I298" s="376"/>
      <c r="J298" s="376"/>
      <c r="K298" s="376"/>
      <c r="L298" s="376"/>
      <c r="M298" s="376"/>
      <c r="N298" s="376"/>
      <c r="O298" s="376"/>
      <c r="P298" s="376"/>
      <c r="Q298" s="376"/>
      <c r="R298" s="376"/>
      <c r="S298" s="376"/>
      <c r="T298" s="376"/>
      <c r="U298" s="376"/>
      <c r="V298" s="376"/>
      <c r="W298" s="376"/>
      <c r="X298" s="376"/>
      <c r="Y298" s="376"/>
      <c r="Z298" s="376"/>
      <c r="AA298" s="376"/>
      <c r="AB298" s="376"/>
      <c r="AC298" s="376"/>
      <c r="AD298" s="376"/>
      <c r="AE298" s="376"/>
      <c r="AF298" s="376"/>
      <c r="AG298" s="376"/>
      <c r="AH298" s="376"/>
      <c r="AI298" s="376"/>
      <c r="AJ298" s="376"/>
      <c r="AK298" s="377"/>
    </row>
    <row r="299" spans="1:37" ht="14.25" customHeight="1">
      <c r="A299" s="619"/>
      <c r="B299" s="253"/>
      <c r="C299" s="262" t="s">
        <v>836</v>
      </c>
      <c r="D299" s="325">
        <f t="shared" ref="D299:G299" si="56">SUM(D221,D264)</f>
        <v>38.080940000000005</v>
      </c>
      <c r="E299" s="325">
        <f t="shared" si="56"/>
        <v>37.622040000000005</v>
      </c>
      <c r="F299" s="325">
        <f t="shared" si="56"/>
        <v>37.764680715999994</v>
      </c>
      <c r="G299" s="325">
        <f t="shared" si="56"/>
        <v>36.864546539999999</v>
      </c>
      <c r="H299" s="376"/>
      <c r="I299" s="376"/>
      <c r="J299" s="376"/>
      <c r="K299" s="376"/>
      <c r="L299" s="376"/>
      <c r="M299" s="376"/>
      <c r="N299" s="376"/>
      <c r="O299" s="376"/>
      <c r="P299" s="376"/>
      <c r="Q299" s="376"/>
      <c r="R299" s="376"/>
      <c r="S299" s="376"/>
      <c r="T299" s="376"/>
      <c r="U299" s="376"/>
      <c r="V299" s="376"/>
      <c r="W299" s="376"/>
      <c r="X299" s="376"/>
      <c r="Y299" s="376"/>
      <c r="Z299" s="376"/>
      <c r="AA299" s="376"/>
      <c r="AB299" s="376"/>
      <c r="AC299" s="376"/>
      <c r="AD299" s="376"/>
      <c r="AE299" s="376"/>
      <c r="AF299" s="376"/>
      <c r="AG299" s="376"/>
      <c r="AH299" s="376"/>
      <c r="AI299" s="376"/>
      <c r="AJ299" s="376"/>
      <c r="AK299" s="377"/>
    </row>
    <row r="300" spans="1:37" ht="14.25" customHeight="1">
      <c r="A300" s="619"/>
      <c r="B300" s="253"/>
      <c r="C300" s="262" t="s">
        <v>837</v>
      </c>
      <c r="D300" s="325">
        <f t="shared" ref="D300:G300" si="57">SUM(D301,D302,D303)</f>
        <v>8019.1759199999997</v>
      </c>
      <c r="E300" s="325">
        <f t="shared" si="57"/>
        <v>7065.5174733370004</v>
      </c>
      <c r="F300" s="325">
        <f t="shared" si="57"/>
        <v>6329.2887430730007</v>
      </c>
      <c r="G300" s="325">
        <f t="shared" si="57"/>
        <v>6118.4583147109988</v>
      </c>
      <c r="H300" s="376"/>
      <c r="I300" s="376"/>
      <c r="J300" s="376"/>
      <c r="K300" s="376"/>
      <c r="L300" s="376"/>
      <c r="M300" s="376"/>
      <c r="N300" s="376"/>
      <c r="O300" s="376"/>
      <c r="P300" s="376"/>
      <c r="Q300" s="376"/>
      <c r="R300" s="376"/>
      <c r="S300" s="376"/>
      <c r="T300" s="376"/>
      <c r="U300" s="376"/>
      <c r="V300" s="376"/>
      <c r="W300" s="376"/>
      <c r="X300" s="376"/>
      <c r="Y300" s="376"/>
      <c r="Z300" s="376"/>
      <c r="AA300" s="376"/>
      <c r="AB300" s="376"/>
      <c r="AC300" s="376"/>
      <c r="AD300" s="376"/>
      <c r="AE300" s="376"/>
      <c r="AF300" s="376"/>
      <c r="AG300" s="376"/>
      <c r="AH300" s="376"/>
      <c r="AI300" s="376"/>
      <c r="AJ300" s="376"/>
      <c r="AK300" s="377"/>
    </row>
    <row r="301" spans="1:37" ht="14.25" customHeight="1">
      <c r="A301" s="619"/>
      <c r="B301" s="253"/>
      <c r="C301" s="266" t="s">
        <v>145</v>
      </c>
      <c r="D301" s="267">
        <f t="shared" ref="D301:G301" si="58">SUM(D223,D268)</f>
        <v>4942.8412899999994</v>
      </c>
      <c r="E301" s="267">
        <f t="shared" si="58"/>
        <v>4618.3905931140007</v>
      </c>
      <c r="F301" s="267">
        <f t="shared" si="58"/>
        <v>4422.103946016</v>
      </c>
      <c r="G301" s="267">
        <f t="shared" si="58"/>
        <v>4335.5641799159985</v>
      </c>
      <c r="H301" s="376"/>
      <c r="I301" s="376"/>
      <c r="J301" s="376"/>
      <c r="K301" s="376"/>
      <c r="L301" s="376"/>
      <c r="M301" s="376"/>
      <c r="N301" s="376"/>
      <c r="O301" s="376"/>
      <c r="P301" s="376"/>
      <c r="Q301" s="376"/>
      <c r="R301" s="376"/>
      <c r="S301" s="376"/>
      <c r="T301" s="376"/>
      <c r="U301" s="376"/>
      <c r="V301" s="376"/>
      <c r="W301" s="376"/>
      <c r="X301" s="376"/>
      <c r="Y301" s="376"/>
      <c r="Z301" s="376"/>
      <c r="AA301" s="376"/>
      <c r="AB301" s="376"/>
      <c r="AC301" s="376"/>
      <c r="AD301" s="376"/>
      <c r="AE301" s="376"/>
      <c r="AF301" s="376"/>
      <c r="AG301" s="376"/>
      <c r="AH301" s="376"/>
      <c r="AI301" s="376"/>
      <c r="AJ301" s="376"/>
      <c r="AK301" s="377"/>
    </row>
    <row r="302" spans="1:37" ht="14.25" customHeight="1">
      <c r="A302" s="619"/>
      <c r="B302" s="253"/>
      <c r="C302" s="266" t="s">
        <v>153</v>
      </c>
      <c r="D302" s="267">
        <f t="shared" ref="D302:G302" si="59">SUM(D228,D278)</f>
        <v>1338.40463</v>
      </c>
      <c r="E302" s="267">
        <f t="shared" si="59"/>
        <v>1185.7341851879999</v>
      </c>
      <c r="F302" s="267">
        <f t="shared" si="59"/>
        <v>981.75386919499999</v>
      </c>
      <c r="G302" s="267">
        <f t="shared" si="59"/>
        <v>911.82251418999977</v>
      </c>
      <c r="H302" s="376"/>
      <c r="I302" s="376"/>
      <c r="J302" s="376"/>
      <c r="K302" s="376"/>
      <c r="L302" s="376"/>
      <c r="M302" s="376"/>
      <c r="N302" s="376"/>
      <c r="O302" s="376"/>
      <c r="P302" s="376"/>
      <c r="Q302" s="376"/>
      <c r="R302" s="376"/>
      <c r="S302" s="376"/>
      <c r="T302" s="376"/>
      <c r="U302" s="376"/>
      <c r="V302" s="376"/>
      <c r="W302" s="376"/>
      <c r="X302" s="376"/>
      <c r="Y302" s="376"/>
      <c r="Z302" s="376"/>
      <c r="AA302" s="376"/>
      <c r="AB302" s="376"/>
      <c r="AC302" s="376"/>
      <c r="AD302" s="376"/>
      <c r="AE302" s="376"/>
      <c r="AF302" s="376"/>
      <c r="AG302" s="376"/>
      <c r="AH302" s="376"/>
      <c r="AI302" s="376"/>
      <c r="AJ302" s="376"/>
      <c r="AK302" s="377"/>
    </row>
    <row r="303" spans="1:37" ht="14.25" customHeight="1">
      <c r="A303" s="619"/>
      <c r="B303" s="253"/>
      <c r="C303" s="266" t="s">
        <v>158</v>
      </c>
      <c r="D303" s="267">
        <f t="shared" ref="D303:G303" si="60">SUM(D231,D283)</f>
        <v>1737.93</v>
      </c>
      <c r="E303" s="267">
        <f t="shared" si="60"/>
        <v>1261.3926950350001</v>
      </c>
      <c r="F303" s="267">
        <f t="shared" si="60"/>
        <v>925.43092786199998</v>
      </c>
      <c r="G303" s="267">
        <f t="shared" si="60"/>
        <v>871.07162060500013</v>
      </c>
      <c r="H303" s="376"/>
      <c r="I303" s="376"/>
      <c r="J303" s="376"/>
      <c r="K303" s="376"/>
      <c r="L303" s="376"/>
      <c r="M303" s="376"/>
      <c r="N303" s="376"/>
      <c r="O303" s="376"/>
      <c r="P303" s="376"/>
      <c r="Q303" s="376"/>
      <c r="R303" s="376"/>
      <c r="S303" s="376"/>
      <c r="T303" s="376"/>
      <c r="U303" s="376"/>
      <c r="V303" s="376"/>
      <c r="W303" s="376"/>
      <c r="X303" s="376"/>
      <c r="Y303" s="376"/>
      <c r="Z303" s="376"/>
      <c r="AA303" s="376"/>
      <c r="AB303" s="376"/>
      <c r="AC303" s="376"/>
      <c r="AD303" s="376"/>
      <c r="AE303" s="376"/>
      <c r="AF303" s="376"/>
      <c r="AG303" s="376"/>
      <c r="AH303" s="376"/>
      <c r="AI303" s="376"/>
      <c r="AJ303" s="376"/>
      <c r="AK303" s="377"/>
    </row>
    <row r="304" spans="1:37" ht="14.25" customHeight="1">
      <c r="A304" s="619"/>
      <c r="B304" s="253"/>
      <c r="C304" s="262" t="s">
        <v>838</v>
      </c>
      <c r="D304" s="325">
        <f t="shared" ref="D304:G304" si="61">SUM(D233,D290)</f>
        <v>45.53</v>
      </c>
      <c r="E304" s="325">
        <f t="shared" si="61"/>
        <v>41.160000000000004</v>
      </c>
      <c r="F304" s="325">
        <f t="shared" si="61"/>
        <v>43.99</v>
      </c>
      <c r="G304" s="325">
        <f t="shared" si="61"/>
        <v>42.13</v>
      </c>
      <c r="H304" s="376"/>
      <c r="I304" s="376"/>
      <c r="J304" s="376"/>
      <c r="K304" s="376"/>
      <c r="L304" s="376"/>
      <c r="M304" s="376"/>
      <c r="N304" s="376"/>
      <c r="O304" s="376"/>
      <c r="P304" s="376"/>
      <c r="Q304" s="376"/>
      <c r="R304" s="376"/>
      <c r="S304" s="376"/>
      <c r="T304" s="376"/>
      <c r="U304" s="376"/>
      <c r="V304" s="376"/>
      <c r="W304" s="376"/>
      <c r="X304" s="376"/>
      <c r="Y304" s="376"/>
      <c r="Z304" s="376"/>
      <c r="AA304" s="376"/>
      <c r="AB304" s="376"/>
      <c r="AC304" s="376"/>
      <c r="AD304" s="376"/>
      <c r="AE304" s="376"/>
      <c r="AF304" s="376"/>
      <c r="AG304" s="376"/>
      <c r="AH304" s="376"/>
      <c r="AI304" s="376"/>
      <c r="AJ304" s="376"/>
      <c r="AK304" s="377"/>
    </row>
    <row r="305" spans="1:37" ht="14.25" customHeight="1">
      <c r="A305" s="619"/>
      <c r="B305" s="253"/>
      <c r="C305" s="262" t="s">
        <v>313</v>
      </c>
      <c r="D305" s="325">
        <f t="shared" ref="D305:G305" si="62">D294+D295+D296+D299+D300+D304</f>
        <v>29243.509810000003</v>
      </c>
      <c r="E305" s="325">
        <f t="shared" si="62"/>
        <v>32283.958984222001</v>
      </c>
      <c r="F305" s="325">
        <f t="shared" si="62"/>
        <v>31247.990674441</v>
      </c>
      <c r="G305" s="325">
        <f t="shared" si="62"/>
        <v>32206.868225078008</v>
      </c>
      <c r="H305" s="376"/>
      <c r="I305" s="376"/>
      <c r="J305" s="376"/>
      <c r="K305" s="376"/>
      <c r="L305" s="376"/>
      <c r="M305" s="376"/>
      <c r="N305" s="376"/>
      <c r="O305" s="376"/>
      <c r="P305" s="376"/>
      <c r="Q305" s="376"/>
      <c r="R305" s="376"/>
      <c r="S305" s="376"/>
      <c r="T305" s="376"/>
      <c r="U305" s="376"/>
      <c r="V305" s="376"/>
      <c r="W305" s="376"/>
      <c r="X305" s="376"/>
      <c r="Y305" s="376"/>
      <c r="Z305" s="376"/>
      <c r="AA305" s="376"/>
      <c r="AB305" s="376"/>
      <c r="AC305" s="376"/>
      <c r="AD305" s="376"/>
      <c r="AE305" s="376"/>
      <c r="AF305" s="376"/>
      <c r="AG305" s="376"/>
      <c r="AH305" s="376"/>
      <c r="AI305" s="376"/>
      <c r="AJ305" s="376"/>
      <c r="AK305" s="377"/>
    </row>
    <row r="306" spans="1:37" ht="14.25" customHeight="1">
      <c r="A306" s="619"/>
      <c r="B306" s="253"/>
      <c r="C306" s="259"/>
      <c r="D306" s="323"/>
      <c r="E306" s="323"/>
      <c r="F306" s="323"/>
      <c r="G306" s="323"/>
      <c r="H306" s="376"/>
      <c r="I306" s="376"/>
      <c r="J306" s="376"/>
      <c r="K306" s="376"/>
      <c r="L306" s="376"/>
      <c r="M306" s="376"/>
      <c r="N306" s="376"/>
      <c r="O306" s="376"/>
      <c r="P306" s="376"/>
      <c r="Q306" s="376"/>
      <c r="R306" s="376"/>
      <c r="S306" s="376"/>
      <c r="T306" s="376"/>
      <c r="U306" s="376"/>
      <c r="V306" s="376"/>
      <c r="W306" s="376"/>
      <c r="X306" s="376"/>
      <c r="Y306" s="376"/>
      <c r="Z306" s="376"/>
      <c r="AA306" s="376"/>
      <c r="AB306" s="376"/>
      <c r="AC306" s="376"/>
      <c r="AD306" s="376"/>
      <c r="AE306" s="376"/>
      <c r="AF306" s="376"/>
      <c r="AG306" s="376"/>
      <c r="AH306" s="376"/>
      <c r="AI306" s="376"/>
      <c r="AJ306" s="376"/>
      <c r="AK306" s="377"/>
    </row>
    <row r="307" spans="1:37" ht="14.25" customHeight="1">
      <c r="A307" s="619"/>
      <c r="B307" s="253"/>
      <c r="C307" s="378"/>
      <c r="D307" s="258"/>
      <c r="E307" s="258"/>
      <c r="F307" s="258"/>
      <c r="G307" s="258"/>
      <c r="H307" s="258"/>
      <c r="I307" s="258"/>
      <c r="J307" s="258"/>
      <c r="K307" s="258"/>
      <c r="L307" s="258"/>
      <c r="M307" s="258"/>
      <c r="N307" s="258"/>
      <c r="O307" s="258"/>
      <c r="P307" s="258"/>
      <c r="Q307" s="258"/>
      <c r="R307" s="258"/>
      <c r="S307" s="258"/>
      <c r="T307" s="258"/>
      <c r="U307" s="258"/>
      <c r="V307" s="258"/>
      <c r="W307" s="258"/>
      <c r="X307" s="258"/>
      <c r="Y307" s="258"/>
      <c r="Z307" s="258"/>
      <c r="AA307" s="258"/>
      <c r="AB307" s="258"/>
      <c r="AC307" s="258"/>
      <c r="AD307" s="258"/>
      <c r="AE307" s="258"/>
      <c r="AF307" s="258"/>
      <c r="AG307" s="258"/>
      <c r="AH307" s="258"/>
      <c r="AI307" s="258"/>
      <c r="AJ307" s="258"/>
      <c r="AK307" s="377"/>
    </row>
    <row r="308" spans="1:37" ht="14.25" customHeight="1">
      <c r="A308" s="619"/>
      <c r="B308" s="253"/>
      <c r="C308" s="281" t="s">
        <v>841</v>
      </c>
      <c r="D308" s="376"/>
      <c r="E308" s="376"/>
      <c r="F308" s="376"/>
      <c r="G308" s="376"/>
      <c r="H308" s="376"/>
      <c r="I308" s="376"/>
      <c r="J308" s="376"/>
      <c r="K308" s="376"/>
      <c r="L308" s="376"/>
      <c r="M308" s="376"/>
      <c r="N308" s="376"/>
      <c r="O308" s="376"/>
      <c r="P308" s="376"/>
      <c r="Q308" s="376"/>
      <c r="R308" s="376"/>
      <c r="S308" s="376"/>
      <c r="T308" s="376"/>
      <c r="U308" s="376"/>
      <c r="V308" s="376"/>
      <c r="W308" s="376"/>
      <c r="X308" s="376"/>
      <c r="Y308" s="376"/>
      <c r="Z308" s="376"/>
      <c r="AA308" s="376"/>
      <c r="AB308" s="376"/>
      <c r="AC308" s="376"/>
      <c r="AD308" s="376"/>
      <c r="AE308" s="376"/>
      <c r="AF308" s="376"/>
      <c r="AG308" s="376"/>
      <c r="AH308" s="376"/>
      <c r="AI308" s="376"/>
      <c r="AJ308" s="376"/>
      <c r="AK308" s="377"/>
    </row>
    <row r="309" spans="1:37" ht="15" customHeight="1">
      <c r="A309" s="619">
        <v>2</v>
      </c>
      <c r="B309" s="631" t="s">
        <v>319</v>
      </c>
      <c r="C309" s="259" t="s">
        <v>131</v>
      </c>
      <c r="D309" s="376">
        <v>0.3</v>
      </c>
      <c r="E309" s="376"/>
      <c r="F309" s="376"/>
      <c r="G309" s="376"/>
      <c r="H309" s="376"/>
      <c r="I309" s="376"/>
      <c r="J309" s="376"/>
      <c r="K309" s="376"/>
      <c r="L309" s="376"/>
      <c r="M309" s="376"/>
      <c r="N309" s="376"/>
      <c r="O309" s="376"/>
      <c r="P309" s="376"/>
      <c r="Q309" s="376"/>
      <c r="R309" s="376"/>
      <c r="S309" s="376"/>
      <c r="T309" s="376"/>
      <c r="U309" s="376"/>
      <c r="V309" s="376"/>
      <c r="W309" s="376"/>
      <c r="X309" s="376"/>
      <c r="Y309" s="376"/>
      <c r="Z309" s="376"/>
      <c r="AA309" s="376"/>
      <c r="AB309" s="376"/>
      <c r="AC309" s="376"/>
      <c r="AD309" s="376"/>
      <c r="AE309" s="376"/>
      <c r="AF309" s="376"/>
      <c r="AG309" s="376"/>
      <c r="AH309" s="376"/>
      <c r="AI309" s="376"/>
      <c r="AJ309" s="376"/>
      <c r="AK309" s="377"/>
    </row>
    <row r="310" spans="1:37" ht="14.25" customHeight="1">
      <c r="A310" s="619">
        <v>2</v>
      </c>
      <c r="B310" s="657"/>
      <c r="C310" s="355" t="s">
        <v>320</v>
      </c>
      <c r="D310" s="376">
        <v>0.9</v>
      </c>
      <c r="E310" s="376"/>
      <c r="F310" s="376"/>
      <c r="G310" s="376"/>
      <c r="H310" s="376"/>
      <c r="I310" s="376"/>
      <c r="J310" s="376"/>
      <c r="K310" s="376"/>
      <c r="L310" s="376"/>
      <c r="M310" s="376"/>
      <c r="N310" s="376"/>
      <c r="O310" s="376"/>
      <c r="P310" s="376"/>
      <c r="Q310" s="376"/>
      <c r="R310" s="376"/>
      <c r="S310" s="376"/>
      <c r="T310" s="376"/>
      <c r="U310" s="376"/>
      <c r="V310" s="376"/>
      <c r="W310" s="376"/>
      <c r="X310" s="376"/>
      <c r="Y310" s="376"/>
      <c r="Z310" s="376"/>
      <c r="AA310" s="376"/>
      <c r="AB310" s="376"/>
      <c r="AC310" s="376"/>
      <c r="AD310" s="376"/>
      <c r="AE310" s="376"/>
      <c r="AF310" s="376"/>
      <c r="AG310" s="376"/>
      <c r="AH310" s="376"/>
      <c r="AI310" s="376"/>
      <c r="AJ310" s="376"/>
      <c r="AK310" s="377"/>
    </row>
    <row r="311" spans="1:37" ht="14.25" customHeight="1">
      <c r="A311" s="619">
        <v>2</v>
      </c>
      <c r="B311" s="657"/>
      <c r="C311" s="259" t="s">
        <v>246</v>
      </c>
      <c r="D311" s="376">
        <v>0.95</v>
      </c>
      <c r="E311" s="376"/>
      <c r="F311" s="376"/>
      <c r="G311" s="376"/>
      <c r="H311" s="376"/>
      <c r="I311" s="376"/>
      <c r="J311" s="376"/>
      <c r="K311" s="376"/>
      <c r="L311" s="376"/>
      <c r="M311" s="376"/>
      <c r="N311" s="376"/>
      <c r="O311" s="376"/>
      <c r="P311" s="376"/>
      <c r="Q311" s="376"/>
      <c r="R311" s="376"/>
      <c r="S311" s="376"/>
      <c r="T311" s="376"/>
      <c r="U311" s="376"/>
      <c r="V311" s="376"/>
      <c r="W311" s="376"/>
      <c r="X311" s="376"/>
      <c r="Y311" s="376"/>
      <c r="Z311" s="376"/>
      <c r="AA311" s="376"/>
      <c r="AB311" s="376"/>
      <c r="AC311" s="376"/>
      <c r="AD311" s="376"/>
      <c r="AE311" s="376"/>
      <c r="AF311" s="376"/>
      <c r="AG311" s="376"/>
      <c r="AH311" s="376"/>
      <c r="AI311" s="376"/>
      <c r="AJ311" s="376"/>
      <c r="AK311" s="377"/>
    </row>
    <row r="312" spans="1:37" ht="14.25" customHeight="1">
      <c r="A312" s="619"/>
      <c r="B312" s="657"/>
      <c r="C312" s="259" t="s">
        <v>247</v>
      </c>
      <c r="D312" s="376"/>
      <c r="E312" s="376"/>
      <c r="F312" s="376"/>
      <c r="G312" s="376"/>
      <c r="H312" s="376"/>
      <c r="I312" s="376"/>
      <c r="J312" s="376"/>
      <c r="K312" s="376"/>
      <c r="L312" s="376"/>
      <c r="M312" s="376"/>
      <c r="N312" s="376"/>
      <c r="O312" s="376"/>
      <c r="P312" s="376"/>
      <c r="Q312" s="376"/>
      <c r="R312" s="376"/>
      <c r="S312" s="376"/>
      <c r="T312" s="376"/>
      <c r="U312" s="376"/>
      <c r="V312" s="376"/>
      <c r="W312" s="376"/>
      <c r="X312" s="376"/>
      <c r="Y312" s="376"/>
      <c r="Z312" s="376"/>
      <c r="AA312" s="376"/>
      <c r="AB312" s="376"/>
      <c r="AC312" s="376"/>
      <c r="AD312" s="376"/>
      <c r="AE312" s="376"/>
      <c r="AF312" s="376"/>
      <c r="AG312" s="376"/>
      <c r="AH312" s="376"/>
      <c r="AI312" s="376"/>
      <c r="AJ312" s="376"/>
      <c r="AK312" s="377"/>
    </row>
    <row r="313" spans="1:37" ht="14.25" customHeight="1">
      <c r="A313" s="619">
        <v>2</v>
      </c>
      <c r="B313" s="657"/>
      <c r="C313" s="259" t="s">
        <v>166</v>
      </c>
      <c r="D313" s="376">
        <v>0.43759999999999999</v>
      </c>
      <c r="E313" s="376"/>
      <c r="F313" s="376"/>
      <c r="G313" s="376"/>
      <c r="H313" s="376"/>
      <c r="I313" s="376"/>
      <c r="J313" s="376"/>
      <c r="K313" s="376"/>
      <c r="L313" s="376"/>
      <c r="M313" s="376"/>
      <c r="N313" s="376"/>
      <c r="O313" s="376"/>
      <c r="P313" s="376"/>
      <c r="Q313" s="376"/>
      <c r="R313" s="376"/>
      <c r="S313" s="376"/>
      <c r="T313" s="376"/>
      <c r="U313" s="376"/>
      <c r="V313" s="376"/>
      <c r="W313" s="376"/>
      <c r="X313" s="376"/>
      <c r="Y313" s="376"/>
      <c r="Z313" s="376"/>
      <c r="AA313" s="376"/>
      <c r="AB313" s="376"/>
      <c r="AC313" s="376"/>
      <c r="AD313" s="376"/>
      <c r="AE313" s="376"/>
      <c r="AF313" s="376"/>
      <c r="AG313" s="376"/>
      <c r="AH313" s="376"/>
      <c r="AI313" s="376"/>
      <c r="AJ313" s="376"/>
      <c r="AK313" s="377"/>
    </row>
    <row r="314" spans="1:37" ht="14.25" customHeight="1">
      <c r="A314" s="619">
        <v>2</v>
      </c>
      <c r="B314" s="657"/>
      <c r="C314" s="259" t="s">
        <v>168</v>
      </c>
      <c r="D314" s="376">
        <v>0.61450000000000005</v>
      </c>
      <c r="E314" s="376"/>
      <c r="F314" s="376"/>
      <c r="G314" s="376"/>
      <c r="H314" s="376"/>
      <c r="I314" s="376"/>
      <c r="J314" s="376"/>
      <c r="K314" s="376"/>
      <c r="L314" s="376"/>
      <c r="M314" s="376"/>
      <c r="N314" s="376"/>
      <c r="O314" s="376"/>
      <c r="P314" s="376"/>
      <c r="Q314" s="376"/>
      <c r="R314" s="376"/>
      <c r="S314" s="376"/>
      <c r="T314" s="376"/>
      <c r="U314" s="376"/>
      <c r="V314" s="376"/>
      <c r="W314" s="376"/>
      <c r="X314" s="376"/>
      <c r="Y314" s="376"/>
      <c r="Z314" s="376"/>
      <c r="AA314" s="376"/>
      <c r="AB314" s="376"/>
      <c r="AC314" s="376"/>
      <c r="AD314" s="376"/>
      <c r="AE314" s="376"/>
      <c r="AF314" s="376"/>
      <c r="AG314" s="376"/>
      <c r="AH314" s="376"/>
      <c r="AI314" s="376"/>
      <c r="AJ314" s="376"/>
      <c r="AK314" s="377"/>
    </row>
    <row r="315" spans="1:37" ht="14.25" customHeight="1">
      <c r="A315" s="619">
        <v>2</v>
      </c>
      <c r="B315" s="657"/>
      <c r="C315" s="259" t="s">
        <v>170</v>
      </c>
      <c r="D315" s="376" t="s">
        <v>186</v>
      </c>
      <c r="E315" s="376"/>
      <c r="F315" s="376"/>
      <c r="G315" s="376"/>
      <c r="H315" s="376"/>
      <c r="I315" s="376"/>
      <c r="J315" s="376"/>
      <c r="K315" s="376"/>
      <c r="L315" s="376"/>
      <c r="M315" s="376"/>
      <c r="N315" s="376"/>
      <c r="O315" s="376"/>
      <c r="P315" s="376"/>
      <c r="Q315" s="376"/>
      <c r="R315" s="376"/>
      <c r="S315" s="376"/>
      <c r="T315" s="376"/>
      <c r="U315" s="376"/>
      <c r="V315" s="376"/>
      <c r="W315" s="376"/>
      <c r="X315" s="376"/>
      <c r="Y315" s="376"/>
      <c r="Z315" s="376"/>
      <c r="AA315" s="376"/>
      <c r="AB315" s="376"/>
      <c r="AC315" s="376"/>
      <c r="AD315" s="376"/>
      <c r="AE315" s="376"/>
      <c r="AF315" s="376"/>
      <c r="AG315" s="376"/>
      <c r="AH315" s="376"/>
      <c r="AI315" s="376"/>
      <c r="AJ315" s="376"/>
      <c r="AK315" s="377"/>
    </row>
    <row r="316" spans="1:37" ht="14.25" customHeight="1">
      <c r="A316" s="619">
        <v>2</v>
      </c>
      <c r="B316" s="657"/>
      <c r="C316" s="259" t="s">
        <v>172</v>
      </c>
      <c r="D316" s="376">
        <v>0.77300000000000002</v>
      </c>
      <c r="E316" s="376"/>
      <c r="F316" s="376"/>
      <c r="G316" s="376"/>
      <c r="H316" s="376"/>
      <c r="I316" s="376"/>
      <c r="J316" s="376"/>
      <c r="K316" s="376"/>
      <c r="L316" s="376"/>
      <c r="M316" s="376"/>
      <c r="N316" s="376"/>
      <c r="O316" s="376"/>
      <c r="P316" s="376"/>
      <c r="Q316" s="376"/>
      <c r="R316" s="376"/>
      <c r="S316" s="376"/>
      <c r="T316" s="376"/>
      <c r="U316" s="376"/>
      <c r="V316" s="376"/>
      <c r="W316" s="376"/>
      <c r="X316" s="376"/>
      <c r="Y316" s="376"/>
      <c r="Z316" s="376"/>
      <c r="AA316" s="376"/>
      <c r="AB316" s="376"/>
      <c r="AC316" s="376"/>
      <c r="AD316" s="376"/>
      <c r="AE316" s="376"/>
      <c r="AF316" s="376"/>
      <c r="AG316" s="376"/>
      <c r="AH316" s="376"/>
      <c r="AI316" s="376"/>
      <c r="AJ316" s="376"/>
      <c r="AK316" s="377"/>
    </row>
    <row r="317" spans="1:37" ht="14.25" customHeight="1">
      <c r="A317" s="619">
        <v>2</v>
      </c>
      <c r="B317" s="657"/>
      <c r="C317" s="259" t="s">
        <v>174</v>
      </c>
      <c r="D317" s="376">
        <v>0.64990000000000003</v>
      </c>
      <c r="E317" s="376"/>
      <c r="F317" s="376"/>
      <c r="G317" s="376"/>
      <c r="H317" s="376"/>
      <c r="I317" s="376"/>
      <c r="J317" s="376"/>
      <c r="K317" s="376"/>
      <c r="L317" s="376"/>
      <c r="M317" s="376"/>
      <c r="N317" s="376"/>
      <c r="O317" s="376"/>
      <c r="P317" s="376"/>
      <c r="Q317" s="376"/>
      <c r="R317" s="376"/>
      <c r="S317" s="376"/>
      <c r="T317" s="376"/>
      <c r="U317" s="376"/>
      <c r="V317" s="376"/>
      <c r="W317" s="376"/>
      <c r="X317" s="376"/>
      <c r="Y317" s="376"/>
      <c r="Z317" s="376"/>
      <c r="AA317" s="376"/>
      <c r="AB317" s="376"/>
      <c r="AC317" s="376"/>
      <c r="AD317" s="376"/>
      <c r="AE317" s="376"/>
      <c r="AF317" s="376"/>
      <c r="AG317" s="376"/>
      <c r="AH317" s="376"/>
      <c r="AI317" s="376"/>
      <c r="AJ317" s="376"/>
      <c r="AK317" s="377"/>
    </row>
    <row r="318" spans="1:37" ht="14.25" customHeight="1">
      <c r="A318" s="619">
        <v>2</v>
      </c>
      <c r="B318" s="657"/>
      <c r="C318" s="259" t="s">
        <v>176</v>
      </c>
      <c r="D318" s="376">
        <v>0.6321</v>
      </c>
      <c r="E318" s="376"/>
      <c r="F318" s="376"/>
      <c r="G318" s="376"/>
      <c r="H318" s="376"/>
      <c r="I318" s="376"/>
      <c r="J318" s="376"/>
      <c r="K318" s="376"/>
      <c r="L318" s="376"/>
      <c r="M318" s="376"/>
      <c r="N318" s="376"/>
      <c r="O318" s="376"/>
      <c r="P318" s="376"/>
      <c r="Q318" s="376"/>
      <c r="R318" s="376"/>
      <c r="S318" s="376"/>
      <c r="T318" s="376"/>
      <c r="U318" s="376"/>
      <c r="V318" s="376"/>
      <c r="W318" s="376"/>
      <c r="X318" s="376"/>
      <c r="Y318" s="376"/>
      <c r="Z318" s="376"/>
      <c r="AA318" s="376"/>
      <c r="AB318" s="376"/>
      <c r="AC318" s="376"/>
      <c r="AD318" s="376"/>
      <c r="AE318" s="376"/>
      <c r="AF318" s="376"/>
      <c r="AG318" s="376"/>
      <c r="AH318" s="376"/>
      <c r="AI318" s="376"/>
      <c r="AJ318" s="376"/>
      <c r="AK318" s="377"/>
    </row>
    <row r="319" spans="1:37" ht="14.25" customHeight="1">
      <c r="A319" s="619"/>
      <c r="B319" s="657"/>
      <c r="C319" s="259" t="s">
        <v>249</v>
      </c>
      <c r="D319" s="376"/>
      <c r="E319" s="376"/>
      <c r="F319" s="376"/>
      <c r="G319" s="376"/>
      <c r="H319" s="376"/>
      <c r="I319" s="376"/>
      <c r="J319" s="376"/>
      <c r="K319" s="376"/>
      <c r="L319" s="376"/>
      <c r="M319" s="376"/>
      <c r="N319" s="376"/>
      <c r="O319" s="376"/>
      <c r="P319" s="376"/>
      <c r="Q319" s="376"/>
      <c r="R319" s="376"/>
      <c r="S319" s="376"/>
      <c r="T319" s="376"/>
      <c r="U319" s="376"/>
      <c r="V319" s="376"/>
      <c r="W319" s="376"/>
      <c r="X319" s="376"/>
      <c r="Y319" s="376"/>
      <c r="Z319" s="376"/>
      <c r="AA319" s="376"/>
      <c r="AB319" s="376"/>
      <c r="AC319" s="376"/>
      <c r="AD319" s="376"/>
      <c r="AE319" s="376"/>
      <c r="AF319" s="376"/>
      <c r="AG319" s="376"/>
      <c r="AH319" s="376"/>
      <c r="AI319" s="376"/>
      <c r="AJ319" s="376"/>
      <c r="AK319" s="377"/>
    </row>
    <row r="320" spans="1:37" ht="14.25" customHeight="1">
      <c r="A320" s="619">
        <v>2</v>
      </c>
      <c r="B320" s="657"/>
      <c r="C320" s="259" t="s">
        <v>166</v>
      </c>
      <c r="D320" s="376">
        <v>0.39800000000000002</v>
      </c>
      <c r="E320" s="376"/>
      <c r="F320" s="376"/>
      <c r="G320" s="376"/>
      <c r="H320" s="376"/>
      <c r="I320" s="376"/>
      <c r="J320" s="376"/>
      <c r="K320" s="376"/>
      <c r="L320" s="376"/>
      <c r="M320" s="376"/>
      <c r="N320" s="376"/>
      <c r="O320" s="376"/>
      <c r="P320" s="376"/>
      <c r="Q320" s="376"/>
      <c r="R320" s="376"/>
      <c r="S320" s="376"/>
      <c r="T320" s="376"/>
      <c r="U320" s="376"/>
      <c r="V320" s="376"/>
      <c r="W320" s="376"/>
      <c r="X320" s="376"/>
      <c r="Y320" s="376"/>
      <c r="Z320" s="376"/>
      <c r="AA320" s="376"/>
      <c r="AB320" s="376"/>
      <c r="AC320" s="376"/>
      <c r="AD320" s="376"/>
      <c r="AE320" s="376"/>
      <c r="AF320" s="376"/>
      <c r="AG320" s="376"/>
      <c r="AH320" s="376"/>
      <c r="AI320" s="376"/>
      <c r="AJ320" s="376"/>
      <c r="AK320" s="377"/>
    </row>
    <row r="321" spans="1:37" ht="14.25" customHeight="1">
      <c r="A321" s="619">
        <v>2</v>
      </c>
      <c r="B321" s="657"/>
      <c r="C321" s="259" t="s">
        <v>168</v>
      </c>
      <c r="D321" s="376">
        <v>0.50119999999999998</v>
      </c>
      <c r="E321" s="376"/>
      <c r="F321" s="376"/>
      <c r="G321" s="376"/>
      <c r="H321" s="376"/>
      <c r="I321" s="376"/>
      <c r="J321" s="376"/>
      <c r="K321" s="376"/>
      <c r="L321" s="376"/>
      <c r="M321" s="376"/>
      <c r="N321" s="376"/>
      <c r="O321" s="376"/>
      <c r="P321" s="376"/>
      <c r="Q321" s="376"/>
      <c r="R321" s="376"/>
      <c r="S321" s="376"/>
      <c r="T321" s="376"/>
      <c r="U321" s="376"/>
      <c r="V321" s="376"/>
      <c r="W321" s="376"/>
      <c r="X321" s="376"/>
      <c r="Y321" s="376"/>
      <c r="Z321" s="376"/>
      <c r="AA321" s="376"/>
      <c r="AB321" s="376"/>
      <c r="AC321" s="376"/>
      <c r="AD321" s="376"/>
      <c r="AE321" s="376"/>
      <c r="AF321" s="376"/>
      <c r="AG321" s="376"/>
      <c r="AH321" s="376"/>
      <c r="AI321" s="376"/>
      <c r="AJ321" s="376"/>
      <c r="AK321" s="377"/>
    </row>
    <row r="322" spans="1:37" ht="14.25" customHeight="1">
      <c r="A322" s="619">
        <v>2</v>
      </c>
      <c r="B322" s="657"/>
      <c r="C322" s="259" t="s">
        <v>170</v>
      </c>
      <c r="D322" s="376" t="s">
        <v>186</v>
      </c>
      <c r="E322" s="376"/>
      <c r="F322" s="376"/>
      <c r="G322" s="376"/>
      <c r="H322" s="376"/>
      <c r="I322" s="376"/>
      <c r="J322" s="376"/>
      <c r="K322" s="376"/>
      <c r="L322" s="376"/>
      <c r="M322" s="376"/>
      <c r="N322" s="376"/>
      <c r="O322" s="376"/>
      <c r="P322" s="376"/>
      <c r="Q322" s="376"/>
      <c r="R322" s="376"/>
      <c r="S322" s="376"/>
      <c r="T322" s="376"/>
      <c r="U322" s="376"/>
      <c r="V322" s="376"/>
      <c r="W322" s="376"/>
      <c r="X322" s="376"/>
      <c r="Y322" s="376"/>
      <c r="Z322" s="376"/>
      <c r="AA322" s="376"/>
      <c r="AB322" s="376"/>
      <c r="AC322" s="376"/>
      <c r="AD322" s="376"/>
      <c r="AE322" s="376"/>
      <c r="AF322" s="376"/>
      <c r="AG322" s="376"/>
      <c r="AH322" s="376"/>
      <c r="AI322" s="376"/>
      <c r="AJ322" s="376"/>
      <c r="AK322" s="377"/>
    </row>
    <row r="323" spans="1:37" ht="14.25" customHeight="1">
      <c r="A323" s="619">
        <v>2</v>
      </c>
      <c r="B323" s="657"/>
      <c r="C323" s="259" t="s">
        <v>172</v>
      </c>
      <c r="D323" s="376">
        <v>0.71130000000000004</v>
      </c>
      <c r="E323" s="376"/>
      <c r="F323" s="376"/>
      <c r="G323" s="376"/>
      <c r="H323" s="376"/>
      <c r="I323" s="376"/>
      <c r="J323" s="376"/>
      <c r="K323" s="376"/>
      <c r="L323" s="376"/>
      <c r="M323" s="376"/>
      <c r="N323" s="376"/>
      <c r="O323" s="376"/>
      <c r="P323" s="376"/>
      <c r="Q323" s="376"/>
      <c r="R323" s="376"/>
      <c r="S323" s="376"/>
      <c r="T323" s="376"/>
      <c r="U323" s="376"/>
      <c r="V323" s="376"/>
      <c r="W323" s="376"/>
      <c r="X323" s="376"/>
      <c r="Y323" s="376"/>
      <c r="Z323" s="376"/>
      <c r="AA323" s="376"/>
      <c r="AB323" s="376"/>
      <c r="AC323" s="376"/>
      <c r="AD323" s="376"/>
      <c r="AE323" s="376"/>
      <c r="AF323" s="376"/>
      <c r="AG323" s="376"/>
      <c r="AH323" s="376"/>
      <c r="AI323" s="376"/>
      <c r="AJ323" s="376"/>
      <c r="AK323" s="377"/>
    </row>
    <row r="324" spans="1:37" ht="14.25" customHeight="1">
      <c r="A324" s="619">
        <v>2</v>
      </c>
      <c r="B324" s="657"/>
      <c r="C324" s="259" t="s">
        <v>174</v>
      </c>
      <c r="D324" s="376">
        <v>0.78979999999999995</v>
      </c>
      <c r="E324" s="376"/>
      <c r="F324" s="376"/>
      <c r="G324" s="376"/>
      <c r="H324" s="376"/>
      <c r="I324" s="376"/>
      <c r="J324" s="376"/>
      <c r="K324" s="376"/>
      <c r="L324" s="376"/>
      <c r="M324" s="376"/>
      <c r="N324" s="376"/>
      <c r="O324" s="376"/>
      <c r="P324" s="376"/>
      <c r="Q324" s="376"/>
      <c r="R324" s="376"/>
      <c r="S324" s="376"/>
      <c r="T324" s="376"/>
      <c r="U324" s="376"/>
      <c r="V324" s="376"/>
      <c r="W324" s="376"/>
      <c r="X324" s="376"/>
      <c r="Y324" s="376"/>
      <c r="Z324" s="376"/>
      <c r="AA324" s="376"/>
      <c r="AB324" s="376"/>
      <c r="AC324" s="376"/>
      <c r="AD324" s="376"/>
      <c r="AE324" s="376"/>
      <c r="AF324" s="376"/>
      <c r="AG324" s="376"/>
      <c r="AH324" s="376"/>
      <c r="AI324" s="376"/>
      <c r="AJ324" s="376"/>
      <c r="AK324" s="377"/>
    </row>
    <row r="325" spans="1:37" ht="14.25" customHeight="1">
      <c r="A325" s="619">
        <v>2</v>
      </c>
      <c r="B325" s="657"/>
      <c r="C325" s="259" t="s">
        <v>176</v>
      </c>
      <c r="D325" s="376">
        <v>0.66469999999999996</v>
      </c>
      <c r="E325" s="376"/>
      <c r="F325" s="376"/>
      <c r="G325" s="376"/>
      <c r="H325" s="376"/>
      <c r="I325" s="376"/>
      <c r="J325" s="376"/>
      <c r="K325" s="376"/>
      <c r="L325" s="376"/>
      <c r="M325" s="376"/>
      <c r="N325" s="376"/>
      <c r="O325" s="376"/>
      <c r="P325" s="376"/>
      <c r="Q325" s="376"/>
      <c r="R325" s="376"/>
      <c r="S325" s="376"/>
      <c r="T325" s="376"/>
      <c r="U325" s="376"/>
      <c r="V325" s="376"/>
      <c r="W325" s="376"/>
      <c r="X325" s="376"/>
      <c r="Y325" s="376"/>
      <c r="Z325" s="376"/>
      <c r="AA325" s="376"/>
      <c r="AB325" s="376"/>
      <c r="AC325" s="376"/>
      <c r="AD325" s="376"/>
      <c r="AE325" s="376"/>
      <c r="AF325" s="376"/>
      <c r="AG325" s="376"/>
      <c r="AH325" s="376"/>
      <c r="AI325" s="376"/>
      <c r="AJ325" s="376"/>
      <c r="AK325" s="377"/>
    </row>
    <row r="326" spans="1:37" ht="14.25" customHeight="1">
      <c r="A326" s="619">
        <v>2</v>
      </c>
      <c r="B326" s="657"/>
      <c r="C326" s="259" t="s">
        <v>250</v>
      </c>
      <c r="D326" s="376">
        <v>0.9</v>
      </c>
      <c r="E326" s="376"/>
      <c r="F326" s="376"/>
      <c r="G326" s="376"/>
      <c r="H326" s="376"/>
      <c r="I326" s="376"/>
      <c r="J326" s="376"/>
      <c r="K326" s="376"/>
      <c r="L326" s="376"/>
      <c r="M326" s="376"/>
      <c r="N326" s="376"/>
      <c r="O326" s="376"/>
      <c r="P326" s="376"/>
      <c r="Q326" s="376"/>
      <c r="R326" s="376"/>
      <c r="S326" s="376"/>
      <c r="T326" s="376"/>
      <c r="U326" s="376"/>
      <c r="V326" s="376"/>
      <c r="W326" s="376"/>
      <c r="X326" s="376"/>
      <c r="Y326" s="376"/>
      <c r="Z326" s="376"/>
      <c r="AA326" s="376"/>
      <c r="AB326" s="376"/>
      <c r="AC326" s="376"/>
      <c r="AD326" s="376"/>
      <c r="AE326" s="376"/>
      <c r="AF326" s="376"/>
      <c r="AG326" s="376"/>
      <c r="AH326" s="376"/>
      <c r="AI326" s="376"/>
      <c r="AJ326" s="376"/>
      <c r="AK326" s="377"/>
    </row>
    <row r="327" spans="1:37" ht="14.25" customHeight="1">
      <c r="A327" s="619">
        <v>2</v>
      </c>
      <c r="B327" s="657"/>
      <c r="C327" s="259" t="s">
        <v>321</v>
      </c>
      <c r="D327" s="376">
        <v>0.66</v>
      </c>
      <c r="E327" s="376"/>
      <c r="F327" s="376"/>
      <c r="G327" s="376"/>
      <c r="H327" s="376"/>
      <c r="I327" s="376"/>
      <c r="J327" s="376"/>
      <c r="K327" s="376"/>
      <c r="L327" s="376"/>
      <c r="M327" s="376"/>
      <c r="N327" s="376"/>
      <c r="O327" s="376"/>
      <c r="P327" s="376"/>
      <c r="Q327" s="376"/>
      <c r="R327" s="376"/>
      <c r="S327" s="376"/>
      <c r="T327" s="376"/>
      <c r="U327" s="376"/>
      <c r="V327" s="376"/>
      <c r="W327" s="376"/>
      <c r="X327" s="376"/>
      <c r="Y327" s="376"/>
      <c r="Z327" s="376"/>
      <c r="AA327" s="376"/>
      <c r="AB327" s="376"/>
      <c r="AC327" s="376"/>
      <c r="AD327" s="376"/>
      <c r="AE327" s="376"/>
      <c r="AF327" s="376"/>
      <c r="AG327" s="376"/>
      <c r="AH327" s="376"/>
      <c r="AI327" s="376"/>
      <c r="AJ327" s="376"/>
      <c r="AK327" s="377"/>
    </row>
    <row r="328" spans="1:37" ht="15" customHeight="1">
      <c r="A328" s="619">
        <v>2</v>
      </c>
      <c r="B328" s="657"/>
      <c r="C328" s="259" t="s">
        <v>322</v>
      </c>
      <c r="D328" s="376">
        <v>0.495</v>
      </c>
      <c r="E328" s="376"/>
      <c r="F328" s="376"/>
      <c r="G328" s="376"/>
      <c r="H328" s="376"/>
      <c r="I328" s="376"/>
      <c r="J328" s="376"/>
      <c r="K328" s="376"/>
      <c r="L328" s="376"/>
      <c r="M328" s="376"/>
      <c r="N328" s="376"/>
      <c r="O328" s="376"/>
      <c r="P328" s="376"/>
      <c r="Q328" s="376"/>
      <c r="R328" s="376"/>
      <c r="S328" s="376"/>
      <c r="T328" s="376"/>
      <c r="U328" s="376"/>
      <c r="V328" s="376"/>
      <c r="W328" s="376"/>
      <c r="X328" s="376"/>
      <c r="Y328" s="376"/>
      <c r="Z328" s="376"/>
      <c r="AA328" s="376"/>
      <c r="AB328" s="376"/>
      <c r="AC328" s="376"/>
      <c r="AD328" s="376"/>
      <c r="AE328" s="376"/>
      <c r="AF328" s="376"/>
      <c r="AG328" s="376"/>
      <c r="AH328" s="376"/>
      <c r="AI328" s="376"/>
      <c r="AJ328" s="376"/>
      <c r="AK328" s="377"/>
    </row>
    <row r="329" spans="1:37" ht="14.25" customHeight="1">
      <c r="A329" s="619"/>
      <c r="B329" s="657"/>
      <c r="C329" s="259" t="s">
        <v>253</v>
      </c>
      <c r="D329" s="376" t="s">
        <v>186</v>
      </c>
      <c r="E329" s="376"/>
      <c r="F329" s="376"/>
      <c r="G329" s="376"/>
      <c r="H329" s="376"/>
      <c r="I329" s="376"/>
      <c r="J329" s="376"/>
      <c r="K329" s="376"/>
      <c r="L329" s="376"/>
      <c r="M329" s="376"/>
      <c r="N329" s="376"/>
      <c r="O329" s="376"/>
      <c r="P329" s="376"/>
      <c r="Q329" s="376"/>
      <c r="R329" s="376"/>
      <c r="S329" s="376"/>
      <c r="T329" s="376"/>
      <c r="U329" s="376"/>
      <c r="V329" s="376"/>
      <c r="W329" s="376"/>
      <c r="X329" s="376"/>
      <c r="Y329" s="376"/>
      <c r="Z329" s="376"/>
      <c r="AA329" s="376"/>
      <c r="AB329" s="376"/>
      <c r="AC329" s="376"/>
      <c r="AD329" s="376"/>
      <c r="AE329" s="376"/>
      <c r="AF329" s="376"/>
      <c r="AG329" s="376"/>
      <c r="AH329" s="376"/>
      <c r="AI329" s="376"/>
      <c r="AJ329" s="376"/>
      <c r="AK329" s="377"/>
    </row>
    <row r="330" spans="1:37" ht="14.25" customHeight="1">
      <c r="A330" s="619">
        <v>2</v>
      </c>
      <c r="B330" s="657"/>
      <c r="C330" s="259" t="s">
        <v>254</v>
      </c>
      <c r="D330" s="376">
        <v>0.57999999999999996</v>
      </c>
      <c r="E330" s="376"/>
      <c r="F330" s="376"/>
      <c r="G330" s="376"/>
      <c r="H330" s="376"/>
      <c r="I330" s="376"/>
      <c r="J330" s="376"/>
      <c r="K330" s="376"/>
      <c r="L330" s="376"/>
      <c r="M330" s="376"/>
      <c r="N330" s="376"/>
      <c r="O330" s="376"/>
      <c r="P330" s="376"/>
      <c r="Q330" s="376"/>
      <c r="R330" s="376"/>
      <c r="S330" s="376"/>
      <c r="T330" s="376"/>
      <c r="U330" s="376"/>
      <c r="V330" s="376"/>
      <c r="W330" s="376"/>
      <c r="X330" s="376"/>
      <c r="Y330" s="376"/>
      <c r="Z330" s="376"/>
      <c r="AA330" s="376"/>
      <c r="AB330" s="376"/>
      <c r="AC330" s="376"/>
      <c r="AD330" s="376"/>
      <c r="AE330" s="376"/>
      <c r="AF330" s="376"/>
      <c r="AG330" s="376"/>
      <c r="AH330" s="376"/>
      <c r="AI330" s="376"/>
      <c r="AJ330" s="376"/>
      <c r="AK330" s="377"/>
    </row>
    <row r="331" spans="1:37" ht="14.25" customHeight="1">
      <c r="A331" s="619"/>
      <c r="B331" s="657"/>
      <c r="C331" s="259" t="s">
        <v>255</v>
      </c>
      <c r="D331" s="376" t="s">
        <v>186</v>
      </c>
      <c r="E331" s="376"/>
      <c r="F331" s="376"/>
      <c r="G331" s="376"/>
      <c r="H331" s="376"/>
      <c r="I331" s="376"/>
      <c r="J331" s="376"/>
      <c r="K331" s="376"/>
      <c r="L331" s="376"/>
      <c r="M331" s="376"/>
      <c r="N331" s="376"/>
      <c r="O331" s="376"/>
      <c r="P331" s="376"/>
      <c r="Q331" s="376"/>
      <c r="R331" s="376"/>
      <c r="S331" s="376"/>
      <c r="T331" s="376"/>
      <c r="U331" s="376"/>
      <c r="V331" s="376"/>
      <c r="W331" s="376"/>
      <c r="X331" s="376"/>
      <c r="Y331" s="376"/>
      <c r="Z331" s="376"/>
      <c r="AA331" s="376"/>
      <c r="AB331" s="376"/>
      <c r="AC331" s="376"/>
      <c r="AD331" s="376"/>
      <c r="AE331" s="376"/>
      <c r="AF331" s="376"/>
      <c r="AG331" s="376"/>
      <c r="AH331" s="376"/>
      <c r="AI331" s="376"/>
      <c r="AJ331" s="376"/>
      <c r="AK331" s="377"/>
    </row>
    <row r="332" spans="1:37" ht="14.25" customHeight="1">
      <c r="A332" s="619">
        <v>1</v>
      </c>
      <c r="B332" s="657"/>
      <c r="C332" s="355" t="s">
        <v>256</v>
      </c>
      <c r="D332" s="376">
        <v>0.9</v>
      </c>
      <c r="E332" s="376"/>
      <c r="F332" s="376"/>
      <c r="G332" s="376"/>
      <c r="H332" s="376"/>
      <c r="I332" s="376"/>
      <c r="J332" s="376"/>
      <c r="K332" s="376"/>
      <c r="L332" s="376"/>
      <c r="M332" s="376"/>
      <c r="N332" s="376"/>
      <c r="O332" s="376"/>
      <c r="P332" s="376"/>
      <c r="Q332" s="376"/>
      <c r="R332" s="376"/>
      <c r="S332" s="376"/>
      <c r="T332" s="376"/>
      <c r="U332" s="376"/>
      <c r="V332" s="376"/>
      <c r="W332" s="376"/>
      <c r="X332" s="376"/>
      <c r="Y332" s="376"/>
      <c r="Z332" s="376"/>
      <c r="AA332" s="376"/>
      <c r="AB332" s="376"/>
      <c r="AC332" s="376"/>
      <c r="AD332" s="376"/>
      <c r="AE332" s="376"/>
      <c r="AF332" s="376"/>
      <c r="AG332" s="376"/>
      <c r="AH332" s="376"/>
      <c r="AI332" s="376"/>
      <c r="AJ332" s="376"/>
      <c r="AK332" s="377"/>
    </row>
    <row r="333" spans="1:37" ht="14.25" customHeight="1">
      <c r="A333" s="619">
        <v>1</v>
      </c>
      <c r="B333" s="657"/>
      <c r="C333" s="355" t="s">
        <v>257</v>
      </c>
      <c r="D333" s="376">
        <v>0.9</v>
      </c>
      <c r="E333" s="376"/>
      <c r="F333" s="376"/>
      <c r="G333" s="376"/>
      <c r="H333" s="376"/>
      <c r="I333" s="376"/>
      <c r="J333" s="376"/>
      <c r="K333" s="376"/>
      <c r="L333" s="376"/>
      <c r="M333" s="376"/>
      <c r="N333" s="376"/>
      <c r="O333" s="376"/>
      <c r="P333" s="376"/>
      <c r="Q333" s="376"/>
      <c r="R333" s="376"/>
      <c r="S333" s="376"/>
      <c r="T333" s="376"/>
      <c r="U333" s="376"/>
      <c r="V333" s="376"/>
      <c r="W333" s="376"/>
      <c r="X333" s="376"/>
      <c r="Y333" s="376"/>
      <c r="Z333" s="376"/>
      <c r="AA333" s="376"/>
      <c r="AB333" s="376"/>
      <c r="AC333" s="376"/>
      <c r="AD333" s="376"/>
      <c r="AE333" s="376"/>
      <c r="AF333" s="376"/>
      <c r="AG333" s="376"/>
      <c r="AH333" s="376"/>
      <c r="AI333" s="376"/>
      <c r="AJ333" s="376"/>
      <c r="AK333" s="377"/>
    </row>
    <row r="334" spans="1:37" ht="14.25" customHeight="1">
      <c r="A334" s="619">
        <v>1</v>
      </c>
      <c r="B334" s="657"/>
      <c r="C334" s="355" t="s">
        <v>258</v>
      </c>
      <c r="D334" s="376">
        <v>0.9</v>
      </c>
      <c r="E334" s="376"/>
      <c r="F334" s="376"/>
      <c r="G334" s="376"/>
      <c r="H334" s="376"/>
      <c r="I334" s="376"/>
      <c r="J334" s="376"/>
      <c r="K334" s="376"/>
      <c r="L334" s="376"/>
      <c r="M334" s="376"/>
      <c r="N334" s="376"/>
      <c r="O334" s="376"/>
      <c r="P334" s="376"/>
      <c r="Q334" s="376"/>
      <c r="R334" s="376"/>
      <c r="S334" s="376"/>
      <c r="T334" s="376"/>
      <c r="U334" s="376"/>
      <c r="V334" s="376"/>
      <c r="W334" s="376"/>
      <c r="X334" s="376"/>
      <c r="Y334" s="376"/>
      <c r="Z334" s="376"/>
      <c r="AA334" s="376"/>
      <c r="AB334" s="376"/>
      <c r="AC334" s="376"/>
      <c r="AD334" s="376"/>
      <c r="AE334" s="376"/>
      <c r="AF334" s="376"/>
      <c r="AG334" s="376"/>
      <c r="AH334" s="376"/>
      <c r="AI334" s="376"/>
      <c r="AJ334" s="376"/>
      <c r="AK334" s="377"/>
    </row>
    <row r="335" spans="1:37" ht="14.25" customHeight="1">
      <c r="A335" s="619">
        <v>1</v>
      </c>
      <c r="B335" s="657"/>
      <c r="C335" s="355" t="s">
        <v>259</v>
      </c>
      <c r="D335" s="376">
        <v>0.57999999999999996</v>
      </c>
      <c r="E335" s="376"/>
      <c r="F335" s="376"/>
      <c r="G335" s="376"/>
      <c r="H335" s="376"/>
      <c r="I335" s="376"/>
      <c r="J335" s="376"/>
      <c r="K335" s="376"/>
      <c r="L335" s="376"/>
      <c r="M335" s="376"/>
      <c r="N335" s="376"/>
      <c r="O335" s="376"/>
      <c r="P335" s="376"/>
      <c r="Q335" s="376"/>
      <c r="R335" s="376"/>
      <c r="S335" s="376"/>
      <c r="T335" s="376"/>
      <c r="U335" s="376"/>
      <c r="V335" s="376"/>
      <c r="W335" s="376"/>
      <c r="X335" s="376"/>
      <c r="Y335" s="376"/>
      <c r="Z335" s="376"/>
      <c r="AA335" s="376"/>
      <c r="AB335" s="376"/>
      <c r="AC335" s="376"/>
      <c r="AD335" s="376"/>
      <c r="AE335" s="376"/>
      <c r="AF335" s="376"/>
      <c r="AG335" s="376"/>
      <c r="AH335" s="376"/>
      <c r="AI335" s="376"/>
      <c r="AJ335" s="376"/>
      <c r="AK335" s="377"/>
    </row>
    <row r="336" spans="1:37" ht="14.25" customHeight="1">
      <c r="A336" s="619">
        <v>1</v>
      </c>
      <c r="B336" s="657"/>
      <c r="C336" s="355" t="s">
        <v>260</v>
      </c>
      <c r="D336" s="376">
        <v>0.5</v>
      </c>
      <c r="E336" s="376"/>
      <c r="F336" s="376"/>
      <c r="G336" s="376"/>
      <c r="H336" s="376"/>
      <c r="I336" s="376"/>
      <c r="J336" s="376"/>
      <c r="K336" s="376"/>
      <c r="L336" s="376"/>
      <c r="M336" s="376"/>
      <c r="N336" s="376"/>
      <c r="O336" s="376"/>
      <c r="P336" s="376"/>
      <c r="Q336" s="376"/>
      <c r="R336" s="376"/>
      <c r="S336" s="376"/>
      <c r="T336" s="376"/>
      <c r="U336" s="376"/>
      <c r="V336" s="376"/>
      <c r="W336" s="376"/>
      <c r="X336" s="376"/>
      <c r="Y336" s="376"/>
      <c r="Z336" s="376"/>
      <c r="AA336" s="376"/>
      <c r="AB336" s="376"/>
      <c r="AC336" s="376"/>
      <c r="AD336" s="376"/>
      <c r="AE336" s="376"/>
      <c r="AF336" s="376"/>
      <c r="AG336" s="376"/>
      <c r="AH336" s="376"/>
      <c r="AI336" s="376"/>
      <c r="AJ336" s="376"/>
      <c r="AK336" s="377"/>
    </row>
    <row r="337" spans="1:37" ht="14.25" customHeight="1">
      <c r="A337" s="619"/>
      <c r="B337" s="253"/>
      <c r="C337" s="378"/>
      <c r="D337" s="258"/>
      <c r="E337" s="258"/>
      <c r="F337" s="258"/>
      <c r="G337" s="258"/>
      <c r="H337" s="258"/>
      <c r="I337" s="258"/>
      <c r="J337" s="258"/>
      <c r="K337" s="258"/>
      <c r="L337" s="258"/>
      <c r="M337" s="258"/>
      <c r="N337" s="258"/>
      <c r="O337" s="258"/>
      <c r="P337" s="258"/>
      <c r="Q337" s="258"/>
      <c r="R337" s="258"/>
      <c r="S337" s="258"/>
      <c r="T337" s="258"/>
      <c r="U337" s="258"/>
      <c r="V337" s="258"/>
      <c r="W337" s="258"/>
      <c r="X337" s="258"/>
      <c r="Y337" s="258"/>
      <c r="Z337" s="258"/>
      <c r="AA337" s="258"/>
      <c r="AB337" s="258"/>
      <c r="AC337" s="258"/>
      <c r="AD337" s="258"/>
      <c r="AE337" s="258"/>
      <c r="AF337" s="258"/>
      <c r="AG337" s="258"/>
      <c r="AH337" s="258"/>
      <c r="AI337" s="258"/>
      <c r="AJ337" s="258"/>
      <c r="AK337" s="377"/>
    </row>
    <row r="338" spans="1:37" ht="14.25" customHeight="1">
      <c r="A338" s="619"/>
      <c r="B338" s="253"/>
      <c r="C338" s="281" t="s">
        <v>842</v>
      </c>
      <c r="D338" s="376"/>
      <c r="E338" s="376"/>
      <c r="F338" s="376"/>
      <c r="G338" s="376"/>
      <c r="H338" s="376"/>
      <c r="I338" s="376"/>
      <c r="J338" s="376"/>
      <c r="K338" s="376"/>
      <c r="L338" s="376"/>
      <c r="M338" s="376"/>
      <c r="N338" s="376"/>
      <c r="O338" s="376"/>
      <c r="P338" s="376"/>
      <c r="Q338" s="376"/>
      <c r="R338" s="376"/>
      <c r="S338" s="376"/>
      <c r="T338" s="376"/>
      <c r="U338" s="376"/>
      <c r="V338" s="376"/>
      <c r="W338" s="376"/>
      <c r="X338" s="376"/>
      <c r="Y338" s="376"/>
      <c r="Z338" s="376"/>
      <c r="AA338" s="376"/>
      <c r="AB338" s="376"/>
      <c r="AC338" s="376"/>
      <c r="AD338" s="376"/>
      <c r="AE338" s="376"/>
      <c r="AF338" s="376"/>
      <c r="AG338" s="376"/>
      <c r="AH338" s="376"/>
      <c r="AI338" s="376"/>
      <c r="AJ338" s="376"/>
      <c r="AK338" s="377"/>
    </row>
    <row r="339" spans="1:37" ht="14.25" customHeight="1">
      <c r="A339" s="619">
        <v>6</v>
      </c>
      <c r="B339" s="253"/>
      <c r="C339" s="259" t="s">
        <v>843</v>
      </c>
      <c r="D339" s="270">
        <v>25078.91</v>
      </c>
      <c r="E339" s="270">
        <v>28000.77</v>
      </c>
      <c r="F339" s="270">
        <v>27317.279999999999</v>
      </c>
      <c r="G339" s="270">
        <v>28166.639999999999</v>
      </c>
      <c r="H339" s="376"/>
      <c r="I339" s="376"/>
      <c r="J339" s="376"/>
      <c r="K339" s="376"/>
      <c r="L339" s="376"/>
      <c r="M339" s="376"/>
      <c r="N339" s="376"/>
      <c r="O339" s="376"/>
      <c r="P339" s="376"/>
      <c r="Q339" s="376"/>
      <c r="R339" s="376"/>
      <c r="S339" s="376"/>
      <c r="T339" s="376"/>
      <c r="U339" s="376"/>
      <c r="V339" s="376"/>
      <c r="W339" s="376"/>
      <c r="X339" s="376"/>
      <c r="Y339" s="376"/>
      <c r="Z339" s="376"/>
      <c r="AA339" s="376"/>
      <c r="AB339" s="376"/>
      <c r="AC339" s="376"/>
      <c r="AD339" s="376"/>
      <c r="AE339" s="376"/>
      <c r="AF339" s="376"/>
      <c r="AG339" s="376"/>
      <c r="AH339" s="376"/>
      <c r="AI339" s="376"/>
      <c r="AJ339" s="376"/>
      <c r="AK339" s="377"/>
    </row>
    <row r="340" spans="1:37" ht="14.25" customHeight="1">
      <c r="A340" s="619">
        <v>6</v>
      </c>
      <c r="B340" s="253"/>
      <c r="C340" s="355" t="s">
        <v>844</v>
      </c>
      <c r="D340" s="270">
        <v>1077.51</v>
      </c>
      <c r="E340" s="270">
        <v>1293.1300000000001</v>
      </c>
      <c r="F340" s="270">
        <v>1260.28</v>
      </c>
      <c r="G340" s="270">
        <v>1191.74</v>
      </c>
      <c r="H340" s="376"/>
      <c r="I340" s="376"/>
      <c r="J340" s="376"/>
      <c r="K340" s="376"/>
      <c r="L340" s="376"/>
      <c r="M340" s="376"/>
      <c r="N340" s="376"/>
      <c r="O340" s="376"/>
      <c r="P340" s="376"/>
      <c r="Q340" s="376"/>
      <c r="R340" s="376"/>
      <c r="S340" s="376"/>
      <c r="T340" s="376"/>
      <c r="U340" s="376"/>
      <c r="V340" s="376"/>
      <c r="W340" s="376"/>
      <c r="X340" s="376"/>
      <c r="Y340" s="376"/>
      <c r="Z340" s="376"/>
      <c r="AA340" s="376"/>
      <c r="AB340" s="376"/>
      <c r="AC340" s="376"/>
      <c r="AD340" s="376"/>
      <c r="AE340" s="376"/>
      <c r="AF340" s="376"/>
      <c r="AG340" s="376"/>
      <c r="AH340" s="376"/>
      <c r="AI340" s="376"/>
      <c r="AJ340" s="376"/>
      <c r="AK340" s="377"/>
    </row>
    <row r="341" spans="1:37" ht="14.25" customHeight="1">
      <c r="A341" s="619">
        <v>6</v>
      </c>
      <c r="B341" s="253"/>
      <c r="C341" s="259" t="s">
        <v>845</v>
      </c>
      <c r="D341" s="376">
        <v>4.2999999999999997E-2</v>
      </c>
      <c r="E341" s="376">
        <v>4.6199999999999998E-2</v>
      </c>
      <c r="F341" s="376">
        <v>4.6100000000000002E-2</v>
      </c>
      <c r="G341" s="376">
        <v>4.2299999999999997E-2</v>
      </c>
      <c r="H341" s="376"/>
      <c r="I341" s="376"/>
      <c r="J341" s="376"/>
      <c r="K341" s="376"/>
      <c r="L341" s="376"/>
      <c r="M341" s="376"/>
      <c r="N341" s="376"/>
      <c r="O341" s="376"/>
      <c r="P341" s="376"/>
      <c r="Q341" s="376"/>
      <c r="R341" s="376"/>
      <c r="S341" s="376"/>
      <c r="T341" s="376"/>
      <c r="U341" s="376"/>
      <c r="V341" s="376"/>
      <c r="W341" s="376"/>
      <c r="X341" s="376"/>
      <c r="Y341" s="376"/>
      <c r="Z341" s="376"/>
      <c r="AA341" s="376"/>
      <c r="AB341" s="376"/>
      <c r="AC341" s="376"/>
      <c r="AD341" s="376"/>
      <c r="AE341" s="376"/>
      <c r="AF341" s="376"/>
      <c r="AG341" s="376"/>
      <c r="AH341" s="376"/>
      <c r="AI341" s="376"/>
      <c r="AJ341" s="376"/>
      <c r="AK341" s="377"/>
    </row>
    <row r="342" spans="1:37" ht="14.25" customHeight="1">
      <c r="A342" s="619"/>
      <c r="B342" s="253"/>
      <c r="C342" s="259"/>
      <c r="D342" s="323"/>
      <c r="E342" s="323"/>
      <c r="F342" s="323"/>
      <c r="G342" s="323"/>
      <c r="H342" s="376"/>
      <c r="I342" s="376"/>
      <c r="J342" s="376"/>
      <c r="K342" s="376"/>
      <c r="L342" s="376"/>
      <c r="M342" s="376"/>
      <c r="N342" s="376"/>
      <c r="O342" s="376"/>
      <c r="P342" s="376"/>
      <c r="Q342" s="376"/>
      <c r="R342" s="376"/>
      <c r="S342" s="376"/>
      <c r="T342" s="376"/>
      <c r="U342" s="376"/>
      <c r="V342" s="376"/>
      <c r="W342" s="376"/>
      <c r="X342" s="376"/>
      <c r="Y342" s="376"/>
      <c r="Z342" s="376"/>
      <c r="AA342" s="376"/>
      <c r="AB342" s="376"/>
      <c r="AC342" s="376"/>
      <c r="AD342" s="376"/>
      <c r="AE342" s="376"/>
      <c r="AF342" s="376"/>
      <c r="AG342" s="376"/>
      <c r="AH342" s="376"/>
      <c r="AI342" s="376"/>
      <c r="AJ342" s="376"/>
      <c r="AK342" s="377"/>
    </row>
    <row r="343" spans="1:37" ht="14.25" customHeight="1">
      <c r="A343" s="619">
        <v>6</v>
      </c>
      <c r="B343" s="253"/>
      <c r="C343" s="259" t="s">
        <v>846</v>
      </c>
      <c r="D343" s="323">
        <f t="shared" ref="D343:G343" si="63">D339-D340</f>
        <v>24001.4</v>
      </c>
      <c r="E343" s="323">
        <f t="shared" si="63"/>
        <v>26707.64</v>
      </c>
      <c r="F343" s="323">
        <f t="shared" si="63"/>
        <v>26057</v>
      </c>
      <c r="G343" s="323">
        <f t="shared" si="63"/>
        <v>26974.899999999998</v>
      </c>
      <c r="H343" s="376">
        <f t="shared" ref="H343:AJ343" si="64">H339*(1-H341)</f>
        <v>0</v>
      </c>
      <c r="I343" s="376">
        <f t="shared" si="64"/>
        <v>0</v>
      </c>
      <c r="J343" s="376">
        <f t="shared" si="64"/>
        <v>0</v>
      </c>
      <c r="K343" s="376">
        <f t="shared" si="64"/>
        <v>0</v>
      </c>
      <c r="L343" s="376">
        <f t="shared" si="64"/>
        <v>0</v>
      </c>
      <c r="M343" s="376">
        <f t="shared" si="64"/>
        <v>0</v>
      </c>
      <c r="N343" s="376">
        <f t="shared" si="64"/>
        <v>0</v>
      </c>
      <c r="O343" s="376">
        <f t="shared" si="64"/>
        <v>0</v>
      </c>
      <c r="P343" s="376">
        <f t="shared" si="64"/>
        <v>0</v>
      </c>
      <c r="Q343" s="376">
        <f t="shared" si="64"/>
        <v>0</v>
      </c>
      <c r="R343" s="376">
        <f t="shared" si="64"/>
        <v>0</v>
      </c>
      <c r="S343" s="376">
        <f t="shared" si="64"/>
        <v>0</v>
      </c>
      <c r="T343" s="376">
        <f t="shared" si="64"/>
        <v>0</v>
      </c>
      <c r="U343" s="376">
        <f t="shared" si="64"/>
        <v>0</v>
      </c>
      <c r="V343" s="376">
        <f t="shared" si="64"/>
        <v>0</v>
      </c>
      <c r="W343" s="376">
        <f t="shared" si="64"/>
        <v>0</v>
      </c>
      <c r="X343" s="376">
        <f t="shared" si="64"/>
        <v>0</v>
      </c>
      <c r="Y343" s="376">
        <f t="shared" si="64"/>
        <v>0</v>
      </c>
      <c r="Z343" s="376">
        <f t="shared" si="64"/>
        <v>0</v>
      </c>
      <c r="AA343" s="376">
        <f t="shared" si="64"/>
        <v>0</v>
      </c>
      <c r="AB343" s="376">
        <f t="shared" si="64"/>
        <v>0</v>
      </c>
      <c r="AC343" s="376">
        <f t="shared" si="64"/>
        <v>0</v>
      </c>
      <c r="AD343" s="376">
        <f t="shared" si="64"/>
        <v>0</v>
      </c>
      <c r="AE343" s="376">
        <f t="shared" si="64"/>
        <v>0</v>
      </c>
      <c r="AF343" s="376">
        <f t="shared" si="64"/>
        <v>0</v>
      </c>
      <c r="AG343" s="376">
        <f t="shared" si="64"/>
        <v>0</v>
      </c>
      <c r="AH343" s="376">
        <f t="shared" si="64"/>
        <v>0</v>
      </c>
      <c r="AI343" s="376">
        <f t="shared" si="64"/>
        <v>0</v>
      </c>
      <c r="AJ343" s="376">
        <f t="shared" si="64"/>
        <v>0</v>
      </c>
      <c r="AK343" s="377"/>
    </row>
    <row r="344" spans="1:37" ht="14.25" customHeight="1">
      <c r="A344" s="619">
        <v>6</v>
      </c>
      <c r="B344" s="253"/>
      <c r="C344" s="355" t="s">
        <v>847</v>
      </c>
      <c r="D344" s="376">
        <v>255.66</v>
      </c>
      <c r="E344" s="270">
        <v>1826.64</v>
      </c>
      <c r="F344" s="270">
        <v>1340.63</v>
      </c>
      <c r="G344" s="376">
        <v>524.13</v>
      </c>
      <c r="H344" s="376"/>
      <c r="I344" s="376"/>
      <c r="J344" s="376"/>
      <c r="K344" s="376"/>
      <c r="L344" s="376"/>
      <c r="M344" s="376"/>
      <c r="N344" s="376"/>
      <c r="O344" s="376"/>
      <c r="P344" s="376"/>
      <c r="Q344" s="376"/>
      <c r="R344" s="376"/>
      <c r="S344" s="376"/>
      <c r="T344" s="376"/>
      <c r="U344" s="376"/>
      <c r="V344" s="376"/>
      <c r="W344" s="376"/>
      <c r="X344" s="376"/>
      <c r="Y344" s="376"/>
      <c r="Z344" s="376"/>
      <c r="AA344" s="376"/>
      <c r="AB344" s="376"/>
      <c r="AC344" s="376"/>
      <c r="AD344" s="376"/>
      <c r="AE344" s="376"/>
      <c r="AF344" s="376"/>
      <c r="AG344" s="376"/>
      <c r="AH344" s="376"/>
      <c r="AI344" s="376"/>
      <c r="AJ344" s="376"/>
      <c r="AK344" s="377"/>
    </row>
    <row r="345" spans="1:37" ht="14.25" customHeight="1">
      <c r="A345" s="619"/>
      <c r="B345" s="253"/>
      <c r="C345" s="259"/>
      <c r="D345" s="376"/>
      <c r="E345" s="376"/>
      <c r="F345" s="376"/>
      <c r="G345" s="376"/>
      <c r="H345" s="376"/>
      <c r="I345" s="376"/>
      <c r="J345" s="376"/>
      <c r="K345" s="376"/>
      <c r="L345" s="376"/>
      <c r="M345" s="376"/>
      <c r="N345" s="376"/>
      <c r="O345" s="376"/>
      <c r="P345" s="376"/>
      <c r="Q345" s="376"/>
      <c r="R345" s="376"/>
      <c r="S345" s="376"/>
      <c r="T345" s="376"/>
      <c r="U345" s="376"/>
      <c r="V345" s="376"/>
      <c r="W345" s="376"/>
      <c r="X345" s="376"/>
      <c r="Y345" s="376"/>
      <c r="Z345" s="376"/>
      <c r="AA345" s="376"/>
      <c r="AB345" s="376"/>
      <c r="AC345" s="376"/>
      <c r="AD345" s="376"/>
      <c r="AE345" s="376"/>
      <c r="AF345" s="376"/>
      <c r="AG345" s="376"/>
      <c r="AH345" s="376"/>
      <c r="AI345" s="376"/>
      <c r="AJ345" s="376"/>
      <c r="AK345" s="377"/>
    </row>
    <row r="346" spans="1:37" ht="14.25" customHeight="1">
      <c r="A346" s="619">
        <v>6</v>
      </c>
      <c r="B346" s="253"/>
      <c r="C346" s="259" t="s">
        <v>848</v>
      </c>
      <c r="D346" s="323">
        <f t="shared" ref="D346:G346" si="65">D343-D344</f>
        <v>23745.74</v>
      </c>
      <c r="E346" s="323">
        <f t="shared" si="65"/>
        <v>24881</v>
      </c>
      <c r="F346" s="323">
        <f t="shared" si="65"/>
        <v>24716.37</v>
      </c>
      <c r="G346" s="323">
        <f t="shared" si="65"/>
        <v>26450.769999999997</v>
      </c>
      <c r="H346" s="376"/>
      <c r="I346" s="376"/>
      <c r="J346" s="376"/>
      <c r="K346" s="376"/>
      <c r="L346" s="376"/>
      <c r="M346" s="376"/>
      <c r="N346" s="376"/>
      <c r="O346" s="376"/>
      <c r="P346" s="376"/>
      <c r="Q346" s="376"/>
      <c r="R346" s="376"/>
      <c r="S346" s="376"/>
      <c r="T346" s="376"/>
      <c r="U346" s="376"/>
      <c r="V346" s="376"/>
      <c r="W346" s="376"/>
      <c r="X346" s="376"/>
      <c r="Y346" s="376"/>
      <c r="Z346" s="376"/>
      <c r="AA346" s="376"/>
      <c r="AB346" s="376"/>
      <c r="AC346" s="376"/>
      <c r="AD346" s="376"/>
      <c r="AE346" s="376"/>
      <c r="AF346" s="376"/>
      <c r="AG346" s="376"/>
      <c r="AH346" s="376"/>
      <c r="AI346" s="376"/>
      <c r="AJ346" s="376"/>
      <c r="AK346" s="377"/>
    </row>
    <row r="347" spans="1:37" ht="14.25" customHeight="1">
      <c r="A347" s="619">
        <v>6</v>
      </c>
      <c r="B347" s="253"/>
      <c r="C347" s="259" t="s">
        <v>849</v>
      </c>
      <c r="D347" s="323">
        <v>2705.29</v>
      </c>
      <c r="E347" s="323">
        <v>2985.31</v>
      </c>
      <c r="F347" s="323">
        <f>3160.31</f>
        <v>3160.31</v>
      </c>
      <c r="G347" s="323">
        <v>3454.62</v>
      </c>
      <c r="H347" s="376"/>
      <c r="I347" s="376"/>
      <c r="J347" s="376"/>
      <c r="K347" s="376"/>
      <c r="L347" s="376"/>
      <c r="M347" s="376"/>
      <c r="N347" s="376"/>
      <c r="O347" s="376"/>
      <c r="P347" s="376"/>
      <c r="Q347" s="376"/>
      <c r="R347" s="376"/>
      <c r="S347" s="376"/>
      <c r="T347" s="376"/>
      <c r="U347" s="376"/>
      <c r="V347" s="376"/>
      <c r="W347" s="376"/>
      <c r="X347" s="376"/>
      <c r="Y347" s="376"/>
      <c r="Z347" s="376"/>
      <c r="AA347" s="376"/>
      <c r="AB347" s="376"/>
      <c r="AC347" s="376"/>
      <c r="AD347" s="376"/>
      <c r="AE347" s="376"/>
      <c r="AF347" s="376"/>
      <c r="AG347" s="376"/>
      <c r="AH347" s="376"/>
      <c r="AI347" s="376"/>
      <c r="AJ347" s="376"/>
      <c r="AK347" s="377"/>
    </row>
    <row r="348" spans="1:37" ht="14.25" customHeight="1">
      <c r="A348" s="619">
        <v>6</v>
      </c>
      <c r="B348" s="253"/>
      <c r="C348" s="259" t="s">
        <v>850</v>
      </c>
      <c r="D348" s="376">
        <f>11.39/100</f>
        <v>0.1139</v>
      </c>
      <c r="E348" s="376">
        <f>12/100</f>
        <v>0.12</v>
      </c>
      <c r="F348" s="376">
        <f>12.79/100</f>
        <v>0.12789999999999999</v>
      </c>
      <c r="G348" s="376">
        <f>13.06/100</f>
        <v>0.13059999999999999</v>
      </c>
      <c r="H348" s="376"/>
      <c r="I348" s="376"/>
      <c r="J348" s="376"/>
      <c r="K348" s="376"/>
      <c r="L348" s="376"/>
      <c r="M348" s="376"/>
      <c r="N348" s="376"/>
      <c r="O348" s="376"/>
      <c r="P348" s="376"/>
      <c r="Q348" s="376"/>
      <c r="R348" s="376"/>
      <c r="S348" s="376"/>
      <c r="T348" s="376"/>
      <c r="U348" s="376"/>
      <c r="V348" s="376"/>
      <c r="W348" s="376"/>
      <c r="X348" s="376"/>
      <c r="Y348" s="376"/>
      <c r="Z348" s="376"/>
      <c r="AA348" s="376"/>
      <c r="AB348" s="376"/>
      <c r="AC348" s="376"/>
      <c r="AD348" s="376"/>
      <c r="AE348" s="376"/>
      <c r="AF348" s="376"/>
      <c r="AG348" s="376"/>
      <c r="AH348" s="376"/>
      <c r="AI348" s="376"/>
      <c r="AJ348" s="376"/>
      <c r="AK348" s="377"/>
    </row>
    <row r="349" spans="1:37" ht="14.25" customHeight="1">
      <c r="A349" s="619"/>
      <c r="B349" s="253"/>
      <c r="C349" s="259"/>
      <c r="D349" s="323"/>
      <c r="E349" s="323"/>
      <c r="F349" s="323"/>
      <c r="G349" s="323"/>
      <c r="H349" s="323"/>
      <c r="I349" s="376"/>
      <c r="J349" s="376"/>
      <c r="K349" s="376"/>
      <c r="L349" s="376"/>
      <c r="M349" s="376"/>
      <c r="N349" s="376"/>
      <c r="O349" s="376"/>
      <c r="P349" s="376"/>
      <c r="Q349" s="376"/>
      <c r="R349" s="376"/>
      <c r="S349" s="376"/>
      <c r="T349" s="376"/>
      <c r="U349" s="376"/>
      <c r="V349" s="376"/>
      <c r="W349" s="376"/>
      <c r="X349" s="376"/>
      <c r="Y349" s="376"/>
      <c r="Z349" s="376"/>
      <c r="AA349" s="376"/>
      <c r="AB349" s="376"/>
      <c r="AC349" s="376"/>
      <c r="AD349" s="376"/>
      <c r="AE349" s="376"/>
      <c r="AF349" s="376"/>
      <c r="AG349" s="376"/>
      <c r="AH349" s="376"/>
      <c r="AI349" s="376"/>
      <c r="AJ349" s="376"/>
      <c r="AK349" s="377"/>
    </row>
    <row r="350" spans="1:37" ht="14.25" customHeight="1">
      <c r="A350" s="619">
        <v>6</v>
      </c>
      <c r="B350" s="253"/>
      <c r="C350" s="259" t="s">
        <v>851</v>
      </c>
      <c r="D350" s="323">
        <f t="shared" ref="D350:H350" si="66">D346-D347</f>
        <v>21040.45</v>
      </c>
      <c r="E350" s="323">
        <f t="shared" si="66"/>
        <v>21895.69</v>
      </c>
      <c r="F350" s="323">
        <f t="shared" si="66"/>
        <v>21556.059999999998</v>
      </c>
      <c r="G350" s="323">
        <f t="shared" si="66"/>
        <v>22996.149999999998</v>
      </c>
      <c r="H350" s="323">
        <f t="shared" si="66"/>
        <v>0</v>
      </c>
      <c r="I350" s="376">
        <f t="shared" ref="I350:AJ350" si="67">I343*I348</f>
        <v>0</v>
      </c>
      <c r="J350" s="376">
        <f t="shared" si="67"/>
        <v>0</v>
      </c>
      <c r="K350" s="376">
        <f t="shared" si="67"/>
        <v>0</v>
      </c>
      <c r="L350" s="376">
        <f t="shared" si="67"/>
        <v>0</v>
      </c>
      <c r="M350" s="376">
        <f t="shared" si="67"/>
        <v>0</v>
      </c>
      <c r="N350" s="376">
        <f t="shared" si="67"/>
        <v>0</v>
      </c>
      <c r="O350" s="376">
        <f t="shared" si="67"/>
        <v>0</v>
      </c>
      <c r="P350" s="376">
        <f t="shared" si="67"/>
        <v>0</v>
      </c>
      <c r="Q350" s="376">
        <f t="shared" si="67"/>
        <v>0</v>
      </c>
      <c r="R350" s="376">
        <f t="shared" si="67"/>
        <v>0</v>
      </c>
      <c r="S350" s="376">
        <f t="shared" si="67"/>
        <v>0</v>
      </c>
      <c r="T350" s="376">
        <f t="shared" si="67"/>
        <v>0</v>
      </c>
      <c r="U350" s="376">
        <f t="shared" si="67"/>
        <v>0</v>
      </c>
      <c r="V350" s="376">
        <f t="shared" si="67"/>
        <v>0</v>
      </c>
      <c r="W350" s="376">
        <f t="shared" si="67"/>
        <v>0</v>
      </c>
      <c r="X350" s="376">
        <f t="shared" si="67"/>
        <v>0</v>
      </c>
      <c r="Y350" s="376">
        <f t="shared" si="67"/>
        <v>0</v>
      </c>
      <c r="Z350" s="376">
        <f t="shared" si="67"/>
        <v>0</v>
      </c>
      <c r="AA350" s="376">
        <f t="shared" si="67"/>
        <v>0</v>
      </c>
      <c r="AB350" s="376">
        <f t="shared" si="67"/>
        <v>0</v>
      </c>
      <c r="AC350" s="376">
        <f t="shared" si="67"/>
        <v>0</v>
      </c>
      <c r="AD350" s="376">
        <f t="shared" si="67"/>
        <v>0</v>
      </c>
      <c r="AE350" s="376">
        <f t="shared" si="67"/>
        <v>0</v>
      </c>
      <c r="AF350" s="376">
        <f t="shared" si="67"/>
        <v>0</v>
      </c>
      <c r="AG350" s="376">
        <f t="shared" si="67"/>
        <v>0</v>
      </c>
      <c r="AH350" s="376">
        <f t="shared" si="67"/>
        <v>0</v>
      </c>
      <c r="AI350" s="376">
        <f t="shared" si="67"/>
        <v>0</v>
      </c>
      <c r="AJ350" s="376">
        <f t="shared" si="67"/>
        <v>0</v>
      </c>
      <c r="AK350" s="377"/>
    </row>
    <row r="351" spans="1:37" ht="14.25" customHeight="1">
      <c r="A351" s="619"/>
      <c r="B351" s="253"/>
      <c r="C351" s="378"/>
      <c r="D351" s="381"/>
      <c r="E351" s="381"/>
      <c r="F351" s="381"/>
      <c r="G351" s="381"/>
      <c r="H351" s="258"/>
      <c r="I351" s="258"/>
      <c r="J351" s="258"/>
      <c r="K351" s="258"/>
      <c r="L351" s="258"/>
      <c r="M351" s="258"/>
      <c r="N351" s="258"/>
      <c r="O351" s="258"/>
      <c r="P351" s="258"/>
      <c r="Q351" s="258"/>
      <c r="R351" s="258"/>
      <c r="S351" s="258"/>
      <c r="T351" s="258"/>
      <c r="U351" s="258"/>
      <c r="V351" s="258"/>
      <c r="W351" s="258"/>
      <c r="X351" s="258"/>
      <c r="Y351" s="258"/>
      <c r="Z351" s="258"/>
      <c r="AA351" s="258"/>
      <c r="AB351" s="258"/>
      <c r="AC351" s="258"/>
      <c r="AD351" s="258"/>
      <c r="AE351" s="258"/>
      <c r="AF351" s="258"/>
      <c r="AG351" s="258"/>
      <c r="AH351" s="258"/>
      <c r="AI351" s="258"/>
      <c r="AJ351" s="258"/>
      <c r="AK351" s="377"/>
    </row>
    <row r="352" spans="1:37" ht="14.25" customHeight="1">
      <c r="A352" s="619"/>
      <c r="B352" s="253"/>
      <c r="C352" s="281" t="s">
        <v>341</v>
      </c>
      <c r="D352" s="376"/>
      <c r="E352" s="376"/>
      <c r="F352" s="376"/>
      <c r="G352" s="376"/>
      <c r="H352" s="376"/>
      <c r="I352" s="376"/>
      <c r="J352" s="376"/>
      <c r="K352" s="376"/>
      <c r="L352" s="376"/>
      <c r="M352" s="376"/>
      <c r="N352" s="376"/>
      <c r="O352" s="376"/>
      <c r="P352" s="376"/>
      <c r="Q352" s="376"/>
      <c r="R352" s="376"/>
      <c r="S352" s="376"/>
      <c r="T352" s="376"/>
      <c r="U352" s="376"/>
      <c r="V352" s="376"/>
      <c r="W352" s="376"/>
      <c r="X352" s="376"/>
      <c r="Y352" s="376"/>
      <c r="Z352" s="376"/>
      <c r="AA352" s="376"/>
      <c r="AB352" s="376"/>
      <c r="AC352" s="376"/>
      <c r="AD352" s="376"/>
      <c r="AE352" s="376"/>
      <c r="AF352" s="376"/>
      <c r="AG352" s="376"/>
      <c r="AH352" s="376"/>
      <c r="AI352" s="376"/>
      <c r="AJ352" s="376"/>
      <c r="AK352" s="377"/>
    </row>
    <row r="353" spans="1:37" ht="14.25" customHeight="1">
      <c r="A353" s="619">
        <v>6</v>
      </c>
      <c r="B353" s="253"/>
      <c r="C353" s="259" t="s">
        <v>852</v>
      </c>
      <c r="D353" s="376">
        <v>106.07</v>
      </c>
      <c r="E353" s="376">
        <v>5.83</v>
      </c>
      <c r="F353" s="376">
        <v>250.79</v>
      </c>
      <c r="G353" s="376">
        <v>363.8</v>
      </c>
      <c r="H353" s="376"/>
      <c r="I353" s="376"/>
      <c r="J353" s="376"/>
      <c r="K353" s="376"/>
      <c r="L353" s="376"/>
      <c r="M353" s="376"/>
      <c r="N353" s="376"/>
      <c r="O353" s="376"/>
      <c r="P353" s="376"/>
      <c r="Q353" s="376"/>
      <c r="R353" s="376"/>
      <c r="S353" s="376"/>
      <c r="T353" s="376"/>
      <c r="U353" s="376"/>
      <c r="V353" s="376"/>
      <c r="W353" s="376"/>
      <c r="X353" s="376"/>
      <c r="Y353" s="376"/>
      <c r="Z353" s="376"/>
      <c r="AA353" s="376"/>
      <c r="AB353" s="376"/>
      <c r="AC353" s="376"/>
      <c r="AD353" s="376"/>
      <c r="AE353" s="376"/>
      <c r="AF353" s="376"/>
      <c r="AG353" s="376"/>
      <c r="AH353" s="376"/>
      <c r="AI353" s="376"/>
      <c r="AJ353" s="376"/>
      <c r="AK353" s="377"/>
    </row>
    <row r="354" spans="1:37" ht="14.25" customHeight="1">
      <c r="A354" s="619">
        <v>6</v>
      </c>
      <c r="B354" s="253"/>
      <c r="C354" s="259" t="s">
        <v>853</v>
      </c>
      <c r="D354" s="376">
        <f t="shared" ref="D354:G354" si="68">D344</f>
        <v>255.66</v>
      </c>
      <c r="E354" s="270">
        <f t="shared" si="68"/>
        <v>1826.64</v>
      </c>
      <c r="F354" s="270">
        <f t="shared" si="68"/>
        <v>1340.63</v>
      </c>
      <c r="G354" s="376">
        <f t="shared" si="68"/>
        <v>524.13</v>
      </c>
      <c r="H354" s="376"/>
      <c r="I354" s="376"/>
      <c r="J354" s="376"/>
      <c r="K354" s="376"/>
      <c r="L354" s="376"/>
      <c r="M354" s="376"/>
      <c r="N354" s="376"/>
      <c r="O354" s="376"/>
      <c r="P354" s="376"/>
      <c r="Q354" s="376"/>
      <c r="R354" s="376"/>
      <c r="S354" s="376"/>
      <c r="T354" s="376"/>
      <c r="U354" s="376"/>
      <c r="V354" s="376"/>
      <c r="W354" s="376"/>
      <c r="X354" s="376"/>
      <c r="Y354" s="376"/>
      <c r="Z354" s="376"/>
      <c r="AA354" s="376"/>
      <c r="AB354" s="376"/>
      <c r="AC354" s="376"/>
      <c r="AD354" s="376"/>
      <c r="AE354" s="376"/>
      <c r="AF354" s="376"/>
      <c r="AG354" s="376"/>
      <c r="AH354" s="376"/>
      <c r="AI354" s="376"/>
      <c r="AJ354" s="376"/>
      <c r="AK354" s="377"/>
    </row>
    <row r="355" spans="1:37" ht="14.25" customHeight="1">
      <c r="A355" s="619"/>
      <c r="B355" s="253"/>
      <c r="C355" s="378"/>
      <c r="D355" s="258"/>
      <c r="E355" s="258"/>
      <c r="F355" s="258"/>
      <c r="G355" s="258"/>
      <c r="H355" s="258"/>
      <c r="I355" s="258"/>
      <c r="J355" s="258"/>
      <c r="K355" s="258"/>
      <c r="L355" s="258"/>
      <c r="M355" s="258"/>
      <c r="N355" s="258"/>
      <c r="O355" s="258"/>
      <c r="P355" s="258"/>
      <c r="Q355" s="258"/>
      <c r="R355" s="258"/>
      <c r="S355" s="258"/>
      <c r="T355" s="258"/>
      <c r="U355" s="258"/>
      <c r="V355" s="258"/>
      <c r="W355" s="258"/>
      <c r="X355" s="258"/>
      <c r="Y355" s="258"/>
      <c r="Z355" s="258"/>
      <c r="AA355" s="258"/>
      <c r="AB355" s="258"/>
      <c r="AC355" s="258"/>
      <c r="AD355" s="258"/>
      <c r="AE355" s="258"/>
      <c r="AF355" s="258"/>
      <c r="AG355" s="258"/>
      <c r="AH355" s="258"/>
      <c r="AI355" s="258"/>
      <c r="AJ355" s="258"/>
      <c r="AK355" s="377"/>
    </row>
    <row r="356" spans="1:37" ht="14.25" customHeight="1">
      <c r="A356" s="619"/>
      <c r="B356" s="253"/>
      <c r="C356" s="281" t="s">
        <v>854</v>
      </c>
      <c r="D356" s="376"/>
      <c r="E356" s="376"/>
      <c r="F356" s="376"/>
      <c r="G356" s="376"/>
      <c r="H356" s="376"/>
      <c r="I356" s="376"/>
      <c r="J356" s="376"/>
      <c r="K356" s="376"/>
      <c r="L356" s="376"/>
      <c r="M356" s="376"/>
      <c r="N356" s="376"/>
      <c r="O356" s="376"/>
      <c r="P356" s="376"/>
      <c r="Q356" s="376"/>
      <c r="R356" s="376"/>
      <c r="S356" s="376"/>
      <c r="T356" s="376"/>
      <c r="U356" s="376"/>
      <c r="V356" s="376"/>
      <c r="W356" s="376"/>
      <c r="X356" s="376"/>
      <c r="Y356" s="376"/>
      <c r="Z356" s="376"/>
      <c r="AA356" s="376"/>
      <c r="AB356" s="376"/>
      <c r="AC356" s="376"/>
      <c r="AD356" s="376"/>
      <c r="AE356" s="376"/>
      <c r="AF356" s="376"/>
      <c r="AG356" s="376"/>
      <c r="AH356" s="376"/>
      <c r="AI356" s="376"/>
      <c r="AJ356" s="376"/>
      <c r="AK356" s="377"/>
    </row>
    <row r="357" spans="1:37" ht="15" customHeight="1">
      <c r="A357" s="619">
        <v>7</v>
      </c>
      <c r="B357" s="631" t="s">
        <v>319</v>
      </c>
      <c r="C357" s="259" t="s">
        <v>855</v>
      </c>
      <c r="D357" s="323">
        <v>4585.2</v>
      </c>
      <c r="E357" s="323">
        <v>4743.8</v>
      </c>
      <c r="F357" s="323">
        <v>4996</v>
      </c>
      <c r="G357" s="323">
        <v>4931.5</v>
      </c>
      <c r="H357" s="376"/>
      <c r="I357" s="376"/>
      <c r="J357" s="376"/>
      <c r="K357" s="376"/>
      <c r="L357" s="376"/>
      <c r="M357" s="376"/>
      <c r="N357" s="376"/>
      <c r="O357" s="376"/>
      <c r="P357" s="376"/>
      <c r="Q357" s="376"/>
      <c r="R357" s="376"/>
      <c r="S357" s="376"/>
      <c r="T357" s="376"/>
      <c r="U357" s="376"/>
      <c r="V357" s="376"/>
      <c r="W357" s="376"/>
      <c r="X357" s="376"/>
      <c r="Y357" s="376"/>
      <c r="Z357" s="376"/>
      <c r="AA357" s="376"/>
      <c r="AB357" s="376"/>
      <c r="AC357" s="376"/>
      <c r="AD357" s="376"/>
      <c r="AE357" s="376"/>
      <c r="AF357" s="376"/>
      <c r="AG357" s="376"/>
      <c r="AH357" s="376"/>
      <c r="AI357" s="376"/>
      <c r="AJ357" s="376"/>
      <c r="AK357" s="377"/>
    </row>
    <row r="358" spans="1:37" ht="14.25" customHeight="1">
      <c r="A358" s="619">
        <v>7</v>
      </c>
      <c r="B358" s="657"/>
      <c r="C358" s="259" t="s">
        <v>856</v>
      </c>
      <c r="D358" s="323">
        <v>4299.1000000000004</v>
      </c>
      <c r="E358" s="323">
        <v>4488.1000000000004</v>
      </c>
      <c r="F358" s="323">
        <v>4119.1000000000004</v>
      </c>
      <c r="G358" s="323">
        <v>4331.3999999999996</v>
      </c>
      <c r="H358" s="376"/>
      <c r="I358" s="376"/>
      <c r="J358" s="376"/>
      <c r="K358" s="376"/>
      <c r="L358" s="376"/>
      <c r="M358" s="376"/>
      <c r="N358" s="376"/>
      <c r="O358" s="376"/>
      <c r="P358" s="376"/>
      <c r="Q358" s="376"/>
      <c r="R358" s="376"/>
      <c r="S358" s="376"/>
      <c r="T358" s="376"/>
      <c r="U358" s="376"/>
      <c r="V358" s="376"/>
      <c r="W358" s="376"/>
      <c r="X358" s="376"/>
      <c r="Y358" s="376"/>
      <c r="Z358" s="376"/>
      <c r="AA358" s="376"/>
      <c r="AB358" s="376"/>
      <c r="AC358" s="376"/>
      <c r="AD358" s="376"/>
      <c r="AE358" s="376"/>
      <c r="AF358" s="376"/>
      <c r="AG358" s="376"/>
      <c r="AH358" s="376"/>
      <c r="AI358" s="376"/>
      <c r="AJ358" s="376"/>
      <c r="AK358" s="377"/>
    </row>
    <row r="359" spans="1:37" ht="14.25" customHeight="1">
      <c r="A359" s="619">
        <v>7</v>
      </c>
      <c r="B359" s="657"/>
      <c r="C359" s="259" t="s">
        <v>857</v>
      </c>
      <c r="D359" s="323">
        <v>6195</v>
      </c>
      <c r="E359" s="323">
        <v>6437.6</v>
      </c>
      <c r="F359" s="323">
        <v>6284.5</v>
      </c>
      <c r="G359" s="323">
        <v>7051.6</v>
      </c>
      <c r="H359" s="376"/>
      <c r="I359" s="376"/>
      <c r="J359" s="376"/>
      <c r="K359" s="376"/>
      <c r="L359" s="376"/>
      <c r="M359" s="376"/>
      <c r="N359" s="376"/>
      <c r="O359" s="376"/>
      <c r="P359" s="376"/>
      <c r="Q359" s="376"/>
      <c r="R359" s="376"/>
      <c r="S359" s="376"/>
      <c r="T359" s="376"/>
      <c r="U359" s="376"/>
      <c r="V359" s="376"/>
      <c r="W359" s="376"/>
      <c r="X359" s="376"/>
      <c r="Y359" s="376"/>
      <c r="Z359" s="376"/>
      <c r="AA359" s="376"/>
      <c r="AB359" s="376"/>
      <c r="AC359" s="376"/>
      <c r="AD359" s="376"/>
      <c r="AE359" s="376"/>
      <c r="AF359" s="376"/>
      <c r="AG359" s="376"/>
      <c r="AH359" s="376"/>
      <c r="AI359" s="376"/>
      <c r="AJ359" s="376"/>
      <c r="AK359" s="377"/>
    </row>
    <row r="360" spans="1:37" ht="14.25" customHeight="1">
      <c r="A360" s="619">
        <v>7</v>
      </c>
      <c r="B360" s="657"/>
      <c r="C360" s="259" t="s">
        <v>858</v>
      </c>
      <c r="D360" s="323">
        <v>346.7</v>
      </c>
      <c r="E360" s="323">
        <v>319</v>
      </c>
      <c r="F360" s="323">
        <v>342.5</v>
      </c>
      <c r="G360" s="323">
        <v>388.9</v>
      </c>
      <c r="H360" s="376"/>
      <c r="I360" s="376"/>
      <c r="J360" s="376"/>
      <c r="K360" s="376"/>
      <c r="L360" s="376"/>
      <c r="M360" s="376"/>
      <c r="N360" s="376"/>
      <c r="O360" s="376"/>
      <c r="P360" s="376"/>
      <c r="Q360" s="376"/>
      <c r="R360" s="376"/>
      <c r="S360" s="376"/>
      <c r="T360" s="376"/>
      <c r="U360" s="376"/>
      <c r="V360" s="376"/>
      <c r="W360" s="376"/>
      <c r="X360" s="376"/>
      <c r="Y360" s="376"/>
      <c r="Z360" s="376"/>
      <c r="AA360" s="376"/>
      <c r="AB360" s="376"/>
      <c r="AC360" s="376"/>
      <c r="AD360" s="376"/>
      <c r="AE360" s="376"/>
      <c r="AF360" s="376"/>
      <c r="AG360" s="376"/>
      <c r="AH360" s="376"/>
      <c r="AI360" s="376"/>
      <c r="AJ360" s="376"/>
      <c r="AK360" s="377"/>
    </row>
    <row r="361" spans="1:37" ht="14.25" customHeight="1">
      <c r="A361" s="619">
        <v>7</v>
      </c>
      <c r="B361" s="657"/>
      <c r="C361" s="259" t="s">
        <v>859</v>
      </c>
      <c r="D361" s="323"/>
      <c r="E361" s="323"/>
      <c r="F361" s="323"/>
      <c r="G361" s="323"/>
      <c r="H361" s="376"/>
      <c r="I361" s="376"/>
      <c r="J361" s="376"/>
      <c r="K361" s="376"/>
      <c r="L361" s="376"/>
      <c r="M361" s="376"/>
      <c r="N361" s="376"/>
      <c r="O361" s="376"/>
      <c r="P361" s="376"/>
      <c r="Q361" s="376"/>
      <c r="R361" s="376"/>
      <c r="S361" s="376"/>
      <c r="T361" s="376"/>
      <c r="U361" s="376"/>
      <c r="V361" s="376"/>
      <c r="W361" s="376"/>
      <c r="X361" s="376"/>
      <c r="Y361" s="376"/>
      <c r="Z361" s="376"/>
      <c r="AA361" s="376"/>
      <c r="AB361" s="376"/>
      <c r="AC361" s="376"/>
      <c r="AD361" s="376"/>
      <c r="AE361" s="376"/>
      <c r="AF361" s="376"/>
      <c r="AG361" s="376"/>
      <c r="AH361" s="376"/>
      <c r="AI361" s="376"/>
      <c r="AJ361" s="376"/>
      <c r="AK361" s="377"/>
    </row>
    <row r="362" spans="1:37" ht="14.25" customHeight="1">
      <c r="A362" s="619">
        <v>7</v>
      </c>
      <c r="B362" s="657"/>
      <c r="C362" s="259" t="s">
        <v>860</v>
      </c>
      <c r="D362" s="323"/>
      <c r="E362" s="323"/>
      <c r="F362" s="323"/>
      <c r="G362" s="323"/>
      <c r="H362" s="376"/>
      <c r="I362" s="376"/>
      <c r="J362" s="376"/>
      <c r="K362" s="376"/>
      <c r="L362" s="376"/>
      <c r="M362" s="376"/>
      <c r="N362" s="376"/>
      <c r="O362" s="376"/>
      <c r="P362" s="376"/>
      <c r="Q362" s="376"/>
      <c r="R362" s="376"/>
      <c r="S362" s="376"/>
      <c r="T362" s="376"/>
      <c r="U362" s="376"/>
      <c r="V362" s="376"/>
      <c r="W362" s="376"/>
      <c r="X362" s="376"/>
      <c r="Y362" s="376"/>
      <c r="Z362" s="376"/>
      <c r="AA362" s="376"/>
      <c r="AB362" s="376"/>
      <c r="AC362" s="376"/>
      <c r="AD362" s="376"/>
      <c r="AE362" s="376"/>
      <c r="AF362" s="376"/>
      <c r="AG362" s="376"/>
      <c r="AH362" s="376"/>
      <c r="AI362" s="376"/>
      <c r="AJ362" s="376"/>
      <c r="AK362" s="377"/>
    </row>
    <row r="363" spans="1:37" ht="14.25" customHeight="1">
      <c r="A363" s="619">
        <v>7</v>
      </c>
      <c r="B363" s="657"/>
      <c r="C363" s="259" t="s">
        <v>359</v>
      </c>
      <c r="D363" s="376"/>
      <c r="E363" s="376"/>
      <c r="F363" s="376"/>
      <c r="G363" s="376"/>
      <c r="H363" s="376"/>
      <c r="I363" s="376"/>
      <c r="J363" s="376"/>
      <c r="K363" s="376"/>
      <c r="L363" s="376"/>
      <c r="M363" s="376"/>
      <c r="N363" s="376"/>
      <c r="O363" s="376"/>
      <c r="P363" s="376"/>
      <c r="Q363" s="376"/>
      <c r="R363" s="376"/>
      <c r="S363" s="376"/>
      <c r="T363" s="376"/>
      <c r="U363" s="376"/>
      <c r="V363" s="376"/>
      <c r="W363" s="376"/>
      <c r="X363" s="376"/>
      <c r="Y363" s="376"/>
      <c r="Z363" s="376"/>
      <c r="AA363" s="376"/>
      <c r="AB363" s="376"/>
      <c r="AC363" s="376"/>
      <c r="AD363" s="376"/>
      <c r="AE363" s="376"/>
      <c r="AF363" s="376"/>
      <c r="AG363" s="376"/>
      <c r="AH363" s="376"/>
      <c r="AI363" s="376"/>
      <c r="AJ363" s="376"/>
      <c r="AK363" s="377"/>
    </row>
    <row r="364" spans="1:37" ht="14.25" customHeight="1">
      <c r="A364" s="619">
        <v>7</v>
      </c>
      <c r="B364" s="657"/>
      <c r="C364" s="259" t="s">
        <v>360</v>
      </c>
      <c r="D364" s="376">
        <v>6.7</v>
      </c>
      <c r="E364" s="376">
        <v>6.8</v>
      </c>
      <c r="F364" s="376">
        <v>6.7</v>
      </c>
      <c r="G364" s="376">
        <v>6.8</v>
      </c>
      <c r="H364" s="376"/>
      <c r="I364" s="376"/>
      <c r="J364" s="376"/>
      <c r="K364" s="376"/>
      <c r="L364" s="376"/>
      <c r="M364" s="376"/>
      <c r="N364" s="376"/>
      <c r="O364" s="376"/>
      <c r="P364" s="376"/>
      <c r="Q364" s="376"/>
      <c r="R364" s="376"/>
      <c r="S364" s="376"/>
      <c r="T364" s="376"/>
      <c r="U364" s="376"/>
      <c r="V364" s="376"/>
      <c r="W364" s="376"/>
      <c r="X364" s="376"/>
      <c r="Y364" s="376"/>
      <c r="Z364" s="376"/>
      <c r="AA364" s="376"/>
      <c r="AB364" s="376"/>
      <c r="AC364" s="376"/>
      <c r="AD364" s="376"/>
      <c r="AE364" s="376"/>
      <c r="AF364" s="376"/>
      <c r="AG364" s="376"/>
      <c r="AH364" s="376"/>
      <c r="AI364" s="376"/>
      <c r="AJ364" s="376"/>
      <c r="AK364" s="377"/>
    </row>
    <row r="365" spans="1:37" ht="14.25" customHeight="1">
      <c r="A365" s="619">
        <v>7</v>
      </c>
      <c r="B365" s="657"/>
      <c r="C365" s="259" t="s">
        <v>362</v>
      </c>
      <c r="D365" s="376"/>
      <c r="E365" s="376"/>
      <c r="F365" s="376"/>
      <c r="G365" s="376"/>
      <c r="H365" s="376"/>
      <c r="I365" s="376"/>
      <c r="J365" s="376"/>
      <c r="K365" s="376"/>
      <c r="L365" s="376"/>
      <c r="M365" s="376"/>
      <c r="N365" s="376"/>
      <c r="O365" s="376"/>
      <c r="P365" s="376"/>
      <c r="Q365" s="376"/>
      <c r="R365" s="376"/>
      <c r="S365" s="376"/>
      <c r="T365" s="376"/>
      <c r="U365" s="376"/>
      <c r="V365" s="376"/>
      <c r="W365" s="376"/>
      <c r="X365" s="376"/>
      <c r="Y365" s="376"/>
      <c r="Z365" s="376"/>
      <c r="AA365" s="376"/>
      <c r="AB365" s="376"/>
      <c r="AC365" s="376"/>
      <c r="AD365" s="376"/>
      <c r="AE365" s="376"/>
      <c r="AF365" s="376"/>
      <c r="AG365" s="376"/>
      <c r="AH365" s="376"/>
      <c r="AI365" s="376"/>
      <c r="AJ365" s="376"/>
      <c r="AK365" s="377"/>
    </row>
    <row r="366" spans="1:37" ht="14.25" customHeight="1">
      <c r="A366" s="619">
        <v>7</v>
      </c>
      <c r="B366" s="657"/>
      <c r="C366" s="259" t="s">
        <v>363</v>
      </c>
      <c r="D366" s="376"/>
      <c r="E366" s="376"/>
      <c r="F366" s="376"/>
      <c r="G366" s="376"/>
      <c r="H366" s="376"/>
      <c r="I366" s="376"/>
      <c r="J366" s="376"/>
      <c r="K366" s="376"/>
      <c r="L366" s="376"/>
      <c r="M366" s="376"/>
      <c r="N366" s="376"/>
      <c r="O366" s="376"/>
      <c r="P366" s="376"/>
      <c r="Q366" s="376"/>
      <c r="R366" s="376"/>
      <c r="S366" s="376"/>
      <c r="T366" s="376"/>
      <c r="U366" s="376"/>
      <c r="V366" s="376"/>
      <c r="W366" s="376"/>
      <c r="X366" s="376"/>
      <c r="Y366" s="376"/>
      <c r="Z366" s="376"/>
      <c r="AA366" s="376"/>
      <c r="AB366" s="376"/>
      <c r="AC366" s="376"/>
      <c r="AD366" s="376"/>
      <c r="AE366" s="376"/>
      <c r="AF366" s="376"/>
      <c r="AG366" s="376"/>
      <c r="AH366" s="376"/>
      <c r="AI366" s="376"/>
      <c r="AJ366" s="376"/>
      <c r="AK366" s="377"/>
    </row>
    <row r="367" spans="1:37" ht="14.25" customHeight="1">
      <c r="A367" s="619"/>
      <c r="B367" s="657"/>
      <c r="C367" s="259" t="s">
        <v>767</v>
      </c>
      <c r="D367" s="323">
        <f t="shared" ref="D367:G367" si="69">SUM(D357:D366)</f>
        <v>15432.7</v>
      </c>
      <c r="E367" s="323">
        <f t="shared" si="69"/>
        <v>15995.300000000001</v>
      </c>
      <c r="F367" s="323">
        <f t="shared" si="69"/>
        <v>15748.800000000001</v>
      </c>
      <c r="G367" s="323">
        <f t="shared" si="69"/>
        <v>16710.2</v>
      </c>
      <c r="H367" s="376">
        <f t="shared" ref="H367:AJ367" si="70">SUM(H357:H361)</f>
        <v>0</v>
      </c>
      <c r="I367" s="376">
        <f t="shared" si="70"/>
        <v>0</v>
      </c>
      <c r="J367" s="376">
        <f t="shared" si="70"/>
        <v>0</v>
      </c>
      <c r="K367" s="376">
        <f t="shared" si="70"/>
        <v>0</v>
      </c>
      <c r="L367" s="376">
        <f t="shared" si="70"/>
        <v>0</v>
      </c>
      <c r="M367" s="376">
        <f t="shared" si="70"/>
        <v>0</v>
      </c>
      <c r="N367" s="376">
        <f t="shared" si="70"/>
        <v>0</v>
      </c>
      <c r="O367" s="376">
        <f t="shared" si="70"/>
        <v>0</v>
      </c>
      <c r="P367" s="376">
        <f t="shared" si="70"/>
        <v>0</v>
      </c>
      <c r="Q367" s="376">
        <f t="shared" si="70"/>
        <v>0</v>
      </c>
      <c r="R367" s="376">
        <f t="shared" si="70"/>
        <v>0</v>
      </c>
      <c r="S367" s="376">
        <f t="shared" si="70"/>
        <v>0</v>
      </c>
      <c r="T367" s="376">
        <f t="shared" si="70"/>
        <v>0</v>
      </c>
      <c r="U367" s="376">
        <f t="shared" si="70"/>
        <v>0</v>
      </c>
      <c r="V367" s="376">
        <f t="shared" si="70"/>
        <v>0</v>
      </c>
      <c r="W367" s="376">
        <f t="shared" si="70"/>
        <v>0</v>
      </c>
      <c r="X367" s="376">
        <f t="shared" si="70"/>
        <v>0</v>
      </c>
      <c r="Y367" s="376">
        <f t="shared" si="70"/>
        <v>0</v>
      </c>
      <c r="Z367" s="376">
        <f t="shared" si="70"/>
        <v>0</v>
      </c>
      <c r="AA367" s="376">
        <f t="shared" si="70"/>
        <v>0</v>
      </c>
      <c r="AB367" s="376">
        <f t="shared" si="70"/>
        <v>0</v>
      </c>
      <c r="AC367" s="376">
        <f t="shared" si="70"/>
        <v>0</v>
      </c>
      <c r="AD367" s="376">
        <f t="shared" si="70"/>
        <v>0</v>
      </c>
      <c r="AE367" s="376">
        <f t="shared" si="70"/>
        <v>0</v>
      </c>
      <c r="AF367" s="376">
        <f t="shared" si="70"/>
        <v>0</v>
      </c>
      <c r="AG367" s="376">
        <f t="shared" si="70"/>
        <v>0</v>
      </c>
      <c r="AH367" s="376">
        <f t="shared" si="70"/>
        <v>0</v>
      </c>
      <c r="AI367" s="376">
        <f t="shared" si="70"/>
        <v>0</v>
      </c>
      <c r="AJ367" s="376">
        <f t="shared" si="70"/>
        <v>0</v>
      </c>
      <c r="AK367" s="377"/>
    </row>
    <row r="368" spans="1:37" ht="14.25" customHeight="1">
      <c r="A368" s="619"/>
      <c r="B368" s="253"/>
      <c r="C368" s="378"/>
      <c r="D368" s="546"/>
      <c r="E368" s="258"/>
      <c r="F368" s="258"/>
      <c r="G368" s="258"/>
      <c r="H368" s="258"/>
      <c r="I368" s="258"/>
      <c r="J368" s="258"/>
      <c r="K368" s="258"/>
      <c r="L368" s="258"/>
      <c r="M368" s="258"/>
      <c r="N368" s="258"/>
      <c r="O368" s="258"/>
      <c r="P368" s="258"/>
      <c r="Q368" s="258"/>
      <c r="R368" s="258"/>
      <c r="S368" s="258"/>
      <c r="T368" s="258"/>
      <c r="U368" s="258"/>
      <c r="V368" s="258"/>
      <c r="W368" s="258"/>
      <c r="X368" s="258"/>
      <c r="Y368" s="258"/>
      <c r="Z368" s="258"/>
      <c r="AA368" s="258"/>
      <c r="AB368" s="258"/>
      <c r="AC368" s="258"/>
      <c r="AD368" s="258"/>
      <c r="AE368" s="258"/>
      <c r="AF368" s="258"/>
      <c r="AG368" s="258"/>
      <c r="AH368" s="258"/>
      <c r="AI368" s="258"/>
      <c r="AJ368" s="258"/>
      <c r="AK368" s="377"/>
    </row>
    <row r="369" spans="1:37" ht="14.25" customHeight="1">
      <c r="A369" s="519"/>
      <c r="B369" s="547"/>
      <c r="C369" s="548" t="s">
        <v>366</v>
      </c>
      <c r="D369" s="364"/>
      <c r="E369" s="364"/>
      <c r="F369" s="364"/>
      <c r="G369" s="364"/>
      <c r="H369" s="364"/>
      <c r="I369" s="364"/>
      <c r="J369" s="364"/>
      <c r="K369" s="364"/>
      <c r="L369" s="364"/>
      <c r="M369" s="364"/>
      <c r="N369" s="364"/>
      <c r="O369" s="364"/>
      <c r="P369" s="364"/>
      <c r="Q369" s="364"/>
      <c r="R369" s="364"/>
      <c r="S369" s="364"/>
      <c r="T369" s="364"/>
      <c r="U369" s="364"/>
      <c r="V369" s="364"/>
      <c r="W369" s="364"/>
      <c r="X369" s="364"/>
      <c r="Y369" s="364"/>
      <c r="Z369" s="364"/>
      <c r="AA369" s="364"/>
      <c r="AB369" s="364"/>
      <c r="AC369" s="364"/>
      <c r="AD369" s="364"/>
      <c r="AE369" s="364"/>
      <c r="AF369" s="364"/>
      <c r="AG369" s="364"/>
      <c r="AH369" s="364"/>
      <c r="AI369" s="364"/>
      <c r="AJ369" s="364"/>
      <c r="AK369" s="549"/>
    </row>
    <row r="370" spans="1:37" ht="14.25" customHeight="1">
      <c r="A370" s="519"/>
      <c r="B370" s="547"/>
      <c r="C370" s="364" t="s">
        <v>235</v>
      </c>
      <c r="D370" s="550"/>
      <c r="E370" s="550"/>
      <c r="F370" s="550"/>
      <c r="G370" s="550"/>
      <c r="H370" s="364">
        <v>48</v>
      </c>
      <c r="I370" s="364"/>
      <c r="J370" s="364"/>
      <c r="K370" s="364"/>
      <c r="L370" s="364"/>
      <c r="M370" s="364"/>
      <c r="N370" s="364"/>
      <c r="O370" s="364"/>
      <c r="P370" s="364"/>
      <c r="Q370" s="364"/>
      <c r="R370" s="364"/>
      <c r="S370" s="364"/>
      <c r="T370" s="364"/>
      <c r="U370" s="364"/>
      <c r="V370" s="364"/>
      <c r="W370" s="364"/>
      <c r="X370" s="364"/>
      <c r="Y370" s="364"/>
      <c r="Z370" s="364"/>
      <c r="AA370" s="364"/>
      <c r="AB370" s="364"/>
      <c r="AC370" s="364"/>
      <c r="AD370" s="364"/>
      <c r="AE370" s="364"/>
      <c r="AF370" s="364"/>
      <c r="AG370" s="364"/>
      <c r="AH370" s="364"/>
      <c r="AI370" s="364"/>
      <c r="AJ370" s="364"/>
      <c r="AK370" s="549"/>
    </row>
    <row r="371" spans="1:37" ht="14.25" customHeight="1">
      <c r="A371" s="519"/>
      <c r="B371" s="547"/>
      <c r="C371" s="364" t="s">
        <v>367</v>
      </c>
      <c r="D371" s="550"/>
      <c r="E371" s="550"/>
      <c r="F371" s="550"/>
      <c r="G371" s="550"/>
      <c r="H371" s="364">
        <v>36</v>
      </c>
      <c r="I371" s="364"/>
      <c r="J371" s="364"/>
      <c r="K371" s="364"/>
      <c r="L371" s="364"/>
      <c r="M371" s="364"/>
      <c r="N371" s="364"/>
      <c r="O371" s="364"/>
      <c r="P371" s="364"/>
      <c r="Q371" s="364"/>
      <c r="R371" s="364"/>
      <c r="S371" s="364"/>
      <c r="T371" s="364"/>
      <c r="U371" s="364"/>
      <c r="V371" s="364"/>
      <c r="W371" s="364"/>
      <c r="X371" s="364"/>
      <c r="Y371" s="364"/>
      <c r="Z371" s="364"/>
      <c r="AA371" s="364"/>
      <c r="AB371" s="364"/>
      <c r="AC371" s="364"/>
      <c r="AD371" s="364"/>
      <c r="AE371" s="364"/>
      <c r="AF371" s="364"/>
      <c r="AG371" s="364"/>
      <c r="AH371" s="364"/>
      <c r="AI371" s="364"/>
      <c r="AJ371" s="364"/>
      <c r="AK371" s="549"/>
    </row>
    <row r="372" spans="1:37" ht="14.25" customHeight="1">
      <c r="A372" s="519"/>
      <c r="B372" s="547"/>
      <c r="C372" s="364" t="s">
        <v>368</v>
      </c>
      <c r="D372" s="550"/>
      <c r="E372" s="550"/>
      <c r="F372" s="550"/>
      <c r="G372" s="550"/>
      <c r="H372" s="364">
        <v>27</v>
      </c>
      <c r="I372" s="364"/>
      <c r="J372" s="364"/>
      <c r="K372" s="364"/>
      <c r="L372" s="364"/>
      <c r="M372" s="364"/>
      <c r="N372" s="364"/>
      <c r="O372" s="364"/>
      <c r="P372" s="364"/>
      <c r="Q372" s="364"/>
      <c r="R372" s="364"/>
      <c r="S372" s="364"/>
      <c r="T372" s="364"/>
      <c r="U372" s="364"/>
      <c r="V372" s="364"/>
      <c r="W372" s="364"/>
      <c r="X372" s="364"/>
      <c r="Y372" s="364"/>
      <c r="Z372" s="364"/>
      <c r="AA372" s="364"/>
      <c r="AB372" s="364"/>
      <c r="AC372" s="364"/>
      <c r="AD372" s="364"/>
      <c r="AE372" s="364"/>
      <c r="AF372" s="364"/>
      <c r="AG372" s="364"/>
      <c r="AH372" s="364"/>
      <c r="AI372" s="364"/>
      <c r="AJ372" s="364"/>
      <c r="AK372" s="549"/>
    </row>
    <row r="373" spans="1:37" ht="14.25" customHeight="1">
      <c r="A373" s="519"/>
      <c r="B373" s="547"/>
      <c r="C373" s="364" t="s">
        <v>369</v>
      </c>
      <c r="D373" s="550"/>
      <c r="E373" s="550"/>
      <c r="F373" s="550"/>
      <c r="G373" s="550"/>
      <c r="H373" s="364">
        <v>35</v>
      </c>
      <c r="I373" s="364"/>
      <c r="J373" s="364"/>
      <c r="K373" s="364"/>
      <c r="L373" s="364"/>
      <c r="M373" s="364"/>
      <c r="N373" s="364"/>
      <c r="O373" s="364"/>
      <c r="P373" s="364"/>
      <c r="Q373" s="364"/>
      <c r="R373" s="364"/>
      <c r="S373" s="364"/>
      <c r="T373" s="364"/>
      <c r="U373" s="364"/>
      <c r="V373" s="364"/>
      <c r="W373" s="364"/>
      <c r="X373" s="364"/>
      <c r="Y373" s="364"/>
      <c r="Z373" s="364"/>
      <c r="AA373" s="364"/>
      <c r="AB373" s="364"/>
      <c r="AC373" s="364"/>
      <c r="AD373" s="364"/>
      <c r="AE373" s="364"/>
      <c r="AF373" s="364"/>
      <c r="AG373" s="364"/>
      <c r="AH373" s="364"/>
      <c r="AI373" s="364"/>
      <c r="AJ373" s="364"/>
      <c r="AK373" s="549"/>
    </row>
    <row r="374" spans="1:37" ht="14.25" customHeight="1">
      <c r="A374" s="519"/>
      <c r="B374" s="547"/>
      <c r="C374" s="364" t="s">
        <v>370</v>
      </c>
      <c r="D374" s="550"/>
      <c r="E374" s="550"/>
      <c r="F374" s="550"/>
      <c r="G374" s="550"/>
      <c r="H374" s="364">
        <v>23</v>
      </c>
      <c r="I374" s="364"/>
      <c r="J374" s="364"/>
      <c r="K374" s="364"/>
      <c r="L374" s="364"/>
      <c r="M374" s="364"/>
      <c r="N374" s="364"/>
      <c r="O374" s="364"/>
      <c r="P374" s="364"/>
      <c r="Q374" s="364"/>
      <c r="R374" s="364"/>
      <c r="S374" s="364"/>
      <c r="T374" s="364"/>
      <c r="U374" s="364"/>
      <c r="V374" s="364"/>
      <c r="W374" s="364"/>
      <c r="X374" s="364"/>
      <c r="Y374" s="364"/>
      <c r="Z374" s="364"/>
      <c r="AA374" s="364"/>
      <c r="AB374" s="364"/>
      <c r="AC374" s="364"/>
      <c r="AD374" s="364"/>
      <c r="AE374" s="364"/>
      <c r="AF374" s="364"/>
      <c r="AG374" s="364"/>
      <c r="AH374" s="364"/>
      <c r="AI374" s="364"/>
      <c r="AJ374" s="364"/>
      <c r="AK374" s="549"/>
    </row>
    <row r="375" spans="1:37" ht="14.25" customHeight="1">
      <c r="A375" s="519"/>
      <c r="B375" s="547"/>
      <c r="C375" s="364" t="s">
        <v>371</v>
      </c>
      <c r="D375" s="550"/>
      <c r="E375" s="550"/>
      <c r="F375" s="550"/>
      <c r="G375" s="550"/>
      <c r="H375" s="364">
        <v>23</v>
      </c>
      <c r="I375" s="364"/>
      <c r="J375" s="364"/>
      <c r="K375" s="364"/>
      <c r="L375" s="364"/>
      <c r="M375" s="364"/>
      <c r="N375" s="364"/>
      <c r="O375" s="364"/>
      <c r="P375" s="364"/>
      <c r="Q375" s="364"/>
      <c r="R375" s="364"/>
      <c r="S375" s="364"/>
      <c r="T375" s="364"/>
      <c r="U375" s="364"/>
      <c r="V375" s="364"/>
      <c r="W375" s="364"/>
      <c r="X375" s="364"/>
      <c r="Y375" s="364"/>
      <c r="Z375" s="364"/>
      <c r="AA375" s="364"/>
      <c r="AB375" s="364"/>
      <c r="AC375" s="364"/>
      <c r="AD375" s="364"/>
      <c r="AE375" s="364"/>
      <c r="AF375" s="364"/>
      <c r="AG375" s="364"/>
      <c r="AH375" s="364"/>
      <c r="AI375" s="364"/>
      <c r="AJ375" s="364"/>
      <c r="AK375" s="549"/>
    </row>
    <row r="376" spans="1:37" ht="14.25" customHeight="1">
      <c r="A376" s="619"/>
      <c r="B376" s="294"/>
      <c r="C376" s="358"/>
      <c r="D376" s="295"/>
      <c r="E376" s="295"/>
      <c r="F376" s="295"/>
      <c r="G376" s="295"/>
      <c r="H376" s="295"/>
      <c r="I376" s="295"/>
      <c r="J376" s="295"/>
      <c r="K376" s="295"/>
      <c r="L376" s="295"/>
      <c r="M376" s="295"/>
      <c r="N376" s="295"/>
      <c r="O376" s="295"/>
      <c r="P376" s="295"/>
      <c r="Q376" s="295"/>
      <c r="R376" s="295"/>
      <c r="S376" s="295"/>
      <c r="T376" s="295"/>
      <c r="U376" s="295"/>
      <c r="V376" s="295"/>
      <c r="W376" s="295"/>
      <c r="X376" s="295"/>
      <c r="Y376" s="295"/>
      <c r="Z376" s="295"/>
      <c r="AA376" s="295"/>
      <c r="AB376" s="295"/>
      <c r="AC376" s="295"/>
      <c r="AD376" s="295"/>
      <c r="AE376" s="295"/>
      <c r="AF376" s="295"/>
      <c r="AG376" s="295"/>
      <c r="AH376" s="295"/>
      <c r="AI376" s="295"/>
      <c r="AJ376" s="295"/>
      <c r="AK376" s="466"/>
    </row>
    <row r="377" spans="1:37" ht="14.25" customHeight="1">
      <c r="A377" s="619"/>
      <c r="B377" s="619"/>
      <c r="C377" s="4"/>
      <c r="D377" s="619"/>
      <c r="E377" s="619"/>
      <c r="F377" s="619"/>
      <c r="G377" s="619"/>
      <c r="H377" s="619"/>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row>
    <row r="378" spans="1:37" ht="14.25" customHeight="1">
      <c r="A378" s="619"/>
      <c r="B378" s="619"/>
      <c r="C378" s="4" t="s">
        <v>861</v>
      </c>
      <c r="D378" s="619"/>
      <c r="E378" s="619"/>
      <c r="F378" s="619"/>
      <c r="G378" s="619"/>
      <c r="H378" s="619"/>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row>
    <row r="379" spans="1:37" ht="14.25" customHeight="1">
      <c r="A379" s="619"/>
      <c r="B379" s="619"/>
      <c r="C379" s="4" t="s">
        <v>862</v>
      </c>
      <c r="D379" s="619"/>
      <c r="E379" s="619"/>
      <c r="F379" s="619"/>
      <c r="G379" s="619"/>
      <c r="H379" s="619"/>
      <c r="I379" s="21">
        <v>1</v>
      </c>
      <c r="J379" s="21">
        <v>6.1179000000000003E-6</v>
      </c>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c r="AH379" s="619"/>
      <c r="AI379" s="619"/>
      <c r="AJ379" s="619"/>
      <c r="AK379" s="619"/>
    </row>
    <row r="380" spans="1:37" ht="14.25" customHeight="1">
      <c r="A380" s="619"/>
      <c r="B380" s="619"/>
      <c r="C380" s="12"/>
      <c r="D380" s="619"/>
      <c r="E380" s="619"/>
      <c r="F380" s="619"/>
      <c r="G380" s="619"/>
      <c r="H380" s="619"/>
      <c r="I380" s="619"/>
      <c r="J380" s="619"/>
      <c r="K380" s="619"/>
      <c r="L380" s="619"/>
      <c r="M380" s="619"/>
      <c r="N380" s="619"/>
      <c r="O380" s="619"/>
      <c r="P380" s="619"/>
      <c r="Q380" s="619"/>
      <c r="R380" s="619"/>
      <c r="S380" s="619"/>
      <c r="T380" s="619"/>
      <c r="U380" s="619"/>
      <c r="V380" s="619"/>
      <c r="W380" s="619"/>
      <c r="X380" s="619"/>
      <c r="Y380" s="619"/>
      <c r="Z380" s="619"/>
      <c r="AA380" s="619"/>
      <c r="AB380" s="619"/>
      <c r="AC380" s="619"/>
      <c r="AD380" s="619"/>
      <c r="AE380" s="619"/>
      <c r="AF380" s="619"/>
      <c r="AG380" s="619"/>
      <c r="AH380" s="619"/>
      <c r="AI380" s="619"/>
      <c r="AJ380" s="619"/>
      <c r="AK380" s="619"/>
    </row>
    <row r="381" spans="1:37" ht="14.25" customHeight="1">
      <c r="A381" s="619"/>
      <c r="B381" s="619"/>
      <c r="C381" s="12" t="s">
        <v>561</v>
      </c>
      <c r="D381" s="619"/>
      <c r="E381" s="619"/>
      <c r="F381" s="619"/>
      <c r="G381" s="619"/>
      <c r="H381" s="619"/>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row>
    <row r="382" spans="1:37" ht="14.25" customHeight="1">
      <c r="A382" s="619"/>
      <c r="B382" s="619">
        <v>1</v>
      </c>
      <c r="C382" s="4" t="s">
        <v>863</v>
      </c>
      <c r="D382" s="14">
        <v>2018</v>
      </c>
      <c r="E382" s="541">
        <v>2019</v>
      </c>
      <c r="F382" s="14">
        <v>2020</v>
      </c>
      <c r="G382" s="14">
        <v>2021</v>
      </c>
      <c r="H382" s="619"/>
      <c r="I382" s="619"/>
      <c r="J382" s="619"/>
      <c r="K382" s="619"/>
      <c r="L382" s="619"/>
      <c r="M382" s="619"/>
      <c r="N382" s="619"/>
      <c r="O382" s="619"/>
      <c r="P382" s="619"/>
      <c r="Q382" s="619"/>
      <c r="R382" s="619"/>
      <c r="S382" s="619"/>
      <c r="T382" s="619"/>
      <c r="U382" s="619"/>
      <c r="V382" s="619"/>
      <c r="W382" s="619"/>
      <c r="X382" s="619"/>
      <c r="Y382" s="619"/>
      <c r="Z382" s="619"/>
      <c r="AA382" s="619"/>
      <c r="AB382" s="619"/>
      <c r="AC382" s="619"/>
      <c r="AD382" s="619"/>
      <c r="AE382" s="619"/>
      <c r="AF382" s="619"/>
      <c r="AG382" s="619"/>
      <c r="AH382" s="619"/>
      <c r="AI382" s="619"/>
      <c r="AJ382" s="619"/>
      <c r="AK382" s="619"/>
    </row>
    <row r="383" spans="1:37" ht="15.75" customHeight="1">
      <c r="A383" s="619"/>
      <c r="B383" s="619">
        <v>2</v>
      </c>
      <c r="C383" s="551" t="s">
        <v>864</v>
      </c>
      <c r="D383" s="1"/>
      <c r="E383" s="1"/>
      <c r="F383" s="1"/>
      <c r="G383" s="1"/>
      <c r="H383" s="619"/>
      <c r="I383" s="619"/>
      <c r="J383" s="619"/>
      <c r="K383" s="619"/>
      <c r="L383" s="619"/>
      <c r="M383" s="619"/>
      <c r="N383" s="619"/>
      <c r="O383" s="619"/>
      <c r="P383" s="619"/>
      <c r="Q383" s="619"/>
      <c r="R383" s="619"/>
      <c r="S383" s="619"/>
      <c r="T383" s="619"/>
      <c r="U383" s="619"/>
      <c r="V383" s="619"/>
      <c r="W383" s="619"/>
      <c r="X383" s="619"/>
      <c r="Y383" s="619"/>
      <c r="Z383" s="619"/>
      <c r="AA383" s="619"/>
      <c r="AB383" s="619"/>
      <c r="AC383" s="619"/>
      <c r="AD383" s="619"/>
      <c r="AE383" s="619"/>
      <c r="AF383" s="619"/>
      <c r="AG383" s="619"/>
      <c r="AH383" s="619"/>
      <c r="AI383" s="619"/>
      <c r="AJ383" s="619"/>
      <c r="AK383" s="619"/>
    </row>
    <row r="384" spans="1:37" ht="14.25" customHeight="1">
      <c r="A384" s="619"/>
      <c r="B384" s="619">
        <v>3</v>
      </c>
      <c r="C384" s="4" t="s">
        <v>865</v>
      </c>
      <c r="D384" s="619"/>
      <c r="E384" s="619"/>
      <c r="F384" s="619"/>
      <c r="G384" s="14">
        <v>2021</v>
      </c>
      <c r="H384" s="619"/>
      <c r="I384" s="619"/>
      <c r="J384" s="619"/>
      <c r="K384" s="619"/>
      <c r="L384" s="619"/>
      <c r="M384" s="619"/>
      <c r="N384" s="619"/>
      <c r="O384" s="619"/>
      <c r="P384" s="619"/>
      <c r="Q384" s="619"/>
      <c r="R384" s="619"/>
      <c r="S384" s="619"/>
      <c r="T384" s="619"/>
      <c r="U384" s="619"/>
      <c r="V384" s="619"/>
      <c r="W384" s="619"/>
      <c r="X384" s="619"/>
      <c r="Y384" s="619"/>
      <c r="Z384" s="619"/>
      <c r="AA384" s="619"/>
      <c r="AB384" s="619"/>
      <c r="AC384" s="619"/>
      <c r="AD384" s="619"/>
      <c r="AE384" s="619"/>
      <c r="AF384" s="619"/>
      <c r="AG384" s="619"/>
      <c r="AH384" s="619"/>
      <c r="AI384" s="619"/>
      <c r="AJ384" s="619"/>
      <c r="AK384" s="619"/>
    </row>
    <row r="385" spans="1:37" ht="14.25" customHeight="1">
      <c r="A385" s="619"/>
      <c r="B385" s="619">
        <v>4</v>
      </c>
      <c r="C385" s="4" t="s">
        <v>866</v>
      </c>
      <c r="D385" s="619"/>
      <c r="E385" s="619"/>
      <c r="F385" s="619"/>
      <c r="G385" s="619"/>
      <c r="H385" s="619"/>
      <c r="I385" s="619"/>
      <c r="J385" s="619"/>
      <c r="K385" s="619"/>
      <c r="L385" s="619"/>
      <c r="M385" s="619"/>
      <c r="N385" s="619"/>
      <c r="O385" s="619"/>
      <c r="P385" s="619"/>
      <c r="Q385" s="619"/>
      <c r="R385" s="619"/>
      <c r="S385" s="619"/>
      <c r="T385" s="619"/>
      <c r="U385" s="619"/>
      <c r="V385" s="619"/>
      <c r="W385" s="619"/>
      <c r="X385" s="619"/>
      <c r="Y385" s="619"/>
      <c r="Z385" s="619"/>
      <c r="AA385" s="619"/>
      <c r="AB385" s="619"/>
      <c r="AC385" s="619"/>
      <c r="AD385" s="619"/>
      <c r="AE385" s="619"/>
      <c r="AF385" s="619"/>
      <c r="AG385" s="619"/>
      <c r="AH385" s="619"/>
      <c r="AI385" s="619"/>
      <c r="AJ385" s="619"/>
      <c r="AK385" s="619"/>
    </row>
    <row r="386" spans="1:37" ht="14.25" customHeight="1">
      <c r="A386" s="619"/>
      <c r="B386" s="619">
        <v>5</v>
      </c>
      <c r="C386" s="542" t="s">
        <v>867</v>
      </c>
      <c r="D386" s="619"/>
      <c r="E386" s="619"/>
      <c r="F386" s="619"/>
      <c r="G386" s="619"/>
      <c r="H386" s="619"/>
      <c r="I386" s="619"/>
      <c r="J386" s="619"/>
      <c r="K386" s="619"/>
      <c r="L386" s="619"/>
      <c r="M386" s="619"/>
      <c r="N386" s="619"/>
      <c r="O386" s="619"/>
      <c r="P386" s="619"/>
      <c r="Q386" s="619"/>
      <c r="R386" s="619"/>
      <c r="S386" s="619"/>
      <c r="T386" s="619"/>
      <c r="U386" s="619"/>
      <c r="V386" s="619"/>
      <c r="W386" s="619"/>
      <c r="X386" s="619"/>
      <c r="Y386" s="619"/>
      <c r="Z386" s="619"/>
      <c r="AA386" s="619"/>
      <c r="AB386" s="619"/>
      <c r="AC386" s="619"/>
      <c r="AD386" s="619"/>
      <c r="AE386" s="619"/>
      <c r="AF386" s="619"/>
      <c r="AG386" s="619"/>
      <c r="AH386" s="619"/>
      <c r="AI386" s="619"/>
      <c r="AJ386" s="619"/>
      <c r="AK386" s="619"/>
    </row>
    <row r="387" spans="1:37" ht="14.25" customHeight="1">
      <c r="A387" s="619"/>
      <c r="B387" s="619">
        <v>6</v>
      </c>
      <c r="C387" s="4" t="s">
        <v>868</v>
      </c>
      <c r="D387" s="14">
        <v>2018</v>
      </c>
      <c r="E387" s="14">
        <v>2019</v>
      </c>
      <c r="F387" s="14">
        <v>2020</v>
      </c>
      <c r="G387" s="14">
        <v>2021</v>
      </c>
      <c r="H387" s="619"/>
      <c r="I387" s="619"/>
      <c r="J387" s="619"/>
      <c r="K387" s="619"/>
      <c r="L387" s="619"/>
      <c r="M387" s="619"/>
      <c r="N387" s="619"/>
      <c r="O387" s="619"/>
      <c r="P387" s="619"/>
      <c r="Q387" s="619"/>
      <c r="R387" s="619"/>
      <c r="S387" s="619"/>
      <c r="T387" s="619"/>
      <c r="U387" s="619"/>
      <c r="V387" s="619"/>
      <c r="W387" s="619"/>
      <c r="X387" s="619"/>
      <c r="Y387" s="619"/>
      <c r="Z387" s="619"/>
      <c r="AA387" s="619"/>
      <c r="AB387" s="619"/>
      <c r="AC387" s="619"/>
      <c r="AD387" s="619"/>
      <c r="AE387" s="619"/>
      <c r="AF387" s="619"/>
      <c r="AG387" s="619"/>
      <c r="AH387" s="619"/>
      <c r="AI387" s="619"/>
      <c r="AJ387" s="619"/>
      <c r="AK387" s="619"/>
    </row>
    <row r="388" spans="1:37" ht="14.25" customHeight="1">
      <c r="A388" s="619"/>
      <c r="B388" s="619">
        <v>7</v>
      </c>
      <c r="C388" s="442" t="s">
        <v>869</v>
      </c>
      <c r="D388" s="1"/>
      <c r="E388" s="1"/>
      <c r="F388" s="1"/>
      <c r="G388" s="1"/>
      <c r="H388" s="619"/>
      <c r="I388" s="619"/>
      <c r="J388" s="619"/>
      <c r="K388" s="619"/>
      <c r="L388" s="619"/>
      <c r="M388" s="619"/>
      <c r="N388" s="619"/>
      <c r="O388" s="619"/>
      <c r="P388" s="619"/>
      <c r="Q388" s="619"/>
      <c r="R388" s="619"/>
      <c r="S388" s="619"/>
      <c r="T388" s="619"/>
      <c r="U388" s="619"/>
      <c r="V388" s="619"/>
      <c r="W388" s="619"/>
      <c r="X388" s="619"/>
      <c r="Y388" s="619"/>
      <c r="Z388" s="619"/>
      <c r="AA388" s="619"/>
      <c r="AB388" s="619"/>
      <c r="AC388" s="619"/>
      <c r="AD388" s="619"/>
      <c r="AE388" s="619"/>
      <c r="AF388" s="619"/>
      <c r="AG388" s="619"/>
      <c r="AH388" s="619"/>
      <c r="AI388" s="619"/>
      <c r="AJ388" s="619"/>
      <c r="AK388" s="619"/>
    </row>
    <row r="389" spans="1:37" ht="14.25" customHeight="1">
      <c r="A389" s="619"/>
      <c r="B389" s="619">
        <v>8</v>
      </c>
      <c r="C389" s="552" t="s">
        <v>870</v>
      </c>
      <c r="D389" s="619"/>
      <c r="E389" s="619"/>
      <c r="F389" s="619"/>
      <c r="G389" s="619"/>
      <c r="H389" s="619"/>
      <c r="I389" s="619"/>
      <c r="J389" s="619"/>
      <c r="K389" s="619"/>
      <c r="L389" s="619"/>
      <c r="M389" s="619"/>
      <c r="N389" s="619"/>
      <c r="O389" s="619"/>
      <c r="P389" s="619"/>
      <c r="Q389" s="619"/>
      <c r="R389" s="619"/>
      <c r="S389" s="619"/>
      <c r="T389" s="619"/>
      <c r="U389" s="619"/>
      <c r="V389" s="619"/>
      <c r="W389" s="619"/>
      <c r="X389" s="619"/>
      <c r="Y389" s="619"/>
      <c r="Z389" s="619"/>
      <c r="AA389" s="619"/>
      <c r="AB389" s="619"/>
      <c r="AC389" s="619"/>
      <c r="AD389" s="619"/>
      <c r="AE389" s="619"/>
      <c r="AF389" s="619"/>
      <c r="AG389" s="619"/>
      <c r="AH389" s="619"/>
      <c r="AI389" s="619"/>
      <c r="AJ389" s="619"/>
      <c r="AK389" s="619"/>
    </row>
    <row r="390" spans="1:37" ht="14.25" customHeight="1">
      <c r="A390" s="619"/>
      <c r="B390" s="619">
        <v>9</v>
      </c>
      <c r="C390" s="542" t="s">
        <v>871</v>
      </c>
      <c r="D390" s="619"/>
      <c r="E390" s="619"/>
      <c r="F390" s="619"/>
      <c r="G390" s="619"/>
      <c r="H390" s="619"/>
      <c r="I390" s="619"/>
      <c r="J390" s="619"/>
      <c r="K390" s="619"/>
      <c r="L390" s="619"/>
      <c r="M390" s="619"/>
      <c r="N390" s="619"/>
      <c r="O390" s="619"/>
      <c r="P390" s="619"/>
      <c r="Q390" s="619"/>
      <c r="R390" s="619"/>
      <c r="S390" s="619"/>
      <c r="T390" s="619"/>
      <c r="U390" s="619"/>
      <c r="V390" s="619"/>
      <c r="W390" s="619"/>
      <c r="X390" s="619"/>
      <c r="Y390" s="619"/>
      <c r="Z390" s="619"/>
      <c r="AA390" s="619"/>
      <c r="AB390" s="619"/>
      <c r="AC390" s="619"/>
      <c r="AD390" s="619"/>
      <c r="AE390" s="619"/>
      <c r="AF390" s="619"/>
      <c r="AG390" s="619"/>
      <c r="AH390" s="619"/>
      <c r="AI390" s="619"/>
      <c r="AJ390" s="619"/>
      <c r="AK390" s="619"/>
    </row>
    <row r="391" spans="1:37" ht="14.25" customHeight="1">
      <c r="A391" s="619"/>
      <c r="B391" s="619">
        <v>10</v>
      </c>
      <c r="C391" s="4" t="s">
        <v>872</v>
      </c>
      <c r="D391" s="619"/>
      <c r="E391" s="619"/>
      <c r="F391" s="619"/>
      <c r="G391" s="619"/>
      <c r="H391" s="619"/>
      <c r="I391" s="619"/>
      <c r="J391" s="619"/>
      <c r="K391" s="619"/>
      <c r="L391" s="619"/>
      <c r="M391" s="619"/>
      <c r="N391" s="619"/>
      <c r="O391" s="619"/>
      <c r="P391" s="619"/>
      <c r="Q391" s="619"/>
      <c r="R391" s="619"/>
      <c r="S391" s="619"/>
      <c r="T391" s="619"/>
      <c r="U391" s="619"/>
      <c r="V391" s="619"/>
      <c r="W391" s="619"/>
      <c r="X391" s="619"/>
      <c r="Y391" s="619"/>
      <c r="Z391" s="619"/>
      <c r="AA391" s="619"/>
      <c r="AB391" s="619"/>
      <c r="AC391" s="619"/>
      <c r="AD391" s="619"/>
      <c r="AE391" s="619"/>
      <c r="AF391" s="619"/>
      <c r="AG391" s="619"/>
      <c r="AH391" s="619"/>
      <c r="AI391" s="619"/>
      <c r="AJ391" s="619"/>
      <c r="AK391" s="619"/>
    </row>
    <row r="392" spans="1:37" ht="14.25" customHeight="1">
      <c r="A392" s="619"/>
      <c r="B392" s="619"/>
      <c r="C392" s="4" t="s">
        <v>873</v>
      </c>
      <c r="D392" s="619"/>
      <c r="E392" s="619"/>
      <c r="F392" s="619"/>
      <c r="G392" s="619"/>
      <c r="H392" s="619"/>
      <c r="I392" s="619"/>
      <c r="J392" s="619"/>
      <c r="K392" s="619"/>
      <c r="L392" s="619"/>
      <c r="M392" s="619"/>
      <c r="N392" s="619"/>
      <c r="O392" s="619"/>
      <c r="P392" s="619"/>
      <c r="Q392" s="619"/>
      <c r="R392" s="619"/>
      <c r="S392" s="619"/>
      <c r="T392" s="619"/>
      <c r="U392" s="619"/>
      <c r="V392" s="619"/>
      <c r="W392" s="619"/>
      <c r="X392" s="619"/>
      <c r="Y392" s="619"/>
      <c r="Z392" s="619"/>
      <c r="AA392" s="619"/>
      <c r="AB392" s="619"/>
      <c r="AC392" s="619"/>
      <c r="AD392" s="619"/>
      <c r="AE392" s="619"/>
      <c r="AF392" s="619"/>
      <c r="AG392" s="619"/>
      <c r="AH392" s="619"/>
      <c r="AI392" s="619"/>
      <c r="AJ392" s="619"/>
      <c r="AK392" s="619"/>
    </row>
    <row r="393" spans="1:37" ht="14.25" customHeight="1">
      <c r="A393" s="619"/>
      <c r="B393" s="619"/>
      <c r="C393" s="4"/>
      <c r="D393" s="619"/>
      <c r="E393" s="619"/>
      <c r="F393" s="619"/>
      <c r="G393" s="619"/>
      <c r="H393" s="619"/>
      <c r="I393" s="619"/>
      <c r="J393" s="619"/>
      <c r="K393" s="619"/>
      <c r="L393" s="619"/>
      <c r="M393" s="619"/>
      <c r="N393" s="619"/>
      <c r="O393" s="619"/>
      <c r="P393" s="619"/>
      <c r="Q393" s="619"/>
      <c r="R393" s="619"/>
      <c r="S393" s="619"/>
      <c r="T393" s="619"/>
      <c r="U393" s="619"/>
      <c r="V393" s="619"/>
      <c r="W393" s="619"/>
      <c r="X393" s="619"/>
      <c r="Y393" s="619"/>
      <c r="Z393" s="619"/>
      <c r="AA393" s="619"/>
      <c r="AB393" s="619"/>
      <c r="AC393" s="619"/>
      <c r="AD393" s="619"/>
      <c r="AE393" s="619"/>
      <c r="AF393" s="619"/>
      <c r="AG393" s="619"/>
      <c r="AH393" s="619"/>
      <c r="AI393" s="619"/>
      <c r="AJ393" s="619"/>
      <c r="AK393" s="619"/>
    </row>
    <row r="394" spans="1:37" ht="14.25" customHeight="1">
      <c r="A394" s="619"/>
      <c r="B394" s="619"/>
      <c r="C394" s="553" t="s">
        <v>874</v>
      </c>
      <c r="D394" s="554" t="s">
        <v>875</v>
      </c>
      <c r="E394" s="554" t="s">
        <v>876</v>
      </c>
      <c r="F394" s="554" t="s">
        <v>877</v>
      </c>
      <c r="G394" s="554" t="s">
        <v>878</v>
      </c>
      <c r="H394" s="554" t="s">
        <v>879</v>
      </c>
      <c r="I394" s="619"/>
      <c r="J394" s="619"/>
      <c r="K394" s="619"/>
      <c r="L394" s="619"/>
      <c r="M394" s="619"/>
      <c r="N394" s="619"/>
      <c r="O394" s="619"/>
      <c r="P394" s="619"/>
      <c r="Q394" s="619"/>
      <c r="R394" s="619"/>
      <c r="S394" s="619"/>
      <c r="T394" s="619"/>
      <c r="U394" s="619"/>
      <c r="V394" s="619"/>
      <c r="W394" s="619"/>
      <c r="X394" s="619"/>
      <c r="Y394" s="619"/>
      <c r="Z394" s="619"/>
      <c r="AA394" s="619"/>
      <c r="AB394" s="619"/>
      <c r="AC394" s="619"/>
      <c r="AD394" s="619"/>
      <c r="AE394" s="619"/>
      <c r="AF394" s="619"/>
      <c r="AG394" s="619"/>
      <c r="AH394" s="619"/>
      <c r="AI394" s="619"/>
      <c r="AJ394" s="619"/>
      <c r="AK394" s="619"/>
    </row>
    <row r="395" spans="1:37" ht="14.25" customHeight="1">
      <c r="A395" s="619"/>
      <c r="B395" s="619"/>
      <c r="C395" s="555">
        <v>2020</v>
      </c>
      <c r="D395" s="556" t="s">
        <v>880</v>
      </c>
      <c r="E395" s="557" t="s">
        <v>881</v>
      </c>
      <c r="F395" s="556" t="s">
        <v>140</v>
      </c>
      <c r="G395" s="558">
        <v>5.95</v>
      </c>
      <c r="H395" s="556" t="s">
        <v>882</v>
      </c>
      <c r="I395" s="619"/>
      <c r="J395" s="619"/>
      <c r="K395" s="619"/>
      <c r="L395" s="619"/>
      <c r="M395" s="619"/>
      <c r="N395" s="619"/>
      <c r="O395" s="619"/>
      <c r="P395" s="619"/>
      <c r="Q395" s="619"/>
      <c r="R395" s="619"/>
      <c r="S395" s="619"/>
      <c r="T395" s="619"/>
      <c r="U395" s="619"/>
      <c r="V395" s="619"/>
      <c r="W395" s="619"/>
      <c r="X395" s="619"/>
      <c r="Y395" s="619"/>
      <c r="Z395" s="619"/>
      <c r="AA395" s="619"/>
      <c r="AB395" s="619"/>
      <c r="AC395" s="619"/>
      <c r="AD395" s="619"/>
      <c r="AE395" s="619"/>
      <c r="AF395" s="619"/>
      <c r="AG395" s="619"/>
      <c r="AH395" s="619"/>
      <c r="AI395" s="619"/>
      <c r="AJ395" s="619"/>
      <c r="AK395" s="619"/>
    </row>
    <row r="396" spans="1:37" ht="14.25" customHeight="1">
      <c r="A396" s="619"/>
      <c r="B396" s="619"/>
      <c r="C396" s="555">
        <v>2021</v>
      </c>
      <c r="D396" s="556" t="s">
        <v>883</v>
      </c>
      <c r="E396" s="556" t="s">
        <v>884</v>
      </c>
      <c r="F396" s="556" t="s">
        <v>140</v>
      </c>
      <c r="G396" s="558">
        <v>7.59</v>
      </c>
      <c r="H396" s="556" t="s">
        <v>882</v>
      </c>
      <c r="I396" s="619"/>
      <c r="J396" s="619"/>
      <c r="K396" s="619"/>
      <c r="L396" s="619"/>
      <c r="M396" s="619"/>
      <c r="N396" s="619"/>
      <c r="O396" s="619"/>
      <c r="P396" s="619"/>
      <c r="Q396" s="619"/>
      <c r="R396" s="619"/>
      <c r="S396" s="619"/>
      <c r="T396" s="619"/>
      <c r="U396" s="619"/>
      <c r="V396" s="619"/>
      <c r="W396" s="619"/>
      <c r="X396" s="619"/>
      <c r="Y396" s="619"/>
      <c r="Z396" s="619"/>
      <c r="AA396" s="619"/>
      <c r="AB396" s="619"/>
      <c r="AC396" s="619"/>
      <c r="AD396" s="619"/>
      <c r="AE396" s="619"/>
      <c r="AF396" s="619"/>
      <c r="AG396" s="619"/>
      <c r="AH396" s="619"/>
      <c r="AI396" s="619"/>
      <c r="AJ396" s="619"/>
      <c r="AK396" s="619"/>
    </row>
    <row r="397" spans="1:37" ht="14.25" customHeight="1">
      <c r="A397" s="619"/>
      <c r="B397" s="619"/>
      <c r="C397" s="555">
        <v>2021</v>
      </c>
      <c r="D397" s="556" t="s">
        <v>885</v>
      </c>
      <c r="E397" s="557" t="s">
        <v>886</v>
      </c>
      <c r="F397" s="556" t="s">
        <v>140</v>
      </c>
      <c r="G397" s="558">
        <v>49</v>
      </c>
      <c r="H397" s="556" t="s">
        <v>882</v>
      </c>
      <c r="I397" s="619"/>
      <c r="J397" s="619"/>
      <c r="K397" s="619"/>
      <c r="L397" s="619"/>
      <c r="M397" s="619"/>
      <c r="N397" s="619"/>
      <c r="O397" s="619"/>
      <c r="P397" s="619"/>
      <c r="Q397" s="619"/>
      <c r="R397" s="619"/>
      <c r="S397" s="619"/>
      <c r="T397" s="619"/>
      <c r="U397" s="619"/>
      <c r="V397" s="619"/>
      <c r="W397" s="619"/>
      <c r="X397" s="619"/>
      <c r="Y397" s="619"/>
      <c r="Z397" s="619"/>
      <c r="AA397" s="619"/>
      <c r="AB397" s="619"/>
      <c r="AC397" s="619"/>
      <c r="AD397" s="619"/>
      <c r="AE397" s="619"/>
      <c r="AF397" s="619"/>
      <c r="AG397" s="619"/>
      <c r="AH397" s="619"/>
      <c r="AI397" s="619"/>
      <c r="AJ397" s="619"/>
      <c r="AK397" s="619"/>
    </row>
    <row r="398" spans="1:37" ht="14.25" customHeight="1">
      <c r="A398" s="619"/>
      <c r="B398" s="619"/>
      <c r="C398" s="555">
        <v>2021</v>
      </c>
      <c r="D398" s="556" t="s">
        <v>887</v>
      </c>
      <c r="E398" s="556" t="s">
        <v>322</v>
      </c>
      <c r="F398" s="556"/>
      <c r="G398" s="558">
        <v>50</v>
      </c>
      <c r="H398" s="556"/>
      <c r="I398" s="619"/>
      <c r="J398" s="619"/>
      <c r="K398" s="619"/>
      <c r="L398" s="619"/>
      <c r="M398" s="619"/>
      <c r="N398" s="619"/>
      <c r="O398" s="619"/>
      <c r="P398" s="619"/>
      <c r="Q398" s="619"/>
      <c r="R398" s="619"/>
      <c r="S398" s="619"/>
      <c r="T398" s="619"/>
      <c r="U398" s="619"/>
      <c r="V398" s="619"/>
      <c r="W398" s="619"/>
      <c r="X398" s="619"/>
      <c r="Y398" s="619"/>
      <c r="Z398" s="619"/>
      <c r="AA398" s="619"/>
      <c r="AB398" s="619"/>
      <c r="AC398" s="619"/>
      <c r="AD398" s="619"/>
      <c r="AE398" s="619"/>
      <c r="AF398" s="619"/>
      <c r="AG398" s="619"/>
      <c r="AH398" s="619"/>
      <c r="AI398" s="619"/>
      <c r="AJ398" s="619"/>
      <c r="AK398" s="619"/>
    </row>
    <row r="399" spans="1:37" ht="14.25" customHeight="1">
      <c r="A399" s="619"/>
      <c r="B399" s="619"/>
      <c r="C399" s="555">
        <v>2021</v>
      </c>
      <c r="D399" s="556" t="s">
        <v>888</v>
      </c>
      <c r="E399" s="557" t="s">
        <v>886</v>
      </c>
      <c r="F399" s="556" t="s">
        <v>140</v>
      </c>
      <c r="G399" s="558">
        <v>205.4</v>
      </c>
      <c r="H399" s="556" t="s">
        <v>889</v>
      </c>
      <c r="I399" s="619"/>
      <c r="J399" s="619"/>
      <c r="K399" s="619"/>
      <c r="L399" s="619"/>
      <c r="M399" s="619"/>
      <c r="N399" s="619"/>
      <c r="O399" s="619"/>
      <c r="P399" s="619"/>
      <c r="Q399" s="619"/>
      <c r="R399" s="619"/>
      <c r="S399" s="619"/>
      <c r="T399" s="619"/>
      <c r="U399" s="619"/>
      <c r="V399" s="619"/>
      <c r="W399" s="619"/>
      <c r="X399" s="619"/>
      <c r="Y399" s="619"/>
      <c r="Z399" s="619"/>
      <c r="AA399" s="619"/>
      <c r="AB399" s="619"/>
      <c r="AC399" s="619"/>
      <c r="AD399" s="619"/>
      <c r="AE399" s="619"/>
      <c r="AF399" s="619"/>
      <c r="AG399" s="619"/>
      <c r="AH399" s="619"/>
      <c r="AI399" s="619"/>
      <c r="AJ399" s="619"/>
      <c r="AK399" s="619"/>
    </row>
    <row r="400" spans="1:37" ht="14.25" customHeight="1">
      <c r="A400" s="619"/>
      <c r="B400" s="619"/>
      <c r="C400" s="555">
        <v>2022</v>
      </c>
      <c r="D400" s="556" t="s">
        <v>890</v>
      </c>
      <c r="E400" s="556" t="s">
        <v>251</v>
      </c>
      <c r="F400" s="556"/>
      <c r="G400" s="558">
        <v>200</v>
      </c>
      <c r="H400" s="556"/>
      <c r="I400" s="619"/>
      <c r="J400" s="619"/>
      <c r="K400" s="619"/>
      <c r="L400" s="619"/>
      <c r="M400" s="619"/>
      <c r="N400" s="619"/>
      <c r="O400" s="619"/>
      <c r="P400" s="619"/>
      <c r="Q400" s="619"/>
      <c r="R400" s="619"/>
      <c r="S400" s="619"/>
      <c r="T400" s="619"/>
      <c r="U400" s="619"/>
      <c r="V400" s="619"/>
      <c r="W400" s="619"/>
      <c r="X400" s="619"/>
      <c r="Y400" s="619"/>
      <c r="Z400" s="619"/>
      <c r="AA400" s="619"/>
      <c r="AB400" s="619"/>
      <c r="AC400" s="619"/>
      <c r="AD400" s="619"/>
      <c r="AE400" s="619"/>
      <c r="AF400" s="619"/>
      <c r="AG400" s="619"/>
      <c r="AH400" s="619"/>
      <c r="AI400" s="619"/>
      <c r="AJ400" s="619"/>
      <c r="AK400" s="619"/>
    </row>
    <row r="401" spans="1:37" ht="14.25" customHeight="1">
      <c r="A401" s="619"/>
      <c r="B401" s="619"/>
      <c r="C401" s="555">
        <v>2022</v>
      </c>
      <c r="D401" s="556" t="s">
        <v>891</v>
      </c>
      <c r="E401" s="557" t="s">
        <v>881</v>
      </c>
      <c r="F401" s="556" t="s">
        <v>139</v>
      </c>
      <c r="G401" s="558">
        <v>30</v>
      </c>
      <c r="H401" s="556" t="s">
        <v>882</v>
      </c>
      <c r="I401" s="619"/>
      <c r="J401" s="619"/>
      <c r="K401" s="619"/>
      <c r="L401" s="619"/>
      <c r="M401" s="619"/>
      <c r="N401" s="619"/>
      <c r="O401" s="619"/>
      <c r="P401" s="619"/>
      <c r="Q401" s="619"/>
      <c r="R401" s="619"/>
      <c r="S401" s="619"/>
      <c r="T401" s="619"/>
      <c r="U401" s="619"/>
      <c r="V401" s="619"/>
      <c r="W401" s="619"/>
      <c r="X401" s="619"/>
      <c r="Y401" s="619"/>
      <c r="Z401" s="619"/>
      <c r="AA401" s="619"/>
      <c r="AB401" s="619"/>
      <c r="AC401" s="619"/>
      <c r="AD401" s="619"/>
      <c r="AE401" s="619"/>
      <c r="AF401" s="619"/>
      <c r="AG401" s="619"/>
      <c r="AH401" s="619"/>
      <c r="AI401" s="619"/>
      <c r="AJ401" s="619"/>
      <c r="AK401" s="619"/>
    </row>
    <row r="402" spans="1:37" ht="14.25" customHeight="1">
      <c r="A402" s="619"/>
      <c r="B402" s="619"/>
      <c r="C402" s="555">
        <v>2022</v>
      </c>
      <c r="D402" s="556" t="s">
        <v>892</v>
      </c>
      <c r="E402" s="557" t="s">
        <v>881</v>
      </c>
      <c r="F402" s="556" t="s">
        <v>139</v>
      </c>
      <c r="G402" s="558">
        <v>7.19</v>
      </c>
      <c r="H402" s="556" t="s">
        <v>882</v>
      </c>
      <c r="I402" s="619"/>
      <c r="J402" s="619"/>
      <c r="K402" s="619"/>
      <c r="L402" s="619"/>
      <c r="M402" s="619"/>
      <c r="N402" s="619"/>
      <c r="O402" s="619"/>
      <c r="P402" s="619"/>
      <c r="Q402" s="619"/>
      <c r="R402" s="619"/>
      <c r="S402" s="619"/>
      <c r="T402" s="619"/>
      <c r="U402" s="619"/>
      <c r="V402" s="619"/>
      <c r="W402" s="619"/>
      <c r="X402" s="619"/>
      <c r="Y402" s="619"/>
      <c r="Z402" s="619"/>
      <c r="AA402" s="619"/>
      <c r="AB402" s="619"/>
      <c r="AC402" s="619"/>
      <c r="AD402" s="619"/>
      <c r="AE402" s="619"/>
      <c r="AF402" s="619"/>
      <c r="AG402" s="619"/>
      <c r="AH402" s="619"/>
      <c r="AI402" s="619"/>
      <c r="AJ402" s="619"/>
      <c r="AK402" s="619"/>
    </row>
    <row r="403" spans="1:37" ht="14.25" customHeight="1">
      <c r="A403" s="619"/>
      <c r="B403" s="619"/>
      <c r="C403" s="555">
        <v>2023</v>
      </c>
      <c r="D403" s="556" t="s">
        <v>893</v>
      </c>
      <c r="E403" s="556" t="s">
        <v>322</v>
      </c>
      <c r="F403" s="556"/>
      <c r="G403" s="558">
        <v>110</v>
      </c>
      <c r="H403" s="556"/>
      <c r="I403" s="619"/>
      <c r="J403" s="619"/>
      <c r="K403" s="619"/>
      <c r="L403" s="619"/>
      <c r="M403" s="619"/>
      <c r="N403" s="619"/>
      <c r="O403" s="619"/>
      <c r="P403" s="619"/>
      <c r="Q403" s="619"/>
      <c r="R403" s="619"/>
      <c r="S403" s="619"/>
      <c r="T403" s="619"/>
      <c r="U403" s="619"/>
      <c r="V403" s="619"/>
      <c r="W403" s="619"/>
      <c r="X403" s="619"/>
      <c r="Y403" s="619"/>
      <c r="Z403" s="619"/>
      <c r="AA403" s="619"/>
      <c r="AB403" s="619"/>
      <c r="AC403" s="619"/>
      <c r="AD403" s="619"/>
      <c r="AE403" s="619"/>
      <c r="AF403" s="619"/>
      <c r="AG403" s="619"/>
      <c r="AH403" s="619"/>
      <c r="AI403" s="619"/>
      <c r="AJ403" s="619"/>
      <c r="AK403" s="619"/>
    </row>
    <row r="404" spans="1:37" ht="14.25" customHeight="1">
      <c r="A404" s="619"/>
      <c r="B404" s="619"/>
      <c r="C404" s="555">
        <v>2023</v>
      </c>
      <c r="D404" s="556" t="s">
        <v>894</v>
      </c>
      <c r="E404" s="556" t="s">
        <v>884</v>
      </c>
      <c r="F404" s="556" t="s">
        <v>140</v>
      </c>
      <c r="G404" s="558">
        <v>9</v>
      </c>
      <c r="H404" s="556" t="s">
        <v>882</v>
      </c>
      <c r="I404" s="619"/>
      <c r="J404" s="619"/>
      <c r="K404" s="619"/>
      <c r="L404" s="619"/>
      <c r="M404" s="619"/>
      <c r="N404" s="619"/>
      <c r="O404" s="619"/>
      <c r="P404" s="619"/>
      <c r="Q404" s="619"/>
      <c r="R404" s="619"/>
      <c r="S404" s="619"/>
      <c r="T404" s="619"/>
      <c r="U404" s="619"/>
      <c r="V404" s="619"/>
      <c r="W404" s="619"/>
      <c r="X404" s="619"/>
      <c r="Y404" s="619"/>
      <c r="Z404" s="619"/>
      <c r="AA404" s="619"/>
      <c r="AB404" s="619"/>
      <c r="AC404" s="619"/>
      <c r="AD404" s="619"/>
      <c r="AE404" s="619"/>
      <c r="AF404" s="619"/>
      <c r="AG404" s="619"/>
      <c r="AH404" s="619"/>
      <c r="AI404" s="619"/>
      <c r="AJ404" s="619"/>
      <c r="AK404" s="619"/>
    </row>
    <row r="405" spans="1:37" ht="14.25" customHeight="1">
      <c r="A405" s="619"/>
      <c r="B405" s="619"/>
      <c r="C405" s="555">
        <v>2024</v>
      </c>
      <c r="D405" s="556" t="s">
        <v>895</v>
      </c>
      <c r="E405" s="556" t="s">
        <v>884</v>
      </c>
      <c r="F405" s="556" t="s">
        <v>140</v>
      </c>
      <c r="G405" s="558">
        <v>20</v>
      </c>
      <c r="H405" s="556" t="s">
        <v>882</v>
      </c>
      <c r="I405" s="619"/>
      <c r="J405" s="619"/>
      <c r="K405" s="619"/>
      <c r="L405" s="619"/>
      <c r="M405" s="619"/>
      <c r="N405" s="619"/>
      <c r="O405" s="619"/>
      <c r="P405" s="619"/>
      <c r="Q405" s="619"/>
      <c r="R405" s="619"/>
      <c r="S405" s="619"/>
      <c r="T405" s="619"/>
      <c r="U405" s="619"/>
      <c r="V405" s="619"/>
      <c r="W405" s="619"/>
      <c r="X405" s="619"/>
      <c r="Y405" s="619"/>
      <c r="Z405" s="619"/>
      <c r="AA405" s="619"/>
      <c r="AB405" s="619"/>
      <c r="AC405" s="619"/>
      <c r="AD405" s="619"/>
      <c r="AE405" s="619"/>
      <c r="AF405" s="619"/>
      <c r="AG405" s="619"/>
      <c r="AH405" s="619"/>
      <c r="AI405" s="619"/>
      <c r="AJ405" s="619"/>
      <c r="AK405" s="619"/>
    </row>
    <row r="406" spans="1:37" ht="14.25" customHeight="1">
      <c r="A406" s="619"/>
      <c r="B406" s="619"/>
      <c r="C406" s="555">
        <v>2024</v>
      </c>
      <c r="D406" s="556" t="s">
        <v>896</v>
      </c>
      <c r="E406" s="557" t="s">
        <v>881</v>
      </c>
      <c r="F406" s="556" t="s">
        <v>139</v>
      </c>
      <c r="G406" s="558">
        <v>7.38</v>
      </c>
      <c r="H406" s="556" t="s">
        <v>882</v>
      </c>
      <c r="I406" s="619"/>
      <c r="J406" s="619"/>
      <c r="K406" s="619"/>
      <c r="L406" s="619"/>
      <c r="M406" s="619"/>
      <c r="N406" s="619"/>
      <c r="O406" s="619"/>
      <c r="P406" s="619"/>
      <c r="Q406" s="619"/>
      <c r="R406" s="619"/>
      <c r="S406" s="619"/>
      <c r="T406" s="619"/>
      <c r="U406" s="619"/>
      <c r="V406" s="619"/>
      <c r="W406" s="619"/>
      <c r="X406" s="619"/>
      <c r="Y406" s="619"/>
      <c r="Z406" s="619"/>
      <c r="AA406" s="619"/>
      <c r="AB406" s="619"/>
      <c r="AC406" s="619"/>
      <c r="AD406" s="619"/>
      <c r="AE406" s="619"/>
      <c r="AF406" s="619"/>
      <c r="AG406" s="619"/>
      <c r="AH406" s="619"/>
      <c r="AI406" s="619"/>
      <c r="AJ406" s="619"/>
      <c r="AK406" s="619"/>
    </row>
    <row r="407" spans="1:37" ht="14.25" customHeight="1">
      <c r="A407" s="619"/>
      <c r="B407" s="619"/>
      <c r="C407" s="555">
        <v>2024</v>
      </c>
      <c r="D407" s="556" t="s">
        <v>897</v>
      </c>
      <c r="E407" s="556" t="s">
        <v>898</v>
      </c>
      <c r="F407" s="556"/>
      <c r="G407" s="558">
        <v>110</v>
      </c>
      <c r="H407" s="556"/>
      <c r="I407" s="619"/>
      <c r="J407" s="619"/>
      <c r="K407" s="619"/>
      <c r="L407" s="619"/>
      <c r="M407" s="619"/>
      <c r="N407" s="619"/>
      <c r="O407" s="619"/>
      <c r="P407" s="619"/>
      <c r="Q407" s="619"/>
      <c r="R407" s="619"/>
      <c r="S407" s="619"/>
      <c r="T407" s="619"/>
      <c r="U407" s="619"/>
      <c r="V407" s="619"/>
      <c r="W407" s="619"/>
      <c r="X407" s="619"/>
      <c r="Y407" s="619"/>
      <c r="Z407" s="619"/>
      <c r="AA407" s="619"/>
      <c r="AB407" s="619"/>
      <c r="AC407" s="619"/>
      <c r="AD407" s="619"/>
      <c r="AE407" s="619"/>
      <c r="AF407" s="619"/>
      <c r="AG407" s="619"/>
      <c r="AH407" s="619"/>
      <c r="AI407" s="619"/>
      <c r="AJ407" s="619"/>
      <c r="AK407" s="619"/>
    </row>
    <row r="408" spans="1:37" ht="14.25" customHeight="1">
      <c r="A408" s="619"/>
      <c r="B408" s="619"/>
      <c r="C408" s="555">
        <v>2024</v>
      </c>
      <c r="D408" s="556" t="s">
        <v>899</v>
      </c>
      <c r="E408" s="557" t="s">
        <v>886</v>
      </c>
      <c r="F408" s="556" t="s">
        <v>139</v>
      </c>
      <c r="G408" s="558">
        <v>7.2</v>
      </c>
      <c r="H408" s="556"/>
      <c r="I408" s="619"/>
      <c r="J408" s="619"/>
      <c r="K408" s="619"/>
      <c r="L408" s="619"/>
      <c r="M408" s="619"/>
      <c r="N408" s="619"/>
      <c r="O408" s="619"/>
      <c r="P408" s="619"/>
      <c r="Q408" s="619"/>
      <c r="R408" s="619"/>
      <c r="S408" s="619"/>
      <c r="T408" s="619"/>
      <c r="U408" s="619"/>
      <c r="V408" s="619"/>
      <c r="W408" s="619"/>
      <c r="X408" s="619"/>
      <c r="Y408" s="619"/>
      <c r="Z408" s="619"/>
      <c r="AA408" s="619"/>
      <c r="AB408" s="619"/>
      <c r="AC408" s="619"/>
      <c r="AD408" s="619"/>
      <c r="AE408" s="619"/>
      <c r="AF408" s="619"/>
      <c r="AG408" s="619"/>
      <c r="AH408" s="619"/>
      <c r="AI408" s="619"/>
      <c r="AJ408" s="619"/>
      <c r="AK408" s="619"/>
    </row>
    <row r="409" spans="1:37" ht="14.25" customHeight="1">
      <c r="A409" s="619"/>
      <c r="B409" s="619"/>
      <c r="C409" s="555">
        <v>2024</v>
      </c>
      <c r="D409" s="556" t="s">
        <v>900</v>
      </c>
      <c r="E409" s="556" t="s">
        <v>884</v>
      </c>
      <c r="F409" s="556" t="s">
        <v>139</v>
      </c>
      <c r="G409" s="558">
        <v>4</v>
      </c>
      <c r="H409" s="556" t="s">
        <v>882</v>
      </c>
      <c r="I409" s="619"/>
      <c r="J409" s="619"/>
      <c r="K409" s="619"/>
      <c r="L409" s="619"/>
      <c r="M409" s="619"/>
      <c r="N409" s="619"/>
      <c r="O409" s="619"/>
      <c r="P409" s="619"/>
      <c r="Q409" s="619"/>
      <c r="R409" s="619"/>
      <c r="S409" s="619"/>
      <c r="T409" s="619"/>
      <c r="U409" s="619"/>
      <c r="V409" s="619"/>
      <c r="W409" s="619"/>
      <c r="X409" s="619"/>
      <c r="Y409" s="619"/>
      <c r="Z409" s="619"/>
      <c r="AA409" s="619"/>
      <c r="AB409" s="619"/>
      <c r="AC409" s="619"/>
      <c r="AD409" s="619"/>
      <c r="AE409" s="619"/>
      <c r="AF409" s="619"/>
      <c r="AG409" s="619"/>
      <c r="AH409" s="619"/>
      <c r="AI409" s="619"/>
      <c r="AJ409" s="619"/>
      <c r="AK409" s="619"/>
    </row>
    <row r="410" spans="1:37" ht="14.25" customHeight="1">
      <c r="A410" s="619"/>
      <c r="B410" s="619"/>
      <c r="C410" s="555">
        <v>2024</v>
      </c>
      <c r="D410" s="556" t="s">
        <v>901</v>
      </c>
      <c r="E410" s="556" t="s">
        <v>884</v>
      </c>
      <c r="F410" s="556" t="s">
        <v>140</v>
      </c>
      <c r="G410" s="558">
        <v>30</v>
      </c>
      <c r="H410" s="556" t="s">
        <v>882</v>
      </c>
      <c r="I410" s="619"/>
      <c r="J410" s="619"/>
      <c r="K410" s="619"/>
      <c r="L410" s="619"/>
      <c r="M410" s="619"/>
      <c r="N410" s="619"/>
      <c r="O410" s="619"/>
      <c r="P410" s="619"/>
      <c r="Q410" s="619"/>
      <c r="R410" s="619"/>
      <c r="S410" s="619"/>
      <c r="T410" s="619"/>
      <c r="U410" s="619"/>
      <c r="V410" s="619"/>
      <c r="W410" s="619"/>
      <c r="X410" s="619"/>
      <c r="Y410" s="619"/>
      <c r="Z410" s="619"/>
      <c r="AA410" s="619"/>
      <c r="AB410" s="619"/>
      <c r="AC410" s="619"/>
      <c r="AD410" s="619"/>
      <c r="AE410" s="619"/>
      <c r="AF410" s="619"/>
      <c r="AG410" s="619"/>
      <c r="AH410" s="619"/>
      <c r="AI410" s="619"/>
      <c r="AJ410" s="619"/>
      <c r="AK410" s="619"/>
    </row>
    <row r="411" spans="1:37" ht="14.25" customHeight="1">
      <c r="A411" s="619"/>
      <c r="B411" s="619"/>
      <c r="C411" s="555">
        <v>2024</v>
      </c>
      <c r="D411" s="556" t="s">
        <v>902</v>
      </c>
      <c r="E411" s="557" t="s">
        <v>886</v>
      </c>
      <c r="F411" s="556" t="s">
        <v>139</v>
      </c>
      <c r="G411" s="558">
        <v>14.6</v>
      </c>
      <c r="H411" s="556"/>
      <c r="I411" s="619"/>
      <c r="J411" s="619"/>
      <c r="K411" s="619"/>
      <c r="L411" s="619"/>
      <c r="M411" s="619"/>
      <c r="N411" s="619"/>
      <c r="O411" s="619"/>
      <c r="P411" s="619"/>
      <c r="Q411" s="619"/>
      <c r="R411" s="619"/>
      <c r="S411" s="619"/>
      <c r="T411" s="619"/>
      <c r="U411" s="619"/>
      <c r="V411" s="619"/>
      <c r="W411" s="619"/>
      <c r="X411" s="619"/>
      <c r="Y411" s="619"/>
      <c r="Z411" s="619"/>
      <c r="AA411" s="619"/>
      <c r="AB411" s="619"/>
      <c r="AC411" s="619"/>
      <c r="AD411" s="619"/>
      <c r="AE411" s="619"/>
      <c r="AF411" s="619"/>
      <c r="AG411" s="619"/>
      <c r="AH411" s="619"/>
      <c r="AI411" s="619"/>
      <c r="AJ411" s="619"/>
      <c r="AK411" s="619"/>
    </row>
    <row r="412" spans="1:37" ht="14.25" customHeight="1">
      <c r="A412" s="619"/>
      <c r="B412" s="619"/>
      <c r="C412" s="555">
        <v>2024</v>
      </c>
      <c r="D412" s="556" t="s">
        <v>903</v>
      </c>
      <c r="E412" s="557" t="s">
        <v>904</v>
      </c>
      <c r="F412" s="556"/>
      <c r="G412" s="558">
        <v>500</v>
      </c>
      <c r="H412" s="556"/>
      <c r="I412" s="619"/>
      <c r="J412" s="619"/>
      <c r="K412" s="619"/>
      <c r="L412" s="619"/>
      <c r="M412" s="619"/>
      <c r="N412" s="619"/>
      <c r="O412" s="619"/>
      <c r="P412" s="619"/>
      <c r="Q412" s="619"/>
      <c r="R412" s="619"/>
      <c r="S412" s="619"/>
      <c r="T412" s="619"/>
      <c r="U412" s="619"/>
      <c r="V412" s="619"/>
      <c r="W412" s="619"/>
      <c r="X412" s="619"/>
      <c r="Y412" s="619"/>
      <c r="Z412" s="619"/>
      <c r="AA412" s="619"/>
      <c r="AB412" s="619"/>
      <c r="AC412" s="619"/>
      <c r="AD412" s="619"/>
      <c r="AE412" s="619"/>
      <c r="AF412" s="619"/>
      <c r="AG412" s="619"/>
      <c r="AH412" s="619"/>
      <c r="AI412" s="619"/>
      <c r="AJ412" s="619"/>
      <c r="AK412" s="619"/>
    </row>
    <row r="413" spans="1:37" ht="14.25" customHeight="1">
      <c r="A413" s="619"/>
      <c r="B413" s="619"/>
      <c r="C413" s="555">
        <v>2025</v>
      </c>
      <c r="D413" s="556" t="s">
        <v>905</v>
      </c>
      <c r="E413" s="557" t="s">
        <v>881</v>
      </c>
      <c r="F413" s="556" t="s">
        <v>139</v>
      </c>
      <c r="G413" s="558">
        <v>50</v>
      </c>
      <c r="H413" s="556" t="s">
        <v>889</v>
      </c>
      <c r="I413" s="619"/>
      <c r="J413" s="619"/>
      <c r="K413" s="619"/>
      <c r="L413" s="619"/>
      <c r="M413" s="619"/>
      <c r="N413" s="619"/>
      <c r="O413" s="619"/>
      <c r="P413" s="619"/>
      <c r="Q413" s="619"/>
      <c r="R413" s="619"/>
      <c r="S413" s="619"/>
      <c r="T413" s="619"/>
      <c r="U413" s="619"/>
      <c r="V413" s="619"/>
      <c r="W413" s="619"/>
      <c r="X413" s="619"/>
      <c r="Y413" s="619"/>
      <c r="Z413" s="619"/>
      <c r="AA413" s="619"/>
      <c r="AB413" s="619"/>
      <c r="AC413" s="619"/>
      <c r="AD413" s="619"/>
      <c r="AE413" s="619"/>
      <c r="AF413" s="619"/>
      <c r="AG413" s="619"/>
      <c r="AH413" s="619"/>
      <c r="AI413" s="619"/>
      <c r="AJ413" s="619"/>
      <c r="AK413" s="619"/>
    </row>
    <row r="414" spans="1:37" ht="14.25" customHeight="1">
      <c r="A414" s="619"/>
      <c r="B414" s="619"/>
      <c r="C414" s="555">
        <v>2025</v>
      </c>
      <c r="D414" s="556" t="s">
        <v>906</v>
      </c>
      <c r="E414" s="556" t="s">
        <v>904</v>
      </c>
      <c r="F414" s="556"/>
      <c r="G414" s="558">
        <v>500</v>
      </c>
      <c r="H414" s="556"/>
      <c r="I414" s="619"/>
      <c r="J414" s="619"/>
      <c r="K414" s="619"/>
      <c r="L414" s="619"/>
      <c r="M414" s="619"/>
      <c r="N414" s="619"/>
      <c r="O414" s="619"/>
      <c r="P414" s="619"/>
      <c r="Q414" s="619"/>
      <c r="R414" s="619"/>
      <c r="S414" s="619"/>
      <c r="T414" s="619"/>
      <c r="U414" s="619"/>
      <c r="V414" s="619"/>
      <c r="W414" s="619"/>
      <c r="X414" s="619"/>
      <c r="Y414" s="619"/>
      <c r="Z414" s="619"/>
      <c r="AA414" s="619"/>
      <c r="AB414" s="619"/>
      <c r="AC414" s="619"/>
      <c r="AD414" s="619"/>
      <c r="AE414" s="619"/>
      <c r="AF414" s="619"/>
      <c r="AG414" s="619"/>
      <c r="AH414" s="619"/>
      <c r="AI414" s="619"/>
      <c r="AJ414" s="619"/>
      <c r="AK414" s="619"/>
    </row>
    <row r="415" spans="1:37" ht="14.25" customHeight="1">
      <c r="A415" s="619"/>
      <c r="B415" s="619"/>
      <c r="C415" s="555">
        <v>2026</v>
      </c>
      <c r="D415" s="556" t="s">
        <v>907</v>
      </c>
      <c r="E415" s="556" t="s">
        <v>908</v>
      </c>
      <c r="F415" s="556"/>
      <c r="G415" s="558">
        <v>400</v>
      </c>
      <c r="H415" s="556"/>
      <c r="I415" s="619"/>
      <c r="J415" s="619"/>
      <c r="K415" s="619"/>
      <c r="L415" s="619"/>
      <c r="M415" s="619"/>
      <c r="N415" s="619"/>
      <c r="O415" s="619"/>
      <c r="P415" s="619"/>
      <c r="Q415" s="619"/>
      <c r="R415" s="619"/>
      <c r="S415" s="619"/>
      <c r="T415" s="619"/>
      <c r="U415" s="619"/>
      <c r="V415" s="619"/>
      <c r="W415" s="619"/>
      <c r="X415" s="619"/>
      <c r="Y415" s="619"/>
      <c r="Z415" s="619"/>
      <c r="AA415" s="619"/>
      <c r="AB415" s="619"/>
      <c r="AC415" s="619"/>
      <c r="AD415" s="619"/>
      <c r="AE415" s="619"/>
      <c r="AF415" s="619"/>
      <c r="AG415" s="619"/>
      <c r="AH415" s="619"/>
      <c r="AI415" s="619"/>
      <c r="AJ415" s="619"/>
      <c r="AK415" s="619"/>
    </row>
    <row r="416" spans="1:37" ht="14.25" customHeight="1">
      <c r="A416" s="619"/>
      <c r="B416" s="619"/>
      <c r="C416" s="555">
        <v>2026</v>
      </c>
      <c r="D416" s="556" t="s">
        <v>909</v>
      </c>
      <c r="E416" s="556" t="s">
        <v>904</v>
      </c>
      <c r="F416" s="556"/>
      <c r="G416" s="558">
        <v>120</v>
      </c>
      <c r="H416" s="556"/>
      <c r="I416" s="619"/>
      <c r="J416" s="619"/>
      <c r="K416" s="619"/>
      <c r="L416" s="619"/>
      <c r="M416" s="619"/>
      <c r="N416" s="619"/>
      <c r="O416" s="619"/>
      <c r="P416" s="619"/>
      <c r="Q416" s="619"/>
      <c r="R416" s="619"/>
      <c r="S416" s="619"/>
      <c r="T416" s="619"/>
      <c r="U416" s="619"/>
      <c r="V416" s="619"/>
      <c r="W416" s="619"/>
      <c r="X416" s="619"/>
      <c r="Y416" s="619"/>
      <c r="Z416" s="619"/>
      <c r="AA416" s="619"/>
      <c r="AB416" s="619"/>
      <c r="AC416" s="619"/>
      <c r="AD416" s="619"/>
      <c r="AE416" s="619"/>
      <c r="AF416" s="619"/>
      <c r="AG416" s="619"/>
      <c r="AH416" s="619"/>
      <c r="AI416" s="619"/>
      <c r="AJ416" s="619"/>
      <c r="AK416" s="619"/>
    </row>
    <row r="417" spans="1:37" ht="14.25" customHeight="1">
      <c r="A417" s="619"/>
      <c r="B417" s="619"/>
      <c r="C417" s="555">
        <v>2028</v>
      </c>
      <c r="D417" s="556" t="s">
        <v>910</v>
      </c>
      <c r="E417" s="556" t="s">
        <v>904</v>
      </c>
      <c r="F417" s="556"/>
      <c r="G417" s="558">
        <v>320</v>
      </c>
      <c r="H417" s="556"/>
      <c r="I417" s="619"/>
      <c r="J417" s="619"/>
      <c r="K417" s="619"/>
      <c r="L417" s="619"/>
      <c r="M417" s="619"/>
      <c r="N417" s="619"/>
      <c r="O417" s="619"/>
      <c r="P417" s="619"/>
      <c r="Q417" s="619"/>
      <c r="R417" s="619"/>
      <c r="S417" s="619"/>
      <c r="T417" s="619"/>
      <c r="U417" s="619"/>
      <c r="V417" s="619"/>
      <c r="W417" s="619"/>
      <c r="X417" s="619"/>
      <c r="Y417" s="619"/>
      <c r="Z417" s="619"/>
      <c r="AA417" s="619"/>
      <c r="AB417" s="619"/>
      <c r="AC417" s="619"/>
      <c r="AD417" s="619"/>
      <c r="AE417" s="619"/>
      <c r="AF417" s="619"/>
      <c r="AG417" s="619"/>
      <c r="AH417" s="619"/>
      <c r="AI417" s="619"/>
      <c r="AJ417" s="619"/>
      <c r="AK417" s="619"/>
    </row>
    <row r="418" spans="1:37" ht="14.25" customHeight="1">
      <c r="A418" s="619"/>
      <c r="B418" s="619"/>
      <c r="C418" s="555">
        <v>2028</v>
      </c>
      <c r="D418" s="556" t="s">
        <v>911</v>
      </c>
      <c r="E418" s="556" t="s">
        <v>246</v>
      </c>
      <c r="F418" s="556"/>
      <c r="G418" s="558">
        <v>50</v>
      </c>
      <c r="H418" s="556"/>
      <c r="I418" s="619"/>
      <c r="J418" s="619"/>
      <c r="K418" s="619"/>
      <c r="L418" s="619"/>
      <c r="M418" s="619"/>
      <c r="N418" s="619"/>
      <c r="O418" s="619"/>
      <c r="P418" s="619"/>
      <c r="Q418" s="619"/>
      <c r="R418" s="619"/>
      <c r="S418" s="619"/>
      <c r="T418" s="619"/>
      <c r="U418" s="619"/>
      <c r="V418" s="619"/>
      <c r="W418" s="619"/>
      <c r="X418" s="619"/>
      <c r="Y418" s="619"/>
      <c r="Z418" s="619"/>
      <c r="AA418" s="619"/>
      <c r="AB418" s="619"/>
      <c r="AC418" s="619"/>
      <c r="AD418" s="619"/>
      <c r="AE418" s="619"/>
      <c r="AF418" s="619"/>
      <c r="AG418" s="619"/>
      <c r="AH418" s="619"/>
      <c r="AI418" s="619"/>
      <c r="AJ418" s="619"/>
      <c r="AK418" s="619"/>
    </row>
    <row r="419" spans="1:37" ht="14.25" customHeight="1">
      <c r="A419" s="619"/>
      <c r="B419" s="619"/>
      <c r="C419" s="555">
        <v>2028</v>
      </c>
      <c r="D419" s="556" t="s">
        <v>912</v>
      </c>
      <c r="E419" s="556" t="s">
        <v>913</v>
      </c>
      <c r="F419" s="556" t="s">
        <v>140</v>
      </c>
      <c r="G419" s="558">
        <v>194</v>
      </c>
      <c r="H419" s="556" t="s">
        <v>889</v>
      </c>
      <c r="I419" s="619"/>
      <c r="J419" s="619"/>
      <c r="K419" s="619"/>
      <c r="L419" s="619"/>
      <c r="M419" s="619"/>
      <c r="N419" s="619"/>
      <c r="O419" s="619"/>
      <c r="P419" s="619"/>
      <c r="Q419" s="619"/>
      <c r="R419" s="619"/>
      <c r="S419" s="619"/>
      <c r="T419" s="619"/>
      <c r="U419" s="619"/>
      <c r="V419" s="619"/>
      <c r="W419" s="619"/>
      <c r="X419" s="619"/>
      <c r="Y419" s="619"/>
      <c r="Z419" s="619"/>
      <c r="AA419" s="619"/>
      <c r="AB419" s="619"/>
      <c r="AC419" s="619"/>
      <c r="AD419" s="619"/>
      <c r="AE419" s="619"/>
      <c r="AF419" s="619"/>
      <c r="AG419" s="619"/>
      <c r="AH419" s="619"/>
      <c r="AI419" s="619"/>
      <c r="AJ419" s="619"/>
      <c r="AK419" s="619"/>
    </row>
    <row r="420" spans="1:37" ht="14.25" customHeight="1">
      <c r="A420" s="619"/>
      <c r="B420" s="619"/>
      <c r="C420" s="555">
        <v>2029</v>
      </c>
      <c r="D420" s="556" t="s">
        <v>914</v>
      </c>
      <c r="E420" s="557" t="s">
        <v>886</v>
      </c>
      <c r="F420" s="556" t="s">
        <v>139</v>
      </c>
      <c r="G420" s="558">
        <v>595.6</v>
      </c>
      <c r="H420" s="556" t="s">
        <v>915</v>
      </c>
      <c r="I420" s="619"/>
      <c r="J420" s="619"/>
      <c r="K420" s="619"/>
      <c r="L420" s="619"/>
      <c r="M420" s="619"/>
      <c r="N420" s="619"/>
      <c r="O420" s="619"/>
      <c r="P420" s="619"/>
      <c r="Q420" s="619"/>
      <c r="R420" s="619"/>
      <c r="S420" s="619"/>
      <c r="T420" s="619"/>
      <c r="U420" s="619"/>
      <c r="V420" s="619"/>
      <c r="W420" s="619"/>
      <c r="X420" s="619"/>
      <c r="Y420" s="619"/>
      <c r="Z420" s="619"/>
      <c r="AA420" s="619"/>
      <c r="AB420" s="619"/>
      <c r="AC420" s="619"/>
      <c r="AD420" s="619"/>
      <c r="AE420" s="619"/>
      <c r="AF420" s="619"/>
      <c r="AG420" s="619"/>
      <c r="AH420" s="619"/>
      <c r="AI420" s="619"/>
      <c r="AJ420" s="619"/>
      <c r="AK420" s="619"/>
    </row>
    <row r="421" spans="1:37" ht="14.25" customHeight="1">
      <c r="A421" s="619"/>
      <c r="B421" s="619"/>
      <c r="C421" s="555">
        <v>2030</v>
      </c>
      <c r="D421" s="556" t="s">
        <v>916</v>
      </c>
      <c r="E421" s="557" t="s">
        <v>886</v>
      </c>
      <c r="F421" s="556" t="s">
        <v>139</v>
      </c>
      <c r="G421" s="558">
        <v>1200</v>
      </c>
      <c r="H421" s="556" t="s">
        <v>915</v>
      </c>
      <c r="I421" s="619"/>
      <c r="J421" s="619"/>
      <c r="K421" s="619"/>
      <c r="L421" s="619"/>
      <c r="M421" s="619"/>
      <c r="N421" s="619"/>
      <c r="O421" s="619"/>
      <c r="P421" s="619"/>
      <c r="Q421" s="619"/>
      <c r="R421" s="619"/>
      <c r="S421" s="619"/>
      <c r="T421" s="619"/>
      <c r="U421" s="619"/>
      <c r="V421" s="619"/>
      <c r="W421" s="619"/>
      <c r="X421" s="619"/>
      <c r="Y421" s="619"/>
      <c r="Z421" s="619"/>
      <c r="AA421" s="619"/>
      <c r="AB421" s="619"/>
      <c r="AC421" s="619"/>
      <c r="AD421" s="619"/>
      <c r="AE421" s="619"/>
      <c r="AF421" s="619"/>
      <c r="AG421" s="619"/>
      <c r="AH421" s="619"/>
      <c r="AI421" s="619"/>
      <c r="AJ421" s="619"/>
      <c r="AK421" s="619"/>
    </row>
    <row r="422" spans="1:37" ht="14.25" customHeight="1">
      <c r="A422" s="619"/>
      <c r="B422" s="619"/>
      <c r="C422" s="555">
        <v>2031</v>
      </c>
      <c r="D422" s="556" t="s">
        <v>917</v>
      </c>
      <c r="E422" s="557" t="s">
        <v>886</v>
      </c>
      <c r="F422" s="556" t="s">
        <v>139</v>
      </c>
      <c r="G422" s="558">
        <v>1200</v>
      </c>
      <c r="H422" s="556" t="s">
        <v>915</v>
      </c>
      <c r="I422" s="619"/>
      <c r="J422" s="619"/>
      <c r="K422" s="619"/>
      <c r="L422" s="619"/>
      <c r="M422" s="619"/>
      <c r="N422" s="619"/>
      <c r="O422" s="619"/>
      <c r="P422" s="619"/>
      <c r="Q422" s="619"/>
      <c r="R422" s="619"/>
      <c r="S422" s="619"/>
      <c r="T422" s="619"/>
      <c r="U422" s="619"/>
      <c r="V422" s="619"/>
      <c r="W422" s="619"/>
      <c r="X422" s="619"/>
      <c r="Y422" s="619"/>
      <c r="Z422" s="619"/>
      <c r="AA422" s="619"/>
      <c r="AB422" s="619"/>
      <c r="AC422" s="619"/>
      <c r="AD422" s="619"/>
      <c r="AE422" s="619"/>
      <c r="AF422" s="619"/>
      <c r="AG422" s="619"/>
      <c r="AH422" s="619"/>
      <c r="AI422" s="619"/>
      <c r="AJ422" s="619"/>
      <c r="AK422" s="619"/>
    </row>
    <row r="423" spans="1:37" ht="14.25" customHeight="1">
      <c r="A423" s="619"/>
      <c r="B423" s="619"/>
      <c r="C423" s="1"/>
      <c r="D423" s="1"/>
      <c r="E423" s="1"/>
      <c r="F423" s="1"/>
      <c r="G423" s="1"/>
      <c r="H423" s="1"/>
      <c r="I423" s="619"/>
      <c r="J423" s="619"/>
      <c r="K423" s="619"/>
      <c r="L423" s="619"/>
      <c r="M423" s="619"/>
      <c r="N423" s="619"/>
      <c r="O423" s="619"/>
      <c r="P423" s="619"/>
      <c r="Q423" s="619"/>
      <c r="R423" s="619"/>
      <c r="S423" s="619"/>
      <c r="T423" s="619"/>
      <c r="U423" s="619"/>
      <c r="V423" s="619"/>
      <c r="W423" s="619"/>
      <c r="X423" s="619"/>
      <c r="Y423" s="619"/>
      <c r="Z423" s="619"/>
      <c r="AA423" s="619"/>
      <c r="AB423" s="619"/>
      <c r="AC423" s="619"/>
      <c r="AD423" s="619"/>
      <c r="AE423" s="619"/>
      <c r="AF423" s="619"/>
      <c r="AG423" s="619"/>
      <c r="AH423" s="619"/>
      <c r="AI423" s="619"/>
      <c r="AJ423" s="619"/>
      <c r="AK423" s="619"/>
    </row>
    <row r="424" spans="1:37" ht="14.25" customHeight="1">
      <c r="A424" s="619"/>
      <c r="B424" s="619"/>
      <c r="C424" s="15" t="s">
        <v>918</v>
      </c>
      <c r="D424" s="1"/>
      <c r="E424" s="1"/>
      <c r="F424" s="1"/>
      <c r="G424" s="1"/>
      <c r="H424" s="1"/>
      <c r="I424" s="619"/>
      <c r="J424" s="619"/>
      <c r="K424" s="619"/>
      <c r="L424" s="619"/>
      <c r="M424" s="619"/>
      <c r="N424" s="619"/>
      <c r="O424" s="619"/>
      <c r="P424" s="619"/>
      <c r="Q424" s="619"/>
      <c r="R424" s="619"/>
      <c r="S424" s="619"/>
      <c r="T424" s="619"/>
      <c r="U424" s="619"/>
      <c r="V424" s="619"/>
      <c r="W424" s="619"/>
      <c r="X424" s="619"/>
      <c r="Y424" s="619"/>
      <c r="Z424" s="619"/>
      <c r="AA424" s="619"/>
      <c r="AB424" s="619"/>
      <c r="AC424" s="619"/>
      <c r="AD424" s="619"/>
      <c r="AE424" s="619"/>
      <c r="AF424" s="619"/>
      <c r="AG424" s="619"/>
      <c r="AH424" s="619"/>
      <c r="AI424" s="619"/>
      <c r="AJ424" s="619"/>
      <c r="AK424" s="619"/>
    </row>
    <row r="425" spans="1:37" ht="14.25" customHeight="1">
      <c r="A425" s="619"/>
      <c r="B425" s="619"/>
      <c r="C425" s="1" t="s">
        <v>919</v>
      </c>
      <c r="D425" s="1"/>
      <c r="E425" s="1"/>
      <c r="F425" s="1"/>
      <c r="G425" s="1"/>
      <c r="H425" s="1"/>
      <c r="I425" s="619"/>
      <c r="J425" s="619"/>
      <c r="K425" s="619"/>
      <c r="L425" s="619"/>
      <c r="M425" s="619"/>
      <c r="N425" s="619"/>
      <c r="O425" s="619"/>
      <c r="P425" s="619"/>
      <c r="Q425" s="619"/>
      <c r="R425" s="619"/>
      <c r="S425" s="619"/>
      <c r="T425" s="619"/>
      <c r="U425" s="619"/>
      <c r="V425" s="619"/>
      <c r="W425" s="619"/>
      <c r="X425" s="619"/>
      <c r="Y425" s="619"/>
      <c r="Z425" s="619"/>
      <c r="AA425" s="619"/>
      <c r="AB425" s="619"/>
      <c r="AC425" s="619"/>
      <c r="AD425" s="619"/>
      <c r="AE425" s="619"/>
      <c r="AF425" s="619"/>
      <c r="AG425" s="619"/>
      <c r="AH425" s="619"/>
      <c r="AI425" s="619"/>
      <c r="AJ425" s="619"/>
      <c r="AK425" s="619"/>
    </row>
    <row r="426" spans="1:37" ht="14.25" customHeight="1">
      <c r="A426" s="619"/>
      <c r="B426" s="619"/>
      <c r="C426" s="1" t="s">
        <v>920</v>
      </c>
      <c r="D426" s="1"/>
      <c r="E426" s="1"/>
      <c r="F426" s="1"/>
      <c r="G426" s="1"/>
      <c r="H426" s="1"/>
      <c r="I426" s="619"/>
      <c r="J426" s="619"/>
      <c r="K426" s="619"/>
      <c r="L426" s="619"/>
      <c r="M426" s="619"/>
      <c r="N426" s="619"/>
      <c r="O426" s="619"/>
      <c r="P426" s="619"/>
      <c r="Q426" s="619"/>
      <c r="R426" s="619"/>
      <c r="S426" s="619"/>
      <c r="T426" s="619"/>
      <c r="U426" s="619"/>
      <c r="V426" s="619"/>
      <c r="W426" s="619"/>
      <c r="X426" s="619"/>
      <c r="Y426" s="619"/>
      <c r="Z426" s="619"/>
      <c r="AA426" s="619"/>
      <c r="AB426" s="619"/>
      <c r="AC426" s="619"/>
      <c r="AD426" s="619"/>
      <c r="AE426" s="619"/>
      <c r="AF426" s="619"/>
      <c r="AG426" s="619"/>
      <c r="AH426" s="619"/>
      <c r="AI426" s="619"/>
      <c r="AJ426" s="619"/>
      <c r="AK426" s="619"/>
    </row>
    <row r="427" spans="1:37" ht="14.25" customHeight="1">
      <c r="A427" s="619"/>
      <c r="B427" s="619"/>
      <c r="C427" s="1"/>
      <c r="D427" s="1"/>
      <c r="E427" s="1"/>
      <c r="F427" s="1"/>
      <c r="G427" s="1"/>
      <c r="H427" s="1"/>
      <c r="I427" s="619"/>
      <c r="J427" s="619"/>
      <c r="K427" s="619"/>
      <c r="L427" s="619"/>
      <c r="M427" s="619"/>
      <c r="N427" s="619"/>
      <c r="O427" s="619"/>
      <c r="P427" s="619"/>
      <c r="Q427" s="619"/>
      <c r="R427" s="619"/>
      <c r="S427" s="619"/>
      <c r="T427" s="619"/>
      <c r="U427" s="619"/>
      <c r="V427" s="619"/>
      <c r="W427" s="619"/>
      <c r="X427" s="619"/>
      <c r="Y427" s="619"/>
      <c r="Z427" s="619"/>
      <c r="AA427" s="619"/>
      <c r="AB427" s="619"/>
      <c r="AC427" s="619"/>
      <c r="AD427" s="619"/>
      <c r="AE427" s="619"/>
      <c r="AF427" s="619"/>
      <c r="AG427" s="619"/>
      <c r="AH427" s="619"/>
      <c r="AI427" s="619"/>
      <c r="AJ427" s="619"/>
      <c r="AK427" s="619"/>
    </row>
    <row r="428" spans="1:37" ht="14.25" customHeight="1">
      <c r="A428" s="619"/>
      <c r="B428" s="619"/>
      <c r="C428" s="15" t="s">
        <v>921</v>
      </c>
      <c r="D428" s="1"/>
      <c r="E428" s="1"/>
      <c r="F428" s="1"/>
      <c r="G428" s="1"/>
      <c r="H428" s="1"/>
      <c r="I428" s="619"/>
      <c r="J428" s="619"/>
      <c r="K428" s="619"/>
      <c r="L428" s="619"/>
      <c r="M428" s="619"/>
      <c r="N428" s="619"/>
      <c r="O428" s="619"/>
      <c r="P428" s="619"/>
      <c r="Q428" s="619"/>
      <c r="R428" s="619"/>
      <c r="S428" s="619"/>
      <c r="T428" s="619"/>
      <c r="U428" s="619"/>
      <c r="V428" s="619"/>
      <c r="W428" s="619"/>
      <c r="X428" s="619"/>
      <c r="Y428" s="619"/>
      <c r="Z428" s="619"/>
      <c r="AA428" s="619"/>
      <c r="AB428" s="619"/>
      <c r="AC428" s="619"/>
      <c r="AD428" s="619"/>
      <c r="AE428" s="619"/>
      <c r="AF428" s="619"/>
      <c r="AG428" s="619"/>
      <c r="AH428" s="619"/>
      <c r="AI428" s="619"/>
      <c r="AJ428" s="619"/>
      <c r="AK428" s="619"/>
    </row>
    <row r="429" spans="1:37" ht="14.25" customHeight="1">
      <c r="A429" s="619"/>
      <c r="B429" s="619"/>
      <c r="C429" s="1" t="s">
        <v>922</v>
      </c>
      <c r="D429" s="1"/>
      <c r="E429" s="1"/>
      <c r="F429" s="1"/>
      <c r="G429" s="1"/>
      <c r="H429" s="1"/>
      <c r="I429" s="619"/>
      <c r="J429" s="619"/>
      <c r="K429" s="619"/>
      <c r="L429" s="619"/>
      <c r="M429" s="619"/>
      <c r="N429" s="619"/>
      <c r="O429" s="619"/>
      <c r="P429" s="619"/>
      <c r="Q429" s="619"/>
      <c r="R429" s="619"/>
      <c r="S429" s="619"/>
      <c r="T429" s="619"/>
      <c r="U429" s="619"/>
      <c r="V429" s="619"/>
      <c r="W429" s="619"/>
      <c r="X429" s="619"/>
      <c r="Y429" s="619"/>
      <c r="Z429" s="619"/>
      <c r="AA429" s="619"/>
      <c r="AB429" s="619"/>
      <c r="AC429" s="619"/>
      <c r="AD429" s="619"/>
      <c r="AE429" s="619"/>
      <c r="AF429" s="619"/>
      <c r="AG429" s="619"/>
      <c r="AH429" s="619"/>
      <c r="AI429" s="619"/>
      <c r="AJ429" s="619"/>
      <c r="AK429" s="619"/>
    </row>
    <row r="430" spans="1:37" ht="14.25" customHeight="1">
      <c r="A430" s="619"/>
      <c r="B430" s="619"/>
      <c r="C430" s="1" t="s">
        <v>923</v>
      </c>
      <c r="D430" s="1"/>
      <c r="E430" s="1"/>
      <c r="F430" s="1"/>
      <c r="G430" s="1"/>
      <c r="H430" s="1"/>
      <c r="I430" s="619"/>
      <c r="J430" s="619"/>
      <c r="K430" s="619"/>
      <c r="L430" s="619"/>
      <c r="M430" s="619"/>
      <c r="N430" s="619"/>
      <c r="O430" s="619"/>
      <c r="P430" s="619"/>
      <c r="Q430" s="619"/>
      <c r="R430" s="619"/>
      <c r="S430" s="619"/>
      <c r="T430" s="619"/>
      <c r="U430" s="619"/>
      <c r="V430" s="619"/>
      <c r="W430" s="619"/>
      <c r="X430" s="619"/>
      <c r="Y430" s="619"/>
      <c r="Z430" s="619"/>
      <c r="AA430" s="619"/>
      <c r="AB430" s="619"/>
      <c r="AC430" s="619"/>
      <c r="AD430" s="619"/>
      <c r="AE430" s="619"/>
      <c r="AF430" s="619"/>
      <c r="AG430" s="619"/>
      <c r="AH430" s="619"/>
      <c r="AI430" s="619"/>
      <c r="AJ430" s="619"/>
      <c r="AK430" s="619"/>
    </row>
    <row r="431" spans="1:37" ht="14.25" customHeight="1">
      <c r="A431" s="619"/>
      <c r="B431" s="619"/>
      <c r="C431" s="1" t="s">
        <v>924</v>
      </c>
      <c r="D431" s="1"/>
      <c r="E431" s="1"/>
      <c r="F431" s="1"/>
      <c r="G431" s="1"/>
      <c r="H431" s="1"/>
      <c r="I431" s="619"/>
      <c r="J431" s="619"/>
      <c r="K431" s="619"/>
      <c r="L431" s="619"/>
      <c r="M431" s="619"/>
      <c r="N431" s="619"/>
      <c r="O431" s="619"/>
      <c r="P431" s="619"/>
      <c r="Q431" s="619"/>
      <c r="R431" s="619"/>
      <c r="S431" s="619"/>
      <c r="T431" s="619"/>
      <c r="U431" s="619"/>
      <c r="V431" s="619"/>
      <c r="W431" s="619"/>
      <c r="X431" s="619"/>
      <c r="Y431" s="619"/>
      <c r="Z431" s="619"/>
      <c r="AA431" s="619"/>
      <c r="AB431" s="619"/>
      <c r="AC431" s="619"/>
      <c r="AD431" s="619"/>
      <c r="AE431" s="619"/>
      <c r="AF431" s="619"/>
      <c r="AG431" s="619"/>
      <c r="AH431" s="619"/>
      <c r="AI431" s="619"/>
      <c r="AJ431" s="619"/>
      <c r="AK431" s="619"/>
    </row>
    <row r="432" spans="1:37" ht="14.25" customHeight="1">
      <c r="A432" s="619"/>
      <c r="B432" s="619"/>
      <c r="C432" s="1"/>
      <c r="D432" s="1"/>
      <c r="E432" s="1"/>
      <c r="F432" s="1"/>
      <c r="G432" s="1"/>
      <c r="H432" s="1"/>
      <c r="I432" s="619"/>
      <c r="J432" s="619"/>
      <c r="K432" s="619"/>
      <c r="L432" s="619"/>
      <c r="M432" s="619"/>
      <c r="N432" s="619"/>
      <c r="O432" s="619"/>
      <c r="P432" s="619"/>
      <c r="Q432" s="619"/>
      <c r="R432" s="619"/>
      <c r="S432" s="619"/>
      <c r="T432" s="619"/>
      <c r="U432" s="619"/>
      <c r="V432" s="619"/>
      <c r="W432" s="619"/>
      <c r="X432" s="619"/>
      <c r="Y432" s="619"/>
      <c r="Z432" s="619"/>
      <c r="AA432" s="619"/>
      <c r="AB432" s="619"/>
      <c r="AC432" s="619"/>
      <c r="AD432" s="619"/>
      <c r="AE432" s="619"/>
      <c r="AF432" s="619"/>
      <c r="AG432" s="619"/>
      <c r="AH432" s="619"/>
      <c r="AI432" s="619"/>
      <c r="AJ432" s="619"/>
      <c r="AK432" s="619"/>
    </row>
    <row r="433" spans="1:37" ht="14.25" customHeight="1">
      <c r="A433" s="619"/>
      <c r="B433" s="619"/>
      <c r="C433" s="129" t="s">
        <v>925</v>
      </c>
      <c r="D433" s="1"/>
      <c r="E433" s="1"/>
      <c r="F433" s="1"/>
      <c r="G433" s="1"/>
      <c r="H433" s="1"/>
      <c r="I433" s="619"/>
      <c r="J433" s="619"/>
      <c r="K433" s="619"/>
      <c r="L433" s="619"/>
      <c r="M433" s="619"/>
      <c r="N433" s="619"/>
      <c r="O433" s="619"/>
      <c r="P433" s="619"/>
      <c r="Q433" s="619"/>
      <c r="R433" s="619"/>
      <c r="S433" s="619"/>
      <c r="T433" s="619"/>
      <c r="U433" s="619"/>
      <c r="V433" s="619"/>
      <c r="W433" s="619"/>
      <c r="X433" s="619"/>
      <c r="Y433" s="619"/>
      <c r="Z433" s="619"/>
      <c r="AA433" s="619"/>
      <c r="AB433" s="619"/>
      <c r="AC433" s="619"/>
      <c r="AD433" s="619"/>
      <c r="AE433" s="619"/>
      <c r="AF433" s="619"/>
      <c r="AG433" s="619"/>
      <c r="AH433" s="619"/>
      <c r="AI433" s="619"/>
      <c r="AJ433" s="619"/>
      <c r="AK433" s="619"/>
    </row>
    <row r="434" spans="1:37" ht="14.25" customHeight="1">
      <c r="A434" s="619"/>
      <c r="B434" s="619"/>
      <c r="C434" s="1" t="s">
        <v>926</v>
      </c>
      <c r="D434" s="1" t="s">
        <v>927</v>
      </c>
      <c r="E434" s="1"/>
      <c r="F434" s="1"/>
      <c r="G434" s="1"/>
      <c r="H434" s="1"/>
      <c r="I434" s="619"/>
      <c r="J434" s="619"/>
      <c r="K434" s="619"/>
      <c r="L434" s="619"/>
      <c r="M434" s="619"/>
      <c r="N434" s="619"/>
      <c r="O434" s="619"/>
      <c r="P434" s="619"/>
      <c r="Q434" s="619"/>
      <c r="R434" s="619"/>
      <c r="S434" s="619"/>
      <c r="T434" s="619"/>
      <c r="U434" s="619"/>
      <c r="V434" s="619"/>
      <c r="W434" s="619"/>
      <c r="X434" s="619"/>
      <c r="Y434" s="619"/>
      <c r="Z434" s="619"/>
      <c r="AA434" s="619"/>
      <c r="AB434" s="619"/>
      <c r="AC434" s="619"/>
      <c r="AD434" s="619"/>
      <c r="AE434" s="619"/>
      <c r="AF434" s="619"/>
      <c r="AG434" s="619"/>
      <c r="AH434" s="619"/>
      <c r="AI434" s="619"/>
      <c r="AJ434" s="619"/>
      <c r="AK434" s="619"/>
    </row>
    <row r="435" spans="1:37" ht="14.25" customHeight="1">
      <c r="A435" s="619"/>
      <c r="B435" s="619"/>
      <c r="C435" s="1" t="s">
        <v>928</v>
      </c>
      <c r="D435" s="1" t="s">
        <v>929</v>
      </c>
      <c r="E435" s="1"/>
      <c r="F435" s="1"/>
      <c r="G435" s="1"/>
      <c r="H435" s="1"/>
      <c r="I435" s="619"/>
      <c r="J435" s="619"/>
      <c r="K435" s="619"/>
      <c r="L435" s="619"/>
      <c r="M435" s="619"/>
      <c r="N435" s="619"/>
      <c r="O435" s="619"/>
      <c r="P435" s="619"/>
      <c r="Q435" s="619"/>
      <c r="R435" s="619"/>
      <c r="S435" s="619"/>
      <c r="T435" s="619"/>
      <c r="U435" s="619"/>
      <c r="V435" s="619"/>
      <c r="W435" s="619"/>
      <c r="X435" s="619"/>
      <c r="Y435" s="619"/>
      <c r="Z435" s="619"/>
      <c r="AA435" s="619"/>
      <c r="AB435" s="619"/>
      <c r="AC435" s="619"/>
      <c r="AD435" s="619"/>
      <c r="AE435" s="619"/>
      <c r="AF435" s="619"/>
      <c r="AG435" s="619"/>
      <c r="AH435" s="619"/>
      <c r="AI435" s="619"/>
      <c r="AJ435" s="619"/>
      <c r="AK435" s="619"/>
    </row>
    <row r="436" spans="1:37" ht="14.25" customHeight="1">
      <c r="A436" s="619"/>
      <c r="B436" s="619"/>
      <c r="C436" s="1" t="s">
        <v>930</v>
      </c>
      <c r="D436" s="1" t="s">
        <v>931</v>
      </c>
      <c r="E436" s="1"/>
      <c r="F436" s="1"/>
      <c r="G436" s="1"/>
      <c r="H436" s="1"/>
      <c r="I436" s="619"/>
      <c r="J436" s="619"/>
      <c r="K436" s="619"/>
      <c r="L436" s="619"/>
      <c r="M436" s="619"/>
      <c r="N436" s="619"/>
      <c r="O436" s="619"/>
      <c r="P436" s="619"/>
      <c r="Q436" s="619"/>
      <c r="R436" s="619"/>
      <c r="S436" s="619"/>
      <c r="T436" s="619"/>
      <c r="U436" s="619"/>
      <c r="V436" s="619"/>
      <c r="W436" s="619"/>
      <c r="X436" s="619"/>
      <c r="Y436" s="619"/>
      <c r="Z436" s="619"/>
      <c r="AA436" s="619"/>
      <c r="AB436" s="619"/>
      <c r="AC436" s="619"/>
      <c r="AD436" s="619"/>
      <c r="AE436" s="619"/>
      <c r="AF436" s="619"/>
      <c r="AG436" s="619"/>
      <c r="AH436" s="619"/>
      <c r="AI436" s="619"/>
      <c r="AJ436" s="619"/>
      <c r="AK436" s="619"/>
    </row>
    <row r="437" spans="1:37" ht="14.25" customHeight="1">
      <c r="A437" s="619"/>
      <c r="B437" s="619"/>
      <c r="C437" s="1" t="s">
        <v>932</v>
      </c>
      <c r="D437" s="1" t="s">
        <v>933</v>
      </c>
      <c r="E437" s="1"/>
      <c r="F437" s="1"/>
      <c r="G437" s="1"/>
      <c r="H437" s="1"/>
      <c r="I437" s="619"/>
      <c r="J437" s="619"/>
      <c r="K437" s="619"/>
      <c r="L437" s="619"/>
      <c r="M437" s="619"/>
      <c r="N437" s="619"/>
      <c r="O437" s="619"/>
      <c r="P437" s="619"/>
      <c r="Q437" s="619"/>
      <c r="R437" s="619"/>
      <c r="S437" s="619"/>
      <c r="T437" s="619"/>
      <c r="U437" s="619"/>
      <c r="V437" s="619"/>
      <c r="W437" s="619"/>
      <c r="X437" s="619"/>
      <c r="Y437" s="619"/>
      <c r="Z437" s="619"/>
      <c r="AA437" s="619"/>
      <c r="AB437" s="619"/>
      <c r="AC437" s="619"/>
      <c r="AD437" s="619"/>
      <c r="AE437" s="619"/>
      <c r="AF437" s="619"/>
      <c r="AG437" s="619"/>
      <c r="AH437" s="619"/>
      <c r="AI437" s="619"/>
      <c r="AJ437" s="619"/>
      <c r="AK437" s="619"/>
    </row>
    <row r="438" spans="1:37" ht="14.25" customHeight="1">
      <c r="A438" s="619"/>
      <c r="B438" s="619"/>
      <c r="C438" s="1"/>
      <c r="D438" s="1"/>
      <c r="E438" s="1"/>
      <c r="F438" s="1"/>
      <c r="G438" s="1"/>
      <c r="H438" s="1"/>
      <c r="I438" s="619"/>
      <c r="J438" s="619"/>
      <c r="K438" s="619"/>
      <c r="L438" s="619"/>
      <c r="M438" s="619"/>
      <c r="N438" s="619"/>
      <c r="O438" s="619"/>
      <c r="P438" s="619"/>
      <c r="Q438" s="619"/>
      <c r="R438" s="619"/>
      <c r="S438" s="619"/>
      <c r="T438" s="619"/>
      <c r="U438" s="619"/>
      <c r="V438" s="619"/>
      <c r="W438" s="619"/>
      <c r="X438" s="619"/>
      <c r="Y438" s="619"/>
      <c r="Z438" s="619"/>
      <c r="AA438" s="619"/>
      <c r="AB438" s="619"/>
      <c r="AC438" s="619"/>
      <c r="AD438" s="619"/>
      <c r="AE438" s="619"/>
      <c r="AF438" s="619"/>
      <c r="AG438" s="619"/>
      <c r="AH438" s="619"/>
      <c r="AI438" s="619"/>
      <c r="AJ438" s="619"/>
      <c r="AK438" s="619"/>
    </row>
    <row r="439" spans="1:37" ht="14.25" customHeight="1">
      <c r="A439" s="619"/>
      <c r="B439" s="619"/>
      <c r="C439" s="1"/>
      <c r="D439" s="1"/>
      <c r="E439" s="1"/>
      <c r="F439" s="1"/>
      <c r="G439" s="1"/>
      <c r="H439" s="1"/>
      <c r="I439" s="619"/>
      <c r="J439" s="619"/>
      <c r="K439" s="619"/>
      <c r="L439" s="619"/>
      <c r="M439" s="619"/>
      <c r="N439" s="619"/>
      <c r="O439" s="619"/>
      <c r="P439" s="619"/>
      <c r="Q439" s="619"/>
      <c r="R439" s="619"/>
      <c r="S439" s="619"/>
      <c r="T439" s="619"/>
      <c r="U439" s="619"/>
      <c r="V439" s="619"/>
      <c r="W439" s="619"/>
      <c r="X439" s="619"/>
      <c r="Y439" s="619"/>
      <c r="Z439" s="619"/>
      <c r="AA439" s="619"/>
      <c r="AB439" s="619"/>
      <c r="AC439" s="619"/>
      <c r="AD439" s="619"/>
      <c r="AE439" s="619"/>
      <c r="AF439" s="619"/>
      <c r="AG439" s="619"/>
      <c r="AH439" s="619"/>
      <c r="AI439" s="619"/>
      <c r="AJ439" s="619"/>
      <c r="AK439" s="619"/>
    </row>
    <row r="440" spans="1:37" ht="14.25" customHeight="1">
      <c r="A440" s="619"/>
      <c r="B440" s="619"/>
      <c r="C440" s="4"/>
      <c r="D440" s="619"/>
      <c r="E440" s="619"/>
      <c r="F440" s="619"/>
      <c r="G440" s="619"/>
      <c r="H440" s="619"/>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row>
    <row r="441" spans="1:37" ht="14.25" customHeight="1">
      <c r="A441" s="619"/>
      <c r="B441" s="619"/>
      <c r="C441" s="4"/>
      <c r="D441" s="619"/>
      <c r="E441" s="619"/>
      <c r="F441" s="619"/>
      <c r="G441" s="619"/>
      <c r="H441" s="619"/>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row>
    <row r="442" spans="1:37" ht="14.25" customHeight="1">
      <c r="A442" s="619"/>
      <c r="B442" s="619"/>
      <c r="C442" s="4"/>
      <c r="D442" s="619"/>
      <c r="E442" s="619"/>
      <c r="F442" s="619"/>
      <c r="G442" s="619"/>
      <c r="H442" s="619"/>
      <c r="I442" s="619"/>
      <c r="J442" s="619"/>
      <c r="K442" s="619"/>
      <c r="L442" s="619"/>
      <c r="M442" s="619"/>
      <c r="N442" s="619"/>
      <c r="O442" s="619"/>
      <c r="P442" s="619"/>
      <c r="Q442" s="619"/>
      <c r="R442" s="619"/>
      <c r="S442" s="619"/>
      <c r="T442" s="619"/>
      <c r="U442" s="619"/>
      <c r="V442" s="619"/>
      <c r="W442" s="619"/>
      <c r="X442" s="619"/>
      <c r="Y442" s="619"/>
      <c r="Z442" s="619"/>
      <c r="AA442" s="619"/>
      <c r="AB442" s="619"/>
      <c r="AC442" s="619"/>
      <c r="AD442" s="619"/>
      <c r="AE442" s="619"/>
      <c r="AF442" s="619"/>
      <c r="AG442" s="619"/>
      <c r="AH442" s="619"/>
      <c r="AI442" s="619"/>
      <c r="AJ442" s="619"/>
      <c r="AK442" s="619"/>
    </row>
    <row r="443" spans="1:37" ht="14.25" customHeight="1">
      <c r="A443" s="619"/>
      <c r="B443" s="619"/>
      <c r="C443" s="4"/>
      <c r="D443" s="619"/>
      <c r="E443" s="619"/>
      <c r="F443" s="619"/>
      <c r="G443" s="619"/>
      <c r="H443" s="619"/>
      <c r="I443" s="619"/>
      <c r="J443" s="619"/>
      <c r="K443" s="619"/>
      <c r="L443" s="619"/>
      <c r="M443" s="619"/>
      <c r="N443" s="619"/>
      <c r="O443" s="619"/>
      <c r="P443" s="619"/>
      <c r="Q443" s="619"/>
      <c r="R443" s="619"/>
      <c r="S443" s="619"/>
      <c r="T443" s="619"/>
      <c r="U443" s="619"/>
      <c r="V443" s="619"/>
      <c r="W443" s="619"/>
      <c r="X443" s="619"/>
      <c r="Y443" s="619"/>
      <c r="Z443" s="619"/>
      <c r="AA443" s="619"/>
      <c r="AB443" s="619"/>
      <c r="AC443" s="619"/>
      <c r="AD443" s="619"/>
      <c r="AE443" s="619"/>
      <c r="AF443" s="619"/>
      <c r="AG443" s="619"/>
      <c r="AH443" s="619"/>
      <c r="AI443" s="619"/>
      <c r="AJ443" s="619"/>
      <c r="AK443" s="619"/>
    </row>
    <row r="444" spans="1:37" ht="14.25" customHeight="1">
      <c r="A444" s="619"/>
      <c r="B444" s="619"/>
      <c r="C444" s="4"/>
      <c r="D444" s="619"/>
      <c r="E444" s="619"/>
      <c r="F444" s="619"/>
      <c r="G444" s="619"/>
      <c r="H444" s="619"/>
      <c r="I444" s="619"/>
      <c r="J444" s="619"/>
      <c r="K444" s="619"/>
      <c r="L444" s="619"/>
      <c r="M444" s="619"/>
      <c r="N444" s="619"/>
      <c r="O444" s="619"/>
      <c r="P444" s="619"/>
      <c r="Q444" s="619"/>
      <c r="R444" s="619"/>
      <c r="S444" s="619"/>
      <c r="T444" s="619"/>
      <c r="U444" s="619"/>
      <c r="V444" s="619"/>
      <c r="W444" s="619"/>
      <c r="X444" s="619"/>
      <c r="Y444" s="619"/>
      <c r="Z444" s="619"/>
      <c r="AA444" s="619"/>
      <c r="AB444" s="619"/>
      <c r="AC444" s="619"/>
      <c r="AD444" s="619"/>
      <c r="AE444" s="619"/>
      <c r="AF444" s="619"/>
      <c r="AG444" s="619"/>
      <c r="AH444" s="619"/>
      <c r="AI444" s="619"/>
      <c r="AJ444" s="619"/>
      <c r="AK444" s="619"/>
    </row>
    <row r="445" spans="1:37" ht="14.25" customHeight="1">
      <c r="A445" s="619"/>
      <c r="B445" s="619"/>
      <c r="C445" s="4"/>
      <c r="D445" s="619"/>
      <c r="E445" s="619"/>
      <c r="F445" s="619"/>
      <c r="G445" s="619"/>
      <c r="H445" s="619"/>
      <c r="I445" s="619"/>
      <c r="J445" s="619"/>
      <c r="K445" s="619"/>
      <c r="L445" s="619"/>
      <c r="M445" s="619"/>
      <c r="N445" s="619"/>
      <c r="O445" s="619"/>
      <c r="P445" s="619"/>
      <c r="Q445" s="619"/>
      <c r="R445" s="619"/>
      <c r="S445" s="619"/>
      <c r="T445" s="619"/>
      <c r="U445" s="619"/>
      <c r="V445" s="619"/>
      <c r="W445" s="619"/>
      <c r="X445" s="619"/>
      <c r="Y445" s="619"/>
      <c r="Z445" s="619"/>
      <c r="AA445" s="619"/>
      <c r="AB445" s="619"/>
      <c r="AC445" s="619"/>
      <c r="AD445" s="619"/>
      <c r="AE445" s="619"/>
      <c r="AF445" s="619"/>
      <c r="AG445" s="619"/>
      <c r="AH445" s="619"/>
      <c r="AI445" s="619"/>
      <c r="AJ445" s="619"/>
      <c r="AK445" s="619"/>
    </row>
    <row r="446" spans="1:37" ht="14.25" customHeight="1">
      <c r="A446" s="619"/>
      <c r="B446" s="619"/>
      <c r="C446" s="4"/>
      <c r="D446" s="619"/>
      <c r="E446" s="619"/>
      <c r="F446" s="619"/>
      <c r="G446" s="619"/>
      <c r="H446" s="619"/>
      <c r="I446" s="619"/>
      <c r="J446" s="619"/>
      <c r="K446" s="619"/>
      <c r="L446" s="619"/>
      <c r="M446" s="619"/>
      <c r="N446" s="619"/>
      <c r="O446" s="619"/>
      <c r="P446" s="619"/>
      <c r="Q446" s="619"/>
      <c r="R446" s="619"/>
      <c r="S446" s="619"/>
      <c r="T446" s="619"/>
      <c r="U446" s="619"/>
      <c r="V446" s="619"/>
      <c r="W446" s="619"/>
      <c r="X446" s="619"/>
      <c r="Y446" s="619"/>
      <c r="Z446" s="619"/>
      <c r="AA446" s="619"/>
      <c r="AB446" s="619"/>
      <c r="AC446" s="619"/>
      <c r="AD446" s="619"/>
      <c r="AE446" s="619"/>
      <c r="AF446" s="619"/>
      <c r="AG446" s="619"/>
      <c r="AH446" s="619"/>
      <c r="AI446" s="619"/>
      <c r="AJ446" s="619"/>
      <c r="AK446" s="619"/>
    </row>
    <row r="447" spans="1:37" ht="14.25" customHeight="1">
      <c r="A447" s="619"/>
      <c r="B447" s="619"/>
      <c r="C447" s="4"/>
      <c r="D447" s="619"/>
      <c r="E447" s="619"/>
      <c r="F447" s="619"/>
      <c r="G447" s="619"/>
      <c r="H447" s="619"/>
      <c r="I447" s="619"/>
      <c r="J447" s="619"/>
      <c r="K447" s="619"/>
      <c r="L447" s="619"/>
      <c r="M447" s="619"/>
      <c r="N447" s="619"/>
      <c r="O447" s="619"/>
      <c r="P447" s="619"/>
      <c r="Q447" s="619"/>
      <c r="R447" s="619"/>
      <c r="S447" s="619"/>
      <c r="T447" s="619"/>
      <c r="U447" s="619"/>
      <c r="V447" s="619"/>
      <c r="W447" s="619"/>
      <c r="X447" s="619"/>
      <c r="Y447" s="619"/>
      <c r="Z447" s="619"/>
      <c r="AA447" s="619"/>
      <c r="AB447" s="619"/>
      <c r="AC447" s="619"/>
      <c r="AD447" s="619"/>
      <c r="AE447" s="619"/>
      <c r="AF447" s="619"/>
      <c r="AG447" s="619"/>
      <c r="AH447" s="619"/>
      <c r="AI447" s="619"/>
      <c r="AJ447" s="619"/>
      <c r="AK447" s="619"/>
    </row>
    <row r="448" spans="1:37" ht="14.25" customHeight="1">
      <c r="A448" s="619"/>
      <c r="B448" s="619"/>
      <c r="C448" s="4"/>
      <c r="D448" s="619"/>
      <c r="E448" s="619"/>
      <c r="F448" s="619"/>
      <c r="G448" s="619"/>
      <c r="H448" s="619"/>
      <c r="I448" s="619"/>
      <c r="J448" s="619"/>
      <c r="K448" s="619"/>
      <c r="L448" s="619"/>
      <c r="M448" s="619"/>
      <c r="N448" s="619"/>
      <c r="O448" s="619"/>
      <c r="P448" s="619"/>
      <c r="Q448" s="619"/>
      <c r="R448" s="619"/>
      <c r="S448" s="619"/>
      <c r="T448" s="619"/>
      <c r="U448" s="619"/>
      <c r="V448" s="619"/>
      <c r="W448" s="619"/>
      <c r="X448" s="619"/>
      <c r="Y448" s="619"/>
      <c r="Z448" s="619"/>
      <c r="AA448" s="619"/>
      <c r="AB448" s="619"/>
      <c r="AC448" s="619"/>
      <c r="AD448" s="619"/>
      <c r="AE448" s="619"/>
      <c r="AF448" s="619"/>
      <c r="AG448" s="619"/>
      <c r="AH448" s="619"/>
      <c r="AI448" s="619"/>
      <c r="AJ448" s="619"/>
      <c r="AK448" s="619"/>
    </row>
    <row r="449" spans="1:37" ht="14.25" customHeight="1">
      <c r="A449" s="619"/>
      <c r="B449" s="619"/>
      <c r="C449" s="4"/>
      <c r="D449" s="619"/>
      <c r="E449" s="619"/>
      <c r="F449" s="619"/>
      <c r="G449" s="619"/>
      <c r="H449" s="619"/>
      <c r="I449" s="619"/>
      <c r="J449" s="619"/>
      <c r="K449" s="619"/>
      <c r="L449" s="619"/>
      <c r="M449" s="619"/>
      <c r="N449" s="619"/>
      <c r="O449" s="619"/>
      <c r="P449" s="619"/>
      <c r="Q449" s="619"/>
      <c r="R449" s="619"/>
      <c r="S449" s="619"/>
      <c r="T449" s="619"/>
      <c r="U449" s="619"/>
      <c r="V449" s="619"/>
      <c r="W449" s="619"/>
      <c r="X449" s="619"/>
      <c r="Y449" s="619"/>
      <c r="Z449" s="619"/>
      <c r="AA449" s="619"/>
      <c r="AB449" s="619"/>
      <c r="AC449" s="619"/>
      <c r="AD449" s="619"/>
      <c r="AE449" s="619"/>
      <c r="AF449" s="619"/>
      <c r="AG449" s="619"/>
      <c r="AH449" s="619"/>
      <c r="AI449" s="619"/>
      <c r="AJ449" s="619"/>
      <c r="AK449" s="619"/>
    </row>
    <row r="450" spans="1:37" ht="14.25" customHeight="1">
      <c r="A450" s="619"/>
      <c r="B450" s="619"/>
      <c r="C450" s="4"/>
      <c r="D450" s="619"/>
      <c r="E450" s="619"/>
      <c r="F450" s="619"/>
      <c r="G450" s="619"/>
      <c r="H450" s="619"/>
      <c r="I450" s="619"/>
      <c r="J450" s="619"/>
      <c r="K450" s="619"/>
      <c r="L450" s="619"/>
      <c r="M450" s="619"/>
      <c r="N450" s="619"/>
      <c r="O450" s="619"/>
      <c r="P450" s="619"/>
      <c r="Q450" s="619"/>
      <c r="R450" s="619"/>
      <c r="S450" s="619"/>
      <c r="T450" s="619"/>
      <c r="U450" s="619"/>
      <c r="V450" s="619"/>
      <c r="W450" s="619"/>
      <c r="X450" s="619"/>
      <c r="Y450" s="619"/>
      <c r="Z450" s="619"/>
      <c r="AA450" s="619"/>
      <c r="AB450" s="619"/>
      <c r="AC450" s="619"/>
      <c r="AD450" s="619"/>
      <c r="AE450" s="619"/>
      <c r="AF450" s="619"/>
      <c r="AG450" s="619"/>
      <c r="AH450" s="619"/>
      <c r="AI450" s="619"/>
      <c r="AJ450" s="619"/>
      <c r="AK450" s="619"/>
    </row>
    <row r="451" spans="1:37" ht="14.25" customHeight="1">
      <c r="A451" s="619"/>
      <c r="B451" s="619"/>
      <c r="C451" s="4"/>
      <c r="D451" s="619"/>
      <c r="E451" s="619"/>
      <c r="F451" s="619"/>
      <c r="G451" s="619"/>
      <c r="H451" s="619"/>
      <c r="I451" s="619"/>
      <c r="J451" s="619"/>
      <c r="K451" s="619"/>
      <c r="L451" s="619"/>
      <c r="M451" s="619"/>
      <c r="N451" s="619"/>
      <c r="O451" s="619"/>
      <c r="P451" s="619"/>
      <c r="Q451" s="619"/>
      <c r="R451" s="619"/>
      <c r="S451" s="619"/>
      <c r="T451" s="619"/>
      <c r="U451" s="619"/>
      <c r="V451" s="619"/>
      <c r="W451" s="619"/>
      <c r="X451" s="619"/>
      <c r="Y451" s="619"/>
      <c r="Z451" s="619"/>
      <c r="AA451" s="619"/>
      <c r="AB451" s="619"/>
      <c r="AC451" s="619"/>
      <c r="AD451" s="619"/>
      <c r="AE451" s="619"/>
      <c r="AF451" s="619"/>
      <c r="AG451" s="619"/>
      <c r="AH451" s="619"/>
      <c r="AI451" s="619"/>
      <c r="AJ451" s="619"/>
      <c r="AK451" s="619"/>
    </row>
    <row r="452" spans="1:37" ht="14.25" customHeight="1">
      <c r="A452" s="619"/>
      <c r="B452" s="619"/>
      <c r="C452" s="4"/>
      <c r="D452" s="619"/>
      <c r="E452" s="619"/>
      <c r="F452" s="619"/>
      <c r="G452" s="619"/>
      <c r="H452" s="619"/>
      <c r="I452" s="619"/>
      <c r="J452" s="619"/>
      <c r="K452" s="619"/>
      <c r="L452" s="619"/>
      <c r="M452" s="619"/>
      <c r="N452" s="619"/>
      <c r="O452" s="619"/>
      <c r="P452" s="619"/>
      <c r="Q452" s="619"/>
      <c r="R452" s="619"/>
      <c r="S452" s="619"/>
      <c r="T452" s="619"/>
      <c r="U452" s="619"/>
      <c r="V452" s="619"/>
      <c r="W452" s="619"/>
      <c r="X452" s="619"/>
      <c r="Y452" s="619"/>
      <c r="Z452" s="619"/>
      <c r="AA452" s="619"/>
      <c r="AB452" s="619"/>
      <c r="AC452" s="619"/>
      <c r="AD452" s="619"/>
      <c r="AE452" s="619"/>
      <c r="AF452" s="619"/>
      <c r="AG452" s="619"/>
      <c r="AH452" s="619"/>
      <c r="AI452" s="619"/>
      <c r="AJ452" s="619"/>
      <c r="AK452" s="619"/>
    </row>
    <row r="453" spans="1:37" ht="14.25" customHeight="1">
      <c r="A453" s="619"/>
      <c r="B453" s="619"/>
      <c r="C453" s="4"/>
      <c r="D453" s="619"/>
      <c r="E453" s="619"/>
      <c r="F453" s="619"/>
      <c r="G453" s="619"/>
      <c r="H453" s="619"/>
      <c r="I453" s="619"/>
      <c r="J453" s="619"/>
      <c r="K453" s="619"/>
      <c r="L453" s="619"/>
      <c r="M453" s="619"/>
      <c r="N453" s="619"/>
      <c r="O453" s="619"/>
      <c r="P453" s="619"/>
      <c r="Q453" s="619"/>
      <c r="R453" s="619"/>
      <c r="S453" s="619"/>
      <c r="T453" s="619"/>
      <c r="U453" s="619"/>
      <c r="V453" s="619"/>
      <c r="W453" s="619"/>
      <c r="X453" s="619"/>
      <c r="Y453" s="619"/>
      <c r="Z453" s="619"/>
      <c r="AA453" s="619"/>
      <c r="AB453" s="619"/>
      <c r="AC453" s="619"/>
      <c r="AD453" s="619"/>
      <c r="AE453" s="619"/>
      <c r="AF453" s="619"/>
      <c r="AG453" s="619"/>
      <c r="AH453" s="619"/>
      <c r="AI453" s="619"/>
      <c r="AJ453" s="619"/>
      <c r="AK453" s="619"/>
    </row>
    <row r="454" spans="1:37" ht="14.25" customHeight="1">
      <c r="A454" s="619"/>
      <c r="B454" s="619"/>
      <c r="C454" s="4"/>
      <c r="D454" s="619"/>
      <c r="E454" s="619"/>
      <c r="F454" s="619"/>
      <c r="G454" s="619"/>
      <c r="H454" s="619"/>
      <c r="I454" s="619"/>
      <c r="J454" s="619"/>
      <c r="K454" s="619"/>
      <c r="L454" s="619"/>
      <c r="M454" s="619"/>
      <c r="N454" s="619"/>
      <c r="O454" s="619"/>
      <c r="P454" s="619"/>
      <c r="Q454" s="619"/>
      <c r="R454" s="619"/>
      <c r="S454" s="619"/>
      <c r="T454" s="619"/>
      <c r="U454" s="619"/>
      <c r="V454" s="619"/>
      <c r="W454" s="619"/>
      <c r="X454" s="619"/>
      <c r="Y454" s="619"/>
      <c r="Z454" s="619"/>
      <c r="AA454" s="619"/>
      <c r="AB454" s="619"/>
      <c r="AC454" s="619"/>
      <c r="AD454" s="619"/>
      <c r="AE454" s="619"/>
      <c r="AF454" s="619"/>
      <c r="AG454" s="619"/>
      <c r="AH454" s="619"/>
      <c r="AI454" s="619"/>
      <c r="AJ454" s="619"/>
      <c r="AK454" s="619"/>
    </row>
    <row r="455" spans="1:37" ht="14.25" customHeight="1">
      <c r="A455" s="619"/>
      <c r="B455" s="619"/>
      <c r="C455" s="4"/>
      <c r="D455" s="619"/>
      <c r="E455" s="619"/>
      <c r="F455" s="619"/>
      <c r="G455" s="619"/>
      <c r="H455" s="619"/>
      <c r="I455" s="619"/>
      <c r="J455" s="619"/>
      <c r="K455" s="619"/>
      <c r="L455" s="619"/>
      <c r="M455" s="619"/>
      <c r="N455" s="619"/>
      <c r="O455" s="619"/>
      <c r="P455" s="619"/>
      <c r="Q455" s="619"/>
      <c r="R455" s="619"/>
      <c r="S455" s="619"/>
      <c r="T455" s="619"/>
      <c r="U455" s="619"/>
      <c r="V455" s="619"/>
      <c r="W455" s="619"/>
      <c r="X455" s="619"/>
      <c r="Y455" s="619"/>
      <c r="Z455" s="619"/>
      <c r="AA455" s="619"/>
      <c r="AB455" s="619"/>
      <c r="AC455" s="619"/>
      <c r="AD455" s="619"/>
      <c r="AE455" s="619"/>
      <c r="AF455" s="619"/>
      <c r="AG455" s="619"/>
      <c r="AH455" s="619"/>
      <c r="AI455" s="619"/>
      <c r="AJ455" s="619"/>
      <c r="AK455" s="619"/>
    </row>
    <row r="456" spans="1:37" ht="14.25" customHeight="1">
      <c r="A456" s="619"/>
      <c r="B456" s="619"/>
      <c r="C456" s="4"/>
      <c r="D456" s="619"/>
      <c r="E456" s="619"/>
      <c r="F456" s="619"/>
      <c r="G456" s="619"/>
      <c r="H456" s="619"/>
      <c r="I456" s="619"/>
      <c r="J456" s="619"/>
      <c r="K456" s="619"/>
      <c r="L456" s="619"/>
      <c r="M456" s="619"/>
      <c r="N456" s="619"/>
      <c r="O456" s="619"/>
      <c r="P456" s="619"/>
      <c r="Q456" s="619"/>
      <c r="R456" s="619"/>
      <c r="S456" s="619"/>
      <c r="T456" s="619"/>
      <c r="U456" s="619"/>
      <c r="V456" s="619"/>
      <c r="W456" s="619"/>
      <c r="X456" s="619"/>
      <c r="Y456" s="619"/>
      <c r="Z456" s="619"/>
      <c r="AA456" s="619"/>
      <c r="AB456" s="619"/>
      <c r="AC456" s="619"/>
      <c r="AD456" s="619"/>
      <c r="AE456" s="619"/>
      <c r="AF456" s="619"/>
      <c r="AG456" s="619"/>
      <c r="AH456" s="619"/>
      <c r="AI456" s="619"/>
      <c r="AJ456" s="619"/>
      <c r="AK456" s="619"/>
    </row>
    <row r="457" spans="1:37" ht="14.25" customHeight="1">
      <c r="A457" s="619"/>
      <c r="B457" s="619"/>
      <c r="C457" s="4"/>
      <c r="D457" s="619"/>
      <c r="E457" s="619"/>
      <c r="F457" s="619"/>
      <c r="G457" s="619"/>
      <c r="H457" s="619"/>
      <c r="I457" s="619"/>
      <c r="J457" s="619"/>
      <c r="K457" s="619"/>
      <c r="L457" s="619"/>
      <c r="M457" s="619"/>
      <c r="N457" s="619"/>
      <c r="O457" s="619"/>
      <c r="P457" s="619"/>
      <c r="Q457" s="619"/>
      <c r="R457" s="619"/>
      <c r="S457" s="619"/>
      <c r="T457" s="619"/>
      <c r="U457" s="619"/>
      <c r="V457" s="619"/>
      <c r="W457" s="619"/>
      <c r="X457" s="619"/>
      <c r="Y457" s="619"/>
      <c r="Z457" s="619"/>
      <c r="AA457" s="619"/>
      <c r="AB457" s="619"/>
      <c r="AC457" s="619"/>
      <c r="AD457" s="619"/>
      <c r="AE457" s="619"/>
      <c r="AF457" s="619"/>
      <c r="AG457" s="619"/>
      <c r="AH457" s="619"/>
      <c r="AI457" s="619"/>
      <c r="AJ457" s="619"/>
      <c r="AK457" s="619"/>
    </row>
    <row r="458" spans="1:37" ht="14.25" customHeight="1">
      <c r="A458" s="619"/>
      <c r="B458" s="619"/>
      <c r="C458" s="4"/>
      <c r="D458" s="619"/>
      <c r="E458" s="619"/>
      <c r="F458" s="619"/>
      <c r="G458" s="619"/>
      <c r="H458" s="619"/>
      <c r="I458" s="619"/>
      <c r="J458" s="619"/>
      <c r="K458" s="619"/>
      <c r="L458" s="619"/>
      <c r="M458" s="619"/>
      <c r="N458" s="619"/>
      <c r="O458" s="619"/>
      <c r="P458" s="619"/>
      <c r="Q458" s="619"/>
      <c r="R458" s="619"/>
      <c r="S458" s="619"/>
      <c r="T458" s="619"/>
      <c r="U458" s="619"/>
      <c r="V458" s="619"/>
      <c r="W458" s="619"/>
      <c r="X458" s="619"/>
      <c r="Y458" s="619"/>
      <c r="Z458" s="619"/>
      <c r="AA458" s="619"/>
      <c r="AB458" s="619"/>
      <c r="AC458" s="619"/>
      <c r="AD458" s="619"/>
      <c r="AE458" s="619"/>
      <c r="AF458" s="619"/>
      <c r="AG458" s="619"/>
      <c r="AH458" s="619"/>
      <c r="AI458" s="619"/>
      <c r="AJ458" s="619"/>
      <c r="AK458" s="619"/>
    </row>
    <row r="459" spans="1:37" ht="14.25" customHeight="1">
      <c r="A459" s="619"/>
      <c r="B459" s="619"/>
      <c r="C459" s="4"/>
      <c r="D459" s="619"/>
      <c r="E459" s="619"/>
      <c r="F459" s="619"/>
      <c r="G459" s="619"/>
      <c r="H459" s="619"/>
      <c r="I459" s="619"/>
      <c r="J459" s="619"/>
      <c r="K459" s="619"/>
      <c r="L459" s="619"/>
      <c r="M459" s="619"/>
      <c r="N459" s="619"/>
      <c r="O459" s="619"/>
      <c r="P459" s="619"/>
      <c r="Q459" s="619"/>
      <c r="R459" s="619"/>
      <c r="S459" s="619"/>
      <c r="T459" s="619"/>
      <c r="U459" s="619"/>
      <c r="V459" s="619"/>
      <c r="W459" s="619"/>
      <c r="X459" s="619"/>
      <c r="Y459" s="619"/>
      <c r="Z459" s="619"/>
      <c r="AA459" s="619"/>
      <c r="AB459" s="619"/>
      <c r="AC459" s="619"/>
      <c r="AD459" s="619"/>
      <c r="AE459" s="619"/>
      <c r="AF459" s="619"/>
      <c r="AG459" s="619"/>
      <c r="AH459" s="619"/>
      <c r="AI459" s="619"/>
      <c r="AJ459" s="619"/>
      <c r="AK459" s="619"/>
    </row>
    <row r="460" spans="1:37" ht="14.25" customHeight="1">
      <c r="A460" s="619"/>
      <c r="B460" s="619"/>
      <c r="C460" s="4"/>
      <c r="D460" s="619"/>
      <c r="E460" s="619"/>
      <c r="F460" s="619"/>
      <c r="G460" s="619"/>
      <c r="H460" s="619"/>
      <c r="I460" s="619"/>
      <c r="J460" s="619"/>
      <c r="K460" s="619"/>
      <c r="L460" s="619"/>
      <c r="M460" s="619"/>
      <c r="N460" s="619"/>
      <c r="O460" s="619"/>
      <c r="P460" s="619"/>
      <c r="Q460" s="619"/>
      <c r="R460" s="619"/>
      <c r="S460" s="619"/>
      <c r="T460" s="619"/>
      <c r="U460" s="619"/>
      <c r="V460" s="619"/>
      <c r="W460" s="619"/>
      <c r="X460" s="619"/>
      <c r="Y460" s="619"/>
      <c r="Z460" s="619"/>
      <c r="AA460" s="619"/>
      <c r="AB460" s="619"/>
      <c r="AC460" s="619"/>
      <c r="AD460" s="619"/>
      <c r="AE460" s="619"/>
      <c r="AF460" s="619"/>
      <c r="AG460" s="619"/>
      <c r="AH460" s="619"/>
      <c r="AI460" s="619"/>
      <c r="AJ460" s="619"/>
      <c r="AK460" s="619"/>
    </row>
    <row r="461" spans="1:37" ht="14.25" customHeight="1">
      <c r="A461" s="619"/>
      <c r="B461" s="619"/>
      <c r="C461" s="4"/>
      <c r="D461" s="619"/>
      <c r="E461" s="619"/>
      <c r="F461" s="619"/>
      <c r="G461" s="619"/>
      <c r="H461" s="619"/>
      <c r="I461" s="619"/>
      <c r="J461" s="619"/>
      <c r="K461" s="619"/>
      <c r="L461" s="619"/>
      <c r="M461" s="619"/>
      <c r="N461" s="619"/>
      <c r="O461" s="619"/>
      <c r="P461" s="619"/>
      <c r="Q461" s="619"/>
      <c r="R461" s="619"/>
      <c r="S461" s="619"/>
      <c r="T461" s="619"/>
      <c r="U461" s="619"/>
      <c r="V461" s="619"/>
      <c r="W461" s="619"/>
      <c r="X461" s="619"/>
      <c r="Y461" s="619"/>
      <c r="Z461" s="619"/>
      <c r="AA461" s="619"/>
      <c r="AB461" s="619"/>
      <c r="AC461" s="619"/>
      <c r="AD461" s="619"/>
      <c r="AE461" s="619"/>
      <c r="AF461" s="619"/>
      <c r="AG461" s="619"/>
      <c r="AH461" s="619"/>
      <c r="AI461" s="619"/>
      <c r="AJ461" s="619"/>
      <c r="AK461" s="619"/>
    </row>
    <row r="462" spans="1:37" ht="14.25" customHeight="1">
      <c r="A462" s="619"/>
      <c r="B462" s="619"/>
      <c r="C462" s="4"/>
      <c r="D462" s="619"/>
      <c r="E462" s="619"/>
      <c r="F462" s="619"/>
      <c r="G462" s="619"/>
      <c r="H462" s="619"/>
      <c r="I462" s="619"/>
      <c r="J462" s="619"/>
      <c r="K462" s="619"/>
      <c r="L462" s="619"/>
      <c r="M462" s="619"/>
      <c r="N462" s="619"/>
      <c r="O462" s="619"/>
      <c r="P462" s="619"/>
      <c r="Q462" s="619"/>
      <c r="R462" s="619"/>
      <c r="S462" s="619"/>
      <c r="T462" s="619"/>
      <c r="U462" s="619"/>
      <c r="V462" s="619"/>
      <c r="W462" s="619"/>
      <c r="X462" s="619"/>
      <c r="Y462" s="619"/>
      <c r="Z462" s="619"/>
      <c r="AA462" s="619"/>
      <c r="AB462" s="619"/>
      <c r="AC462" s="619"/>
      <c r="AD462" s="619"/>
      <c r="AE462" s="619"/>
      <c r="AF462" s="619"/>
      <c r="AG462" s="619"/>
      <c r="AH462" s="619"/>
      <c r="AI462" s="619"/>
      <c r="AJ462" s="619"/>
      <c r="AK462" s="619"/>
    </row>
    <row r="463" spans="1:37" ht="14.25" customHeight="1">
      <c r="A463" s="619"/>
      <c r="B463" s="619"/>
      <c r="C463" s="4"/>
      <c r="D463" s="619"/>
      <c r="E463" s="619"/>
      <c r="F463" s="619"/>
      <c r="G463" s="619"/>
      <c r="H463" s="619"/>
      <c r="I463" s="619"/>
      <c r="J463" s="619"/>
      <c r="K463" s="619"/>
      <c r="L463" s="619"/>
      <c r="M463" s="619"/>
      <c r="N463" s="619"/>
      <c r="O463" s="619"/>
      <c r="P463" s="619"/>
      <c r="Q463" s="619"/>
      <c r="R463" s="619"/>
      <c r="S463" s="619"/>
      <c r="T463" s="619"/>
      <c r="U463" s="619"/>
      <c r="V463" s="619"/>
      <c r="W463" s="619"/>
      <c r="X463" s="619"/>
      <c r="Y463" s="619"/>
      <c r="Z463" s="619"/>
      <c r="AA463" s="619"/>
      <c r="AB463" s="619"/>
      <c r="AC463" s="619"/>
      <c r="AD463" s="619"/>
      <c r="AE463" s="619"/>
      <c r="AF463" s="619"/>
      <c r="AG463" s="619"/>
      <c r="AH463" s="619"/>
      <c r="AI463" s="619"/>
      <c r="AJ463" s="619"/>
      <c r="AK463" s="619"/>
    </row>
    <row r="464" spans="1:37" ht="14.25" customHeight="1">
      <c r="A464" s="619"/>
      <c r="B464" s="619"/>
      <c r="C464" s="4"/>
      <c r="D464" s="619"/>
      <c r="E464" s="619"/>
      <c r="F464" s="619"/>
      <c r="G464" s="619"/>
      <c r="H464" s="619"/>
      <c r="I464" s="619"/>
      <c r="J464" s="619"/>
      <c r="K464" s="619"/>
      <c r="L464" s="619"/>
      <c r="M464" s="619"/>
      <c r="N464" s="619"/>
      <c r="O464" s="619"/>
      <c r="P464" s="619"/>
      <c r="Q464" s="619"/>
      <c r="R464" s="619"/>
      <c r="S464" s="619"/>
      <c r="T464" s="619"/>
      <c r="U464" s="619"/>
      <c r="V464" s="619"/>
      <c r="W464" s="619"/>
      <c r="X464" s="619"/>
      <c r="Y464" s="619"/>
      <c r="Z464" s="619"/>
      <c r="AA464" s="619"/>
      <c r="AB464" s="619"/>
      <c r="AC464" s="619"/>
      <c r="AD464" s="619"/>
      <c r="AE464" s="619"/>
      <c r="AF464" s="619"/>
      <c r="AG464" s="619"/>
      <c r="AH464" s="619"/>
      <c r="AI464" s="619"/>
      <c r="AJ464" s="619"/>
      <c r="AK464" s="619"/>
    </row>
    <row r="465" spans="1:37" ht="14.25" customHeight="1">
      <c r="A465" s="619"/>
      <c r="B465" s="619"/>
      <c r="C465" s="4"/>
      <c r="D465" s="619"/>
      <c r="E465" s="619"/>
      <c r="F465" s="619"/>
      <c r="G465" s="619"/>
      <c r="H465" s="619"/>
      <c r="I465" s="619"/>
      <c r="J465" s="619"/>
      <c r="K465" s="619"/>
      <c r="L465" s="619"/>
      <c r="M465" s="619"/>
      <c r="N465" s="619"/>
      <c r="O465" s="619"/>
      <c r="P465" s="619"/>
      <c r="Q465" s="619"/>
      <c r="R465" s="619"/>
      <c r="S465" s="619"/>
      <c r="T465" s="619"/>
      <c r="U465" s="619"/>
      <c r="V465" s="619"/>
      <c r="W465" s="619"/>
      <c r="X465" s="619"/>
      <c r="Y465" s="619"/>
      <c r="Z465" s="619"/>
      <c r="AA465" s="619"/>
      <c r="AB465" s="619"/>
      <c r="AC465" s="619"/>
      <c r="AD465" s="619"/>
      <c r="AE465" s="619"/>
      <c r="AF465" s="619"/>
      <c r="AG465" s="619"/>
      <c r="AH465" s="619"/>
      <c r="AI465" s="619"/>
      <c r="AJ465" s="619"/>
      <c r="AK465" s="619"/>
    </row>
    <row r="466" spans="1:37" ht="14.25" customHeight="1">
      <c r="A466" s="619"/>
      <c r="B466" s="619"/>
      <c r="C466" s="4"/>
      <c r="D466" s="619"/>
      <c r="E466" s="619"/>
      <c r="F466" s="619"/>
      <c r="G466" s="619"/>
      <c r="H466" s="619"/>
      <c r="I466" s="619"/>
      <c r="J466" s="619"/>
      <c r="K466" s="619"/>
      <c r="L466" s="619"/>
      <c r="M466" s="619"/>
      <c r="N466" s="619"/>
      <c r="O466" s="619"/>
      <c r="P466" s="619"/>
      <c r="Q466" s="619"/>
      <c r="R466" s="619"/>
      <c r="S466" s="619"/>
      <c r="T466" s="619"/>
      <c r="U466" s="619"/>
      <c r="V466" s="619"/>
      <c r="W466" s="619"/>
      <c r="X466" s="619"/>
      <c r="Y466" s="619"/>
      <c r="Z466" s="619"/>
      <c r="AA466" s="619"/>
      <c r="AB466" s="619"/>
      <c r="AC466" s="619"/>
      <c r="AD466" s="619"/>
      <c r="AE466" s="619"/>
      <c r="AF466" s="619"/>
      <c r="AG466" s="619"/>
      <c r="AH466" s="619"/>
      <c r="AI466" s="619"/>
      <c r="AJ466" s="619"/>
      <c r="AK466" s="619"/>
    </row>
    <row r="467" spans="1:37" ht="14.25" customHeight="1">
      <c r="A467" s="619"/>
      <c r="B467" s="619"/>
      <c r="C467" s="4"/>
      <c r="D467" s="619"/>
      <c r="E467" s="619"/>
      <c r="F467" s="619"/>
      <c r="G467" s="619"/>
      <c r="H467" s="619"/>
      <c r="I467" s="619"/>
      <c r="J467" s="619"/>
      <c r="K467" s="619"/>
      <c r="L467" s="619"/>
      <c r="M467" s="619"/>
      <c r="N467" s="619"/>
      <c r="O467" s="619"/>
      <c r="P467" s="619"/>
      <c r="Q467" s="619"/>
      <c r="R467" s="619"/>
      <c r="S467" s="619"/>
      <c r="T467" s="619"/>
      <c r="U467" s="619"/>
      <c r="V467" s="619"/>
      <c r="W467" s="619"/>
      <c r="X467" s="619"/>
      <c r="Y467" s="619"/>
      <c r="Z467" s="619"/>
      <c r="AA467" s="619"/>
      <c r="AB467" s="619"/>
      <c r="AC467" s="619"/>
      <c r="AD467" s="619"/>
      <c r="AE467" s="619"/>
      <c r="AF467" s="619"/>
      <c r="AG467" s="619"/>
      <c r="AH467" s="619"/>
      <c r="AI467" s="619"/>
      <c r="AJ467" s="619"/>
      <c r="AK467" s="619"/>
    </row>
    <row r="468" spans="1:37" ht="14.25" customHeight="1">
      <c r="A468" s="619"/>
      <c r="B468" s="619"/>
      <c r="C468" s="4"/>
      <c r="D468" s="619"/>
      <c r="E468" s="619"/>
      <c r="F468" s="619"/>
      <c r="G468" s="619"/>
      <c r="H468" s="619"/>
      <c r="I468" s="619"/>
      <c r="J468" s="619"/>
      <c r="K468" s="619"/>
      <c r="L468" s="619"/>
      <c r="M468" s="619"/>
      <c r="N468" s="619"/>
      <c r="O468" s="619"/>
      <c r="P468" s="619"/>
      <c r="Q468" s="619"/>
      <c r="R468" s="619"/>
      <c r="S468" s="619"/>
      <c r="T468" s="619"/>
      <c r="U468" s="619"/>
      <c r="V468" s="619"/>
      <c r="W468" s="619"/>
      <c r="X468" s="619"/>
      <c r="Y468" s="619"/>
      <c r="Z468" s="619"/>
      <c r="AA468" s="619"/>
      <c r="AB468" s="619"/>
      <c r="AC468" s="619"/>
      <c r="AD468" s="619"/>
      <c r="AE468" s="619"/>
      <c r="AF468" s="619"/>
      <c r="AG468" s="619"/>
      <c r="AH468" s="619"/>
      <c r="AI468" s="619"/>
      <c r="AJ468" s="619"/>
      <c r="AK468" s="619"/>
    </row>
    <row r="469" spans="1:37" ht="14.25" customHeight="1">
      <c r="A469" s="619"/>
      <c r="B469" s="619"/>
      <c r="C469" s="4"/>
      <c r="D469" s="619"/>
      <c r="E469" s="619"/>
      <c r="F469" s="619"/>
      <c r="G469" s="619"/>
      <c r="H469" s="619"/>
      <c r="I469" s="619"/>
      <c r="J469" s="619"/>
      <c r="K469" s="619"/>
      <c r="L469" s="619"/>
      <c r="M469" s="619"/>
      <c r="N469" s="619"/>
      <c r="O469" s="619"/>
      <c r="P469" s="619"/>
      <c r="Q469" s="619"/>
      <c r="R469" s="619"/>
      <c r="S469" s="619"/>
      <c r="T469" s="619"/>
      <c r="U469" s="619"/>
      <c r="V469" s="619"/>
      <c r="W469" s="619"/>
      <c r="X469" s="619"/>
      <c r="Y469" s="619"/>
      <c r="Z469" s="619"/>
      <c r="AA469" s="619"/>
      <c r="AB469" s="619"/>
      <c r="AC469" s="619"/>
      <c r="AD469" s="619"/>
      <c r="AE469" s="619"/>
      <c r="AF469" s="619"/>
      <c r="AG469" s="619"/>
      <c r="AH469" s="619"/>
      <c r="AI469" s="619"/>
      <c r="AJ469" s="619"/>
      <c r="AK469" s="619"/>
    </row>
    <row r="470" spans="1:37" ht="14.25" customHeight="1">
      <c r="A470" s="619"/>
      <c r="B470" s="619"/>
      <c r="C470" s="4"/>
      <c r="D470" s="619"/>
      <c r="E470" s="619"/>
      <c r="F470" s="619"/>
      <c r="G470" s="619"/>
      <c r="H470" s="619"/>
      <c r="I470" s="619"/>
      <c r="J470" s="619"/>
      <c r="K470" s="619"/>
      <c r="L470" s="619"/>
      <c r="M470" s="619"/>
      <c r="N470" s="619"/>
      <c r="O470" s="619"/>
      <c r="P470" s="619"/>
      <c r="Q470" s="619"/>
      <c r="R470" s="619"/>
      <c r="S470" s="619"/>
      <c r="T470" s="619"/>
      <c r="U470" s="619"/>
      <c r="V470" s="619"/>
      <c r="W470" s="619"/>
      <c r="X470" s="619"/>
      <c r="Y470" s="619"/>
      <c r="Z470" s="619"/>
      <c r="AA470" s="619"/>
      <c r="AB470" s="619"/>
      <c r="AC470" s="619"/>
      <c r="AD470" s="619"/>
      <c r="AE470" s="619"/>
      <c r="AF470" s="619"/>
      <c r="AG470" s="619"/>
      <c r="AH470" s="619"/>
      <c r="AI470" s="619"/>
      <c r="AJ470" s="619"/>
      <c r="AK470" s="619"/>
    </row>
    <row r="471" spans="1:37" ht="14.25" customHeight="1">
      <c r="A471" s="619"/>
      <c r="B471" s="619"/>
      <c r="C471" s="4"/>
      <c r="D471" s="619"/>
      <c r="E471" s="619"/>
      <c r="F471" s="619"/>
      <c r="G471" s="619"/>
      <c r="H471" s="619"/>
      <c r="I471" s="619"/>
      <c r="J471" s="619"/>
      <c r="K471" s="619"/>
      <c r="L471" s="619"/>
      <c r="M471" s="619"/>
      <c r="N471" s="619"/>
      <c r="O471" s="619"/>
      <c r="P471" s="619"/>
      <c r="Q471" s="619"/>
      <c r="R471" s="619"/>
      <c r="S471" s="619"/>
      <c r="T471" s="619"/>
      <c r="U471" s="619"/>
      <c r="V471" s="619"/>
      <c r="W471" s="619"/>
      <c r="X471" s="619"/>
      <c r="Y471" s="619"/>
      <c r="Z471" s="619"/>
      <c r="AA471" s="619"/>
      <c r="AB471" s="619"/>
      <c r="AC471" s="619"/>
      <c r="AD471" s="619"/>
      <c r="AE471" s="619"/>
      <c r="AF471" s="619"/>
      <c r="AG471" s="619"/>
      <c r="AH471" s="619"/>
      <c r="AI471" s="619"/>
      <c r="AJ471" s="619"/>
      <c r="AK471" s="619"/>
    </row>
    <row r="472" spans="1:37" ht="14.25" customHeight="1">
      <c r="A472" s="619"/>
      <c r="B472" s="619"/>
      <c r="C472" s="4"/>
      <c r="D472" s="619"/>
      <c r="E472" s="619"/>
      <c r="F472" s="619"/>
      <c r="G472" s="619"/>
      <c r="H472" s="619"/>
      <c r="I472" s="619"/>
      <c r="J472" s="619"/>
      <c r="K472" s="619"/>
      <c r="L472" s="619"/>
      <c r="M472" s="619"/>
      <c r="N472" s="619"/>
      <c r="O472" s="619"/>
      <c r="P472" s="619"/>
      <c r="Q472" s="619"/>
      <c r="R472" s="619"/>
      <c r="S472" s="619"/>
      <c r="T472" s="619"/>
      <c r="U472" s="619"/>
      <c r="V472" s="619"/>
      <c r="W472" s="619"/>
      <c r="X472" s="619"/>
      <c r="Y472" s="619"/>
      <c r="Z472" s="619"/>
      <c r="AA472" s="619"/>
      <c r="AB472" s="619"/>
      <c r="AC472" s="619"/>
      <c r="AD472" s="619"/>
      <c r="AE472" s="619"/>
      <c r="AF472" s="619"/>
      <c r="AG472" s="619"/>
      <c r="AH472" s="619"/>
      <c r="AI472" s="619"/>
      <c r="AJ472" s="619"/>
      <c r="AK472" s="619"/>
    </row>
    <row r="473" spans="1:37" ht="14.25" customHeight="1">
      <c r="A473" s="619"/>
      <c r="B473" s="619"/>
      <c r="C473" s="4"/>
      <c r="D473" s="619"/>
      <c r="E473" s="619"/>
      <c r="F473" s="619"/>
      <c r="G473" s="619"/>
      <c r="H473" s="619"/>
      <c r="I473" s="619"/>
      <c r="J473" s="619"/>
      <c r="K473" s="619"/>
      <c r="L473" s="619"/>
      <c r="M473" s="619"/>
      <c r="N473" s="619"/>
      <c r="O473" s="619"/>
      <c r="P473" s="619"/>
      <c r="Q473" s="619"/>
      <c r="R473" s="619"/>
      <c r="S473" s="619"/>
      <c r="T473" s="619"/>
      <c r="U473" s="619"/>
      <c r="V473" s="619"/>
      <c r="W473" s="619"/>
      <c r="X473" s="619"/>
      <c r="Y473" s="619"/>
      <c r="Z473" s="619"/>
      <c r="AA473" s="619"/>
      <c r="AB473" s="619"/>
      <c r="AC473" s="619"/>
      <c r="AD473" s="619"/>
      <c r="AE473" s="619"/>
      <c r="AF473" s="619"/>
      <c r="AG473" s="619"/>
      <c r="AH473" s="619"/>
      <c r="AI473" s="619"/>
      <c r="AJ473" s="619"/>
      <c r="AK473" s="619"/>
    </row>
    <row r="474" spans="1:37" ht="14.25" customHeight="1">
      <c r="A474" s="619"/>
      <c r="B474" s="619"/>
      <c r="C474" s="4"/>
      <c r="D474" s="619"/>
      <c r="E474" s="619"/>
      <c r="F474" s="619"/>
      <c r="G474" s="619"/>
      <c r="H474" s="619"/>
      <c r="I474" s="619"/>
      <c r="J474" s="619"/>
      <c r="K474" s="619"/>
      <c r="L474" s="619"/>
      <c r="M474" s="619"/>
      <c r="N474" s="619"/>
      <c r="O474" s="619"/>
      <c r="P474" s="619"/>
      <c r="Q474" s="619"/>
      <c r="R474" s="619"/>
      <c r="S474" s="619"/>
      <c r="T474" s="619"/>
      <c r="U474" s="619"/>
      <c r="V474" s="619"/>
      <c r="W474" s="619"/>
      <c r="X474" s="619"/>
      <c r="Y474" s="619"/>
      <c r="Z474" s="619"/>
      <c r="AA474" s="619"/>
      <c r="AB474" s="619"/>
      <c r="AC474" s="619"/>
      <c r="AD474" s="619"/>
      <c r="AE474" s="619"/>
      <c r="AF474" s="619"/>
      <c r="AG474" s="619"/>
      <c r="AH474" s="619"/>
      <c r="AI474" s="619"/>
      <c r="AJ474" s="619"/>
      <c r="AK474" s="619"/>
    </row>
    <row r="475" spans="1:37" ht="14.25" customHeight="1">
      <c r="A475" s="619"/>
      <c r="B475" s="619"/>
      <c r="C475" s="4"/>
      <c r="D475" s="619"/>
      <c r="E475" s="619"/>
      <c r="F475" s="619"/>
      <c r="G475" s="619"/>
      <c r="H475" s="619"/>
      <c r="I475" s="619"/>
      <c r="J475" s="619"/>
      <c r="K475" s="619"/>
      <c r="L475" s="619"/>
      <c r="M475" s="619"/>
      <c r="N475" s="619"/>
      <c r="O475" s="619"/>
      <c r="P475" s="619"/>
      <c r="Q475" s="619"/>
      <c r="R475" s="619"/>
      <c r="S475" s="619"/>
      <c r="T475" s="619"/>
      <c r="U475" s="619"/>
      <c r="V475" s="619"/>
      <c r="W475" s="619"/>
      <c r="X475" s="619"/>
      <c r="Y475" s="619"/>
      <c r="Z475" s="619"/>
      <c r="AA475" s="619"/>
      <c r="AB475" s="619"/>
      <c r="AC475" s="619"/>
      <c r="AD475" s="619"/>
      <c r="AE475" s="619"/>
      <c r="AF475" s="619"/>
      <c r="AG475" s="619"/>
      <c r="AH475" s="619"/>
      <c r="AI475" s="619"/>
      <c r="AJ475" s="619"/>
      <c r="AK475" s="619"/>
    </row>
    <row r="476" spans="1:37" ht="14.25" customHeight="1">
      <c r="A476" s="619"/>
      <c r="B476" s="619"/>
      <c r="C476" s="4"/>
      <c r="D476" s="619"/>
      <c r="E476" s="619"/>
      <c r="F476" s="619"/>
      <c r="G476" s="619"/>
      <c r="H476" s="619"/>
      <c r="I476" s="619"/>
      <c r="J476" s="619"/>
      <c r="K476" s="619"/>
      <c r="L476" s="619"/>
      <c r="M476" s="619"/>
      <c r="N476" s="619"/>
      <c r="O476" s="619"/>
      <c r="P476" s="619"/>
      <c r="Q476" s="619"/>
      <c r="R476" s="619"/>
      <c r="S476" s="619"/>
      <c r="T476" s="619"/>
      <c r="U476" s="619"/>
      <c r="V476" s="619"/>
      <c r="W476" s="619"/>
      <c r="X476" s="619"/>
      <c r="Y476" s="619"/>
      <c r="Z476" s="619"/>
      <c r="AA476" s="619"/>
      <c r="AB476" s="619"/>
      <c r="AC476" s="619"/>
      <c r="AD476" s="619"/>
      <c r="AE476" s="619"/>
      <c r="AF476" s="619"/>
      <c r="AG476" s="619"/>
      <c r="AH476" s="619"/>
      <c r="AI476" s="619"/>
      <c r="AJ476" s="619"/>
      <c r="AK476" s="619"/>
    </row>
    <row r="477" spans="1:37" ht="14.25" customHeight="1">
      <c r="A477" s="619"/>
      <c r="B477" s="619"/>
      <c r="C477" s="4"/>
      <c r="D477" s="619"/>
      <c r="E477" s="619"/>
      <c r="F477" s="619"/>
      <c r="G477" s="619"/>
      <c r="H477" s="619"/>
      <c r="I477" s="619"/>
      <c r="J477" s="619"/>
      <c r="K477" s="619"/>
      <c r="L477" s="619"/>
      <c r="M477" s="619"/>
      <c r="N477" s="619"/>
      <c r="O477" s="619"/>
      <c r="P477" s="619"/>
      <c r="Q477" s="619"/>
      <c r="R477" s="619"/>
      <c r="S477" s="619"/>
      <c r="T477" s="619"/>
      <c r="U477" s="619"/>
      <c r="V477" s="619"/>
      <c r="W477" s="619"/>
      <c r="X477" s="619"/>
      <c r="Y477" s="619"/>
      <c r="Z477" s="619"/>
      <c r="AA477" s="619"/>
      <c r="AB477" s="619"/>
      <c r="AC477" s="619"/>
      <c r="AD477" s="619"/>
      <c r="AE477" s="619"/>
      <c r="AF477" s="619"/>
      <c r="AG477" s="619"/>
      <c r="AH477" s="619"/>
      <c r="AI477" s="619"/>
      <c r="AJ477" s="619"/>
      <c r="AK477" s="619"/>
    </row>
    <row r="478" spans="1:37" ht="14.25" customHeight="1">
      <c r="A478" s="619"/>
      <c r="B478" s="619"/>
      <c r="C478" s="4"/>
      <c r="D478" s="619"/>
      <c r="E478" s="619"/>
      <c r="F478" s="619"/>
      <c r="G478" s="619"/>
      <c r="H478" s="619"/>
      <c r="I478" s="619"/>
      <c r="J478" s="619"/>
      <c r="K478" s="619"/>
      <c r="L478" s="619"/>
      <c r="M478" s="619"/>
      <c r="N478" s="619"/>
      <c r="O478" s="619"/>
      <c r="P478" s="619"/>
      <c r="Q478" s="619"/>
      <c r="R478" s="619"/>
      <c r="S478" s="619"/>
      <c r="T478" s="619"/>
      <c r="U478" s="619"/>
      <c r="V478" s="619"/>
      <c r="W478" s="619"/>
      <c r="X478" s="619"/>
      <c r="Y478" s="619"/>
      <c r="Z478" s="619"/>
      <c r="AA478" s="619"/>
      <c r="AB478" s="619"/>
      <c r="AC478" s="619"/>
      <c r="AD478" s="619"/>
      <c r="AE478" s="619"/>
      <c r="AF478" s="619"/>
      <c r="AG478" s="619"/>
      <c r="AH478" s="619"/>
      <c r="AI478" s="619"/>
      <c r="AJ478" s="619"/>
      <c r="AK478" s="619"/>
    </row>
    <row r="479" spans="1:37" ht="14.25" customHeight="1">
      <c r="A479" s="619"/>
      <c r="B479" s="619"/>
      <c r="C479" s="4"/>
      <c r="D479" s="619"/>
      <c r="E479" s="619"/>
      <c r="F479" s="619"/>
      <c r="G479" s="619"/>
      <c r="H479" s="619"/>
      <c r="I479" s="619"/>
      <c r="J479" s="619"/>
      <c r="K479" s="619"/>
      <c r="L479" s="619"/>
      <c r="M479" s="619"/>
      <c r="N479" s="619"/>
      <c r="O479" s="619"/>
      <c r="P479" s="619"/>
      <c r="Q479" s="619"/>
      <c r="R479" s="619"/>
      <c r="S479" s="619"/>
      <c r="T479" s="619"/>
      <c r="U479" s="619"/>
      <c r="V479" s="619"/>
      <c r="W479" s="619"/>
      <c r="X479" s="619"/>
      <c r="Y479" s="619"/>
      <c r="Z479" s="619"/>
      <c r="AA479" s="619"/>
      <c r="AB479" s="619"/>
      <c r="AC479" s="619"/>
      <c r="AD479" s="619"/>
      <c r="AE479" s="619"/>
      <c r="AF479" s="619"/>
      <c r="AG479" s="619"/>
      <c r="AH479" s="619"/>
      <c r="AI479" s="619"/>
      <c r="AJ479" s="619"/>
      <c r="AK479" s="619"/>
    </row>
    <row r="480" spans="1:37" ht="14.25" customHeight="1">
      <c r="A480" s="619"/>
      <c r="B480" s="619"/>
      <c r="C480" s="4"/>
      <c r="D480" s="619"/>
      <c r="E480" s="619"/>
      <c r="F480" s="619"/>
      <c r="G480" s="619"/>
      <c r="H480" s="619"/>
      <c r="I480" s="619"/>
      <c r="J480" s="619"/>
      <c r="K480" s="619"/>
      <c r="L480" s="619"/>
      <c r="M480" s="619"/>
      <c r="N480" s="619"/>
      <c r="O480" s="619"/>
      <c r="P480" s="619"/>
      <c r="Q480" s="619"/>
      <c r="R480" s="619"/>
      <c r="S480" s="619"/>
      <c r="T480" s="619"/>
      <c r="U480" s="619"/>
      <c r="V480" s="619"/>
      <c r="W480" s="619"/>
      <c r="X480" s="619"/>
      <c r="Y480" s="619"/>
      <c r="Z480" s="619"/>
      <c r="AA480" s="619"/>
      <c r="AB480" s="619"/>
      <c r="AC480" s="619"/>
      <c r="AD480" s="619"/>
      <c r="AE480" s="619"/>
      <c r="AF480" s="619"/>
      <c r="AG480" s="619"/>
      <c r="AH480" s="619"/>
      <c r="AI480" s="619"/>
      <c r="AJ480" s="619"/>
      <c r="AK480" s="619"/>
    </row>
    <row r="481" spans="1:37" ht="14.25" customHeight="1">
      <c r="A481" s="619"/>
      <c r="B481" s="619"/>
      <c r="C481" s="4"/>
      <c r="D481" s="619"/>
      <c r="E481" s="619"/>
      <c r="F481" s="619"/>
      <c r="G481" s="619"/>
      <c r="H481" s="619"/>
      <c r="I481" s="619"/>
      <c r="J481" s="619"/>
      <c r="K481" s="619"/>
      <c r="L481" s="619"/>
      <c r="M481" s="619"/>
      <c r="N481" s="619"/>
      <c r="O481" s="619"/>
      <c r="P481" s="619"/>
      <c r="Q481" s="619"/>
      <c r="R481" s="619"/>
      <c r="S481" s="619"/>
      <c r="T481" s="619"/>
      <c r="U481" s="619"/>
      <c r="V481" s="619"/>
      <c r="W481" s="619"/>
      <c r="X481" s="619"/>
      <c r="Y481" s="619"/>
      <c r="Z481" s="619"/>
      <c r="AA481" s="619"/>
      <c r="AB481" s="619"/>
      <c r="AC481" s="619"/>
      <c r="AD481" s="619"/>
      <c r="AE481" s="619"/>
      <c r="AF481" s="619"/>
      <c r="AG481" s="619"/>
      <c r="AH481" s="619"/>
      <c r="AI481" s="619"/>
      <c r="AJ481" s="619"/>
      <c r="AK481" s="619"/>
    </row>
    <row r="482" spans="1:37" ht="14.25" customHeight="1">
      <c r="A482" s="619"/>
      <c r="B482" s="619"/>
      <c r="C482" s="4"/>
      <c r="D482" s="619"/>
      <c r="E482" s="619"/>
      <c r="F482" s="619"/>
      <c r="G482" s="619"/>
      <c r="H482" s="619"/>
      <c r="I482" s="619"/>
      <c r="J482" s="619"/>
      <c r="K482" s="619"/>
      <c r="L482" s="619"/>
      <c r="M482" s="619"/>
      <c r="N482" s="619"/>
      <c r="O482" s="619"/>
      <c r="P482" s="619"/>
      <c r="Q482" s="619"/>
      <c r="R482" s="619"/>
      <c r="S482" s="619"/>
      <c r="T482" s="619"/>
      <c r="U482" s="619"/>
      <c r="V482" s="619"/>
      <c r="W482" s="619"/>
      <c r="X482" s="619"/>
      <c r="Y482" s="619"/>
      <c r="Z482" s="619"/>
      <c r="AA482" s="619"/>
      <c r="AB482" s="619"/>
      <c r="AC482" s="619"/>
      <c r="AD482" s="619"/>
      <c r="AE482" s="619"/>
      <c r="AF482" s="619"/>
      <c r="AG482" s="619"/>
      <c r="AH482" s="619"/>
      <c r="AI482" s="619"/>
      <c r="AJ482" s="619"/>
      <c r="AK482" s="619"/>
    </row>
    <row r="483" spans="1:37" ht="14.25" customHeight="1">
      <c r="A483" s="619"/>
      <c r="B483" s="619"/>
      <c r="C483" s="4"/>
      <c r="D483" s="619"/>
      <c r="E483" s="619"/>
      <c r="F483" s="619"/>
      <c r="G483" s="619"/>
      <c r="H483" s="619"/>
      <c r="I483" s="619"/>
      <c r="J483" s="619"/>
      <c r="K483" s="619"/>
      <c r="L483" s="619"/>
      <c r="M483" s="619"/>
      <c r="N483" s="619"/>
      <c r="O483" s="619"/>
      <c r="P483" s="619"/>
      <c r="Q483" s="619"/>
      <c r="R483" s="619"/>
      <c r="S483" s="619"/>
      <c r="T483" s="619"/>
      <c r="U483" s="619"/>
      <c r="V483" s="619"/>
      <c r="W483" s="619"/>
      <c r="X483" s="619"/>
      <c r="Y483" s="619"/>
      <c r="Z483" s="619"/>
      <c r="AA483" s="619"/>
      <c r="AB483" s="619"/>
      <c r="AC483" s="619"/>
      <c r="AD483" s="619"/>
      <c r="AE483" s="619"/>
      <c r="AF483" s="619"/>
      <c r="AG483" s="619"/>
      <c r="AH483" s="619"/>
      <c r="AI483" s="619"/>
      <c r="AJ483" s="619"/>
      <c r="AK483" s="619"/>
    </row>
    <row r="484" spans="1:37" ht="14.25" customHeight="1">
      <c r="A484" s="619"/>
      <c r="B484" s="619"/>
      <c r="C484" s="4"/>
      <c r="D484" s="619"/>
      <c r="E484" s="619"/>
      <c r="F484" s="619"/>
      <c r="G484" s="619"/>
      <c r="H484" s="619"/>
      <c r="I484" s="619"/>
      <c r="J484" s="619"/>
      <c r="K484" s="619"/>
      <c r="L484" s="619"/>
      <c r="M484" s="619"/>
      <c r="N484" s="619"/>
      <c r="O484" s="619"/>
      <c r="P484" s="619"/>
      <c r="Q484" s="619"/>
      <c r="R484" s="619"/>
      <c r="S484" s="619"/>
      <c r="T484" s="619"/>
      <c r="U484" s="619"/>
      <c r="V484" s="619"/>
      <c r="W484" s="619"/>
      <c r="X484" s="619"/>
      <c r="Y484" s="619"/>
      <c r="Z484" s="619"/>
      <c r="AA484" s="619"/>
      <c r="AB484" s="619"/>
      <c r="AC484" s="619"/>
      <c r="AD484" s="619"/>
      <c r="AE484" s="619"/>
      <c r="AF484" s="619"/>
      <c r="AG484" s="619"/>
      <c r="AH484" s="619"/>
      <c r="AI484" s="619"/>
      <c r="AJ484" s="619"/>
      <c r="AK484" s="619"/>
    </row>
    <row r="485" spans="1:37" ht="14.25" customHeight="1">
      <c r="A485" s="619"/>
      <c r="B485" s="619"/>
      <c r="C485" s="4"/>
      <c r="D485" s="619"/>
      <c r="E485" s="619"/>
      <c r="F485" s="619"/>
      <c r="G485" s="619"/>
      <c r="H485" s="619"/>
      <c r="I485" s="619"/>
      <c r="J485" s="619"/>
      <c r="K485" s="619"/>
      <c r="L485" s="619"/>
      <c r="M485" s="619"/>
      <c r="N485" s="619"/>
      <c r="O485" s="619"/>
      <c r="P485" s="619"/>
      <c r="Q485" s="619"/>
      <c r="R485" s="619"/>
      <c r="S485" s="619"/>
      <c r="T485" s="619"/>
      <c r="U485" s="619"/>
      <c r="V485" s="619"/>
      <c r="W485" s="619"/>
      <c r="X485" s="619"/>
      <c r="Y485" s="619"/>
      <c r="Z485" s="619"/>
      <c r="AA485" s="619"/>
      <c r="AB485" s="619"/>
      <c r="AC485" s="619"/>
      <c r="AD485" s="619"/>
      <c r="AE485" s="619"/>
      <c r="AF485" s="619"/>
      <c r="AG485" s="619"/>
      <c r="AH485" s="619"/>
      <c r="AI485" s="619"/>
      <c r="AJ485" s="619"/>
      <c r="AK485" s="619"/>
    </row>
    <row r="486" spans="1:37" ht="14.25" customHeight="1">
      <c r="A486" s="619"/>
      <c r="B486" s="619"/>
      <c r="C486" s="4"/>
      <c r="D486" s="619"/>
      <c r="E486" s="619"/>
      <c r="F486" s="619"/>
      <c r="G486" s="619"/>
      <c r="H486" s="619"/>
      <c r="I486" s="619"/>
      <c r="J486" s="619"/>
      <c r="K486" s="619"/>
      <c r="L486" s="619"/>
      <c r="M486" s="619"/>
      <c r="N486" s="619"/>
      <c r="O486" s="619"/>
      <c r="P486" s="619"/>
      <c r="Q486" s="619"/>
      <c r="R486" s="619"/>
      <c r="S486" s="619"/>
      <c r="T486" s="619"/>
      <c r="U486" s="619"/>
      <c r="V486" s="619"/>
      <c r="W486" s="619"/>
      <c r="X486" s="619"/>
      <c r="Y486" s="619"/>
      <c r="Z486" s="619"/>
      <c r="AA486" s="619"/>
      <c r="AB486" s="619"/>
      <c r="AC486" s="619"/>
      <c r="AD486" s="619"/>
      <c r="AE486" s="619"/>
      <c r="AF486" s="619"/>
      <c r="AG486" s="619"/>
      <c r="AH486" s="619"/>
      <c r="AI486" s="619"/>
      <c r="AJ486" s="619"/>
      <c r="AK486" s="619"/>
    </row>
    <row r="487" spans="1:37" ht="14.25" customHeight="1">
      <c r="A487" s="619"/>
      <c r="B487" s="619"/>
      <c r="C487" s="4"/>
      <c r="D487" s="619"/>
      <c r="E487" s="619"/>
      <c r="F487" s="619"/>
      <c r="G487" s="619"/>
      <c r="H487" s="619"/>
      <c r="I487" s="619"/>
      <c r="J487" s="619"/>
      <c r="K487" s="619"/>
      <c r="L487" s="619"/>
      <c r="M487" s="619"/>
      <c r="N487" s="619"/>
      <c r="O487" s="619"/>
      <c r="P487" s="619"/>
      <c r="Q487" s="619"/>
      <c r="R487" s="619"/>
      <c r="S487" s="619"/>
      <c r="T487" s="619"/>
      <c r="U487" s="619"/>
      <c r="V487" s="619"/>
      <c r="W487" s="619"/>
      <c r="X487" s="619"/>
      <c r="Y487" s="619"/>
      <c r="Z487" s="619"/>
      <c r="AA487" s="619"/>
      <c r="AB487" s="619"/>
      <c r="AC487" s="619"/>
      <c r="AD487" s="619"/>
      <c r="AE487" s="619"/>
      <c r="AF487" s="619"/>
      <c r="AG487" s="619"/>
      <c r="AH487" s="619"/>
      <c r="AI487" s="619"/>
      <c r="AJ487" s="619"/>
      <c r="AK487" s="619"/>
    </row>
    <row r="488" spans="1:37" ht="14.25" customHeight="1">
      <c r="A488" s="619"/>
      <c r="B488" s="619"/>
      <c r="C488" s="4"/>
      <c r="D488" s="619"/>
      <c r="E488" s="619"/>
      <c r="F488" s="619"/>
      <c r="G488" s="619"/>
      <c r="H488" s="619"/>
      <c r="I488" s="619"/>
      <c r="J488" s="619"/>
      <c r="K488" s="619"/>
      <c r="L488" s="619"/>
      <c r="M488" s="619"/>
      <c r="N488" s="619"/>
      <c r="O488" s="619"/>
      <c r="P488" s="619"/>
      <c r="Q488" s="619"/>
      <c r="R488" s="619"/>
      <c r="S488" s="619"/>
      <c r="T488" s="619"/>
      <c r="U488" s="619"/>
      <c r="V488" s="619"/>
      <c r="W488" s="619"/>
      <c r="X488" s="619"/>
      <c r="Y488" s="619"/>
      <c r="Z488" s="619"/>
      <c r="AA488" s="619"/>
      <c r="AB488" s="619"/>
      <c r="AC488" s="619"/>
      <c r="AD488" s="619"/>
      <c r="AE488" s="619"/>
      <c r="AF488" s="619"/>
      <c r="AG488" s="619"/>
      <c r="AH488" s="619"/>
      <c r="AI488" s="619"/>
      <c r="AJ488" s="619"/>
      <c r="AK488" s="619"/>
    </row>
    <row r="489" spans="1:37" ht="14.25" customHeight="1">
      <c r="A489" s="619"/>
      <c r="B489" s="619"/>
      <c r="C489" s="4"/>
      <c r="D489" s="619"/>
      <c r="E489" s="619"/>
      <c r="F489" s="619"/>
      <c r="G489" s="619"/>
      <c r="H489" s="619"/>
      <c r="I489" s="619"/>
      <c r="J489" s="619"/>
      <c r="K489" s="619"/>
      <c r="L489" s="619"/>
      <c r="M489" s="619"/>
      <c r="N489" s="619"/>
      <c r="O489" s="619"/>
      <c r="P489" s="619"/>
      <c r="Q489" s="619"/>
      <c r="R489" s="619"/>
      <c r="S489" s="619"/>
      <c r="T489" s="619"/>
      <c r="U489" s="619"/>
      <c r="V489" s="619"/>
      <c r="W489" s="619"/>
      <c r="X489" s="619"/>
      <c r="Y489" s="619"/>
      <c r="Z489" s="619"/>
      <c r="AA489" s="619"/>
      <c r="AB489" s="619"/>
      <c r="AC489" s="619"/>
      <c r="AD489" s="619"/>
      <c r="AE489" s="619"/>
      <c r="AF489" s="619"/>
      <c r="AG489" s="619"/>
      <c r="AH489" s="619"/>
      <c r="AI489" s="619"/>
      <c r="AJ489" s="619"/>
      <c r="AK489" s="619"/>
    </row>
    <row r="490" spans="1:37" ht="14.25" customHeight="1">
      <c r="A490" s="619"/>
      <c r="B490" s="619"/>
      <c r="C490" s="4"/>
      <c r="D490" s="619"/>
      <c r="E490" s="619"/>
      <c r="F490" s="619"/>
      <c r="G490" s="619"/>
      <c r="H490" s="619"/>
      <c r="I490" s="619"/>
      <c r="J490" s="619"/>
      <c r="K490" s="619"/>
      <c r="L490" s="619"/>
      <c r="M490" s="619"/>
      <c r="N490" s="619"/>
      <c r="O490" s="619"/>
      <c r="P490" s="619"/>
      <c r="Q490" s="619"/>
      <c r="R490" s="619"/>
      <c r="S490" s="619"/>
      <c r="T490" s="619"/>
      <c r="U490" s="619"/>
      <c r="V490" s="619"/>
      <c r="W490" s="619"/>
      <c r="X490" s="619"/>
      <c r="Y490" s="619"/>
      <c r="Z490" s="619"/>
      <c r="AA490" s="619"/>
      <c r="AB490" s="619"/>
      <c r="AC490" s="619"/>
      <c r="AD490" s="619"/>
      <c r="AE490" s="619"/>
      <c r="AF490" s="619"/>
      <c r="AG490" s="619"/>
      <c r="AH490" s="619"/>
      <c r="AI490" s="619"/>
      <c r="AJ490" s="619"/>
      <c r="AK490" s="619"/>
    </row>
    <row r="491" spans="1:37" ht="14.25" customHeight="1">
      <c r="A491" s="619"/>
      <c r="B491" s="619"/>
      <c r="C491" s="4"/>
      <c r="D491" s="619"/>
      <c r="E491" s="619"/>
      <c r="F491" s="619"/>
      <c r="G491" s="619"/>
      <c r="H491" s="619"/>
      <c r="I491" s="619"/>
      <c r="J491" s="619"/>
      <c r="K491" s="619"/>
      <c r="L491" s="619"/>
      <c r="M491" s="619"/>
      <c r="N491" s="619"/>
      <c r="O491" s="619"/>
      <c r="P491" s="619"/>
      <c r="Q491" s="619"/>
      <c r="R491" s="619"/>
      <c r="S491" s="619"/>
      <c r="T491" s="619"/>
      <c r="U491" s="619"/>
      <c r="V491" s="619"/>
      <c r="W491" s="619"/>
      <c r="X491" s="619"/>
      <c r="Y491" s="619"/>
      <c r="Z491" s="619"/>
      <c r="AA491" s="619"/>
      <c r="AB491" s="619"/>
      <c r="AC491" s="619"/>
      <c r="AD491" s="619"/>
      <c r="AE491" s="619"/>
      <c r="AF491" s="619"/>
      <c r="AG491" s="619"/>
      <c r="AH491" s="619"/>
      <c r="AI491" s="619"/>
      <c r="AJ491" s="619"/>
      <c r="AK491" s="619"/>
    </row>
    <row r="492" spans="1:37" ht="14.25" customHeight="1">
      <c r="A492" s="619"/>
      <c r="B492" s="619"/>
      <c r="C492" s="4"/>
      <c r="D492" s="619"/>
      <c r="E492" s="619"/>
      <c r="F492" s="619"/>
      <c r="G492" s="619"/>
      <c r="H492" s="619"/>
      <c r="I492" s="619"/>
      <c r="J492" s="619"/>
      <c r="K492" s="619"/>
      <c r="L492" s="619"/>
      <c r="M492" s="619"/>
      <c r="N492" s="619"/>
      <c r="O492" s="619"/>
      <c r="P492" s="619"/>
      <c r="Q492" s="619"/>
      <c r="R492" s="619"/>
      <c r="S492" s="619"/>
      <c r="T492" s="619"/>
      <c r="U492" s="619"/>
      <c r="V492" s="619"/>
      <c r="W492" s="619"/>
      <c r="X492" s="619"/>
      <c r="Y492" s="619"/>
      <c r="Z492" s="619"/>
      <c r="AA492" s="619"/>
      <c r="AB492" s="619"/>
      <c r="AC492" s="619"/>
      <c r="AD492" s="619"/>
      <c r="AE492" s="619"/>
      <c r="AF492" s="619"/>
      <c r="AG492" s="619"/>
      <c r="AH492" s="619"/>
      <c r="AI492" s="619"/>
      <c r="AJ492" s="619"/>
      <c r="AK492" s="619"/>
    </row>
    <row r="493" spans="1:37" ht="14.25" customHeight="1">
      <c r="A493" s="619"/>
      <c r="B493" s="619"/>
      <c r="C493" s="4"/>
      <c r="D493" s="619"/>
      <c r="E493" s="619"/>
      <c r="F493" s="619"/>
      <c r="G493" s="619"/>
      <c r="H493" s="619"/>
      <c r="I493" s="619"/>
      <c r="J493" s="619"/>
      <c r="K493" s="619"/>
      <c r="L493" s="619"/>
      <c r="M493" s="619"/>
      <c r="N493" s="619"/>
      <c r="O493" s="619"/>
      <c r="P493" s="619"/>
      <c r="Q493" s="619"/>
      <c r="R493" s="619"/>
      <c r="S493" s="619"/>
      <c r="T493" s="619"/>
      <c r="U493" s="619"/>
      <c r="V493" s="619"/>
      <c r="W493" s="619"/>
      <c r="X493" s="619"/>
      <c r="Y493" s="619"/>
      <c r="Z493" s="619"/>
      <c r="AA493" s="619"/>
      <c r="AB493" s="619"/>
      <c r="AC493" s="619"/>
      <c r="AD493" s="619"/>
      <c r="AE493" s="619"/>
      <c r="AF493" s="619"/>
      <c r="AG493" s="619"/>
      <c r="AH493" s="619"/>
      <c r="AI493" s="619"/>
      <c r="AJ493" s="619"/>
      <c r="AK493" s="619"/>
    </row>
    <row r="494" spans="1:37" ht="14.25" customHeight="1">
      <c r="A494" s="619"/>
      <c r="B494" s="619"/>
      <c r="C494" s="4"/>
      <c r="D494" s="619"/>
      <c r="E494" s="619"/>
      <c r="F494" s="619"/>
      <c r="G494" s="619"/>
      <c r="H494" s="619"/>
      <c r="I494" s="619"/>
      <c r="J494" s="619"/>
      <c r="K494" s="619"/>
      <c r="L494" s="619"/>
      <c r="M494" s="619"/>
      <c r="N494" s="619"/>
      <c r="O494" s="619"/>
      <c r="P494" s="619"/>
      <c r="Q494" s="619"/>
      <c r="R494" s="619"/>
      <c r="S494" s="619"/>
      <c r="T494" s="619"/>
      <c r="U494" s="619"/>
      <c r="V494" s="619"/>
      <c r="W494" s="619"/>
      <c r="X494" s="619"/>
      <c r="Y494" s="619"/>
      <c r="Z494" s="619"/>
      <c r="AA494" s="619"/>
      <c r="AB494" s="619"/>
      <c r="AC494" s="619"/>
      <c r="AD494" s="619"/>
      <c r="AE494" s="619"/>
      <c r="AF494" s="619"/>
      <c r="AG494" s="619"/>
      <c r="AH494" s="619"/>
      <c r="AI494" s="619"/>
      <c r="AJ494" s="619"/>
      <c r="AK494" s="619"/>
    </row>
    <row r="495" spans="1:37" ht="14.25" customHeight="1">
      <c r="A495" s="619"/>
      <c r="B495" s="619"/>
      <c r="C495" s="4"/>
      <c r="D495" s="619"/>
      <c r="E495" s="619"/>
      <c r="F495" s="619"/>
      <c r="G495" s="619"/>
      <c r="H495" s="619"/>
      <c r="I495" s="619"/>
      <c r="J495" s="619"/>
      <c r="K495" s="619"/>
      <c r="L495" s="619"/>
      <c r="M495" s="619"/>
      <c r="N495" s="619"/>
      <c r="O495" s="619"/>
      <c r="P495" s="619"/>
      <c r="Q495" s="619"/>
      <c r="R495" s="619"/>
      <c r="S495" s="619"/>
      <c r="T495" s="619"/>
      <c r="U495" s="619"/>
      <c r="V495" s="619"/>
      <c r="W495" s="619"/>
      <c r="X495" s="619"/>
      <c r="Y495" s="619"/>
      <c r="Z495" s="619"/>
      <c r="AA495" s="619"/>
      <c r="AB495" s="619"/>
      <c r="AC495" s="619"/>
      <c r="AD495" s="619"/>
      <c r="AE495" s="619"/>
      <c r="AF495" s="619"/>
      <c r="AG495" s="619"/>
      <c r="AH495" s="619"/>
      <c r="AI495" s="619"/>
      <c r="AJ495" s="619"/>
      <c r="AK495" s="619"/>
    </row>
    <row r="496" spans="1:37" ht="14.25" customHeight="1">
      <c r="A496" s="619"/>
      <c r="B496" s="619"/>
      <c r="C496" s="4"/>
      <c r="D496" s="619"/>
      <c r="E496" s="619"/>
      <c r="F496" s="619"/>
      <c r="G496" s="619"/>
      <c r="H496" s="619"/>
      <c r="I496" s="619"/>
      <c r="J496" s="619"/>
      <c r="K496" s="619"/>
      <c r="L496" s="619"/>
      <c r="M496" s="619"/>
      <c r="N496" s="619"/>
      <c r="O496" s="619"/>
      <c r="P496" s="619"/>
      <c r="Q496" s="619"/>
      <c r="R496" s="619"/>
      <c r="S496" s="619"/>
      <c r="T496" s="619"/>
      <c r="U496" s="619"/>
      <c r="V496" s="619"/>
      <c r="W496" s="619"/>
      <c r="X496" s="619"/>
      <c r="Y496" s="619"/>
      <c r="Z496" s="619"/>
      <c r="AA496" s="619"/>
      <c r="AB496" s="619"/>
      <c r="AC496" s="619"/>
      <c r="AD496" s="619"/>
      <c r="AE496" s="619"/>
      <c r="AF496" s="619"/>
      <c r="AG496" s="619"/>
      <c r="AH496" s="619"/>
      <c r="AI496" s="619"/>
      <c r="AJ496" s="619"/>
      <c r="AK496" s="619"/>
    </row>
    <row r="497" spans="1:37" ht="14.25" customHeight="1">
      <c r="A497" s="619"/>
      <c r="B497" s="619"/>
      <c r="C497" s="4"/>
      <c r="D497" s="619"/>
      <c r="E497" s="619"/>
      <c r="F497" s="619"/>
      <c r="G497" s="619"/>
      <c r="H497" s="619"/>
      <c r="I497" s="619"/>
      <c r="J497" s="619"/>
      <c r="K497" s="619"/>
      <c r="L497" s="619"/>
      <c r="M497" s="619"/>
      <c r="N497" s="619"/>
      <c r="O497" s="619"/>
      <c r="P497" s="619"/>
      <c r="Q497" s="619"/>
      <c r="R497" s="619"/>
      <c r="S497" s="619"/>
      <c r="T497" s="619"/>
      <c r="U497" s="619"/>
      <c r="V497" s="619"/>
      <c r="W497" s="619"/>
      <c r="X497" s="619"/>
      <c r="Y497" s="619"/>
      <c r="Z497" s="619"/>
      <c r="AA497" s="619"/>
      <c r="AB497" s="619"/>
      <c r="AC497" s="619"/>
      <c r="AD497" s="619"/>
      <c r="AE497" s="619"/>
      <c r="AF497" s="619"/>
      <c r="AG497" s="619"/>
      <c r="AH497" s="619"/>
      <c r="AI497" s="619"/>
      <c r="AJ497" s="619"/>
      <c r="AK497" s="619"/>
    </row>
    <row r="498" spans="1:37" ht="14.25" customHeight="1">
      <c r="A498" s="619"/>
      <c r="B498" s="619"/>
      <c r="C498" s="4"/>
      <c r="D498" s="619"/>
      <c r="E498" s="619"/>
      <c r="F498" s="619"/>
      <c r="G498" s="619"/>
      <c r="H498" s="619"/>
      <c r="I498" s="619"/>
      <c r="J498" s="619"/>
      <c r="K498" s="619"/>
      <c r="L498" s="619"/>
      <c r="M498" s="619"/>
      <c r="N498" s="619"/>
      <c r="O498" s="619"/>
      <c r="P498" s="619"/>
      <c r="Q498" s="619"/>
      <c r="R498" s="619"/>
      <c r="S498" s="619"/>
      <c r="T498" s="619"/>
      <c r="U498" s="619"/>
      <c r="V498" s="619"/>
      <c r="W498" s="619"/>
      <c r="X498" s="619"/>
      <c r="Y498" s="619"/>
      <c r="Z498" s="619"/>
      <c r="AA498" s="619"/>
      <c r="AB498" s="619"/>
      <c r="AC498" s="619"/>
      <c r="AD498" s="619"/>
      <c r="AE498" s="619"/>
      <c r="AF498" s="619"/>
      <c r="AG498" s="619"/>
      <c r="AH498" s="619"/>
      <c r="AI498" s="619"/>
      <c r="AJ498" s="619"/>
      <c r="AK498" s="619"/>
    </row>
    <row r="499" spans="1:37" ht="14.25" customHeight="1">
      <c r="A499" s="619"/>
      <c r="B499" s="619"/>
      <c r="C499" s="4"/>
      <c r="D499" s="619"/>
      <c r="E499" s="619"/>
      <c r="F499" s="619"/>
      <c r="G499" s="619"/>
      <c r="H499" s="619"/>
      <c r="I499" s="619"/>
      <c r="J499" s="619"/>
      <c r="K499" s="619"/>
      <c r="L499" s="619"/>
      <c r="M499" s="619"/>
      <c r="N499" s="619"/>
      <c r="O499" s="619"/>
      <c r="P499" s="619"/>
      <c r="Q499" s="619"/>
      <c r="R499" s="619"/>
      <c r="S499" s="619"/>
      <c r="T499" s="619"/>
      <c r="U499" s="619"/>
      <c r="V499" s="619"/>
      <c r="W499" s="619"/>
      <c r="X499" s="619"/>
      <c r="Y499" s="619"/>
      <c r="Z499" s="619"/>
      <c r="AA499" s="619"/>
      <c r="AB499" s="619"/>
      <c r="AC499" s="619"/>
      <c r="AD499" s="619"/>
      <c r="AE499" s="619"/>
      <c r="AF499" s="619"/>
      <c r="AG499" s="619"/>
      <c r="AH499" s="619"/>
      <c r="AI499" s="619"/>
      <c r="AJ499" s="619"/>
      <c r="AK499" s="619"/>
    </row>
    <row r="500" spans="1:37" ht="14.25" customHeight="1">
      <c r="A500" s="619"/>
      <c r="B500" s="619"/>
      <c r="C500" s="4"/>
      <c r="D500" s="619"/>
      <c r="E500" s="619"/>
      <c r="F500" s="619"/>
      <c r="G500" s="619"/>
      <c r="H500" s="619"/>
      <c r="I500" s="619"/>
      <c r="J500" s="619"/>
      <c r="K500" s="619"/>
      <c r="L500" s="619"/>
      <c r="M500" s="619"/>
      <c r="N500" s="619"/>
      <c r="O500" s="619"/>
      <c r="P500" s="619"/>
      <c r="Q500" s="619"/>
      <c r="R500" s="619"/>
      <c r="S500" s="619"/>
      <c r="T500" s="619"/>
      <c r="U500" s="619"/>
      <c r="V500" s="619"/>
      <c r="W500" s="619"/>
      <c r="X500" s="619"/>
      <c r="Y500" s="619"/>
      <c r="Z500" s="619"/>
      <c r="AA500" s="619"/>
      <c r="AB500" s="619"/>
      <c r="AC500" s="619"/>
      <c r="AD500" s="619"/>
      <c r="AE500" s="619"/>
      <c r="AF500" s="619"/>
      <c r="AG500" s="619"/>
      <c r="AH500" s="619"/>
      <c r="AI500" s="619"/>
      <c r="AJ500" s="619"/>
      <c r="AK500" s="619"/>
    </row>
    <row r="501" spans="1:37" ht="14.25" customHeight="1">
      <c r="A501" s="619"/>
      <c r="B501" s="619"/>
      <c r="C501" s="4"/>
      <c r="D501" s="619"/>
      <c r="E501" s="619"/>
      <c r="F501" s="619"/>
      <c r="G501" s="619"/>
      <c r="H501" s="619"/>
      <c r="I501" s="619"/>
      <c r="J501" s="619"/>
      <c r="K501" s="619"/>
      <c r="L501" s="619"/>
      <c r="M501" s="619"/>
      <c r="N501" s="619"/>
      <c r="O501" s="619"/>
      <c r="P501" s="619"/>
      <c r="Q501" s="619"/>
      <c r="R501" s="619"/>
      <c r="S501" s="619"/>
      <c r="T501" s="619"/>
      <c r="U501" s="619"/>
      <c r="V501" s="619"/>
      <c r="W501" s="619"/>
      <c r="X501" s="619"/>
      <c r="Y501" s="619"/>
      <c r="Z501" s="619"/>
      <c r="AA501" s="619"/>
      <c r="AB501" s="619"/>
      <c r="AC501" s="619"/>
      <c r="AD501" s="619"/>
      <c r="AE501" s="619"/>
      <c r="AF501" s="619"/>
      <c r="AG501" s="619"/>
      <c r="AH501" s="619"/>
      <c r="AI501" s="619"/>
      <c r="AJ501" s="619"/>
      <c r="AK501" s="619"/>
    </row>
    <row r="502" spans="1:37" ht="14.25" customHeight="1">
      <c r="A502" s="619"/>
      <c r="B502" s="619"/>
      <c r="C502" s="4"/>
      <c r="D502" s="619"/>
      <c r="E502" s="619"/>
      <c r="F502" s="619"/>
      <c r="G502" s="619"/>
      <c r="H502" s="619"/>
      <c r="I502" s="619"/>
      <c r="J502" s="619"/>
      <c r="K502" s="619"/>
      <c r="L502" s="619"/>
      <c r="M502" s="619"/>
      <c r="N502" s="619"/>
      <c r="O502" s="619"/>
      <c r="P502" s="619"/>
      <c r="Q502" s="619"/>
      <c r="R502" s="619"/>
      <c r="S502" s="619"/>
      <c r="T502" s="619"/>
      <c r="U502" s="619"/>
      <c r="V502" s="619"/>
      <c r="W502" s="619"/>
      <c r="X502" s="619"/>
      <c r="Y502" s="619"/>
      <c r="Z502" s="619"/>
      <c r="AA502" s="619"/>
      <c r="AB502" s="619"/>
      <c r="AC502" s="619"/>
      <c r="AD502" s="619"/>
      <c r="AE502" s="619"/>
      <c r="AF502" s="619"/>
      <c r="AG502" s="619"/>
      <c r="AH502" s="619"/>
      <c r="AI502" s="619"/>
      <c r="AJ502" s="619"/>
      <c r="AK502" s="619"/>
    </row>
    <row r="503" spans="1:37" ht="14.25" customHeight="1">
      <c r="A503" s="619"/>
      <c r="B503" s="619"/>
      <c r="C503" s="4"/>
      <c r="D503" s="619"/>
      <c r="E503" s="619"/>
      <c r="F503" s="619"/>
      <c r="G503" s="619"/>
      <c r="H503" s="619"/>
      <c r="I503" s="619"/>
      <c r="J503" s="619"/>
      <c r="K503" s="619"/>
      <c r="L503" s="619"/>
      <c r="M503" s="619"/>
      <c r="N503" s="619"/>
      <c r="O503" s="619"/>
      <c r="P503" s="619"/>
      <c r="Q503" s="619"/>
      <c r="R503" s="619"/>
      <c r="S503" s="619"/>
      <c r="T503" s="619"/>
      <c r="U503" s="619"/>
      <c r="V503" s="619"/>
      <c r="W503" s="619"/>
      <c r="X503" s="619"/>
      <c r="Y503" s="619"/>
      <c r="Z503" s="619"/>
      <c r="AA503" s="619"/>
      <c r="AB503" s="619"/>
      <c r="AC503" s="619"/>
      <c r="AD503" s="619"/>
      <c r="AE503" s="619"/>
      <c r="AF503" s="619"/>
      <c r="AG503" s="619"/>
      <c r="AH503" s="619"/>
      <c r="AI503" s="619"/>
      <c r="AJ503" s="619"/>
      <c r="AK503" s="619"/>
    </row>
    <row r="504" spans="1:37" ht="14.25" customHeight="1">
      <c r="A504" s="619"/>
      <c r="B504" s="619"/>
      <c r="C504" s="4"/>
      <c r="D504" s="619"/>
      <c r="E504" s="619"/>
      <c r="F504" s="619"/>
      <c r="G504" s="619"/>
      <c r="H504" s="619"/>
      <c r="I504" s="619"/>
      <c r="J504" s="619"/>
      <c r="K504" s="619"/>
      <c r="L504" s="619"/>
      <c r="M504" s="619"/>
      <c r="N504" s="619"/>
      <c r="O504" s="619"/>
      <c r="P504" s="619"/>
      <c r="Q504" s="619"/>
      <c r="R504" s="619"/>
      <c r="S504" s="619"/>
      <c r="T504" s="619"/>
      <c r="U504" s="619"/>
      <c r="V504" s="619"/>
      <c r="W504" s="619"/>
      <c r="X504" s="619"/>
      <c r="Y504" s="619"/>
      <c r="Z504" s="619"/>
      <c r="AA504" s="619"/>
      <c r="AB504" s="619"/>
      <c r="AC504" s="619"/>
      <c r="AD504" s="619"/>
      <c r="AE504" s="619"/>
      <c r="AF504" s="619"/>
      <c r="AG504" s="619"/>
      <c r="AH504" s="619"/>
      <c r="AI504" s="619"/>
      <c r="AJ504" s="619"/>
      <c r="AK504" s="619"/>
    </row>
    <row r="505" spans="1:37" ht="14.25" customHeight="1">
      <c r="A505" s="619"/>
      <c r="B505" s="619"/>
      <c r="C505" s="4"/>
      <c r="D505" s="619"/>
      <c r="E505" s="619"/>
      <c r="F505" s="619"/>
      <c r="G505" s="619"/>
      <c r="H505" s="619"/>
      <c r="I505" s="619"/>
      <c r="J505" s="619"/>
      <c r="K505" s="619"/>
      <c r="L505" s="619"/>
      <c r="M505" s="619"/>
      <c r="N505" s="619"/>
      <c r="O505" s="619"/>
      <c r="P505" s="619"/>
      <c r="Q505" s="619"/>
      <c r="R505" s="619"/>
      <c r="S505" s="619"/>
      <c r="T505" s="619"/>
      <c r="U505" s="619"/>
      <c r="V505" s="619"/>
      <c r="W505" s="619"/>
      <c r="X505" s="619"/>
      <c r="Y505" s="619"/>
      <c r="Z505" s="619"/>
      <c r="AA505" s="619"/>
      <c r="AB505" s="619"/>
      <c r="AC505" s="619"/>
      <c r="AD505" s="619"/>
      <c r="AE505" s="619"/>
      <c r="AF505" s="619"/>
      <c r="AG505" s="619"/>
      <c r="AH505" s="619"/>
      <c r="AI505" s="619"/>
      <c r="AJ505" s="619"/>
      <c r="AK505" s="619"/>
    </row>
    <row r="506" spans="1:37" ht="14.25" customHeight="1">
      <c r="A506" s="619"/>
      <c r="B506" s="619"/>
      <c r="C506" s="4"/>
      <c r="D506" s="619"/>
      <c r="E506" s="619"/>
      <c r="F506" s="619"/>
      <c r="G506" s="619"/>
      <c r="H506" s="619"/>
      <c r="I506" s="619"/>
      <c r="J506" s="619"/>
      <c r="K506" s="619"/>
      <c r="L506" s="619"/>
      <c r="M506" s="619"/>
      <c r="N506" s="619"/>
      <c r="O506" s="619"/>
      <c r="P506" s="619"/>
      <c r="Q506" s="619"/>
      <c r="R506" s="619"/>
      <c r="S506" s="619"/>
      <c r="T506" s="619"/>
      <c r="U506" s="619"/>
      <c r="V506" s="619"/>
      <c r="W506" s="619"/>
      <c r="X506" s="619"/>
      <c r="Y506" s="619"/>
      <c r="Z506" s="619"/>
      <c r="AA506" s="619"/>
      <c r="AB506" s="619"/>
      <c r="AC506" s="619"/>
      <c r="AD506" s="619"/>
      <c r="AE506" s="619"/>
      <c r="AF506" s="619"/>
      <c r="AG506" s="619"/>
      <c r="AH506" s="619"/>
      <c r="AI506" s="619"/>
      <c r="AJ506" s="619"/>
      <c r="AK506" s="619"/>
    </row>
    <row r="507" spans="1:37" ht="14.25" customHeight="1">
      <c r="A507" s="619"/>
      <c r="B507" s="619"/>
      <c r="C507" s="4"/>
      <c r="D507" s="619"/>
      <c r="E507" s="619"/>
      <c r="F507" s="619"/>
      <c r="G507" s="619"/>
      <c r="H507" s="619"/>
      <c r="I507" s="619"/>
      <c r="J507" s="619"/>
      <c r="K507" s="619"/>
      <c r="L507" s="619"/>
      <c r="M507" s="619"/>
      <c r="N507" s="619"/>
      <c r="O507" s="619"/>
      <c r="P507" s="619"/>
      <c r="Q507" s="619"/>
      <c r="R507" s="619"/>
      <c r="S507" s="619"/>
      <c r="T507" s="619"/>
      <c r="U507" s="619"/>
      <c r="V507" s="619"/>
      <c r="W507" s="619"/>
      <c r="X507" s="619"/>
      <c r="Y507" s="619"/>
      <c r="Z507" s="619"/>
      <c r="AA507" s="619"/>
      <c r="AB507" s="619"/>
      <c r="AC507" s="619"/>
      <c r="AD507" s="619"/>
      <c r="AE507" s="619"/>
      <c r="AF507" s="619"/>
      <c r="AG507" s="619"/>
      <c r="AH507" s="619"/>
      <c r="AI507" s="619"/>
      <c r="AJ507" s="619"/>
      <c r="AK507" s="619"/>
    </row>
    <row r="508" spans="1:37" ht="14.25" customHeight="1">
      <c r="A508" s="619"/>
      <c r="B508" s="619"/>
      <c r="C508" s="4"/>
      <c r="D508" s="619"/>
      <c r="E508" s="619"/>
      <c r="F508" s="619"/>
      <c r="G508" s="619"/>
      <c r="H508" s="619"/>
      <c r="I508" s="619"/>
      <c r="J508" s="619"/>
      <c r="K508" s="619"/>
      <c r="L508" s="619"/>
      <c r="M508" s="619"/>
      <c r="N508" s="619"/>
      <c r="O508" s="619"/>
      <c r="P508" s="619"/>
      <c r="Q508" s="619"/>
      <c r="R508" s="619"/>
      <c r="S508" s="619"/>
      <c r="T508" s="619"/>
      <c r="U508" s="619"/>
      <c r="V508" s="619"/>
      <c r="W508" s="619"/>
      <c r="X508" s="619"/>
      <c r="Y508" s="619"/>
      <c r="Z508" s="619"/>
      <c r="AA508" s="619"/>
      <c r="AB508" s="619"/>
      <c r="AC508" s="619"/>
      <c r="AD508" s="619"/>
      <c r="AE508" s="619"/>
      <c r="AF508" s="619"/>
      <c r="AG508" s="619"/>
      <c r="AH508" s="619"/>
      <c r="AI508" s="619"/>
      <c r="AJ508" s="619"/>
      <c r="AK508" s="619"/>
    </row>
    <row r="509" spans="1:37" ht="14.25" customHeight="1">
      <c r="A509" s="619"/>
      <c r="B509" s="619"/>
      <c r="C509" s="4"/>
      <c r="D509" s="619"/>
      <c r="E509" s="619"/>
      <c r="F509" s="619"/>
      <c r="G509" s="619"/>
      <c r="H509" s="619"/>
      <c r="I509" s="619"/>
      <c r="J509" s="619"/>
      <c r="K509" s="619"/>
      <c r="L509" s="619"/>
      <c r="M509" s="619"/>
      <c r="N509" s="619"/>
      <c r="O509" s="619"/>
      <c r="P509" s="619"/>
      <c r="Q509" s="619"/>
      <c r="R509" s="619"/>
      <c r="S509" s="619"/>
      <c r="T509" s="619"/>
      <c r="U509" s="619"/>
      <c r="V509" s="619"/>
      <c r="W509" s="619"/>
      <c r="X509" s="619"/>
      <c r="Y509" s="619"/>
      <c r="Z509" s="619"/>
      <c r="AA509" s="619"/>
      <c r="AB509" s="619"/>
      <c r="AC509" s="619"/>
      <c r="AD509" s="619"/>
      <c r="AE509" s="619"/>
      <c r="AF509" s="619"/>
      <c r="AG509" s="619"/>
      <c r="AH509" s="619"/>
      <c r="AI509" s="619"/>
      <c r="AJ509" s="619"/>
      <c r="AK509" s="619"/>
    </row>
    <row r="510" spans="1:37" ht="14.25" customHeight="1">
      <c r="A510" s="619"/>
      <c r="B510" s="619"/>
      <c r="C510" s="4"/>
      <c r="D510" s="619"/>
      <c r="E510" s="619"/>
      <c r="F510" s="619"/>
      <c r="G510" s="619"/>
      <c r="H510" s="619"/>
      <c r="I510" s="619"/>
      <c r="J510" s="619"/>
      <c r="K510" s="619"/>
      <c r="L510" s="619"/>
      <c r="M510" s="619"/>
      <c r="N510" s="619"/>
      <c r="O510" s="619"/>
      <c r="P510" s="619"/>
      <c r="Q510" s="619"/>
      <c r="R510" s="619"/>
      <c r="S510" s="619"/>
      <c r="T510" s="619"/>
      <c r="U510" s="619"/>
      <c r="V510" s="619"/>
      <c r="W510" s="619"/>
      <c r="X510" s="619"/>
      <c r="Y510" s="619"/>
      <c r="Z510" s="619"/>
      <c r="AA510" s="619"/>
      <c r="AB510" s="619"/>
      <c r="AC510" s="619"/>
      <c r="AD510" s="619"/>
      <c r="AE510" s="619"/>
      <c r="AF510" s="619"/>
      <c r="AG510" s="619"/>
      <c r="AH510" s="619"/>
      <c r="AI510" s="619"/>
      <c r="AJ510" s="619"/>
      <c r="AK510" s="619"/>
    </row>
    <row r="511" spans="1:37" ht="14.25" customHeight="1">
      <c r="A511" s="619"/>
      <c r="B511" s="619"/>
      <c r="C511" s="4"/>
      <c r="D511" s="619"/>
      <c r="E511" s="619"/>
      <c r="F511" s="619"/>
      <c r="G511" s="619"/>
      <c r="H511" s="619"/>
      <c r="I511" s="619"/>
      <c r="J511" s="619"/>
      <c r="K511" s="619"/>
      <c r="L511" s="619"/>
      <c r="M511" s="619"/>
      <c r="N511" s="619"/>
      <c r="O511" s="619"/>
      <c r="P511" s="619"/>
      <c r="Q511" s="619"/>
      <c r="R511" s="619"/>
      <c r="S511" s="619"/>
      <c r="T511" s="619"/>
      <c r="U511" s="619"/>
      <c r="V511" s="619"/>
      <c r="W511" s="619"/>
      <c r="X511" s="619"/>
      <c r="Y511" s="619"/>
      <c r="Z511" s="619"/>
      <c r="AA511" s="619"/>
      <c r="AB511" s="619"/>
      <c r="AC511" s="619"/>
      <c r="AD511" s="619"/>
      <c r="AE511" s="619"/>
      <c r="AF511" s="619"/>
      <c r="AG511" s="619"/>
      <c r="AH511" s="619"/>
      <c r="AI511" s="619"/>
      <c r="AJ511" s="619"/>
      <c r="AK511" s="619"/>
    </row>
    <row r="512" spans="1:37" ht="14.25" customHeight="1">
      <c r="A512" s="619"/>
      <c r="B512" s="619"/>
      <c r="C512" s="4"/>
      <c r="D512" s="619"/>
      <c r="E512" s="619"/>
      <c r="F512" s="619"/>
      <c r="G512" s="619"/>
      <c r="H512" s="619"/>
      <c r="I512" s="619"/>
      <c r="J512" s="619"/>
      <c r="K512" s="619"/>
      <c r="L512" s="619"/>
      <c r="M512" s="619"/>
      <c r="N512" s="619"/>
      <c r="O512" s="619"/>
      <c r="P512" s="619"/>
      <c r="Q512" s="619"/>
      <c r="R512" s="619"/>
      <c r="S512" s="619"/>
      <c r="T512" s="619"/>
      <c r="U512" s="619"/>
      <c r="V512" s="619"/>
      <c r="W512" s="619"/>
      <c r="X512" s="619"/>
      <c r="Y512" s="619"/>
      <c r="Z512" s="619"/>
      <c r="AA512" s="619"/>
      <c r="AB512" s="619"/>
      <c r="AC512" s="619"/>
      <c r="AD512" s="619"/>
      <c r="AE512" s="619"/>
      <c r="AF512" s="619"/>
      <c r="AG512" s="619"/>
      <c r="AH512" s="619"/>
      <c r="AI512" s="619"/>
      <c r="AJ512" s="619"/>
      <c r="AK512" s="619"/>
    </row>
    <row r="513" spans="1:37" ht="14.25" customHeight="1">
      <c r="A513" s="619"/>
      <c r="B513" s="619"/>
      <c r="C513" s="4"/>
      <c r="D513" s="619"/>
      <c r="E513" s="619"/>
      <c r="F513" s="619"/>
      <c r="G513" s="619"/>
      <c r="H513" s="619"/>
      <c r="I513" s="619"/>
      <c r="J513" s="619"/>
      <c r="K513" s="619"/>
      <c r="L513" s="619"/>
      <c r="M513" s="619"/>
      <c r="N513" s="619"/>
      <c r="O513" s="619"/>
      <c r="P513" s="619"/>
      <c r="Q513" s="619"/>
      <c r="R513" s="619"/>
      <c r="S513" s="619"/>
      <c r="T513" s="619"/>
      <c r="U513" s="619"/>
      <c r="V513" s="619"/>
      <c r="W513" s="619"/>
      <c r="X513" s="619"/>
      <c r="Y513" s="619"/>
      <c r="Z513" s="619"/>
      <c r="AA513" s="619"/>
      <c r="AB513" s="619"/>
      <c r="AC513" s="619"/>
      <c r="AD513" s="619"/>
      <c r="AE513" s="619"/>
      <c r="AF513" s="619"/>
      <c r="AG513" s="619"/>
      <c r="AH513" s="619"/>
      <c r="AI513" s="619"/>
      <c r="AJ513" s="619"/>
      <c r="AK513" s="619"/>
    </row>
    <row r="514" spans="1:37" ht="14.25" customHeight="1">
      <c r="A514" s="619"/>
      <c r="B514" s="619"/>
      <c r="C514" s="4"/>
      <c r="D514" s="619"/>
      <c r="E514" s="619"/>
      <c r="F514" s="619"/>
      <c r="G514" s="619"/>
      <c r="H514" s="619"/>
      <c r="I514" s="619"/>
      <c r="J514" s="619"/>
      <c r="K514" s="619"/>
      <c r="L514" s="619"/>
      <c r="M514" s="619"/>
      <c r="N514" s="619"/>
      <c r="O514" s="619"/>
      <c r="P514" s="619"/>
      <c r="Q514" s="619"/>
      <c r="R514" s="619"/>
      <c r="S514" s="619"/>
      <c r="T514" s="619"/>
      <c r="U514" s="619"/>
      <c r="V514" s="619"/>
      <c r="W514" s="619"/>
      <c r="X514" s="619"/>
      <c r="Y514" s="619"/>
      <c r="Z514" s="619"/>
      <c r="AA514" s="619"/>
      <c r="AB514" s="619"/>
      <c r="AC514" s="619"/>
      <c r="AD514" s="619"/>
      <c r="AE514" s="619"/>
      <c r="AF514" s="619"/>
      <c r="AG514" s="619"/>
      <c r="AH514" s="619"/>
      <c r="AI514" s="619"/>
      <c r="AJ514" s="619"/>
      <c r="AK514" s="619"/>
    </row>
    <row r="515" spans="1:37" ht="14.25" customHeight="1">
      <c r="A515" s="619"/>
      <c r="B515" s="619"/>
      <c r="C515" s="4"/>
      <c r="D515" s="619"/>
      <c r="E515" s="619"/>
      <c r="F515" s="619"/>
      <c r="G515" s="619"/>
      <c r="H515" s="619"/>
      <c r="I515" s="619"/>
      <c r="J515" s="619"/>
      <c r="K515" s="619"/>
      <c r="L515" s="619"/>
      <c r="M515" s="619"/>
      <c r="N515" s="619"/>
      <c r="O515" s="619"/>
      <c r="P515" s="619"/>
      <c r="Q515" s="619"/>
      <c r="R515" s="619"/>
      <c r="S515" s="619"/>
      <c r="T515" s="619"/>
      <c r="U515" s="619"/>
      <c r="V515" s="619"/>
      <c r="W515" s="619"/>
      <c r="X515" s="619"/>
      <c r="Y515" s="619"/>
      <c r="Z515" s="619"/>
      <c r="AA515" s="619"/>
      <c r="AB515" s="619"/>
      <c r="AC515" s="619"/>
      <c r="AD515" s="619"/>
      <c r="AE515" s="619"/>
      <c r="AF515" s="619"/>
      <c r="AG515" s="619"/>
      <c r="AH515" s="619"/>
      <c r="AI515" s="619"/>
      <c r="AJ515" s="619"/>
      <c r="AK515" s="619"/>
    </row>
    <row r="516" spans="1:37" ht="14.25" customHeight="1">
      <c r="A516" s="619"/>
      <c r="B516" s="619"/>
      <c r="C516" s="4"/>
      <c r="D516" s="619"/>
      <c r="E516" s="619"/>
      <c r="F516" s="619"/>
      <c r="G516" s="619"/>
      <c r="H516" s="619"/>
      <c r="I516" s="619"/>
      <c r="J516" s="619"/>
      <c r="K516" s="619"/>
      <c r="L516" s="619"/>
      <c r="M516" s="619"/>
      <c r="N516" s="619"/>
      <c r="O516" s="619"/>
      <c r="P516" s="619"/>
      <c r="Q516" s="619"/>
      <c r="R516" s="619"/>
      <c r="S516" s="619"/>
      <c r="T516" s="619"/>
      <c r="U516" s="619"/>
      <c r="V516" s="619"/>
      <c r="W516" s="619"/>
      <c r="X516" s="619"/>
      <c r="Y516" s="619"/>
      <c r="Z516" s="619"/>
      <c r="AA516" s="619"/>
      <c r="AB516" s="619"/>
      <c r="AC516" s="619"/>
      <c r="AD516" s="619"/>
      <c r="AE516" s="619"/>
      <c r="AF516" s="619"/>
      <c r="AG516" s="619"/>
      <c r="AH516" s="619"/>
      <c r="AI516" s="619"/>
      <c r="AJ516" s="619"/>
      <c r="AK516" s="619"/>
    </row>
    <row r="517" spans="1:37" ht="14.25" customHeight="1">
      <c r="A517" s="619"/>
      <c r="B517" s="619"/>
      <c r="C517" s="4"/>
      <c r="D517" s="619"/>
      <c r="E517" s="619"/>
      <c r="F517" s="619"/>
      <c r="G517" s="619"/>
      <c r="H517" s="619"/>
      <c r="I517" s="619"/>
      <c r="J517" s="619"/>
      <c r="K517" s="619"/>
      <c r="L517" s="619"/>
      <c r="M517" s="619"/>
      <c r="N517" s="619"/>
      <c r="O517" s="619"/>
      <c r="P517" s="619"/>
      <c r="Q517" s="619"/>
      <c r="R517" s="619"/>
      <c r="S517" s="619"/>
      <c r="T517" s="619"/>
      <c r="U517" s="619"/>
      <c r="V517" s="619"/>
      <c r="W517" s="619"/>
      <c r="X517" s="619"/>
      <c r="Y517" s="619"/>
      <c r="Z517" s="619"/>
      <c r="AA517" s="619"/>
      <c r="AB517" s="619"/>
      <c r="AC517" s="619"/>
      <c r="AD517" s="619"/>
      <c r="AE517" s="619"/>
      <c r="AF517" s="619"/>
      <c r="AG517" s="619"/>
      <c r="AH517" s="619"/>
      <c r="AI517" s="619"/>
      <c r="AJ517" s="619"/>
      <c r="AK517" s="619"/>
    </row>
    <row r="518" spans="1:37" ht="14.25" customHeight="1">
      <c r="A518" s="619"/>
      <c r="B518" s="619"/>
      <c r="C518" s="4"/>
      <c r="D518" s="619"/>
      <c r="E518" s="619"/>
      <c r="F518" s="619"/>
      <c r="G518" s="619"/>
      <c r="H518" s="619"/>
      <c r="I518" s="619"/>
      <c r="J518" s="619"/>
      <c r="K518" s="619"/>
      <c r="L518" s="619"/>
      <c r="M518" s="619"/>
      <c r="N518" s="619"/>
      <c r="O518" s="619"/>
      <c r="P518" s="619"/>
      <c r="Q518" s="619"/>
      <c r="R518" s="619"/>
      <c r="S518" s="619"/>
      <c r="T518" s="619"/>
      <c r="U518" s="619"/>
      <c r="V518" s="619"/>
      <c r="W518" s="619"/>
      <c r="X518" s="619"/>
      <c r="Y518" s="619"/>
      <c r="Z518" s="619"/>
      <c r="AA518" s="619"/>
      <c r="AB518" s="619"/>
      <c r="AC518" s="619"/>
      <c r="AD518" s="619"/>
      <c r="AE518" s="619"/>
      <c r="AF518" s="619"/>
      <c r="AG518" s="619"/>
      <c r="AH518" s="619"/>
      <c r="AI518" s="619"/>
      <c r="AJ518" s="619"/>
      <c r="AK518" s="619"/>
    </row>
    <row r="519" spans="1:37" ht="14.25" customHeight="1">
      <c r="A519" s="619"/>
      <c r="B519" s="619"/>
      <c r="C519" s="4"/>
      <c r="D519" s="619"/>
      <c r="E519" s="619"/>
      <c r="F519" s="619"/>
      <c r="G519" s="619"/>
      <c r="H519" s="619"/>
      <c r="I519" s="619"/>
      <c r="J519" s="619"/>
      <c r="K519" s="619"/>
      <c r="L519" s="619"/>
      <c r="M519" s="619"/>
      <c r="N519" s="619"/>
      <c r="O519" s="619"/>
      <c r="P519" s="619"/>
      <c r="Q519" s="619"/>
      <c r="R519" s="619"/>
      <c r="S519" s="619"/>
      <c r="T519" s="619"/>
      <c r="U519" s="619"/>
      <c r="V519" s="619"/>
      <c r="W519" s="619"/>
      <c r="X519" s="619"/>
      <c r="Y519" s="619"/>
      <c r="Z519" s="619"/>
      <c r="AA519" s="619"/>
      <c r="AB519" s="619"/>
      <c r="AC519" s="619"/>
      <c r="AD519" s="619"/>
      <c r="AE519" s="619"/>
      <c r="AF519" s="619"/>
      <c r="AG519" s="619"/>
      <c r="AH519" s="619"/>
      <c r="AI519" s="619"/>
      <c r="AJ519" s="619"/>
      <c r="AK519" s="619"/>
    </row>
    <row r="520" spans="1:37" ht="14.25" customHeight="1">
      <c r="A520" s="619"/>
      <c r="B520" s="619"/>
      <c r="C520" s="4"/>
      <c r="D520" s="619"/>
      <c r="E520" s="619"/>
      <c r="F520" s="619"/>
      <c r="G520" s="619"/>
      <c r="H520" s="619"/>
      <c r="I520" s="619"/>
      <c r="J520" s="619"/>
      <c r="K520" s="619"/>
      <c r="L520" s="619"/>
      <c r="M520" s="619"/>
      <c r="N520" s="619"/>
      <c r="O520" s="619"/>
      <c r="P520" s="619"/>
      <c r="Q520" s="619"/>
      <c r="R520" s="619"/>
      <c r="S520" s="619"/>
      <c r="T520" s="619"/>
      <c r="U520" s="619"/>
      <c r="V520" s="619"/>
      <c r="W520" s="619"/>
      <c r="X520" s="619"/>
      <c r="Y520" s="619"/>
      <c r="Z520" s="619"/>
      <c r="AA520" s="619"/>
      <c r="AB520" s="619"/>
      <c r="AC520" s="619"/>
      <c r="AD520" s="619"/>
      <c r="AE520" s="619"/>
      <c r="AF520" s="619"/>
      <c r="AG520" s="619"/>
      <c r="AH520" s="619"/>
      <c r="AI520" s="619"/>
      <c r="AJ520" s="619"/>
      <c r="AK520" s="619"/>
    </row>
    <row r="521" spans="1:37" ht="14.25" customHeight="1">
      <c r="A521" s="619"/>
      <c r="B521" s="619"/>
      <c r="C521" s="4"/>
      <c r="D521" s="619"/>
      <c r="E521" s="619"/>
      <c r="F521" s="619"/>
      <c r="G521" s="619"/>
      <c r="H521" s="619"/>
      <c r="I521" s="619"/>
      <c r="J521" s="619"/>
      <c r="K521" s="619"/>
      <c r="L521" s="619"/>
      <c r="M521" s="619"/>
      <c r="N521" s="619"/>
      <c r="O521" s="619"/>
      <c r="P521" s="619"/>
      <c r="Q521" s="619"/>
      <c r="R521" s="619"/>
      <c r="S521" s="619"/>
      <c r="T521" s="619"/>
      <c r="U521" s="619"/>
      <c r="V521" s="619"/>
      <c r="W521" s="619"/>
      <c r="X521" s="619"/>
      <c r="Y521" s="619"/>
      <c r="Z521" s="619"/>
      <c r="AA521" s="619"/>
      <c r="AB521" s="619"/>
      <c r="AC521" s="619"/>
      <c r="AD521" s="619"/>
      <c r="AE521" s="619"/>
      <c r="AF521" s="619"/>
      <c r="AG521" s="619"/>
      <c r="AH521" s="619"/>
      <c r="AI521" s="619"/>
      <c r="AJ521" s="619"/>
      <c r="AK521" s="619"/>
    </row>
    <row r="522" spans="1:37" ht="14.25" customHeight="1">
      <c r="A522" s="619"/>
      <c r="B522" s="619"/>
      <c r="C522" s="4"/>
      <c r="D522" s="619"/>
      <c r="E522" s="619"/>
      <c r="F522" s="619"/>
      <c r="G522" s="619"/>
      <c r="H522" s="619"/>
      <c r="I522" s="619"/>
      <c r="J522" s="619"/>
      <c r="K522" s="619"/>
      <c r="L522" s="619"/>
      <c r="M522" s="619"/>
      <c r="N522" s="619"/>
      <c r="O522" s="619"/>
      <c r="P522" s="619"/>
      <c r="Q522" s="619"/>
      <c r="R522" s="619"/>
      <c r="S522" s="619"/>
      <c r="T522" s="619"/>
      <c r="U522" s="619"/>
      <c r="V522" s="619"/>
      <c r="W522" s="619"/>
      <c r="X522" s="619"/>
      <c r="Y522" s="619"/>
      <c r="Z522" s="619"/>
      <c r="AA522" s="619"/>
      <c r="AB522" s="619"/>
      <c r="AC522" s="619"/>
      <c r="AD522" s="619"/>
      <c r="AE522" s="619"/>
      <c r="AF522" s="619"/>
      <c r="AG522" s="619"/>
      <c r="AH522" s="619"/>
      <c r="AI522" s="619"/>
      <c r="AJ522" s="619"/>
      <c r="AK522" s="619"/>
    </row>
    <row r="523" spans="1:37" ht="14.25" customHeight="1">
      <c r="A523" s="619"/>
      <c r="B523" s="619"/>
      <c r="C523" s="4"/>
      <c r="D523" s="619"/>
      <c r="E523" s="619"/>
      <c r="F523" s="619"/>
      <c r="G523" s="619"/>
      <c r="H523" s="619"/>
      <c r="I523" s="619"/>
      <c r="J523" s="619"/>
      <c r="K523" s="619"/>
      <c r="L523" s="619"/>
      <c r="M523" s="619"/>
      <c r="N523" s="619"/>
      <c r="O523" s="619"/>
      <c r="P523" s="619"/>
      <c r="Q523" s="619"/>
      <c r="R523" s="619"/>
      <c r="S523" s="619"/>
      <c r="T523" s="619"/>
      <c r="U523" s="619"/>
      <c r="V523" s="619"/>
      <c r="W523" s="619"/>
      <c r="X523" s="619"/>
      <c r="Y523" s="619"/>
      <c r="Z523" s="619"/>
      <c r="AA523" s="619"/>
      <c r="AB523" s="619"/>
      <c r="AC523" s="619"/>
      <c r="AD523" s="619"/>
      <c r="AE523" s="619"/>
      <c r="AF523" s="619"/>
      <c r="AG523" s="619"/>
      <c r="AH523" s="619"/>
      <c r="AI523" s="619"/>
      <c r="AJ523" s="619"/>
      <c r="AK523" s="619"/>
    </row>
    <row r="524" spans="1:37" ht="14.25" customHeight="1">
      <c r="A524" s="619"/>
      <c r="B524" s="619"/>
      <c r="C524" s="4"/>
      <c r="D524" s="619"/>
      <c r="E524" s="619"/>
      <c r="F524" s="619"/>
      <c r="G524" s="619"/>
      <c r="H524" s="619"/>
      <c r="I524" s="619"/>
      <c r="J524" s="619"/>
      <c r="K524" s="619"/>
      <c r="L524" s="619"/>
      <c r="M524" s="619"/>
      <c r="N524" s="619"/>
      <c r="O524" s="619"/>
      <c r="P524" s="619"/>
      <c r="Q524" s="619"/>
      <c r="R524" s="619"/>
      <c r="S524" s="619"/>
      <c r="T524" s="619"/>
      <c r="U524" s="619"/>
      <c r="V524" s="619"/>
      <c r="W524" s="619"/>
      <c r="X524" s="619"/>
      <c r="Y524" s="619"/>
      <c r="Z524" s="619"/>
      <c r="AA524" s="619"/>
      <c r="AB524" s="619"/>
      <c r="AC524" s="619"/>
      <c r="AD524" s="619"/>
      <c r="AE524" s="619"/>
      <c r="AF524" s="619"/>
      <c r="AG524" s="619"/>
      <c r="AH524" s="619"/>
      <c r="AI524" s="619"/>
      <c r="AJ524" s="619"/>
      <c r="AK524" s="619"/>
    </row>
    <row r="525" spans="1:37" ht="14.25" customHeight="1">
      <c r="A525" s="619"/>
      <c r="B525" s="619"/>
      <c r="C525" s="4"/>
      <c r="D525" s="619"/>
      <c r="E525" s="619"/>
      <c r="F525" s="619"/>
      <c r="G525" s="619"/>
      <c r="H525" s="619"/>
      <c r="I525" s="619"/>
      <c r="J525" s="619"/>
      <c r="K525" s="619"/>
      <c r="L525" s="619"/>
      <c r="M525" s="619"/>
      <c r="N525" s="619"/>
      <c r="O525" s="619"/>
      <c r="P525" s="619"/>
      <c r="Q525" s="619"/>
      <c r="R525" s="619"/>
      <c r="S525" s="619"/>
      <c r="T525" s="619"/>
      <c r="U525" s="619"/>
      <c r="V525" s="619"/>
      <c r="W525" s="619"/>
      <c r="X525" s="619"/>
      <c r="Y525" s="619"/>
      <c r="Z525" s="619"/>
      <c r="AA525" s="619"/>
      <c r="AB525" s="619"/>
      <c r="AC525" s="619"/>
      <c r="AD525" s="619"/>
      <c r="AE525" s="619"/>
      <c r="AF525" s="619"/>
      <c r="AG525" s="619"/>
      <c r="AH525" s="619"/>
      <c r="AI525" s="619"/>
      <c r="AJ525" s="619"/>
      <c r="AK525" s="619"/>
    </row>
    <row r="526" spans="1:37" ht="14.25" customHeight="1">
      <c r="A526" s="619"/>
      <c r="B526" s="619"/>
      <c r="C526" s="4"/>
      <c r="D526" s="619"/>
      <c r="E526" s="619"/>
      <c r="F526" s="619"/>
      <c r="G526" s="619"/>
      <c r="H526" s="619"/>
      <c r="I526" s="619"/>
      <c r="J526" s="619"/>
      <c r="K526" s="619"/>
      <c r="L526" s="619"/>
      <c r="M526" s="619"/>
      <c r="N526" s="619"/>
      <c r="O526" s="619"/>
      <c r="P526" s="619"/>
      <c r="Q526" s="619"/>
      <c r="R526" s="619"/>
      <c r="S526" s="619"/>
      <c r="T526" s="619"/>
      <c r="U526" s="619"/>
      <c r="V526" s="619"/>
      <c r="W526" s="619"/>
      <c r="X526" s="619"/>
      <c r="Y526" s="619"/>
      <c r="Z526" s="619"/>
      <c r="AA526" s="619"/>
      <c r="AB526" s="619"/>
      <c r="AC526" s="619"/>
      <c r="AD526" s="619"/>
      <c r="AE526" s="619"/>
      <c r="AF526" s="619"/>
      <c r="AG526" s="619"/>
      <c r="AH526" s="619"/>
      <c r="AI526" s="619"/>
      <c r="AJ526" s="619"/>
      <c r="AK526" s="619"/>
    </row>
    <row r="527" spans="1:37" ht="14.25" customHeight="1">
      <c r="A527" s="619"/>
      <c r="B527" s="619"/>
      <c r="C527" s="4"/>
      <c r="D527" s="619"/>
      <c r="E527" s="619"/>
      <c r="F527" s="619"/>
      <c r="G527" s="619"/>
      <c r="H527" s="619"/>
      <c r="I527" s="619"/>
      <c r="J527" s="619"/>
      <c r="K527" s="619"/>
      <c r="L527" s="619"/>
      <c r="M527" s="619"/>
      <c r="N527" s="619"/>
      <c r="O527" s="619"/>
      <c r="P527" s="619"/>
      <c r="Q527" s="619"/>
      <c r="R527" s="619"/>
      <c r="S527" s="619"/>
      <c r="T527" s="619"/>
      <c r="U527" s="619"/>
      <c r="V527" s="619"/>
      <c r="W527" s="619"/>
      <c r="X527" s="619"/>
      <c r="Y527" s="619"/>
      <c r="Z527" s="619"/>
      <c r="AA527" s="619"/>
      <c r="AB527" s="619"/>
      <c r="AC527" s="619"/>
      <c r="AD527" s="619"/>
      <c r="AE527" s="619"/>
      <c r="AF527" s="619"/>
      <c r="AG527" s="619"/>
      <c r="AH527" s="619"/>
      <c r="AI527" s="619"/>
      <c r="AJ527" s="619"/>
      <c r="AK527" s="619"/>
    </row>
    <row r="528" spans="1:37" ht="14.25" customHeight="1">
      <c r="A528" s="619"/>
      <c r="B528" s="619"/>
      <c r="C528" s="4"/>
      <c r="D528" s="619"/>
      <c r="E528" s="619"/>
      <c r="F528" s="619"/>
      <c r="G528" s="619"/>
      <c r="H528" s="619"/>
      <c r="I528" s="619"/>
      <c r="J528" s="619"/>
      <c r="K528" s="619"/>
      <c r="L528" s="619"/>
      <c r="M528" s="619"/>
      <c r="N528" s="619"/>
      <c r="O528" s="619"/>
      <c r="P528" s="619"/>
      <c r="Q528" s="619"/>
      <c r="R528" s="619"/>
      <c r="S528" s="619"/>
      <c r="T528" s="619"/>
      <c r="U528" s="619"/>
      <c r="V528" s="619"/>
      <c r="W528" s="619"/>
      <c r="X528" s="619"/>
      <c r="Y528" s="619"/>
      <c r="Z528" s="619"/>
      <c r="AA528" s="619"/>
      <c r="AB528" s="619"/>
      <c r="AC528" s="619"/>
      <c r="AD528" s="619"/>
      <c r="AE528" s="619"/>
      <c r="AF528" s="619"/>
      <c r="AG528" s="619"/>
      <c r="AH528" s="619"/>
      <c r="AI528" s="619"/>
      <c r="AJ528" s="619"/>
      <c r="AK528" s="619"/>
    </row>
    <row r="529" spans="1:37" ht="14.25" customHeight="1">
      <c r="A529" s="619"/>
      <c r="B529" s="619"/>
      <c r="C529" s="4"/>
      <c r="D529" s="619"/>
      <c r="E529" s="619"/>
      <c r="F529" s="619"/>
      <c r="G529" s="619"/>
      <c r="H529" s="619"/>
      <c r="I529" s="619"/>
      <c r="J529" s="619"/>
      <c r="K529" s="619"/>
      <c r="L529" s="619"/>
      <c r="M529" s="619"/>
      <c r="N529" s="619"/>
      <c r="O529" s="619"/>
      <c r="P529" s="619"/>
      <c r="Q529" s="619"/>
      <c r="R529" s="619"/>
      <c r="S529" s="619"/>
      <c r="T529" s="619"/>
      <c r="U529" s="619"/>
      <c r="V529" s="619"/>
      <c r="W529" s="619"/>
      <c r="X529" s="619"/>
      <c r="Y529" s="619"/>
      <c r="Z529" s="619"/>
      <c r="AA529" s="619"/>
      <c r="AB529" s="619"/>
      <c r="AC529" s="619"/>
      <c r="AD529" s="619"/>
      <c r="AE529" s="619"/>
      <c r="AF529" s="619"/>
      <c r="AG529" s="619"/>
      <c r="AH529" s="619"/>
      <c r="AI529" s="619"/>
      <c r="AJ529" s="619"/>
      <c r="AK529" s="619"/>
    </row>
    <row r="530" spans="1:37" ht="14.25" customHeight="1">
      <c r="A530" s="619"/>
      <c r="B530" s="619"/>
      <c r="C530" s="4"/>
      <c r="D530" s="619"/>
      <c r="E530" s="619"/>
      <c r="F530" s="619"/>
      <c r="G530" s="619"/>
      <c r="H530" s="619"/>
      <c r="I530" s="619"/>
      <c r="J530" s="619"/>
      <c r="K530" s="619"/>
      <c r="L530" s="619"/>
      <c r="M530" s="619"/>
      <c r="N530" s="619"/>
      <c r="O530" s="619"/>
      <c r="P530" s="619"/>
      <c r="Q530" s="619"/>
      <c r="R530" s="619"/>
      <c r="S530" s="619"/>
      <c r="T530" s="619"/>
      <c r="U530" s="619"/>
      <c r="V530" s="619"/>
      <c r="W530" s="619"/>
      <c r="X530" s="619"/>
      <c r="Y530" s="619"/>
      <c r="Z530" s="619"/>
      <c r="AA530" s="619"/>
      <c r="AB530" s="619"/>
      <c r="AC530" s="619"/>
      <c r="AD530" s="619"/>
      <c r="AE530" s="619"/>
      <c r="AF530" s="619"/>
      <c r="AG530" s="619"/>
      <c r="AH530" s="619"/>
      <c r="AI530" s="619"/>
      <c r="AJ530" s="619"/>
      <c r="AK530" s="619"/>
    </row>
    <row r="531" spans="1:37" ht="14.25" customHeight="1">
      <c r="A531" s="619"/>
      <c r="B531" s="619"/>
      <c r="C531" s="4"/>
      <c r="D531" s="619"/>
      <c r="E531" s="619"/>
      <c r="F531" s="619"/>
      <c r="G531" s="619"/>
      <c r="H531" s="619"/>
      <c r="I531" s="619"/>
      <c r="J531" s="619"/>
      <c r="K531" s="619"/>
      <c r="L531" s="619"/>
      <c r="M531" s="619"/>
      <c r="N531" s="619"/>
      <c r="O531" s="619"/>
      <c r="P531" s="619"/>
      <c r="Q531" s="619"/>
      <c r="R531" s="619"/>
      <c r="S531" s="619"/>
      <c r="T531" s="619"/>
      <c r="U531" s="619"/>
      <c r="V531" s="619"/>
      <c r="W531" s="619"/>
      <c r="X531" s="619"/>
      <c r="Y531" s="619"/>
      <c r="Z531" s="619"/>
      <c r="AA531" s="619"/>
      <c r="AB531" s="619"/>
      <c r="AC531" s="619"/>
      <c r="AD531" s="619"/>
      <c r="AE531" s="619"/>
      <c r="AF531" s="619"/>
      <c r="AG531" s="619"/>
      <c r="AH531" s="619"/>
      <c r="AI531" s="619"/>
      <c r="AJ531" s="619"/>
      <c r="AK531" s="619"/>
    </row>
    <row r="532" spans="1:37" ht="14.25" customHeight="1">
      <c r="A532" s="619"/>
      <c r="B532" s="619"/>
      <c r="C532" s="4"/>
      <c r="D532" s="619"/>
      <c r="E532" s="619"/>
      <c r="F532" s="619"/>
      <c r="G532" s="619"/>
      <c r="H532" s="619"/>
      <c r="I532" s="619"/>
      <c r="J532" s="619"/>
      <c r="K532" s="619"/>
      <c r="L532" s="619"/>
      <c r="M532" s="619"/>
      <c r="N532" s="619"/>
      <c r="O532" s="619"/>
      <c r="P532" s="619"/>
      <c r="Q532" s="619"/>
      <c r="R532" s="619"/>
      <c r="S532" s="619"/>
      <c r="T532" s="619"/>
      <c r="U532" s="619"/>
      <c r="V532" s="619"/>
      <c r="W532" s="619"/>
      <c r="X532" s="619"/>
      <c r="Y532" s="619"/>
      <c r="Z532" s="619"/>
      <c r="AA532" s="619"/>
      <c r="AB532" s="619"/>
      <c r="AC532" s="619"/>
      <c r="AD532" s="619"/>
      <c r="AE532" s="619"/>
      <c r="AF532" s="619"/>
      <c r="AG532" s="619"/>
      <c r="AH532" s="619"/>
      <c r="AI532" s="619"/>
      <c r="AJ532" s="619"/>
      <c r="AK532" s="619"/>
    </row>
    <row r="533" spans="1:37" ht="14.25" customHeight="1">
      <c r="A533" s="619"/>
      <c r="B533" s="619"/>
      <c r="C533" s="4"/>
      <c r="D533" s="619"/>
      <c r="E533" s="619"/>
      <c r="F533" s="619"/>
      <c r="G533" s="619"/>
      <c r="H533" s="619"/>
      <c r="I533" s="619"/>
      <c r="J533" s="619"/>
      <c r="K533" s="619"/>
      <c r="L533" s="619"/>
      <c r="M533" s="619"/>
      <c r="N533" s="619"/>
      <c r="O533" s="619"/>
      <c r="P533" s="619"/>
      <c r="Q533" s="619"/>
      <c r="R533" s="619"/>
      <c r="S533" s="619"/>
      <c r="T533" s="619"/>
      <c r="U533" s="619"/>
      <c r="V533" s="619"/>
      <c r="W533" s="619"/>
      <c r="X533" s="619"/>
      <c r="Y533" s="619"/>
      <c r="Z533" s="619"/>
      <c r="AA533" s="619"/>
      <c r="AB533" s="619"/>
      <c r="AC533" s="619"/>
      <c r="AD533" s="619"/>
      <c r="AE533" s="619"/>
      <c r="AF533" s="619"/>
      <c r="AG533" s="619"/>
      <c r="AH533" s="619"/>
      <c r="AI533" s="619"/>
      <c r="AJ533" s="619"/>
      <c r="AK533" s="619"/>
    </row>
    <row r="534" spans="1:37" ht="14.25" customHeight="1">
      <c r="A534" s="619"/>
      <c r="B534" s="619"/>
      <c r="C534" s="4"/>
      <c r="D534" s="619"/>
      <c r="E534" s="619"/>
      <c r="F534" s="619"/>
      <c r="G534" s="619"/>
      <c r="H534" s="619"/>
      <c r="I534" s="619"/>
      <c r="J534" s="619"/>
      <c r="K534" s="619"/>
      <c r="L534" s="619"/>
      <c r="M534" s="619"/>
      <c r="N534" s="619"/>
      <c r="O534" s="619"/>
      <c r="P534" s="619"/>
      <c r="Q534" s="619"/>
      <c r="R534" s="619"/>
      <c r="S534" s="619"/>
      <c r="T534" s="619"/>
      <c r="U534" s="619"/>
      <c r="V534" s="619"/>
      <c r="W534" s="619"/>
      <c r="X534" s="619"/>
      <c r="Y534" s="619"/>
      <c r="Z534" s="619"/>
      <c r="AA534" s="619"/>
      <c r="AB534" s="619"/>
      <c r="AC534" s="619"/>
      <c r="AD534" s="619"/>
      <c r="AE534" s="619"/>
      <c r="AF534" s="619"/>
      <c r="AG534" s="619"/>
      <c r="AH534" s="619"/>
      <c r="AI534" s="619"/>
      <c r="AJ534" s="619"/>
      <c r="AK534" s="619"/>
    </row>
    <row r="535" spans="1:37" ht="14.25" customHeight="1">
      <c r="A535" s="619"/>
      <c r="B535" s="619"/>
      <c r="C535" s="4"/>
      <c r="D535" s="619"/>
      <c r="E535" s="619"/>
      <c r="F535" s="619"/>
      <c r="G535" s="619"/>
      <c r="H535" s="619"/>
      <c r="I535" s="619"/>
      <c r="J535" s="619"/>
      <c r="K535" s="619"/>
      <c r="L535" s="619"/>
      <c r="M535" s="619"/>
      <c r="N535" s="619"/>
      <c r="O535" s="619"/>
      <c r="P535" s="619"/>
      <c r="Q535" s="619"/>
      <c r="R535" s="619"/>
      <c r="S535" s="619"/>
      <c r="T535" s="619"/>
      <c r="U535" s="619"/>
      <c r="V535" s="619"/>
      <c r="W535" s="619"/>
      <c r="X535" s="619"/>
      <c r="Y535" s="619"/>
      <c r="Z535" s="619"/>
      <c r="AA535" s="619"/>
      <c r="AB535" s="619"/>
      <c r="AC535" s="619"/>
      <c r="AD535" s="619"/>
      <c r="AE535" s="619"/>
      <c r="AF535" s="619"/>
      <c r="AG535" s="619"/>
      <c r="AH535" s="619"/>
      <c r="AI535" s="619"/>
      <c r="AJ535" s="619"/>
      <c r="AK535" s="619"/>
    </row>
    <row r="536" spans="1:37" ht="14.25" customHeight="1">
      <c r="A536" s="619"/>
      <c r="B536" s="619"/>
      <c r="C536" s="4"/>
      <c r="D536" s="619"/>
      <c r="E536" s="619"/>
      <c r="F536" s="619"/>
      <c r="G536" s="619"/>
      <c r="H536" s="619"/>
      <c r="I536" s="619"/>
      <c r="J536" s="619"/>
      <c r="K536" s="619"/>
      <c r="L536" s="619"/>
      <c r="M536" s="619"/>
      <c r="N536" s="619"/>
      <c r="O536" s="619"/>
      <c r="P536" s="619"/>
      <c r="Q536" s="619"/>
      <c r="R536" s="619"/>
      <c r="S536" s="619"/>
      <c r="T536" s="619"/>
      <c r="U536" s="619"/>
      <c r="V536" s="619"/>
      <c r="W536" s="619"/>
      <c r="X536" s="619"/>
      <c r="Y536" s="619"/>
      <c r="Z536" s="619"/>
      <c r="AA536" s="619"/>
      <c r="AB536" s="619"/>
      <c r="AC536" s="619"/>
      <c r="AD536" s="619"/>
      <c r="AE536" s="619"/>
      <c r="AF536" s="619"/>
      <c r="AG536" s="619"/>
      <c r="AH536" s="619"/>
      <c r="AI536" s="619"/>
      <c r="AJ536" s="619"/>
      <c r="AK536" s="619"/>
    </row>
    <row r="537" spans="1:37" ht="14.25" customHeight="1">
      <c r="A537" s="619"/>
      <c r="B537" s="619"/>
      <c r="C537" s="4"/>
      <c r="D537" s="619"/>
      <c r="E537" s="619"/>
      <c r="F537" s="619"/>
      <c r="G537" s="619"/>
      <c r="H537" s="619"/>
      <c r="I537" s="619"/>
      <c r="J537" s="619"/>
      <c r="K537" s="619"/>
      <c r="L537" s="619"/>
      <c r="M537" s="619"/>
      <c r="N537" s="619"/>
      <c r="O537" s="619"/>
      <c r="P537" s="619"/>
      <c r="Q537" s="619"/>
      <c r="R537" s="619"/>
      <c r="S537" s="619"/>
      <c r="T537" s="619"/>
      <c r="U537" s="619"/>
      <c r="V537" s="619"/>
      <c r="W537" s="619"/>
      <c r="X537" s="619"/>
      <c r="Y537" s="619"/>
      <c r="Z537" s="619"/>
      <c r="AA537" s="619"/>
      <c r="AB537" s="619"/>
      <c r="AC537" s="619"/>
      <c r="AD537" s="619"/>
      <c r="AE537" s="619"/>
      <c r="AF537" s="619"/>
      <c r="AG537" s="619"/>
      <c r="AH537" s="619"/>
      <c r="AI537" s="619"/>
      <c r="AJ537" s="619"/>
      <c r="AK537" s="619"/>
    </row>
    <row r="538" spans="1:37" ht="14.25" customHeight="1">
      <c r="A538" s="619"/>
      <c r="B538" s="619"/>
      <c r="C538" s="4"/>
      <c r="D538" s="619"/>
      <c r="E538" s="619"/>
      <c r="F538" s="619"/>
      <c r="G538" s="619"/>
      <c r="H538" s="619"/>
      <c r="I538" s="619"/>
      <c r="J538" s="619"/>
      <c r="K538" s="619"/>
      <c r="L538" s="619"/>
      <c r="M538" s="619"/>
      <c r="N538" s="619"/>
      <c r="O538" s="619"/>
      <c r="P538" s="619"/>
      <c r="Q538" s="619"/>
      <c r="R538" s="619"/>
      <c r="S538" s="619"/>
      <c r="T538" s="619"/>
      <c r="U538" s="619"/>
      <c r="V538" s="619"/>
      <c r="W538" s="619"/>
      <c r="X538" s="619"/>
      <c r="Y538" s="619"/>
      <c r="Z538" s="619"/>
      <c r="AA538" s="619"/>
      <c r="AB538" s="619"/>
      <c r="AC538" s="619"/>
      <c r="AD538" s="619"/>
      <c r="AE538" s="619"/>
      <c r="AF538" s="619"/>
      <c r="AG538" s="619"/>
      <c r="AH538" s="619"/>
      <c r="AI538" s="619"/>
      <c r="AJ538" s="619"/>
      <c r="AK538" s="619"/>
    </row>
    <row r="539" spans="1:37" ht="14.25" customHeight="1">
      <c r="A539" s="619"/>
      <c r="B539" s="619"/>
      <c r="C539" s="4"/>
      <c r="D539" s="619"/>
      <c r="E539" s="619"/>
      <c r="F539" s="619"/>
      <c r="G539" s="619"/>
      <c r="H539" s="619"/>
      <c r="I539" s="619"/>
      <c r="J539" s="619"/>
      <c r="K539" s="619"/>
      <c r="L539" s="619"/>
      <c r="M539" s="619"/>
      <c r="N539" s="619"/>
      <c r="O539" s="619"/>
      <c r="P539" s="619"/>
      <c r="Q539" s="619"/>
      <c r="R539" s="619"/>
      <c r="S539" s="619"/>
      <c r="T539" s="619"/>
      <c r="U539" s="619"/>
      <c r="V539" s="619"/>
      <c r="W539" s="619"/>
      <c r="X539" s="619"/>
      <c r="Y539" s="619"/>
      <c r="Z539" s="619"/>
      <c r="AA539" s="619"/>
      <c r="AB539" s="619"/>
      <c r="AC539" s="619"/>
      <c r="AD539" s="619"/>
      <c r="AE539" s="619"/>
      <c r="AF539" s="619"/>
      <c r="AG539" s="619"/>
      <c r="AH539" s="619"/>
      <c r="AI539" s="619"/>
      <c r="AJ539" s="619"/>
      <c r="AK539" s="619"/>
    </row>
    <row r="540" spans="1:37" ht="14.25" customHeight="1">
      <c r="A540" s="619"/>
      <c r="B540" s="619"/>
      <c r="C540" s="4"/>
      <c r="D540" s="619"/>
      <c r="E540" s="619"/>
      <c r="F540" s="619"/>
      <c r="G540" s="619"/>
      <c r="H540" s="619"/>
      <c r="I540" s="619"/>
      <c r="J540" s="619"/>
      <c r="K540" s="619"/>
      <c r="L540" s="619"/>
      <c r="M540" s="619"/>
      <c r="N540" s="619"/>
      <c r="O540" s="619"/>
      <c r="P540" s="619"/>
      <c r="Q540" s="619"/>
      <c r="R540" s="619"/>
      <c r="S540" s="619"/>
      <c r="T540" s="619"/>
      <c r="U540" s="619"/>
      <c r="V540" s="619"/>
      <c r="W540" s="619"/>
      <c r="X540" s="619"/>
      <c r="Y540" s="619"/>
      <c r="Z540" s="619"/>
      <c r="AA540" s="619"/>
      <c r="AB540" s="619"/>
      <c r="AC540" s="619"/>
      <c r="AD540" s="619"/>
      <c r="AE540" s="619"/>
      <c r="AF540" s="619"/>
      <c r="AG540" s="619"/>
      <c r="AH540" s="619"/>
      <c r="AI540" s="619"/>
      <c r="AJ540" s="619"/>
      <c r="AK540" s="619"/>
    </row>
    <row r="541" spans="1:37" ht="14.25" customHeight="1">
      <c r="A541" s="619"/>
      <c r="B541" s="619"/>
      <c r="C541" s="4"/>
      <c r="D541" s="619"/>
      <c r="E541" s="619"/>
      <c r="F541" s="619"/>
      <c r="G541" s="619"/>
      <c r="H541" s="619"/>
      <c r="I541" s="619"/>
      <c r="J541" s="619"/>
      <c r="K541" s="619"/>
      <c r="L541" s="619"/>
      <c r="M541" s="619"/>
      <c r="N541" s="619"/>
      <c r="O541" s="619"/>
      <c r="P541" s="619"/>
      <c r="Q541" s="619"/>
      <c r="R541" s="619"/>
      <c r="S541" s="619"/>
      <c r="T541" s="619"/>
      <c r="U541" s="619"/>
      <c r="V541" s="619"/>
      <c r="W541" s="619"/>
      <c r="X541" s="619"/>
      <c r="Y541" s="619"/>
      <c r="Z541" s="619"/>
      <c r="AA541" s="619"/>
      <c r="AB541" s="619"/>
      <c r="AC541" s="619"/>
      <c r="AD541" s="619"/>
      <c r="AE541" s="619"/>
      <c r="AF541" s="619"/>
      <c r="AG541" s="619"/>
      <c r="AH541" s="619"/>
      <c r="AI541" s="619"/>
      <c r="AJ541" s="619"/>
      <c r="AK541" s="619"/>
    </row>
    <row r="542" spans="1:37" ht="14.25" customHeight="1">
      <c r="A542" s="619"/>
      <c r="B542" s="619"/>
      <c r="C542" s="4"/>
      <c r="D542" s="619"/>
      <c r="E542" s="619"/>
      <c r="F542" s="619"/>
      <c r="G542" s="619"/>
      <c r="H542" s="619"/>
      <c r="I542" s="619"/>
      <c r="J542" s="619"/>
      <c r="K542" s="619"/>
      <c r="L542" s="619"/>
      <c r="M542" s="619"/>
      <c r="N542" s="619"/>
      <c r="O542" s="619"/>
      <c r="P542" s="619"/>
      <c r="Q542" s="619"/>
      <c r="R542" s="619"/>
      <c r="S542" s="619"/>
      <c r="T542" s="619"/>
      <c r="U542" s="619"/>
      <c r="V542" s="619"/>
      <c r="W542" s="619"/>
      <c r="X542" s="619"/>
      <c r="Y542" s="619"/>
      <c r="Z542" s="619"/>
      <c r="AA542" s="619"/>
      <c r="AB542" s="619"/>
      <c r="AC542" s="619"/>
      <c r="AD542" s="619"/>
      <c r="AE542" s="619"/>
      <c r="AF542" s="619"/>
      <c r="AG542" s="619"/>
      <c r="AH542" s="619"/>
      <c r="AI542" s="619"/>
      <c r="AJ542" s="619"/>
      <c r="AK542" s="619"/>
    </row>
    <row r="543" spans="1:37" ht="14.25" customHeight="1">
      <c r="A543" s="619"/>
      <c r="B543" s="619"/>
      <c r="C543" s="4"/>
      <c r="D543" s="619"/>
      <c r="E543" s="619"/>
      <c r="F543" s="619"/>
      <c r="G543" s="619"/>
      <c r="H543" s="619"/>
      <c r="I543" s="619"/>
      <c r="J543" s="619"/>
      <c r="K543" s="619"/>
      <c r="L543" s="619"/>
      <c r="M543" s="619"/>
      <c r="N543" s="619"/>
      <c r="O543" s="619"/>
      <c r="P543" s="619"/>
      <c r="Q543" s="619"/>
      <c r="R543" s="619"/>
      <c r="S543" s="619"/>
      <c r="T543" s="619"/>
      <c r="U543" s="619"/>
      <c r="V543" s="619"/>
      <c r="W543" s="619"/>
      <c r="X543" s="619"/>
      <c r="Y543" s="619"/>
      <c r="Z543" s="619"/>
      <c r="AA543" s="619"/>
      <c r="AB543" s="619"/>
      <c r="AC543" s="619"/>
      <c r="AD543" s="619"/>
      <c r="AE543" s="619"/>
      <c r="AF543" s="619"/>
      <c r="AG543" s="619"/>
      <c r="AH543" s="619"/>
      <c r="AI543" s="619"/>
      <c r="AJ543" s="619"/>
      <c r="AK543" s="619"/>
    </row>
    <row r="544" spans="1:37" ht="14.25" customHeight="1">
      <c r="A544" s="619"/>
      <c r="B544" s="619"/>
      <c r="C544" s="4"/>
      <c r="D544" s="619"/>
      <c r="E544" s="619"/>
      <c r="F544" s="619"/>
      <c r="G544" s="619"/>
      <c r="H544" s="619"/>
      <c r="I544" s="619"/>
      <c r="J544" s="619"/>
      <c r="K544" s="619"/>
      <c r="L544" s="619"/>
      <c r="M544" s="619"/>
      <c r="N544" s="619"/>
      <c r="O544" s="619"/>
      <c r="P544" s="619"/>
      <c r="Q544" s="619"/>
      <c r="R544" s="619"/>
      <c r="S544" s="619"/>
      <c r="T544" s="619"/>
      <c r="U544" s="619"/>
      <c r="V544" s="619"/>
      <c r="W544" s="619"/>
      <c r="X544" s="619"/>
      <c r="Y544" s="619"/>
      <c r="Z544" s="619"/>
      <c r="AA544" s="619"/>
      <c r="AB544" s="619"/>
      <c r="AC544" s="619"/>
      <c r="AD544" s="619"/>
      <c r="AE544" s="619"/>
      <c r="AF544" s="619"/>
      <c r="AG544" s="619"/>
      <c r="AH544" s="619"/>
      <c r="AI544" s="619"/>
      <c r="AJ544" s="619"/>
      <c r="AK544" s="619"/>
    </row>
    <row r="545" spans="1:37" ht="14.25" customHeight="1">
      <c r="A545" s="619"/>
      <c r="B545" s="619"/>
      <c r="C545" s="4"/>
      <c r="D545" s="619"/>
      <c r="E545" s="619"/>
      <c r="F545" s="619"/>
      <c r="G545" s="619"/>
      <c r="H545" s="619"/>
      <c r="I545" s="619"/>
      <c r="J545" s="619"/>
      <c r="K545" s="619"/>
      <c r="L545" s="619"/>
      <c r="M545" s="619"/>
      <c r="N545" s="619"/>
      <c r="O545" s="619"/>
      <c r="P545" s="619"/>
      <c r="Q545" s="619"/>
      <c r="R545" s="619"/>
      <c r="S545" s="619"/>
      <c r="T545" s="619"/>
      <c r="U545" s="619"/>
      <c r="V545" s="619"/>
      <c r="W545" s="619"/>
      <c r="X545" s="619"/>
      <c r="Y545" s="619"/>
      <c r="Z545" s="619"/>
      <c r="AA545" s="619"/>
      <c r="AB545" s="619"/>
      <c r="AC545" s="619"/>
      <c r="AD545" s="619"/>
      <c r="AE545" s="619"/>
      <c r="AF545" s="619"/>
      <c r="AG545" s="619"/>
      <c r="AH545" s="619"/>
      <c r="AI545" s="619"/>
      <c r="AJ545" s="619"/>
      <c r="AK545" s="619"/>
    </row>
    <row r="546" spans="1:37" ht="14.25" customHeight="1">
      <c r="A546" s="619"/>
      <c r="B546" s="619"/>
      <c r="C546" s="4"/>
      <c r="D546" s="619"/>
      <c r="E546" s="619"/>
      <c r="F546" s="619"/>
      <c r="G546" s="619"/>
      <c r="H546" s="619"/>
      <c r="I546" s="619"/>
      <c r="J546" s="619"/>
      <c r="K546" s="619"/>
      <c r="L546" s="619"/>
      <c r="M546" s="619"/>
      <c r="N546" s="619"/>
      <c r="O546" s="619"/>
      <c r="P546" s="619"/>
      <c r="Q546" s="619"/>
      <c r="R546" s="619"/>
      <c r="S546" s="619"/>
      <c r="T546" s="619"/>
      <c r="U546" s="619"/>
      <c r="V546" s="619"/>
      <c r="W546" s="619"/>
      <c r="X546" s="619"/>
      <c r="Y546" s="619"/>
      <c r="Z546" s="619"/>
      <c r="AA546" s="619"/>
      <c r="AB546" s="619"/>
      <c r="AC546" s="619"/>
      <c r="AD546" s="619"/>
      <c r="AE546" s="619"/>
      <c r="AF546" s="619"/>
      <c r="AG546" s="619"/>
      <c r="AH546" s="619"/>
      <c r="AI546" s="619"/>
      <c r="AJ546" s="619"/>
      <c r="AK546" s="619"/>
    </row>
    <row r="547" spans="1:37" ht="14.25" customHeight="1">
      <c r="A547" s="619"/>
      <c r="B547" s="619"/>
      <c r="C547" s="4"/>
      <c r="D547" s="619"/>
      <c r="E547" s="619"/>
      <c r="F547" s="619"/>
      <c r="G547" s="619"/>
      <c r="H547" s="619"/>
      <c r="I547" s="619"/>
      <c r="J547" s="619"/>
      <c r="K547" s="619"/>
      <c r="L547" s="619"/>
      <c r="M547" s="619"/>
      <c r="N547" s="619"/>
      <c r="O547" s="619"/>
      <c r="P547" s="619"/>
      <c r="Q547" s="619"/>
      <c r="R547" s="619"/>
      <c r="S547" s="619"/>
      <c r="T547" s="619"/>
      <c r="U547" s="619"/>
      <c r="V547" s="619"/>
      <c r="W547" s="619"/>
      <c r="X547" s="619"/>
      <c r="Y547" s="619"/>
      <c r="Z547" s="619"/>
      <c r="AA547" s="619"/>
      <c r="AB547" s="619"/>
      <c r="AC547" s="619"/>
      <c r="AD547" s="619"/>
      <c r="AE547" s="619"/>
      <c r="AF547" s="619"/>
      <c r="AG547" s="619"/>
      <c r="AH547" s="619"/>
      <c r="AI547" s="619"/>
      <c r="AJ547" s="619"/>
      <c r="AK547" s="619"/>
    </row>
    <row r="548" spans="1:37" ht="14.25" customHeight="1">
      <c r="A548" s="619"/>
      <c r="B548" s="619"/>
      <c r="C548" s="4"/>
      <c r="D548" s="619"/>
      <c r="E548" s="619"/>
      <c r="F548" s="619"/>
      <c r="G548" s="619"/>
      <c r="H548" s="619"/>
      <c r="I548" s="619"/>
      <c r="J548" s="619"/>
      <c r="K548" s="619"/>
      <c r="L548" s="619"/>
      <c r="M548" s="619"/>
      <c r="N548" s="619"/>
      <c r="O548" s="619"/>
      <c r="P548" s="619"/>
      <c r="Q548" s="619"/>
      <c r="R548" s="619"/>
      <c r="S548" s="619"/>
      <c r="T548" s="619"/>
      <c r="U548" s="619"/>
      <c r="V548" s="619"/>
      <c r="W548" s="619"/>
      <c r="X548" s="619"/>
      <c r="Y548" s="619"/>
      <c r="Z548" s="619"/>
      <c r="AA548" s="619"/>
      <c r="AB548" s="619"/>
      <c r="AC548" s="619"/>
      <c r="AD548" s="619"/>
      <c r="AE548" s="619"/>
      <c r="AF548" s="619"/>
      <c r="AG548" s="619"/>
      <c r="AH548" s="619"/>
      <c r="AI548" s="619"/>
      <c r="AJ548" s="619"/>
      <c r="AK548" s="619"/>
    </row>
    <row r="549" spans="1:37" ht="14.25" customHeight="1">
      <c r="A549" s="619"/>
      <c r="B549" s="619"/>
      <c r="C549" s="4"/>
      <c r="D549" s="619"/>
      <c r="E549" s="619"/>
      <c r="F549" s="619"/>
      <c r="G549" s="619"/>
      <c r="H549" s="619"/>
      <c r="I549" s="619"/>
      <c r="J549" s="619"/>
      <c r="K549" s="619"/>
      <c r="L549" s="619"/>
      <c r="M549" s="619"/>
      <c r="N549" s="619"/>
      <c r="O549" s="619"/>
      <c r="P549" s="619"/>
      <c r="Q549" s="619"/>
      <c r="R549" s="619"/>
      <c r="S549" s="619"/>
      <c r="T549" s="619"/>
      <c r="U549" s="619"/>
      <c r="V549" s="619"/>
      <c r="W549" s="619"/>
      <c r="X549" s="619"/>
      <c r="Y549" s="619"/>
      <c r="Z549" s="619"/>
      <c r="AA549" s="619"/>
      <c r="AB549" s="619"/>
      <c r="AC549" s="619"/>
      <c r="AD549" s="619"/>
      <c r="AE549" s="619"/>
      <c r="AF549" s="619"/>
      <c r="AG549" s="619"/>
      <c r="AH549" s="619"/>
      <c r="AI549" s="619"/>
      <c r="AJ549" s="619"/>
      <c r="AK549" s="619"/>
    </row>
    <row r="550" spans="1:37" ht="14.25" customHeight="1">
      <c r="A550" s="619"/>
      <c r="B550" s="619"/>
      <c r="C550" s="4"/>
      <c r="D550" s="619"/>
      <c r="E550" s="619"/>
      <c r="F550" s="619"/>
      <c r="G550" s="619"/>
      <c r="H550" s="619"/>
      <c r="I550" s="619"/>
      <c r="J550" s="619"/>
      <c r="K550" s="619"/>
      <c r="L550" s="619"/>
      <c r="M550" s="619"/>
      <c r="N550" s="619"/>
      <c r="O550" s="619"/>
      <c r="P550" s="619"/>
      <c r="Q550" s="619"/>
      <c r="R550" s="619"/>
      <c r="S550" s="619"/>
      <c r="T550" s="619"/>
      <c r="U550" s="619"/>
      <c r="V550" s="619"/>
      <c r="W550" s="619"/>
      <c r="X550" s="619"/>
      <c r="Y550" s="619"/>
      <c r="Z550" s="619"/>
      <c r="AA550" s="619"/>
      <c r="AB550" s="619"/>
      <c r="AC550" s="619"/>
      <c r="AD550" s="619"/>
      <c r="AE550" s="619"/>
      <c r="AF550" s="619"/>
      <c r="AG550" s="619"/>
      <c r="AH550" s="619"/>
      <c r="AI550" s="619"/>
      <c r="AJ550" s="619"/>
      <c r="AK550" s="619"/>
    </row>
    <row r="551" spans="1:37" ht="14.25" customHeight="1">
      <c r="A551" s="619"/>
      <c r="B551" s="619"/>
      <c r="C551" s="4"/>
      <c r="D551" s="619"/>
      <c r="E551" s="619"/>
      <c r="F551" s="619"/>
      <c r="G551" s="619"/>
      <c r="H551" s="619"/>
      <c r="I551" s="619"/>
      <c r="J551" s="619"/>
      <c r="K551" s="619"/>
      <c r="L551" s="619"/>
      <c r="M551" s="619"/>
      <c r="N551" s="619"/>
      <c r="O551" s="619"/>
      <c r="P551" s="619"/>
      <c r="Q551" s="619"/>
      <c r="R551" s="619"/>
      <c r="S551" s="619"/>
      <c r="T551" s="619"/>
      <c r="U551" s="619"/>
      <c r="V551" s="619"/>
      <c r="W551" s="619"/>
      <c r="X551" s="619"/>
      <c r="Y551" s="619"/>
      <c r="Z551" s="619"/>
      <c r="AA551" s="619"/>
      <c r="AB551" s="619"/>
      <c r="AC551" s="619"/>
      <c r="AD551" s="619"/>
      <c r="AE551" s="619"/>
      <c r="AF551" s="619"/>
      <c r="AG551" s="619"/>
      <c r="AH551" s="619"/>
      <c r="AI551" s="619"/>
      <c r="AJ551" s="619"/>
      <c r="AK551" s="619"/>
    </row>
    <row r="552" spans="1:37" ht="14.25" customHeight="1">
      <c r="A552" s="619"/>
      <c r="B552" s="619"/>
      <c r="C552" s="4"/>
      <c r="D552" s="619"/>
      <c r="E552" s="619"/>
      <c r="F552" s="619"/>
      <c r="G552" s="619"/>
      <c r="H552" s="619"/>
      <c r="I552" s="619"/>
      <c r="J552" s="619"/>
      <c r="K552" s="619"/>
      <c r="L552" s="619"/>
      <c r="M552" s="619"/>
      <c r="N552" s="619"/>
      <c r="O552" s="619"/>
      <c r="P552" s="619"/>
      <c r="Q552" s="619"/>
      <c r="R552" s="619"/>
      <c r="S552" s="619"/>
      <c r="T552" s="619"/>
      <c r="U552" s="619"/>
      <c r="V552" s="619"/>
      <c r="W552" s="619"/>
      <c r="X552" s="619"/>
      <c r="Y552" s="619"/>
      <c r="Z552" s="619"/>
      <c r="AA552" s="619"/>
      <c r="AB552" s="619"/>
      <c r="AC552" s="619"/>
      <c r="AD552" s="619"/>
      <c r="AE552" s="619"/>
      <c r="AF552" s="619"/>
      <c r="AG552" s="619"/>
      <c r="AH552" s="619"/>
      <c r="AI552" s="619"/>
      <c r="AJ552" s="619"/>
      <c r="AK552" s="619"/>
    </row>
    <row r="553" spans="1:37" ht="14.25" customHeight="1">
      <c r="A553" s="619"/>
      <c r="B553" s="619"/>
      <c r="C553" s="4"/>
      <c r="D553" s="619"/>
      <c r="E553" s="619"/>
      <c r="F553" s="619"/>
      <c r="G553" s="619"/>
      <c r="H553" s="619"/>
      <c r="I553" s="619"/>
      <c r="J553" s="619"/>
      <c r="K553" s="619"/>
      <c r="L553" s="619"/>
      <c r="M553" s="619"/>
      <c r="N553" s="619"/>
      <c r="O553" s="619"/>
      <c r="P553" s="619"/>
      <c r="Q553" s="619"/>
      <c r="R553" s="619"/>
      <c r="S553" s="619"/>
      <c r="T553" s="619"/>
      <c r="U553" s="619"/>
      <c r="V553" s="619"/>
      <c r="W553" s="619"/>
      <c r="X553" s="619"/>
      <c r="Y553" s="619"/>
      <c r="Z553" s="619"/>
      <c r="AA553" s="619"/>
      <c r="AB553" s="619"/>
      <c r="AC553" s="619"/>
      <c r="AD553" s="619"/>
      <c r="AE553" s="619"/>
      <c r="AF553" s="619"/>
      <c r="AG553" s="619"/>
      <c r="AH553" s="619"/>
      <c r="AI553" s="619"/>
      <c r="AJ553" s="619"/>
      <c r="AK553" s="619"/>
    </row>
    <row r="554" spans="1:37" ht="14.25" customHeight="1">
      <c r="A554" s="619"/>
      <c r="B554" s="619"/>
      <c r="C554" s="4"/>
      <c r="D554" s="619"/>
      <c r="E554" s="619"/>
      <c r="F554" s="619"/>
      <c r="G554" s="619"/>
      <c r="H554" s="619"/>
      <c r="I554" s="619"/>
      <c r="J554" s="619"/>
      <c r="K554" s="619"/>
      <c r="L554" s="619"/>
      <c r="M554" s="619"/>
      <c r="N554" s="619"/>
      <c r="O554" s="619"/>
      <c r="P554" s="619"/>
      <c r="Q554" s="619"/>
      <c r="R554" s="619"/>
      <c r="S554" s="619"/>
      <c r="T554" s="619"/>
      <c r="U554" s="619"/>
      <c r="V554" s="619"/>
      <c r="W554" s="619"/>
      <c r="X554" s="619"/>
      <c r="Y554" s="619"/>
      <c r="Z554" s="619"/>
      <c r="AA554" s="619"/>
      <c r="AB554" s="619"/>
      <c r="AC554" s="619"/>
      <c r="AD554" s="619"/>
      <c r="AE554" s="619"/>
      <c r="AF554" s="619"/>
      <c r="AG554" s="619"/>
      <c r="AH554" s="619"/>
      <c r="AI554" s="619"/>
      <c r="AJ554" s="619"/>
      <c r="AK554" s="619"/>
    </row>
    <row r="555" spans="1:37" ht="14.25" customHeight="1">
      <c r="A555" s="619"/>
      <c r="B555" s="619"/>
      <c r="C555" s="4"/>
      <c r="D555" s="619"/>
      <c r="E555" s="619"/>
      <c r="F555" s="619"/>
      <c r="G555" s="619"/>
      <c r="H555" s="619"/>
      <c r="I555" s="619"/>
      <c r="J555" s="619"/>
      <c r="K555" s="619"/>
      <c r="L555" s="619"/>
      <c r="M555" s="619"/>
      <c r="N555" s="619"/>
      <c r="O555" s="619"/>
      <c r="P555" s="619"/>
      <c r="Q555" s="619"/>
      <c r="R555" s="619"/>
      <c r="S555" s="619"/>
      <c r="T555" s="619"/>
      <c r="U555" s="619"/>
      <c r="V555" s="619"/>
      <c r="W555" s="619"/>
      <c r="X555" s="619"/>
      <c r="Y555" s="619"/>
      <c r="Z555" s="619"/>
      <c r="AA555" s="619"/>
      <c r="AB555" s="619"/>
      <c r="AC555" s="619"/>
      <c r="AD555" s="619"/>
      <c r="AE555" s="619"/>
      <c r="AF555" s="619"/>
      <c r="AG555" s="619"/>
      <c r="AH555" s="619"/>
      <c r="AI555" s="619"/>
      <c r="AJ555" s="619"/>
      <c r="AK555" s="619"/>
    </row>
    <row r="556" spans="1:37" ht="14.25" customHeight="1">
      <c r="A556" s="619"/>
      <c r="B556" s="619"/>
      <c r="C556" s="4"/>
      <c r="D556" s="619"/>
      <c r="E556" s="619"/>
      <c r="F556" s="619"/>
      <c r="G556" s="619"/>
      <c r="H556" s="619"/>
      <c r="I556" s="619"/>
      <c r="J556" s="619"/>
      <c r="K556" s="619"/>
      <c r="L556" s="619"/>
      <c r="M556" s="619"/>
      <c r="N556" s="619"/>
      <c r="O556" s="619"/>
      <c r="P556" s="619"/>
      <c r="Q556" s="619"/>
      <c r="R556" s="619"/>
      <c r="S556" s="619"/>
      <c r="T556" s="619"/>
      <c r="U556" s="619"/>
      <c r="V556" s="619"/>
      <c r="W556" s="619"/>
      <c r="X556" s="619"/>
      <c r="Y556" s="619"/>
      <c r="Z556" s="619"/>
      <c r="AA556" s="619"/>
      <c r="AB556" s="619"/>
      <c r="AC556" s="619"/>
      <c r="AD556" s="619"/>
      <c r="AE556" s="619"/>
      <c r="AF556" s="619"/>
      <c r="AG556" s="619"/>
      <c r="AH556" s="619"/>
      <c r="AI556" s="619"/>
      <c r="AJ556" s="619"/>
      <c r="AK556" s="619"/>
    </row>
    <row r="557" spans="1:37" ht="14.25" customHeight="1">
      <c r="A557" s="619"/>
      <c r="B557" s="619"/>
      <c r="C557" s="4"/>
      <c r="D557" s="619"/>
      <c r="E557" s="619"/>
      <c r="F557" s="619"/>
      <c r="G557" s="619"/>
      <c r="H557" s="619"/>
      <c r="I557" s="619"/>
      <c r="J557" s="619"/>
      <c r="K557" s="619"/>
      <c r="L557" s="619"/>
      <c r="M557" s="619"/>
      <c r="N557" s="619"/>
      <c r="O557" s="619"/>
      <c r="P557" s="619"/>
      <c r="Q557" s="619"/>
      <c r="R557" s="619"/>
      <c r="S557" s="619"/>
      <c r="T557" s="619"/>
      <c r="U557" s="619"/>
      <c r="V557" s="619"/>
      <c r="W557" s="619"/>
      <c r="X557" s="619"/>
      <c r="Y557" s="619"/>
      <c r="Z557" s="619"/>
      <c r="AA557" s="619"/>
      <c r="AB557" s="619"/>
      <c r="AC557" s="619"/>
      <c r="AD557" s="619"/>
      <c r="AE557" s="619"/>
      <c r="AF557" s="619"/>
      <c r="AG557" s="619"/>
      <c r="AH557" s="619"/>
      <c r="AI557" s="619"/>
      <c r="AJ557" s="619"/>
      <c r="AK557" s="619"/>
    </row>
    <row r="558" spans="1:37" ht="14.25" customHeight="1">
      <c r="A558" s="619"/>
      <c r="B558" s="619"/>
      <c r="C558" s="4"/>
      <c r="D558" s="619"/>
      <c r="E558" s="619"/>
      <c r="F558" s="619"/>
      <c r="G558" s="619"/>
      <c r="H558" s="619"/>
      <c r="I558" s="619"/>
      <c r="J558" s="619"/>
      <c r="K558" s="619"/>
      <c r="L558" s="619"/>
      <c r="M558" s="619"/>
      <c r="N558" s="619"/>
      <c r="O558" s="619"/>
      <c r="P558" s="619"/>
      <c r="Q558" s="619"/>
      <c r="R558" s="619"/>
      <c r="S558" s="619"/>
      <c r="T558" s="619"/>
      <c r="U558" s="619"/>
      <c r="V558" s="619"/>
      <c r="W558" s="619"/>
      <c r="X558" s="619"/>
      <c r="Y558" s="619"/>
      <c r="Z558" s="619"/>
      <c r="AA558" s="619"/>
      <c r="AB558" s="619"/>
      <c r="AC558" s="619"/>
      <c r="AD558" s="619"/>
      <c r="AE558" s="619"/>
      <c r="AF558" s="619"/>
      <c r="AG558" s="619"/>
      <c r="AH558" s="619"/>
      <c r="AI558" s="619"/>
      <c r="AJ558" s="619"/>
      <c r="AK558" s="619"/>
    </row>
    <row r="559" spans="1:37" ht="14.25" customHeight="1">
      <c r="A559" s="619"/>
      <c r="B559" s="619"/>
      <c r="C559" s="4"/>
      <c r="D559" s="619"/>
      <c r="E559" s="619"/>
      <c r="F559" s="619"/>
      <c r="G559" s="619"/>
      <c r="H559" s="619"/>
      <c r="I559" s="619"/>
      <c r="J559" s="619"/>
      <c r="K559" s="619"/>
      <c r="L559" s="619"/>
      <c r="M559" s="619"/>
      <c r="N559" s="619"/>
      <c r="O559" s="619"/>
      <c r="P559" s="619"/>
      <c r="Q559" s="619"/>
      <c r="R559" s="619"/>
      <c r="S559" s="619"/>
      <c r="T559" s="619"/>
      <c r="U559" s="619"/>
      <c r="V559" s="619"/>
      <c r="W559" s="619"/>
      <c r="X559" s="619"/>
      <c r="Y559" s="619"/>
      <c r="Z559" s="619"/>
      <c r="AA559" s="619"/>
      <c r="AB559" s="619"/>
      <c r="AC559" s="619"/>
      <c r="AD559" s="619"/>
      <c r="AE559" s="619"/>
      <c r="AF559" s="619"/>
      <c r="AG559" s="619"/>
      <c r="AH559" s="619"/>
      <c r="AI559" s="619"/>
      <c r="AJ559" s="619"/>
      <c r="AK559" s="619"/>
    </row>
    <row r="560" spans="1:37" ht="14.25" customHeight="1">
      <c r="A560" s="619"/>
      <c r="B560" s="619"/>
      <c r="C560" s="4"/>
      <c r="D560" s="619"/>
      <c r="E560" s="619"/>
      <c r="F560" s="619"/>
      <c r="G560" s="619"/>
      <c r="H560" s="619"/>
      <c r="I560" s="619"/>
      <c r="J560" s="619"/>
      <c r="K560" s="619"/>
      <c r="L560" s="619"/>
      <c r="M560" s="619"/>
      <c r="N560" s="619"/>
      <c r="O560" s="619"/>
      <c r="P560" s="619"/>
      <c r="Q560" s="619"/>
      <c r="R560" s="619"/>
      <c r="S560" s="619"/>
      <c r="T560" s="619"/>
      <c r="U560" s="619"/>
      <c r="V560" s="619"/>
      <c r="W560" s="619"/>
      <c r="X560" s="619"/>
      <c r="Y560" s="619"/>
      <c r="Z560" s="619"/>
      <c r="AA560" s="619"/>
      <c r="AB560" s="619"/>
      <c r="AC560" s="619"/>
      <c r="AD560" s="619"/>
      <c r="AE560" s="619"/>
      <c r="AF560" s="619"/>
      <c r="AG560" s="619"/>
      <c r="AH560" s="619"/>
      <c r="AI560" s="619"/>
      <c r="AJ560" s="619"/>
      <c r="AK560" s="619"/>
    </row>
    <row r="561" spans="1:37" ht="14.25" customHeight="1">
      <c r="A561" s="619"/>
      <c r="B561" s="619"/>
      <c r="C561" s="4"/>
      <c r="D561" s="619"/>
      <c r="E561" s="619"/>
      <c r="F561" s="619"/>
      <c r="G561" s="619"/>
      <c r="H561" s="619"/>
      <c r="I561" s="619"/>
      <c r="J561" s="619"/>
      <c r="K561" s="619"/>
      <c r="L561" s="619"/>
      <c r="M561" s="619"/>
      <c r="N561" s="619"/>
      <c r="O561" s="619"/>
      <c r="P561" s="619"/>
      <c r="Q561" s="619"/>
      <c r="R561" s="619"/>
      <c r="S561" s="619"/>
      <c r="T561" s="619"/>
      <c r="U561" s="619"/>
      <c r="V561" s="619"/>
      <c r="W561" s="619"/>
      <c r="X561" s="619"/>
      <c r="Y561" s="619"/>
      <c r="Z561" s="619"/>
      <c r="AA561" s="619"/>
      <c r="AB561" s="619"/>
      <c r="AC561" s="619"/>
      <c r="AD561" s="619"/>
      <c r="AE561" s="619"/>
      <c r="AF561" s="619"/>
      <c r="AG561" s="619"/>
      <c r="AH561" s="619"/>
      <c r="AI561" s="619"/>
      <c r="AJ561" s="619"/>
      <c r="AK561" s="619"/>
    </row>
    <row r="562" spans="1:37" ht="14.25" customHeight="1">
      <c r="A562" s="619"/>
      <c r="B562" s="619"/>
      <c r="C562" s="4"/>
      <c r="D562" s="619"/>
      <c r="E562" s="619"/>
      <c r="F562" s="619"/>
      <c r="G562" s="619"/>
      <c r="H562" s="619"/>
      <c r="I562" s="619"/>
      <c r="J562" s="619"/>
      <c r="K562" s="619"/>
      <c r="L562" s="619"/>
      <c r="M562" s="619"/>
      <c r="N562" s="619"/>
      <c r="O562" s="619"/>
      <c r="P562" s="619"/>
      <c r="Q562" s="619"/>
      <c r="R562" s="619"/>
      <c r="S562" s="619"/>
      <c r="T562" s="619"/>
      <c r="U562" s="619"/>
      <c r="V562" s="619"/>
      <c r="W562" s="619"/>
      <c r="X562" s="619"/>
      <c r="Y562" s="619"/>
      <c r="Z562" s="619"/>
      <c r="AA562" s="619"/>
      <c r="AB562" s="619"/>
      <c r="AC562" s="619"/>
      <c r="AD562" s="619"/>
      <c r="AE562" s="619"/>
      <c r="AF562" s="619"/>
      <c r="AG562" s="619"/>
      <c r="AH562" s="619"/>
      <c r="AI562" s="619"/>
      <c r="AJ562" s="619"/>
      <c r="AK562" s="619"/>
    </row>
    <row r="563" spans="1:37" ht="14.25" customHeight="1">
      <c r="A563" s="619"/>
      <c r="B563" s="619"/>
      <c r="C563" s="4"/>
      <c r="D563" s="619"/>
      <c r="E563" s="619"/>
      <c r="F563" s="619"/>
      <c r="G563" s="619"/>
      <c r="H563" s="619"/>
      <c r="I563" s="619"/>
      <c r="J563" s="619"/>
      <c r="K563" s="619"/>
      <c r="L563" s="619"/>
      <c r="M563" s="619"/>
      <c r="N563" s="619"/>
      <c r="O563" s="619"/>
      <c r="P563" s="619"/>
      <c r="Q563" s="619"/>
      <c r="R563" s="619"/>
      <c r="S563" s="619"/>
      <c r="T563" s="619"/>
      <c r="U563" s="619"/>
      <c r="V563" s="619"/>
      <c r="W563" s="619"/>
      <c r="X563" s="619"/>
      <c r="Y563" s="619"/>
      <c r="Z563" s="619"/>
      <c r="AA563" s="619"/>
      <c r="AB563" s="619"/>
      <c r="AC563" s="619"/>
      <c r="AD563" s="619"/>
      <c r="AE563" s="619"/>
      <c r="AF563" s="619"/>
      <c r="AG563" s="619"/>
      <c r="AH563" s="619"/>
      <c r="AI563" s="619"/>
      <c r="AJ563" s="619"/>
      <c r="AK563" s="619"/>
    </row>
    <row r="564" spans="1:37" ht="14.25" customHeight="1">
      <c r="A564" s="619"/>
      <c r="B564" s="619"/>
      <c r="C564" s="4"/>
      <c r="D564" s="619"/>
      <c r="E564" s="619"/>
      <c r="F564" s="619"/>
      <c r="G564" s="619"/>
      <c r="H564" s="619"/>
      <c r="I564" s="619"/>
      <c r="J564" s="619"/>
      <c r="K564" s="619"/>
      <c r="L564" s="619"/>
      <c r="M564" s="619"/>
      <c r="N564" s="619"/>
      <c r="O564" s="619"/>
      <c r="P564" s="619"/>
      <c r="Q564" s="619"/>
      <c r="R564" s="619"/>
      <c r="S564" s="619"/>
      <c r="T564" s="619"/>
      <c r="U564" s="619"/>
      <c r="V564" s="619"/>
      <c r="W564" s="619"/>
      <c r="X564" s="619"/>
      <c r="Y564" s="619"/>
      <c r="Z564" s="619"/>
      <c r="AA564" s="619"/>
      <c r="AB564" s="619"/>
      <c r="AC564" s="619"/>
      <c r="AD564" s="619"/>
      <c r="AE564" s="619"/>
      <c r="AF564" s="619"/>
      <c r="AG564" s="619"/>
      <c r="AH564" s="619"/>
      <c r="AI564" s="619"/>
      <c r="AJ564" s="619"/>
      <c r="AK564" s="619"/>
    </row>
    <row r="565" spans="1:37" ht="14.25" customHeight="1">
      <c r="A565" s="619"/>
      <c r="B565" s="619"/>
      <c r="C565" s="4"/>
      <c r="D565" s="619"/>
      <c r="E565" s="619"/>
      <c r="F565" s="619"/>
      <c r="G565" s="619"/>
      <c r="H565" s="619"/>
      <c r="I565" s="619"/>
      <c r="J565" s="619"/>
      <c r="K565" s="619"/>
      <c r="L565" s="619"/>
      <c r="M565" s="619"/>
      <c r="N565" s="619"/>
      <c r="O565" s="619"/>
      <c r="P565" s="619"/>
      <c r="Q565" s="619"/>
      <c r="R565" s="619"/>
      <c r="S565" s="619"/>
      <c r="T565" s="619"/>
      <c r="U565" s="619"/>
      <c r="V565" s="619"/>
      <c r="W565" s="619"/>
      <c r="X565" s="619"/>
      <c r="Y565" s="619"/>
      <c r="Z565" s="619"/>
      <c r="AA565" s="619"/>
      <c r="AB565" s="619"/>
      <c r="AC565" s="619"/>
      <c r="AD565" s="619"/>
      <c r="AE565" s="619"/>
      <c r="AF565" s="619"/>
      <c r="AG565" s="619"/>
      <c r="AH565" s="619"/>
      <c r="AI565" s="619"/>
      <c r="AJ565" s="619"/>
      <c r="AK565" s="619"/>
    </row>
    <row r="566" spans="1:37" ht="14.25" customHeight="1">
      <c r="A566" s="619"/>
      <c r="B566" s="619"/>
      <c r="C566" s="4"/>
      <c r="D566" s="619"/>
      <c r="E566" s="619"/>
      <c r="F566" s="619"/>
      <c r="G566" s="619"/>
      <c r="H566" s="619"/>
      <c r="I566" s="619"/>
      <c r="J566" s="619"/>
      <c r="K566" s="619"/>
      <c r="L566" s="619"/>
      <c r="M566" s="619"/>
      <c r="N566" s="619"/>
      <c r="O566" s="619"/>
      <c r="P566" s="619"/>
      <c r="Q566" s="619"/>
      <c r="R566" s="619"/>
      <c r="S566" s="619"/>
      <c r="T566" s="619"/>
      <c r="U566" s="619"/>
      <c r="V566" s="619"/>
      <c r="W566" s="619"/>
      <c r="X566" s="619"/>
      <c r="Y566" s="619"/>
      <c r="Z566" s="619"/>
      <c r="AA566" s="619"/>
      <c r="AB566" s="619"/>
      <c r="AC566" s="619"/>
      <c r="AD566" s="619"/>
      <c r="AE566" s="619"/>
      <c r="AF566" s="619"/>
      <c r="AG566" s="619"/>
      <c r="AH566" s="619"/>
      <c r="AI566" s="619"/>
      <c r="AJ566" s="619"/>
      <c r="AK566" s="619"/>
    </row>
    <row r="567" spans="1:37" ht="14.25" customHeight="1">
      <c r="A567" s="619"/>
      <c r="B567" s="619"/>
      <c r="C567" s="4"/>
      <c r="D567" s="619"/>
      <c r="E567" s="619"/>
      <c r="F567" s="619"/>
      <c r="G567" s="619"/>
      <c r="H567" s="619"/>
      <c r="I567" s="619"/>
      <c r="J567" s="619"/>
      <c r="K567" s="619"/>
      <c r="L567" s="619"/>
      <c r="M567" s="619"/>
      <c r="N567" s="619"/>
      <c r="O567" s="619"/>
      <c r="P567" s="619"/>
      <c r="Q567" s="619"/>
      <c r="R567" s="619"/>
      <c r="S567" s="619"/>
      <c r="T567" s="619"/>
      <c r="U567" s="619"/>
      <c r="V567" s="619"/>
      <c r="W567" s="619"/>
      <c r="X567" s="619"/>
      <c r="Y567" s="619"/>
      <c r="Z567" s="619"/>
      <c r="AA567" s="619"/>
      <c r="AB567" s="619"/>
      <c r="AC567" s="619"/>
      <c r="AD567" s="619"/>
      <c r="AE567" s="619"/>
      <c r="AF567" s="619"/>
      <c r="AG567" s="619"/>
      <c r="AH567" s="619"/>
      <c r="AI567" s="619"/>
      <c r="AJ567" s="619"/>
      <c r="AK567" s="619"/>
    </row>
    <row r="568" spans="1:37" ht="14.25" customHeight="1">
      <c r="A568" s="619"/>
      <c r="B568" s="619"/>
      <c r="C568" s="4"/>
      <c r="D568" s="619"/>
      <c r="E568" s="619"/>
      <c r="F568" s="619"/>
      <c r="G568" s="619"/>
      <c r="H568" s="619"/>
      <c r="I568" s="619"/>
      <c r="J568" s="619"/>
      <c r="K568" s="619"/>
      <c r="L568" s="619"/>
      <c r="M568" s="619"/>
      <c r="N568" s="619"/>
      <c r="O568" s="619"/>
      <c r="P568" s="619"/>
      <c r="Q568" s="619"/>
      <c r="R568" s="619"/>
      <c r="S568" s="619"/>
      <c r="T568" s="619"/>
      <c r="U568" s="619"/>
      <c r="V568" s="619"/>
      <c r="W568" s="619"/>
      <c r="X568" s="619"/>
      <c r="Y568" s="619"/>
      <c r="Z568" s="619"/>
      <c r="AA568" s="619"/>
      <c r="AB568" s="619"/>
      <c r="AC568" s="619"/>
      <c r="AD568" s="619"/>
      <c r="AE568" s="619"/>
      <c r="AF568" s="619"/>
      <c r="AG568" s="619"/>
      <c r="AH568" s="619"/>
      <c r="AI568" s="619"/>
      <c r="AJ568" s="619"/>
      <c r="AK568" s="619"/>
    </row>
    <row r="569" spans="1:37" ht="14.25" customHeight="1">
      <c r="A569" s="619"/>
      <c r="B569" s="619"/>
      <c r="C569" s="4"/>
      <c r="D569" s="619"/>
      <c r="E569" s="619"/>
      <c r="F569" s="619"/>
      <c r="G569" s="619"/>
      <c r="H569" s="619"/>
      <c r="I569" s="619"/>
      <c r="J569" s="619"/>
      <c r="K569" s="619"/>
      <c r="L569" s="619"/>
      <c r="M569" s="619"/>
      <c r="N569" s="619"/>
      <c r="O569" s="619"/>
      <c r="P569" s="619"/>
      <c r="Q569" s="619"/>
      <c r="R569" s="619"/>
      <c r="S569" s="619"/>
      <c r="T569" s="619"/>
      <c r="U569" s="619"/>
      <c r="V569" s="619"/>
      <c r="W569" s="619"/>
      <c r="X569" s="619"/>
      <c r="Y569" s="619"/>
      <c r="Z569" s="619"/>
      <c r="AA569" s="619"/>
      <c r="AB569" s="619"/>
      <c r="AC569" s="619"/>
      <c r="AD569" s="619"/>
      <c r="AE569" s="619"/>
      <c r="AF569" s="619"/>
      <c r="AG569" s="619"/>
      <c r="AH569" s="619"/>
      <c r="AI569" s="619"/>
      <c r="AJ569" s="619"/>
      <c r="AK569" s="619"/>
    </row>
    <row r="570" spans="1:37" ht="14.25" customHeight="1">
      <c r="A570" s="619"/>
      <c r="B570" s="619"/>
      <c r="C570" s="4"/>
      <c r="D570" s="619"/>
      <c r="E570" s="619"/>
      <c r="F570" s="619"/>
      <c r="G570" s="619"/>
      <c r="H570" s="619"/>
      <c r="I570" s="619"/>
      <c r="J570" s="619"/>
      <c r="K570" s="619"/>
      <c r="L570" s="619"/>
      <c r="M570" s="619"/>
      <c r="N570" s="619"/>
      <c r="O570" s="619"/>
      <c r="P570" s="619"/>
      <c r="Q570" s="619"/>
      <c r="R570" s="619"/>
      <c r="S570" s="619"/>
      <c r="T570" s="619"/>
      <c r="U570" s="619"/>
      <c r="V570" s="619"/>
      <c r="W570" s="619"/>
      <c r="X570" s="619"/>
      <c r="Y570" s="619"/>
      <c r="Z570" s="619"/>
      <c r="AA570" s="619"/>
      <c r="AB570" s="619"/>
      <c r="AC570" s="619"/>
      <c r="AD570" s="619"/>
      <c r="AE570" s="619"/>
      <c r="AF570" s="619"/>
      <c r="AG570" s="619"/>
      <c r="AH570" s="619"/>
      <c r="AI570" s="619"/>
      <c r="AJ570" s="619"/>
      <c r="AK570" s="619"/>
    </row>
    <row r="571" spans="1:37" ht="14.25" customHeight="1">
      <c r="A571" s="619"/>
      <c r="B571" s="619"/>
      <c r="C571" s="4"/>
      <c r="D571" s="619"/>
      <c r="E571" s="619"/>
      <c r="F571" s="619"/>
      <c r="G571" s="619"/>
      <c r="H571" s="619"/>
      <c r="I571" s="619"/>
      <c r="J571" s="619"/>
      <c r="K571" s="619"/>
      <c r="L571" s="619"/>
      <c r="M571" s="619"/>
      <c r="N571" s="619"/>
      <c r="O571" s="619"/>
      <c r="P571" s="619"/>
      <c r="Q571" s="619"/>
      <c r="R571" s="619"/>
      <c r="S571" s="619"/>
      <c r="T571" s="619"/>
      <c r="U571" s="619"/>
      <c r="V571" s="619"/>
      <c r="W571" s="619"/>
      <c r="X571" s="619"/>
      <c r="Y571" s="619"/>
      <c r="Z571" s="619"/>
      <c r="AA571" s="619"/>
      <c r="AB571" s="619"/>
      <c r="AC571" s="619"/>
      <c r="AD571" s="619"/>
      <c r="AE571" s="619"/>
      <c r="AF571" s="619"/>
      <c r="AG571" s="619"/>
      <c r="AH571" s="619"/>
      <c r="AI571" s="619"/>
      <c r="AJ571" s="619"/>
      <c r="AK571" s="619"/>
    </row>
    <row r="572" spans="1:37" ht="14.25" customHeight="1">
      <c r="A572" s="619"/>
      <c r="B572" s="619"/>
      <c r="C572" s="4"/>
      <c r="D572" s="619"/>
      <c r="E572" s="619"/>
      <c r="F572" s="619"/>
      <c r="G572" s="619"/>
      <c r="H572" s="619"/>
      <c r="I572" s="619"/>
      <c r="J572" s="619"/>
      <c r="K572" s="619"/>
      <c r="L572" s="619"/>
      <c r="M572" s="619"/>
      <c r="N572" s="619"/>
      <c r="O572" s="619"/>
      <c r="P572" s="619"/>
      <c r="Q572" s="619"/>
      <c r="R572" s="619"/>
      <c r="S572" s="619"/>
      <c r="T572" s="619"/>
      <c r="U572" s="619"/>
      <c r="V572" s="619"/>
      <c r="W572" s="619"/>
      <c r="X572" s="619"/>
      <c r="Y572" s="619"/>
      <c r="Z572" s="619"/>
      <c r="AA572" s="619"/>
      <c r="AB572" s="619"/>
      <c r="AC572" s="619"/>
      <c r="AD572" s="619"/>
      <c r="AE572" s="619"/>
      <c r="AF572" s="619"/>
      <c r="AG572" s="619"/>
      <c r="AH572" s="619"/>
      <c r="AI572" s="619"/>
      <c r="AJ572" s="619"/>
      <c r="AK572" s="619"/>
    </row>
    <row r="573" spans="1:37" ht="14.25" customHeight="1">
      <c r="A573" s="619"/>
      <c r="B573" s="619"/>
      <c r="C573" s="4"/>
      <c r="D573" s="619"/>
      <c r="E573" s="619"/>
      <c r="F573" s="619"/>
      <c r="G573" s="619"/>
      <c r="H573" s="619"/>
      <c r="I573" s="619"/>
      <c r="J573" s="619"/>
      <c r="K573" s="619"/>
      <c r="L573" s="619"/>
      <c r="M573" s="619"/>
      <c r="N573" s="619"/>
      <c r="O573" s="619"/>
      <c r="P573" s="619"/>
      <c r="Q573" s="619"/>
      <c r="R573" s="619"/>
      <c r="S573" s="619"/>
      <c r="T573" s="619"/>
      <c r="U573" s="619"/>
      <c r="V573" s="619"/>
      <c r="W573" s="619"/>
      <c r="X573" s="619"/>
      <c r="Y573" s="619"/>
      <c r="Z573" s="619"/>
      <c r="AA573" s="619"/>
      <c r="AB573" s="619"/>
      <c r="AC573" s="619"/>
      <c r="AD573" s="619"/>
      <c r="AE573" s="619"/>
      <c r="AF573" s="619"/>
      <c r="AG573" s="619"/>
      <c r="AH573" s="619"/>
      <c r="AI573" s="619"/>
      <c r="AJ573" s="619"/>
      <c r="AK573" s="619"/>
    </row>
    <row r="574" spans="1:37" ht="14.25" customHeight="1">
      <c r="A574" s="619"/>
      <c r="B574" s="619"/>
      <c r="C574" s="4"/>
      <c r="D574" s="619"/>
      <c r="E574" s="619"/>
      <c r="F574" s="619"/>
      <c r="G574" s="619"/>
      <c r="H574" s="619"/>
      <c r="I574" s="619"/>
      <c r="J574" s="619"/>
      <c r="K574" s="619"/>
      <c r="L574" s="619"/>
      <c r="M574" s="619"/>
      <c r="N574" s="619"/>
      <c r="O574" s="619"/>
      <c r="P574" s="619"/>
      <c r="Q574" s="619"/>
      <c r="R574" s="619"/>
      <c r="S574" s="619"/>
      <c r="T574" s="619"/>
      <c r="U574" s="619"/>
      <c r="V574" s="619"/>
      <c r="W574" s="619"/>
      <c r="X574" s="619"/>
      <c r="Y574" s="619"/>
      <c r="Z574" s="619"/>
      <c r="AA574" s="619"/>
      <c r="AB574" s="619"/>
      <c r="AC574" s="619"/>
      <c r="AD574" s="619"/>
      <c r="AE574" s="619"/>
      <c r="AF574" s="619"/>
      <c r="AG574" s="619"/>
      <c r="AH574" s="619"/>
      <c r="AI574" s="619"/>
      <c r="AJ574" s="619"/>
      <c r="AK574" s="619"/>
    </row>
    <row r="575" spans="1:37" ht="14.25" customHeight="1">
      <c r="A575" s="619"/>
      <c r="B575" s="619"/>
      <c r="C575" s="4"/>
      <c r="D575" s="619"/>
      <c r="E575" s="619"/>
      <c r="F575" s="619"/>
      <c r="G575" s="619"/>
      <c r="H575" s="619"/>
      <c r="I575" s="619"/>
      <c r="J575" s="619"/>
      <c r="K575" s="619"/>
      <c r="L575" s="619"/>
      <c r="M575" s="619"/>
      <c r="N575" s="619"/>
      <c r="O575" s="619"/>
      <c r="P575" s="619"/>
      <c r="Q575" s="619"/>
      <c r="R575" s="619"/>
      <c r="S575" s="619"/>
      <c r="T575" s="619"/>
      <c r="U575" s="619"/>
      <c r="V575" s="619"/>
      <c r="W575" s="619"/>
      <c r="X575" s="619"/>
      <c r="Y575" s="619"/>
      <c r="Z575" s="619"/>
      <c r="AA575" s="619"/>
      <c r="AB575" s="619"/>
      <c r="AC575" s="619"/>
      <c r="AD575" s="619"/>
      <c r="AE575" s="619"/>
      <c r="AF575" s="619"/>
      <c r="AG575" s="619"/>
      <c r="AH575" s="619"/>
      <c r="AI575" s="619"/>
      <c r="AJ575" s="619"/>
      <c r="AK575" s="619"/>
    </row>
    <row r="576" spans="1:37" ht="14.25" customHeight="1">
      <c r="A576" s="619"/>
      <c r="B576" s="619"/>
      <c r="C576" s="4"/>
      <c r="D576" s="619"/>
      <c r="E576" s="619"/>
      <c r="F576" s="619"/>
      <c r="G576" s="619"/>
      <c r="H576" s="619"/>
      <c r="I576" s="619"/>
      <c r="J576" s="619"/>
      <c r="K576" s="619"/>
      <c r="L576" s="619"/>
      <c r="M576" s="619"/>
      <c r="N576" s="619"/>
      <c r="O576" s="619"/>
      <c r="P576" s="619"/>
      <c r="Q576" s="619"/>
      <c r="R576" s="619"/>
      <c r="S576" s="619"/>
      <c r="T576" s="619"/>
      <c r="U576" s="619"/>
      <c r="V576" s="619"/>
      <c r="W576" s="619"/>
      <c r="X576" s="619"/>
      <c r="Y576" s="619"/>
      <c r="Z576" s="619"/>
      <c r="AA576" s="619"/>
      <c r="AB576" s="619"/>
      <c r="AC576" s="619"/>
      <c r="AD576" s="619"/>
      <c r="AE576" s="619"/>
      <c r="AF576" s="619"/>
      <c r="AG576" s="619"/>
      <c r="AH576" s="619"/>
      <c r="AI576" s="619"/>
      <c r="AJ576" s="619"/>
      <c r="AK576" s="619"/>
    </row>
    <row r="577" spans="1:37" ht="14.25" customHeight="1">
      <c r="A577" s="619"/>
      <c r="B577" s="619"/>
      <c r="C577" s="4"/>
      <c r="D577" s="619"/>
      <c r="E577" s="619"/>
      <c r="F577" s="619"/>
      <c r="G577" s="619"/>
      <c r="H577" s="619"/>
      <c r="I577" s="619"/>
      <c r="J577" s="619"/>
      <c r="K577" s="619"/>
      <c r="L577" s="619"/>
      <c r="M577" s="619"/>
      <c r="N577" s="619"/>
      <c r="O577" s="619"/>
      <c r="P577" s="619"/>
      <c r="Q577" s="619"/>
      <c r="R577" s="619"/>
      <c r="S577" s="619"/>
      <c r="T577" s="619"/>
      <c r="U577" s="619"/>
      <c r="V577" s="619"/>
      <c r="W577" s="619"/>
      <c r="X577" s="619"/>
      <c r="Y577" s="619"/>
      <c r="Z577" s="619"/>
      <c r="AA577" s="619"/>
      <c r="AB577" s="619"/>
      <c r="AC577" s="619"/>
      <c r="AD577" s="619"/>
      <c r="AE577" s="619"/>
      <c r="AF577" s="619"/>
      <c r="AG577" s="619"/>
      <c r="AH577" s="619"/>
      <c r="AI577" s="619"/>
      <c r="AJ577" s="619"/>
      <c r="AK577" s="619"/>
    </row>
    <row r="578" spans="1:37" ht="14.25" customHeight="1">
      <c r="A578" s="619"/>
      <c r="B578" s="619"/>
      <c r="C578" s="4"/>
      <c r="D578" s="619"/>
      <c r="E578" s="619"/>
      <c r="F578" s="619"/>
      <c r="G578" s="619"/>
      <c r="H578" s="619"/>
      <c r="I578" s="619"/>
      <c r="J578" s="619"/>
      <c r="K578" s="619"/>
      <c r="L578" s="619"/>
      <c r="M578" s="619"/>
      <c r="N578" s="619"/>
      <c r="O578" s="619"/>
      <c r="P578" s="619"/>
      <c r="Q578" s="619"/>
      <c r="R578" s="619"/>
      <c r="S578" s="619"/>
      <c r="T578" s="619"/>
      <c r="U578" s="619"/>
      <c r="V578" s="619"/>
      <c r="W578" s="619"/>
      <c r="X578" s="619"/>
      <c r="Y578" s="619"/>
      <c r="Z578" s="619"/>
      <c r="AA578" s="619"/>
      <c r="AB578" s="619"/>
      <c r="AC578" s="619"/>
      <c r="AD578" s="619"/>
      <c r="AE578" s="619"/>
      <c r="AF578" s="619"/>
      <c r="AG578" s="619"/>
      <c r="AH578" s="619"/>
      <c r="AI578" s="619"/>
      <c r="AJ578" s="619"/>
      <c r="AK578" s="619"/>
    </row>
    <row r="579" spans="1:37" ht="14.25" customHeight="1">
      <c r="A579" s="619"/>
      <c r="B579" s="619"/>
      <c r="C579" s="4"/>
      <c r="D579" s="619"/>
      <c r="E579" s="619"/>
      <c r="F579" s="619"/>
      <c r="G579" s="619"/>
      <c r="H579" s="619"/>
      <c r="I579" s="619"/>
      <c r="J579" s="619"/>
      <c r="K579" s="619"/>
      <c r="L579" s="619"/>
      <c r="M579" s="619"/>
      <c r="N579" s="619"/>
      <c r="O579" s="619"/>
      <c r="P579" s="619"/>
      <c r="Q579" s="619"/>
      <c r="R579" s="619"/>
      <c r="S579" s="619"/>
      <c r="T579" s="619"/>
      <c r="U579" s="619"/>
      <c r="V579" s="619"/>
      <c r="W579" s="619"/>
      <c r="X579" s="619"/>
      <c r="Y579" s="619"/>
      <c r="Z579" s="619"/>
      <c r="AA579" s="619"/>
      <c r="AB579" s="619"/>
      <c r="AC579" s="619"/>
      <c r="AD579" s="619"/>
      <c r="AE579" s="619"/>
      <c r="AF579" s="619"/>
      <c r="AG579" s="619"/>
      <c r="AH579" s="619"/>
      <c r="AI579" s="619"/>
      <c r="AJ579" s="619"/>
      <c r="AK579" s="619"/>
    </row>
    <row r="580" spans="1:37" ht="14.25" customHeight="1">
      <c r="A580" s="619"/>
      <c r="B580" s="619"/>
      <c r="C580" s="4"/>
      <c r="D580" s="619"/>
      <c r="E580" s="619"/>
      <c r="F580" s="619"/>
      <c r="G580" s="619"/>
      <c r="H580" s="619"/>
      <c r="I580" s="619"/>
      <c r="J580" s="619"/>
      <c r="K580" s="619"/>
      <c r="L580" s="619"/>
      <c r="M580" s="619"/>
      <c r="N580" s="619"/>
      <c r="O580" s="619"/>
      <c r="P580" s="619"/>
      <c r="Q580" s="619"/>
      <c r="R580" s="619"/>
      <c r="S580" s="619"/>
      <c r="T580" s="619"/>
      <c r="U580" s="619"/>
      <c r="V580" s="619"/>
      <c r="W580" s="619"/>
      <c r="X580" s="619"/>
      <c r="Y580" s="619"/>
      <c r="Z580" s="619"/>
      <c r="AA580" s="619"/>
      <c r="AB580" s="619"/>
      <c r="AC580" s="619"/>
      <c r="AD580" s="619"/>
      <c r="AE580" s="619"/>
      <c r="AF580" s="619"/>
      <c r="AG580" s="619"/>
      <c r="AH580" s="619"/>
      <c r="AI580" s="619"/>
      <c r="AJ580" s="619"/>
      <c r="AK580" s="619"/>
    </row>
    <row r="581" spans="1:37" ht="14.25" customHeight="1">
      <c r="A581" s="619"/>
      <c r="B581" s="619"/>
      <c r="C581" s="4"/>
      <c r="D581" s="619"/>
      <c r="E581" s="619"/>
      <c r="F581" s="619"/>
      <c r="G581" s="619"/>
      <c r="H581" s="619"/>
      <c r="I581" s="619"/>
      <c r="J581" s="619"/>
      <c r="K581" s="619"/>
      <c r="L581" s="619"/>
      <c r="M581" s="619"/>
      <c r="N581" s="619"/>
      <c r="O581" s="619"/>
      <c r="P581" s="619"/>
      <c r="Q581" s="619"/>
      <c r="R581" s="619"/>
      <c r="S581" s="619"/>
      <c r="T581" s="619"/>
      <c r="U581" s="619"/>
      <c r="V581" s="619"/>
      <c r="W581" s="619"/>
      <c r="X581" s="619"/>
      <c r="Y581" s="619"/>
      <c r="Z581" s="619"/>
      <c r="AA581" s="619"/>
      <c r="AB581" s="619"/>
      <c r="AC581" s="619"/>
      <c r="AD581" s="619"/>
      <c r="AE581" s="619"/>
      <c r="AF581" s="619"/>
      <c r="AG581" s="619"/>
      <c r="AH581" s="619"/>
      <c r="AI581" s="619"/>
      <c r="AJ581" s="619"/>
      <c r="AK581" s="619"/>
    </row>
    <row r="582" spans="1:37" ht="14.25" customHeight="1">
      <c r="A582" s="619"/>
      <c r="B582" s="619"/>
      <c r="C582" s="4"/>
      <c r="D582" s="619"/>
      <c r="E582" s="619"/>
      <c r="F582" s="619"/>
      <c r="G582" s="619"/>
      <c r="H582" s="619"/>
      <c r="I582" s="619"/>
      <c r="J582" s="619"/>
      <c r="K582" s="619"/>
      <c r="L582" s="619"/>
      <c r="M582" s="619"/>
      <c r="N582" s="619"/>
      <c r="O582" s="619"/>
      <c r="P582" s="619"/>
      <c r="Q582" s="619"/>
      <c r="R582" s="619"/>
      <c r="S582" s="619"/>
      <c r="T582" s="619"/>
      <c r="U582" s="619"/>
      <c r="V582" s="619"/>
      <c r="W582" s="619"/>
      <c r="X582" s="619"/>
      <c r="Y582" s="619"/>
      <c r="Z582" s="619"/>
      <c r="AA582" s="619"/>
      <c r="AB582" s="619"/>
      <c r="AC582" s="619"/>
      <c r="AD582" s="619"/>
      <c r="AE582" s="619"/>
      <c r="AF582" s="619"/>
      <c r="AG582" s="619"/>
      <c r="AH582" s="619"/>
      <c r="AI582" s="619"/>
      <c r="AJ582" s="619"/>
      <c r="AK582" s="619"/>
    </row>
    <row r="583" spans="1:37" ht="14.25" customHeight="1">
      <c r="A583" s="619"/>
      <c r="B583" s="619"/>
      <c r="C583" s="4"/>
      <c r="D583" s="619"/>
      <c r="E583" s="619"/>
      <c r="F583" s="619"/>
      <c r="G583" s="619"/>
      <c r="H583" s="619"/>
      <c r="I583" s="619"/>
      <c r="J583" s="619"/>
      <c r="K583" s="619"/>
      <c r="L583" s="619"/>
      <c r="M583" s="619"/>
      <c r="N583" s="619"/>
      <c r="O583" s="619"/>
      <c r="P583" s="619"/>
      <c r="Q583" s="619"/>
      <c r="R583" s="619"/>
      <c r="S583" s="619"/>
      <c r="T583" s="619"/>
      <c r="U583" s="619"/>
      <c r="V583" s="619"/>
      <c r="W583" s="619"/>
      <c r="X583" s="619"/>
      <c r="Y583" s="619"/>
      <c r="Z583" s="619"/>
      <c r="AA583" s="619"/>
      <c r="AB583" s="619"/>
      <c r="AC583" s="619"/>
      <c r="AD583" s="619"/>
      <c r="AE583" s="619"/>
      <c r="AF583" s="619"/>
      <c r="AG583" s="619"/>
      <c r="AH583" s="619"/>
      <c r="AI583" s="619"/>
      <c r="AJ583" s="619"/>
      <c r="AK583" s="619"/>
    </row>
    <row r="584" spans="1:37" ht="14.25" customHeight="1">
      <c r="A584" s="619"/>
      <c r="B584" s="619"/>
      <c r="C584" s="4"/>
      <c r="D584" s="619"/>
      <c r="E584" s="619"/>
      <c r="F584" s="619"/>
      <c r="G584" s="619"/>
      <c r="H584" s="619"/>
      <c r="I584" s="619"/>
      <c r="J584" s="619"/>
      <c r="K584" s="619"/>
      <c r="L584" s="619"/>
      <c r="M584" s="619"/>
      <c r="N584" s="619"/>
      <c r="O584" s="619"/>
      <c r="P584" s="619"/>
      <c r="Q584" s="619"/>
      <c r="R584" s="619"/>
      <c r="S584" s="619"/>
      <c r="T584" s="619"/>
      <c r="U584" s="619"/>
      <c r="V584" s="619"/>
      <c r="W584" s="619"/>
      <c r="X584" s="619"/>
      <c r="Y584" s="619"/>
      <c r="Z584" s="619"/>
      <c r="AA584" s="619"/>
      <c r="AB584" s="619"/>
      <c r="AC584" s="619"/>
      <c r="AD584" s="619"/>
      <c r="AE584" s="619"/>
      <c r="AF584" s="619"/>
      <c r="AG584" s="619"/>
      <c r="AH584" s="619"/>
      <c r="AI584" s="619"/>
      <c r="AJ584" s="619"/>
      <c r="AK584" s="619"/>
    </row>
    <row r="585" spans="1:37" ht="14.25" customHeight="1">
      <c r="A585" s="619"/>
      <c r="B585" s="619"/>
      <c r="C585" s="4"/>
      <c r="D585" s="619"/>
      <c r="E585" s="619"/>
      <c r="F585" s="619"/>
      <c r="G585" s="619"/>
      <c r="H585" s="619"/>
      <c r="I585" s="619"/>
      <c r="J585" s="619"/>
      <c r="K585" s="619"/>
      <c r="L585" s="619"/>
      <c r="M585" s="619"/>
      <c r="N585" s="619"/>
      <c r="O585" s="619"/>
      <c r="P585" s="619"/>
      <c r="Q585" s="619"/>
      <c r="R585" s="619"/>
      <c r="S585" s="619"/>
      <c r="T585" s="619"/>
      <c r="U585" s="619"/>
      <c r="V585" s="619"/>
      <c r="W585" s="619"/>
      <c r="X585" s="619"/>
      <c r="Y585" s="619"/>
      <c r="Z585" s="619"/>
      <c r="AA585" s="619"/>
      <c r="AB585" s="619"/>
      <c r="AC585" s="619"/>
      <c r="AD585" s="619"/>
      <c r="AE585" s="619"/>
      <c r="AF585" s="619"/>
      <c r="AG585" s="619"/>
      <c r="AH585" s="619"/>
      <c r="AI585" s="619"/>
      <c r="AJ585" s="619"/>
      <c r="AK585" s="619"/>
    </row>
    <row r="586" spans="1:37" ht="14.25" customHeight="1">
      <c r="A586" s="619"/>
      <c r="B586" s="619"/>
      <c r="C586" s="4"/>
      <c r="D586" s="619"/>
      <c r="E586" s="619"/>
      <c r="F586" s="619"/>
      <c r="G586" s="619"/>
      <c r="H586" s="619"/>
      <c r="I586" s="619"/>
      <c r="J586" s="619"/>
      <c r="K586" s="619"/>
      <c r="L586" s="619"/>
      <c r="M586" s="619"/>
      <c r="N586" s="619"/>
      <c r="O586" s="619"/>
      <c r="P586" s="619"/>
      <c r="Q586" s="619"/>
      <c r="R586" s="619"/>
      <c r="S586" s="619"/>
      <c r="T586" s="619"/>
      <c r="U586" s="619"/>
      <c r="V586" s="619"/>
      <c r="W586" s="619"/>
      <c r="X586" s="619"/>
      <c r="Y586" s="619"/>
      <c r="Z586" s="619"/>
      <c r="AA586" s="619"/>
      <c r="AB586" s="619"/>
      <c r="AC586" s="619"/>
      <c r="AD586" s="619"/>
      <c r="AE586" s="619"/>
      <c r="AF586" s="619"/>
      <c r="AG586" s="619"/>
      <c r="AH586" s="619"/>
      <c r="AI586" s="619"/>
      <c r="AJ586" s="619"/>
      <c r="AK586" s="619"/>
    </row>
    <row r="587" spans="1:37" ht="14.25" customHeight="1">
      <c r="A587" s="619"/>
      <c r="B587" s="619"/>
      <c r="C587" s="4"/>
      <c r="D587" s="619"/>
      <c r="E587" s="619"/>
      <c r="F587" s="619"/>
      <c r="G587" s="619"/>
      <c r="H587" s="619"/>
      <c r="I587" s="619"/>
      <c r="J587" s="619"/>
      <c r="K587" s="619"/>
      <c r="L587" s="619"/>
      <c r="M587" s="619"/>
      <c r="N587" s="619"/>
      <c r="O587" s="619"/>
      <c r="P587" s="619"/>
      <c r="Q587" s="619"/>
      <c r="R587" s="619"/>
      <c r="S587" s="619"/>
      <c r="T587" s="619"/>
      <c r="U587" s="619"/>
      <c r="V587" s="619"/>
      <c r="W587" s="619"/>
      <c r="X587" s="619"/>
      <c r="Y587" s="619"/>
      <c r="Z587" s="619"/>
      <c r="AA587" s="619"/>
      <c r="AB587" s="619"/>
      <c r="AC587" s="619"/>
      <c r="AD587" s="619"/>
      <c r="AE587" s="619"/>
      <c r="AF587" s="619"/>
      <c r="AG587" s="619"/>
      <c r="AH587" s="619"/>
      <c r="AI587" s="619"/>
      <c r="AJ587" s="619"/>
      <c r="AK587" s="619"/>
    </row>
    <row r="588" spans="1:37" ht="14.25" customHeight="1">
      <c r="A588" s="619"/>
      <c r="B588" s="619"/>
      <c r="C588" s="4"/>
      <c r="D588" s="619"/>
      <c r="E588" s="619"/>
      <c r="F588" s="619"/>
      <c r="G588" s="619"/>
      <c r="H588" s="619"/>
      <c r="I588" s="619"/>
      <c r="J588" s="619"/>
      <c r="K588" s="619"/>
      <c r="L588" s="619"/>
      <c r="M588" s="619"/>
      <c r="N588" s="619"/>
      <c r="O588" s="619"/>
      <c r="P588" s="619"/>
      <c r="Q588" s="619"/>
      <c r="R588" s="619"/>
      <c r="S588" s="619"/>
      <c r="T588" s="619"/>
      <c r="U588" s="619"/>
      <c r="V588" s="619"/>
      <c r="W588" s="619"/>
      <c r="X588" s="619"/>
      <c r="Y588" s="619"/>
      <c r="Z588" s="619"/>
      <c r="AA588" s="619"/>
      <c r="AB588" s="619"/>
      <c r="AC588" s="619"/>
      <c r="AD588" s="619"/>
      <c r="AE588" s="619"/>
      <c r="AF588" s="619"/>
      <c r="AG588" s="619"/>
      <c r="AH588" s="619"/>
      <c r="AI588" s="619"/>
      <c r="AJ588" s="619"/>
      <c r="AK588" s="619"/>
    </row>
    <row r="589" spans="1:37" ht="14.25" customHeight="1">
      <c r="A589" s="619"/>
      <c r="B589" s="619"/>
      <c r="C589" s="4"/>
      <c r="D589" s="619"/>
      <c r="E589" s="619"/>
      <c r="F589" s="619"/>
      <c r="G589" s="619"/>
      <c r="H589" s="619"/>
      <c r="I589" s="619"/>
      <c r="J589" s="619"/>
      <c r="K589" s="619"/>
      <c r="L589" s="619"/>
      <c r="M589" s="619"/>
      <c r="N589" s="619"/>
      <c r="O589" s="619"/>
      <c r="P589" s="619"/>
      <c r="Q589" s="619"/>
      <c r="R589" s="619"/>
      <c r="S589" s="619"/>
      <c r="T589" s="619"/>
      <c r="U589" s="619"/>
      <c r="V589" s="619"/>
      <c r="W589" s="619"/>
      <c r="X589" s="619"/>
      <c r="Y589" s="619"/>
      <c r="Z589" s="619"/>
      <c r="AA589" s="619"/>
      <c r="AB589" s="619"/>
      <c r="AC589" s="619"/>
      <c r="AD589" s="619"/>
      <c r="AE589" s="619"/>
      <c r="AF589" s="619"/>
      <c r="AG589" s="619"/>
      <c r="AH589" s="619"/>
      <c r="AI589" s="619"/>
      <c r="AJ589" s="619"/>
      <c r="AK589" s="619"/>
    </row>
    <row r="590" spans="1:37" ht="14.25" customHeight="1">
      <c r="A590" s="619"/>
      <c r="B590" s="619"/>
      <c r="C590" s="4"/>
      <c r="D590" s="619"/>
      <c r="E590" s="619"/>
      <c r="F590" s="619"/>
      <c r="G590" s="619"/>
      <c r="H590" s="619"/>
      <c r="I590" s="619"/>
      <c r="J590" s="619"/>
      <c r="K590" s="619"/>
      <c r="L590" s="619"/>
      <c r="M590" s="619"/>
      <c r="N590" s="619"/>
      <c r="O590" s="619"/>
      <c r="P590" s="619"/>
      <c r="Q590" s="619"/>
      <c r="R590" s="619"/>
      <c r="S590" s="619"/>
      <c r="T590" s="619"/>
      <c r="U590" s="619"/>
      <c r="V590" s="619"/>
      <c r="W590" s="619"/>
      <c r="X590" s="619"/>
      <c r="Y590" s="619"/>
      <c r="Z590" s="619"/>
      <c r="AA590" s="619"/>
      <c r="AB590" s="619"/>
      <c r="AC590" s="619"/>
      <c r="AD590" s="619"/>
      <c r="AE590" s="619"/>
      <c r="AF590" s="619"/>
      <c r="AG590" s="619"/>
      <c r="AH590" s="619"/>
      <c r="AI590" s="619"/>
      <c r="AJ590" s="619"/>
      <c r="AK590" s="619"/>
    </row>
    <row r="591" spans="1:37" ht="14.25" customHeight="1">
      <c r="A591" s="619"/>
      <c r="B591" s="619"/>
      <c r="C591" s="4"/>
      <c r="D591" s="619"/>
      <c r="E591" s="619"/>
      <c r="F591" s="619"/>
      <c r="G591" s="619"/>
      <c r="H591" s="619"/>
      <c r="I591" s="619"/>
      <c r="J591" s="619"/>
      <c r="K591" s="619"/>
      <c r="L591" s="619"/>
      <c r="M591" s="619"/>
      <c r="N591" s="619"/>
      <c r="O591" s="619"/>
      <c r="P591" s="619"/>
      <c r="Q591" s="619"/>
      <c r="R591" s="619"/>
      <c r="S591" s="619"/>
      <c r="T591" s="619"/>
      <c r="U591" s="619"/>
      <c r="V591" s="619"/>
      <c r="W591" s="619"/>
      <c r="X591" s="619"/>
      <c r="Y591" s="619"/>
      <c r="Z591" s="619"/>
      <c r="AA591" s="619"/>
      <c r="AB591" s="619"/>
      <c r="AC591" s="619"/>
      <c r="AD591" s="619"/>
      <c r="AE591" s="619"/>
      <c r="AF591" s="619"/>
      <c r="AG591" s="619"/>
      <c r="AH591" s="619"/>
      <c r="AI591" s="619"/>
      <c r="AJ591" s="619"/>
      <c r="AK591" s="619"/>
    </row>
    <row r="592" spans="1:37" ht="14.25" customHeight="1">
      <c r="A592" s="619"/>
      <c r="B592" s="619"/>
      <c r="C592" s="4"/>
      <c r="D592" s="619"/>
      <c r="E592" s="619"/>
      <c r="F592" s="619"/>
      <c r="G592" s="619"/>
      <c r="H592" s="619"/>
      <c r="I592" s="619"/>
      <c r="J592" s="619"/>
      <c r="K592" s="619"/>
      <c r="L592" s="619"/>
      <c r="M592" s="619"/>
      <c r="N592" s="619"/>
      <c r="O592" s="619"/>
      <c r="P592" s="619"/>
      <c r="Q592" s="619"/>
      <c r="R592" s="619"/>
      <c r="S592" s="619"/>
      <c r="T592" s="619"/>
      <c r="U592" s="619"/>
      <c r="V592" s="619"/>
      <c r="W592" s="619"/>
      <c r="X592" s="619"/>
      <c r="Y592" s="619"/>
      <c r="Z592" s="619"/>
      <c r="AA592" s="619"/>
      <c r="AB592" s="619"/>
      <c r="AC592" s="619"/>
      <c r="AD592" s="619"/>
      <c r="AE592" s="619"/>
      <c r="AF592" s="619"/>
      <c r="AG592" s="619"/>
      <c r="AH592" s="619"/>
      <c r="AI592" s="619"/>
      <c r="AJ592" s="619"/>
      <c r="AK592" s="619"/>
    </row>
    <row r="593" spans="1:37" ht="14.25" customHeight="1">
      <c r="A593" s="619"/>
      <c r="B593" s="619"/>
      <c r="C593" s="4"/>
      <c r="D593" s="619"/>
      <c r="E593" s="619"/>
      <c r="F593" s="619"/>
      <c r="G593" s="619"/>
      <c r="H593" s="619"/>
      <c r="I593" s="619"/>
      <c r="J593" s="619"/>
      <c r="K593" s="619"/>
      <c r="L593" s="619"/>
      <c r="M593" s="619"/>
      <c r="N593" s="619"/>
      <c r="O593" s="619"/>
      <c r="P593" s="619"/>
      <c r="Q593" s="619"/>
      <c r="R593" s="619"/>
      <c r="S593" s="619"/>
      <c r="T593" s="619"/>
      <c r="U593" s="619"/>
      <c r="V593" s="619"/>
      <c r="W593" s="619"/>
      <c r="X593" s="619"/>
      <c r="Y593" s="619"/>
      <c r="Z593" s="619"/>
      <c r="AA593" s="619"/>
      <c r="AB593" s="619"/>
      <c r="AC593" s="619"/>
      <c r="AD593" s="619"/>
      <c r="AE593" s="619"/>
      <c r="AF593" s="619"/>
      <c r="AG593" s="619"/>
      <c r="AH593" s="619"/>
      <c r="AI593" s="619"/>
      <c r="AJ593" s="619"/>
      <c r="AK593" s="619"/>
    </row>
    <row r="594" spans="1:37" ht="14.25" customHeight="1">
      <c r="A594" s="619"/>
      <c r="B594" s="619"/>
      <c r="C594" s="4"/>
      <c r="D594" s="619"/>
      <c r="E594" s="619"/>
      <c r="F594" s="619"/>
      <c r="G594" s="619"/>
      <c r="H594" s="619"/>
      <c r="I594" s="619"/>
      <c r="J594" s="619"/>
      <c r="K594" s="619"/>
      <c r="L594" s="619"/>
      <c r="M594" s="619"/>
      <c r="N594" s="619"/>
      <c r="O594" s="619"/>
      <c r="P594" s="619"/>
      <c r="Q594" s="619"/>
      <c r="R594" s="619"/>
      <c r="S594" s="619"/>
      <c r="T594" s="619"/>
      <c r="U594" s="619"/>
      <c r="V594" s="619"/>
      <c r="W594" s="619"/>
      <c r="X594" s="619"/>
      <c r="Y594" s="619"/>
      <c r="Z594" s="619"/>
      <c r="AA594" s="619"/>
      <c r="AB594" s="619"/>
      <c r="AC594" s="619"/>
      <c r="AD594" s="619"/>
      <c r="AE594" s="619"/>
      <c r="AF594" s="619"/>
      <c r="AG594" s="619"/>
      <c r="AH594" s="619"/>
      <c r="AI594" s="619"/>
      <c r="AJ594" s="619"/>
      <c r="AK594" s="619"/>
    </row>
    <row r="595" spans="1:37" ht="14.25" customHeight="1">
      <c r="A595" s="619"/>
      <c r="B595" s="619"/>
      <c r="C595" s="4"/>
      <c r="D595" s="619"/>
      <c r="E595" s="619"/>
      <c r="F595" s="619"/>
      <c r="G595" s="619"/>
      <c r="H595" s="619"/>
      <c r="I595" s="619"/>
      <c r="J595" s="619"/>
      <c r="K595" s="619"/>
      <c r="L595" s="619"/>
      <c r="M595" s="619"/>
      <c r="N595" s="619"/>
      <c r="O595" s="619"/>
      <c r="P595" s="619"/>
      <c r="Q595" s="619"/>
      <c r="R595" s="619"/>
      <c r="S595" s="619"/>
      <c r="T595" s="619"/>
      <c r="U595" s="619"/>
      <c r="V595" s="619"/>
      <c r="W595" s="619"/>
      <c r="X595" s="619"/>
      <c r="Y595" s="619"/>
      <c r="Z595" s="619"/>
      <c r="AA595" s="619"/>
      <c r="AB595" s="619"/>
      <c r="AC595" s="619"/>
      <c r="AD595" s="619"/>
      <c r="AE595" s="619"/>
      <c r="AF595" s="619"/>
      <c r="AG595" s="619"/>
      <c r="AH595" s="619"/>
      <c r="AI595" s="619"/>
      <c r="AJ595" s="619"/>
      <c r="AK595" s="619"/>
    </row>
    <row r="596" spans="1:37" ht="14.25" customHeight="1">
      <c r="A596" s="619"/>
      <c r="B596" s="619"/>
      <c r="C596" s="4"/>
      <c r="D596" s="619"/>
      <c r="E596" s="619"/>
      <c r="F596" s="619"/>
      <c r="G596" s="619"/>
      <c r="H596" s="619"/>
      <c r="I596" s="619"/>
      <c r="J596" s="619"/>
      <c r="K596" s="619"/>
      <c r="L596" s="619"/>
      <c r="M596" s="619"/>
      <c r="N596" s="619"/>
      <c r="O596" s="619"/>
      <c r="P596" s="619"/>
      <c r="Q596" s="619"/>
      <c r="R596" s="619"/>
      <c r="S596" s="619"/>
      <c r="T596" s="619"/>
      <c r="U596" s="619"/>
      <c r="V596" s="619"/>
      <c r="W596" s="619"/>
      <c r="X596" s="619"/>
      <c r="Y596" s="619"/>
      <c r="Z596" s="619"/>
      <c r="AA596" s="619"/>
      <c r="AB596" s="619"/>
      <c r="AC596" s="619"/>
      <c r="AD596" s="619"/>
      <c r="AE596" s="619"/>
      <c r="AF596" s="619"/>
      <c r="AG596" s="619"/>
      <c r="AH596" s="619"/>
      <c r="AI596" s="619"/>
      <c r="AJ596" s="619"/>
      <c r="AK596" s="619"/>
    </row>
    <row r="597" spans="1:37" ht="14.25" customHeight="1">
      <c r="A597" s="619"/>
      <c r="B597" s="619"/>
      <c r="C597" s="4"/>
      <c r="D597" s="619"/>
      <c r="E597" s="619"/>
      <c r="F597" s="619"/>
      <c r="G597" s="619"/>
      <c r="H597" s="619"/>
      <c r="I597" s="619"/>
      <c r="J597" s="619"/>
      <c r="K597" s="619"/>
      <c r="L597" s="619"/>
      <c r="M597" s="619"/>
      <c r="N597" s="619"/>
      <c r="O597" s="619"/>
      <c r="P597" s="619"/>
      <c r="Q597" s="619"/>
      <c r="R597" s="619"/>
      <c r="S597" s="619"/>
      <c r="T597" s="619"/>
      <c r="U597" s="619"/>
      <c r="V597" s="619"/>
      <c r="W597" s="619"/>
      <c r="X597" s="619"/>
      <c r="Y597" s="619"/>
      <c r="Z597" s="619"/>
      <c r="AA597" s="619"/>
      <c r="AB597" s="619"/>
      <c r="AC597" s="619"/>
      <c r="AD597" s="619"/>
      <c r="AE597" s="619"/>
      <c r="AF597" s="619"/>
      <c r="AG597" s="619"/>
      <c r="AH597" s="619"/>
      <c r="AI597" s="619"/>
      <c r="AJ597" s="619"/>
      <c r="AK597" s="619"/>
    </row>
    <row r="598" spans="1:37" ht="14.25" customHeight="1">
      <c r="A598" s="619"/>
      <c r="B598" s="619"/>
      <c r="C598" s="4"/>
      <c r="D598" s="619"/>
      <c r="E598" s="619"/>
      <c r="F598" s="619"/>
      <c r="G598" s="619"/>
      <c r="H598" s="619"/>
      <c r="I598" s="619"/>
      <c r="J598" s="619"/>
      <c r="K598" s="619"/>
      <c r="L598" s="619"/>
      <c r="M598" s="619"/>
      <c r="N598" s="619"/>
      <c r="O598" s="619"/>
      <c r="P598" s="619"/>
      <c r="Q598" s="619"/>
      <c r="R598" s="619"/>
      <c r="S598" s="619"/>
      <c r="T598" s="619"/>
      <c r="U598" s="619"/>
      <c r="V598" s="619"/>
      <c r="W598" s="619"/>
      <c r="X598" s="619"/>
      <c r="Y598" s="619"/>
      <c r="Z598" s="619"/>
      <c r="AA598" s="619"/>
      <c r="AB598" s="619"/>
      <c r="AC598" s="619"/>
      <c r="AD598" s="619"/>
      <c r="AE598" s="619"/>
      <c r="AF598" s="619"/>
      <c r="AG598" s="619"/>
      <c r="AH598" s="619"/>
      <c r="AI598" s="619"/>
      <c r="AJ598" s="619"/>
      <c r="AK598" s="619"/>
    </row>
    <row r="599" spans="1:37" ht="14.25" customHeight="1">
      <c r="A599" s="619"/>
      <c r="B599" s="619"/>
      <c r="C599" s="4"/>
      <c r="D599" s="619"/>
      <c r="E599" s="619"/>
      <c r="F599" s="619"/>
      <c r="G599" s="619"/>
      <c r="H599" s="619"/>
      <c r="I599" s="619"/>
      <c r="J599" s="619"/>
      <c r="K599" s="619"/>
      <c r="L599" s="619"/>
      <c r="M599" s="619"/>
      <c r="N599" s="619"/>
      <c r="O599" s="619"/>
      <c r="P599" s="619"/>
      <c r="Q599" s="619"/>
      <c r="R599" s="619"/>
      <c r="S599" s="619"/>
      <c r="T599" s="619"/>
      <c r="U599" s="619"/>
      <c r="V599" s="619"/>
      <c r="W599" s="619"/>
      <c r="X599" s="619"/>
      <c r="Y599" s="619"/>
      <c r="Z599" s="619"/>
      <c r="AA599" s="619"/>
      <c r="AB599" s="619"/>
      <c r="AC599" s="619"/>
      <c r="AD599" s="619"/>
      <c r="AE599" s="619"/>
      <c r="AF599" s="619"/>
      <c r="AG599" s="619"/>
      <c r="AH599" s="619"/>
      <c r="AI599" s="619"/>
      <c r="AJ599" s="619"/>
      <c r="AK599" s="619"/>
    </row>
    <row r="600" spans="1:37" ht="14.25" customHeight="1">
      <c r="A600" s="619"/>
      <c r="B600" s="619"/>
      <c r="C600" s="4"/>
      <c r="D600" s="619"/>
      <c r="E600" s="619"/>
      <c r="F600" s="619"/>
      <c r="G600" s="619"/>
      <c r="H600" s="619"/>
      <c r="I600" s="619"/>
      <c r="J600" s="619"/>
      <c r="K600" s="619"/>
      <c r="L600" s="619"/>
      <c r="M600" s="619"/>
      <c r="N600" s="619"/>
      <c r="O600" s="619"/>
      <c r="P600" s="619"/>
      <c r="Q600" s="619"/>
      <c r="R600" s="619"/>
      <c r="S600" s="619"/>
      <c r="T600" s="619"/>
      <c r="U600" s="619"/>
      <c r="V600" s="619"/>
      <c r="W600" s="619"/>
      <c r="X600" s="619"/>
      <c r="Y600" s="619"/>
      <c r="Z600" s="619"/>
      <c r="AA600" s="619"/>
      <c r="AB600" s="619"/>
      <c r="AC600" s="619"/>
      <c r="AD600" s="619"/>
      <c r="AE600" s="619"/>
      <c r="AF600" s="619"/>
      <c r="AG600" s="619"/>
      <c r="AH600" s="619"/>
      <c r="AI600" s="619"/>
      <c r="AJ600" s="619"/>
      <c r="AK600" s="619"/>
    </row>
    <row r="601" spans="1:37" ht="14.25" customHeight="1">
      <c r="A601" s="619"/>
      <c r="B601" s="619"/>
      <c r="C601" s="4"/>
      <c r="D601" s="619"/>
      <c r="E601" s="619"/>
      <c r="F601" s="619"/>
      <c r="G601" s="619"/>
      <c r="H601" s="619"/>
      <c r="I601" s="619"/>
      <c r="J601" s="619"/>
      <c r="K601" s="619"/>
      <c r="L601" s="619"/>
      <c r="M601" s="619"/>
      <c r="N601" s="619"/>
      <c r="O601" s="619"/>
      <c r="P601" s="619"/>
      <c r="Q601" s="619"/>
      <c r="R601" s="619"/>
      <c r="S601" s="619"/>
      <c r="T601" s="619"/>
      <c r="U601" s="619"/>
      <c r="V601" s="619"/>
      <c r="W601" s="619"/>
      <c r="X601" s="619"/>
      <c r="Y601" s="619"/>
      <c r="Z601" s="619"/>
      <c r="AA601" s="619"/>
      <c r="AB601" s="619"/>
      <c r="AC601" s="619"/>
      <c r="AD601" s="619"/>
      <c r="AE601" s="619"/>
      <c r="AF601" s="619"/>
      <c r="AG601" s="619"/>
      <c r="AH601" s="619"/>
      <c r="AI601" s="619"/>
      <c r="AJ601" s="619"/>
      <c r="AK601" s="619"/>
    </row>
    <row r="602" spans="1:37" ht="14.25" customHeight="1">
      <c r="A602" s="619"/>
      <c r="B602" s="619"/>
      <c r="C602" s="4"/>
      <c r="D602" s="619"/>
      <c r="E602" s="619"/>
      <c r="F602" s="619"/>
      <c r="G602" s="619"/>
      <c r="H602" s="619"/>
      <c r="I602" s="619"/>
      <c r="J602" s="619"/>
      <c r="K602" s="619"/>
      <c r="L602" s="619"/>
      <c r="M602" s="619"/>
      <c r="N602" s="619"/>
      <c r="O602" s="619"/>
      <c r="P602" s="619"/>
      <c r="Q602" s="619"/>
      <c r="R602" s="619"/>
      <c r="S602" s="619"/>
      <c r="T602" s="619"/>
      <c r="U602" s="619"/>
      <c r="V602" s="619"/>
      <c r="W602" s="619"/>
      <c r="X602" s="619"/>
      <c r="Y602" s="619"/>
      <c r="Z602" s="619"/>
      <c r="AA602" s="619"/>
      <c r="AB602" s="619"/>
      <c r="AC602" s="619"/>
      <c r="AD602" s="619"/>
      <c r="AE602" s="619"/>
      <c r="AF602" s="619"/>
      <c r="AG602" s="619"/>
      <c r="AH602" s="619"/>
      <c r="AI602" s="619"/>
      <c r="AJ602" s="619"/>
      <c r="AK602" s="619"/>
    </row>
    <row r="603" spans="1:37" ht="14.25" customHeight="1">
      <c r="A603" s="619"/>
      <c r="B603" s="619"/>
      <c r="C603" s="4"/>
      <c r="D603" s="619"/>
      <c r="E603" s="619"/>
      <c r="F603" s="619"/>
      <c r="G603" s="619"/>
      <c r="H603" s="619"/>
      <c r="I603" s="619"/>
      <c r="J603" s="619"/>
      <c r="K603" s="619"/>
      <c r="L603" s="619"/>
      <c r="M603" s="619"/>
      <c r="N603" s="619"/>
      <c r="O603" s="619"/>
      <c r="P603" s="619"/>
      <c r="Q603" s="619"/>
      <c r="R603" s="619"/>
      <c r="S603" s="619"/>
      <c r="T603" s="619"/>
      <c r="U603" s="619"/>
      <c r="V603" s="619"/>
      <c r="W603" s="619"/>
      <c r="X603" s="619"/>
      <c r="Y603" s="619"/>
      <c r="Z603" s="619"/>
      <c r="AA603" s="619"/>
      <c r="AB603" s="619"/>
      <c r="AC603" s="619"/>
      <c r="AD603" s="619"/>
      <c r="AE603" s="619"/>
      <c r="AF603" s="619"/>
      <c r="AG603" s="619"/>
      <c r="AH603" s="619"/>
      <c r="AI603" s="619"/>
      <c r="AJ603" s="619"/>
      <c r="AK603" s="619"/>
    </row>
    <row r="604" spans="1:37" ht="14.25" customHeight="1">
      <c r="A604" s="619"/>
      <c r="B604" s="619"/>
      <c r="C604" s="4"/>
      <c r="D604" s="619"/>
      <c r="E604" s="619"/>
      <c r="F604" s="619"/>
      <c r="G604" s="619"/>
      <c r="H604" s="619"/>
      <c r="I604" s="619"/>
      <c r="J604" s="619"/>
      <c r="K604" s="619"/>
      <c r="L604" s="619"/>
      <c r="M604" s="619"/>
      <c r="N604" s="619"/>
      <c r="O604" s="619"/>
      <c r="P604" s="619"/>
      <c r="Q604" s="619"/>
      <c r="R604" s="619"/>
      <c r="S604" s="619"/>
      <c r="T604" s="619"/>
      <c r="U604" s="619"/>
      <c r="V604" s="619"/>
      <c r="W604" s="619"/>
      <c r="X604" s="619"/>
      <c r="Y604" s="619"/>
      <c r="Z604" s="619"/>
      <c r="AA604" s="619"/>
      <c r="AB604" s="619"/>
      <c r="AC604" s="619"/>
      <c r="AD604" s="619"/>
      <c r="AE604" s="619"/>
      <c r="AF604" s="619"/>
      <c r="AG604" s="619"/>
      <c r="AH604" s="619"/>
      <c r="AI604" s="619"/>
      <c r="AJ604" s="619"/>
      <c r="AK604" s="619"/>
    </row>
    <row r="605" spans="1:37" ht="14.25" customHeight="1">
      <c r="A605" s="619"/>
      <c r="B605" s="619"/>
      <c r="C605" s="4"/>
      <c r="D605" s="619"/>
      <c r="E605" s="619"/>
      <c r="F605" s="619"/>
      <c r="G605" s="619"/>
      <c r="H605" s="619"/>
      <c r="I605" s="619"/>
      <c r="J605" s="619"/>
      <c r="K605" s="619"/>
      <c r="L605" s="619"/>
      <c r="M605" s="619"/>
      <c r="N605" s="619"/>
      <c r="O605" s="619"/>
      <c r="P605" s="619"/>
      <c r="Q605" s="619"/>
      <c r="R605" s="619"/>
      <c r="S605" s="619"/>
      <c r="T605" s="619"/>
      <c r="U605" s="619"/>
      <c r="V605" s="619"/>
      <c r="W605" s="619"/>
      <c r="X605" s="619"/>
      <c r="Y605" s="619"/>
      <c r="Z605" s="619"/>
      <c r="AA605" s="619"/>
      <c r="AB605" s="619"/>
      <c r="AC605" s="619"/>
      <c r="AD605" s="619"/>
      <c r="AE605" s="619"/>
      <c r="AF605" s="619"/>
      <c r="AG605" s="619"/>
      <c r="AH605" s="619"/>
      <c r="AI605" s="619"/>
      <c r="AJ605" s="619"/>
      <c r="AK605" s="619"/>
    </row>
    <row r="606" spans="1:37" ht="14.25" customHeight="1">
      <c r="A606" s="619"/>
      <c r="B606" s="619"/>
      <c r="C606" s="4"/>
      <c r="D606" s="619"/>
      <c r="E606" s="619"/>
      <c r="F606" s="619"/>
      <c r="G606" s="619"/>
      <c r="H606" s="619"/>
      <c r="I606" s="619"/>
      <c r="J606" s="619"/>
      <c r="K606" s="619"/>
      <c r="L606" s="619"/>
      <c r="M606" s="619"/>
      <c r="N606" s="619"/>
      <c r="O606" s="619"/>
      <c r="P606" s="619"/>
      <c r="Q606" s="619"/>
      <c r="R606" s="619"/>
      <c r="S606" s="619"/>
      <c r="T606" s="619"/>
      <c r="U606" s="619"/>
      <c r="V606" s="619"/>
      <c r="W606" s="619"/>
      <c r="X606" s="619"/>
      <c r="Y606" s="619"/>
      <c r="Z606" s="619"/>
      <c r="AA606" s="619"/>
      <c r="AB606" s="619"/>
      <c r="AC606" s="619"/>
      <c r="AD606" s="619"/>
      <c r="AE606" s="619"/>
      <c r="AF606" s="619"/>
      <c r="AG606" s="619"/>
      <c r="AH606" s="619"/>
      <c r="AI606" s="619"/>
      <c r="AJ606" s="619"/>
      <c r="AK606" s="619"/>
    </row>
    <row r="607" spans="1:37" ht="14.25" customHeight="1">
      <c r="A607" s="619"/>
      <c r="B607" s="619"/>
      <c r="C607" s="4"/>
      <c r="D607" s="619"/>
      <c r="E607" s="619"/>
      <c r="F607" s="619"/>
      <c r="G607" s="619"/>
      <c r="H607" s="619"/>
      <c r="I607" s="619"/>
      <c r="J607" s="619"/>
      <c r="K607" s="619"/>
      <c r="L607" s="619"/>
      <c r="M607" s="619"/>
      <c r="N607" s="619"/>
      <c r="O607" s="619"/>
      <c r="P607" s="619"/>
      <c r="Q607" s="619"/>
      <c r="R607" s="619"/>
      <c r="S607" s="619"/>
      <c r="T607" s="619"/>
      <c r="U607" s="619"/>
      <c r="V607" s="619"/>
      <c r="W607" s="619"/>
      <c r="X607" s="619"/>
      <c r="Y607" s="619"/>
      <c r="Z607" s="619"/>
      <c r="AA607" s="619"/>
      <c r="AB607" s="619"/>
      <c r="AC607" s="619"/>
      <c r="AD607" s="619"/>
      <c r="AE607" s="619"/>
      <c r="AF607" s="619"/>
      <c r="AG607" s="619"/>
      <c r="AH607" s="619"/>
      <c r="AI607" s="619"/>
      <c r="AJ607" s="619"/>
      <c r="AK607" s="619"/>
    </row>
    <row r="608" spans="1:37" ht="14.25" customHeight="1">
      <c r="A608" s="619"/>
      <c r="B608" s="619"/>
      <c r="C608" s="4"/>
      <c r="D608" s="619"/>
      <c r="E608" s="619"/>
      <c r="F608" s="619"/>
      <c r="G608" s="619"/>
      <c r="H608" s="619"/>
      <c r="I608" s="619"/>
      <c r="J608" s="619"/>
      <c r="K608" s="619"/>
      <c r="L608" s="619"/>
      <c r="M608" s="619"/>
      <c r="N608" s="619"/>
      <c r="O608" s="619"/>
      <c r="P608" s="619"/>
      <c r="Q608" s="619"/>
      <c r="R608" s="619"/>
      <c r="S608" s="619"/>
      <c r="T608" s="619"/>
      <c r="U608" s="619"/>
      <c r="V608" s="619"/>
      <c r="W608" s="619"/>
      <c r="X608" s="619"/>
      <c r="Y608" s="619"/>
      <c r="Z608" s="619"/>
      <c r="AA608" s="619"/>
      <c r="AB608" s="619"/>
      <c r="AC608" s="619"/>
      <c r="AD608" s="619"/>
      <c r="AE608" s="619"/>
      <c r="AF608" s="619"/>
      <c r="AG608" s="619"/>
      <c r="AH608" s="619"/>
      <c r="AI608" s="619"/>
      <c r="AJ608" s="619"/>
      <c r="AK608" s="619"/>
    </row>
    <row r="609" spans="1:37" ht="14.25" customHeight="1">
      <c r="A609" s="619"/>
      <c r="B609" s="619"/>
      <c r="C609" s="4"/>
      <c r="D609" s="619"/>
      <c r="E609" s="619"/>
      <c r="F609" s="619"/>
      <c r="G609" s="619"/>
      <c r="H609" s="619"/>
      <c r="I609" s="619"/>
      <c r="J609" s="619"/>
      <c r="K609" s="619"/>
      <c r="L609" s="619"/>
      <c r="M609" s="619"/>
      <c r="N609" s="619"/>
      <c r="O609" s="619"/>
      <c r="P609" s="619"/>
      <c r="Q609" s="619"/>
      <c r="R609" s="619"/>
      <c r="S609" s="619"/>
      <c r="T609" s="619"/>
      <c r="U609" s="619"/>
      <c r="V609" s="619"/>
      <c r="W609" s="619"/>
      <c r="X609" s="619"/>
      <c r="Y609" s="619"/>
      <c r="Z609" s="619"/>
      <c r="AA609" s="619"/>
      <c r="AB609" s="619"/>
      <c r="AC609" s="619"/>
      <c r="AD609" s="619"/>
      <c r="AE609" s="619"/>
      <c r="AF609" s="619"/>
      <c r="AG609" s="619"/>
      <c r="AH609" s="619"/>
      <c r="AI609" s="619"/>
      <c r="AJ609" s="619"/>
      <c r="AK609" s="619"/>
    </row>
    <row r="610" spans="1:37" ht="14.25" customHeight="1">
      <c r="A610" s="619"/>
      <c r="B610" s="619"/>
      <c r="C610" s="4"/>
      <c r="D610" s="619"/>
      <c r="E610" s="619"/>
      <c r="F610" s="619"/>
      <c r="G610" s="619"/>
      <c r="H610" s="619"/>
      <c r="I610" s="619"/>
      <c r="J610" s="619"/>
      <c r="K610" s="619"/>
      <c r="L610" s="619"/>
      <c r="M610" s="619"/>
      <c r="N610" s="619"/>
      <c r="O610" s="619"/>
      <c r="P610" s="619"/>
      <c r="Q610" s="619"/>
      <c r="R610" s="619"/>
      <c r="S610" s="619"/>
      <c r="T610" s="619"/>
      <c r="U610" s="619"/>
      <c r="V610" s="619"/>
      <c r="W610" s="619"/>
      <c r="X610" s="619"/>
      <c r="Y610" s="619"/>
      <c r="Z610" s="619"/>
      <c r="AA610" s="619"/>
      <c r="AB610" s="619"/>
      <c r="AC610" s="619"/>
      <c r="AD610" s="619"/>
      <c r="AE610" s="619"/>
      <c r="AF610" s="619"/>
      <c r="AG610" s="619"/>
      <c r="AH610" s="619"/>
      <c r="AI610" s="619"/>
      <c r="AJ610" s="619"/>
      <c r="AK610" s="619"/>
    </row>
    <row r="611" spans="1:37" ht="14.25" customHeight="1">
      <c r="A611" s="619"/>
      <c r="B611" s="619"/>
      <c r="C611" s="4"/>
      <c r="D611" s="619"/>
      <c r="E611" s="619"/>
      <c r="F611" s="619"/>
      <c r="G611" s="619"/>
      <c r="H611" s="619"/>
      <c r="I611" s="619"/>
      <c r="J611" s="619"/>
      <c r="K611" s="619"/>
      <c r="L611" s="619"/>
      <c r="M611" s="619"/>
      <c r="N611" s="619"/>
      <c r="O611" s="619"/>
      <c r="P611" s="619"/>
      <c r="Q611" s="619"/>
      <c r="R611" s="619"/>
      <c r="S611" s="619"/>
      <c r="T611" s="619"/>
      <c r="U611" s="619"/>
      <c r="V611" s="619"/>
      <c r="W611" s="619"/>
      <c r="X611" s="619"/>
      <c r="Y611" s="619"/>
      <c r="Z611" s="619"/>
      <c r="AA611" s="619"/>
      <c r="AB611" s="619"/>
      <c r="AC611" s="619"/>
      <c r="AD611" s="619"/>
      <c r="AE611" s="619"/>
      <c r="AF611" s="619"/>
      <c r="AG611" s="619"/>
      <c r="AH611" s="619"/>
      <c r="AI611" s="619"/>
      <c r="AJ611" s="619"/>
      <c r="AK611" s="619"/>
    </row>
    <row r="612" spans="1:37" ht="14.25" customHeight="1">
      <c r="A612" s="619"/>
      <c r="B612" s="619"/>
      <c r="C612" s="4"/>
      <c r="D612" s="619"/>
      <c r="E612" s="619"/>
      <c r="F612" s="619"/>
      <c r="G612" s="619"/>
      <c r="H612" s="619"/>
      <c r="I612" s="619"/>
      <c r="J612" s="619"/>
      <c r="K612" s="619"/>
      <c r="L612" s="619"/>
      <c r="M612" s="619"/>
      <c r="N612" s="619"/>
      <c r="O612" s="619"/>
      <c r="P612" s="619"/>
      <c r="Q612" s="619"/>
      <c r="R612" s="619"/>
      <c r="S612" s="619"/>
      <c r="T612" s="619"/>
      <c r="U612" s="619"/>
      <c r="V612" s="619"/>
      <c r="W612" s="619"/>
      <c r="X612" s="619"/>
      <c r="Y612" s="619"/>
      <c r="Z612" s="619"/>
      <c r="AA612" s="619"/>
      <c r="AB612" s="619"/>
      <c r="AC612" s="619"/>
      <c r="AD612" s="619"/>
      <c r="AE612" s="619"/>
      <c r="AF612" s="619"/>
      <c r="AG612" s="619"/>
      <c r="AH612" s="619"/>
      <c r="AI612" s="619"/>
      <c r="AJ612" s="619"/>
      <c r="AK612" s="619"/>
    </row>
    <row r="613" spans="1:37" ht="14.25" customHeight="1">
      <c r="A613" s="619"/>
      <c r="B613" s="619"/>
      <c r="C613" s="4"/>
      <c r="D613" s="619"/>
      <c r="E613" s="619"/>
      <c r="F613" s="619"/>
      <c r="G613" s="619"/>
      <c r="H613" s="619"/>
      <c r="I613" s="619"/>
      <c r="J613" s="619"/>
      <c r="K613" s="619"/>
      <c r="L613" s="619"/>
      <c r="M613" s="619"/>
      <c r="N613" s="619"/>
      <c r="O613" s="619"/>
      <c r="P613" s="619"/>
      <c r="Q613" s="619"/>
      <c r="R613" s="619"/>
      <c r="S613" s="619"/>
      <c r="T613" s="619"/>
      <c r="U613" s="619"/>
      <c r="V613" s="619"/>
      <c r="W613" s="619"/>
      <c r="X613" s="619"/>
      <c r="Y613" s="619"/>
      <c r="Z613" s="619"/>
      <c r="AA613" s="619"/>
      <c r="AB613" s="619"/>
      <c r="AC613" s="619"/>
      <c r="AD613" s="619"/>
      <c r="AE613" s="619"/>
      <c r="AF613" s="619"/>
      <c r="AG613" s="619"/>
      <c r="AH613" s="619"/>
      <c r="AI613" s="619"/>
      <c r="AJ613" s="619"/>
      <c r="AK613" s="619"/>
    </row>
    <row r="614" spans="1:37" ht="14.25" customHeight="1">
      <c r="A614" s="619"/>
      <c r="B614" s="619"/>
      <c r="C614" s="4"/>
      <c r="D614" s="619"/>
      <c r="E614" s="619"/>
      <c r="F614" s="619"/>
      <c r="G614" s="619"/>
      <c r="H614" s="619"/>
      <c r="I614" s="619"/>
      <c r="J614" s="619"/>
      <c r="K614" s="619"/>
      <c r="L614" s="619"/>
      <c r="M614" s="619"/>
      <c r="N614" s="619"/>
      <c r="O614" s="619"/>
      <c r="P614" s="619"/>
      <c r="Q614" s="619"/>
      <c r="R614" s="619"/>
      <c r="S614" s="619"/>
      <c r="T614" s="619"/>
      <c r="U614" s="619"/>
      <c r="V614" s="619"/>
      <c r="W614" s="619"/>
      <c r="X614" s="619"/>
      <c r="Y614" s="619"/>
      <c r="Z614" s="619"/>
      <c r="AA614" s="619"/>
      <c r="AB614" s="619"/>
      <c r="AC614" s="619"/>
      <c r="AD614" s="619"/>
      <c r="AE614" s="619"/>
      <c r="AF614" s="619"/>
      <c r="AG614" s="619"/>
      <c r="AH614" s="619"/>
      <c r="AI614" s="619"/>
      <c r="AJ614" s="619"/>
      <c r="AK614" s="619"/>
    </row>
    <row r="615" spans="1:37" ht="14.25" customHeight="1">
      <c r="A615" s="619"/>
      <c r="B615" s="619"/>
      <c r="C615" s="4"/>
      <c r="D615" s="619"/>
      <c r="E615" s="619"/>
      <c r="F615" s="619"/>
      <c r="G615" s="619"/>
      <c r="H615" s="619"/>
      <c r="I615" s="619"/>
      <c r="J615" s="619"/>
      <c r="K615" s="619"/>
      <c r="L615" s="619"/>
      <c r="M615" s="619"/>
      <c r="N615" s="619"/>
      <c r="O615" s="619"/>
      <c r="P615" s="619"/>
      <c r="Q615" s="619"/>
      <c r="R615" s="619"/>
      <c r="S615" s="619"/>
      <c r="T615" s="619"/>
      <c r="U615" s="619"/>
      <c r="V615" s="619"/>
      <c r="W615" s="619"/>
      <c r="X615" s="619"/>
      <c r="Y615" s="619"/>
      <c r="Z615" s="619"/>
      <c r="AA615" s="619"/>
      <c r="AB615" s="619"/>
      <c r="AC615" s="619"/>
      <c r="AD615" s="619"/>
      <c r="AE615" s="619"/>
      <c r="AF615" s="619"/>
      <c r="AG615" s="619"/>
      <c r="AH615" s="619"/>
      <c r="AI615" s="619"/>
      <c r="AJ615" s="619"/>
      <c r="AK615" s="619"/>
    </row>
    <row r="616" spans="1:37" ht="14.25" customHeight="1">
      <c r="A616" s="619"/>
      <c r="B616" s="619"/>
      <c r="C616" s="4"/>
      <c r="D616" s="619"/>
      <c r="E616" s="619"/>
      <c r="F616" s="619"/>
      <c r="G616" s="619"/>
      <c r="H616" s="619"/>
      <c r="I616" s="619"/>
      <c r="J616" s="619"/>
      <c r="K616" s="619"/>
      <c r="L616" s="619"/>
      <c r="M616" s="619"/>
      <c r="N616" s="619"/>
      <c r="O616" s="619"/>
      <c r="P616" s="619"/>
      <c r="Q616" s="619"/>
      <c r="R616" s="619"/>
      <c r="S616" s="619"/>
      <c r="T616" s="619"/>
      <c r="U616" s="619"/>
      <c r="V616" s="619"/>
      <c r="W616" s="619"/>
      <c r="X616" s="619"/>
      <c r="Y616" s="619"/>
      <c r="Z616" s="619"/>
      <c r="AA616" s="619"/>
      <c r="AB616" s="619"/>
      <c r="AC616" s="619"/>
      <c r="AD616" s="619"/>
      <c r="AE616" s="619"/>
      <c r="AF616" s="619"/>
      <c r="AG616" s="619"/>
      <c r="AH616" s="619"/>
      <c r="AI616" s="619"/>
      <c r="AJ616" s="619"/>
      <c r="AK616" s="619"/>
    </row>
    <row r="617" spans="1:37" ht="14.25" customHeight="1">
      <c r="A617" s="619"/>
      <c r="B617" s="619"/>
      <c r="C617" s="4"/>
      <c r="D617" s="619"/>
      <c r="E617" s="619"/>
      <c r="F617" s="619"/>
      <c r="G617" s="619"/>
      <c r="H617" s="619"/>
      <c r="I617" s="619"/>
      <c r="J617" s="619"/>
      <c r="K617" s="619"/>
      <c r="L617" s="619"/>
      <c r="M617" s="619"/>
      <c r="N617" s="619"/>
      <c r="O617" s="619"/>
      <c r="P617" s="619"/>
      <c r="Q617" s="619"/>
      <c r="R617" s="619"/>
      <c r="S617" s="619"/>
      <c r="T617" s="619"/>
      <c r="U617" s="619"/>
      <c r="V617" s="619"/>
      <c r="W617" s="619"/>
      <c r="X617" s="619"/>
      <c r="Y617" s="619"/>
      <c r="Z617" s="619"/>
      <c r="AA617" s="619"/>
      <c r="AB617" s="619"/>
      <c r="AC617" s="619"/>
      <c r="AD617" s="619"/>
      <c r="AE617" s="619"/>
      <c r="AF617" s="619"/>
      <c r="AG617" s="619"/>
      <c r="AH617" s="619"/>
      <c r="AI617" s="619"/>
      <c r="AJ617" s="619"/>
      <c r="AK617" s="619"/>
    </row>
    <row r="618" spans="1:37" ht="14.25" customHeight="1">
      <c r="A618" s="619"/>
      <c r="B618" s="619"/>
      <c r="C618" s="4"/>
      <c r="D618" s="619"/>
      <c r="E618" s="619"/>
      <c r="F618" s="619"/>
      <c r="G618" s="619"/>
      <c r="H618" s="619"/>
      <c r="I618" s="619"/>
      <c r="J618" s="619"/>
      <c r="K618" s="619"/>
      <c r="L618" s="619"/>
      <c r="M618" s="619"/>
      <c r="N618" s="619"/>
      <c r="O618" s="619"/>
      <c r="P618" s="619"/>
      <c r="Q618" s="619"/>
      <c r="R618" s="619"/>
      <c r="S618" s="619"/>
      <c r="T618" s="619"/>
      <c r="U618" s="619"/>
      <c r="V618" s="619"/>
      <c r="W618" s="619"/>
      <c r="X618" s="619"/>
      <c r="Y618" s="619"/>
      <c r="Z618" s="619"/>
      <c r="AA618" s="619"/>
      <c r="AB618" s="619"/>
      <c r="AC618" s="619"/>
      <c r="AD618" s="619"/>
      <c r="AE618" s="619"/>
      <c r="AF618" s="619"/>
      <c r="AG618" s="619"/>
      <c r="AH618" s="619"/>
      <c r="AI618" s="619"/>
      <c r="AJ618" s="619"/>
      <c r="AK618" s="619"/>
    </row>
    <row r="619" spans="1:37" ht="14.25" customHeight="1">
      <c r="A619" s="619"/>
      <c r="B619" s="619"/>
      <c r="C619" s="4"/>
      <c r="D619" s="619"/>
      <c r="E619" s="619"/>
      <c r="F619" s="619"/>
      <c r="G619" s="619"/>
      <c r="H619" s="619"/>
      <c r="I619" s="619"/>
      <c r="J619" s="619"/>
      <c r="K619" s="619"/>
      <c r="L619" s="619"/>
      <c r="M619" s="619"/>
      <c r="N619" s="619"/>
      <c r="O619" s="619"/>
      <c r="P619" s="619"/>
      <c r="Q619" s="619"/>
      <c r="R619" s="619"/>
      <c r="S619" s="619"/>
      <c r="T619" s="619"/>
      <c r="U619" s="619"/>
      <c r="V619" s="619"/>
      <c r="W619" s="619"/>
      <c r="X619" s="619"/>
      <c r="Y619" s="619"/>
      <c r="Z619" s="619"/>
      <c r="AA619" s="619"/>
      <c r="AB619" s="619"/>
      <c r="AC619" s="619"/>
      <c r="AD619" s="619"/>
      <c r="AE619" s="619"/>
      <c r="AF619" s="619"/>
      <c r="AG619" s="619"/>
      <c r="AH619" s="619"/>
      <c r="AI619" s="619"/>
      <c r="AJ619" s="619"/>
      <c r="AK619" s="619"/>
    </row>
    <row r="620" spans="1:37" ht="14.25" customHeight="1">
      <c r="A620" s="619"/>
      <c r="B620" s="619"/>
      <c r="C620" s="4"/>
      <c r="D620" s="619"/>
      <c r="E620" s="619"/>
      <c r="F620" s="619"/>
      <c r="G620" s="619"/>
      <c r="H620" s="619"/>
      <c r="I620" s="619"/>
      <c r="J620" s="619"/>
      <c r="K620" s="619"/>
      <c r="L620" s="619"/>
      <c r="M620" s="619"/>
      <c r="N620" s="619"/>
      <c r="O620" s="619"/>
      <c r="P620" s="619"/>
      <c r="Q620" s="619"/>
      <c r="R620" s="619"/>
      <c r="S620" s="619"/>
      <c r="T620" s="619"/>
      <c r="U620" s="619"/>
      <c r="V620" s="619"/>
      <c r="W620" s="619"/>
      <c r="X620" s="619"/>
      <c r="Y620" s="619"/>
      <c r="Z620" s="619"/>
      <c r="AA620" s="619"/>
      <c r="AB620" s="619"/>
      <c r="AC620" s="619"/>
      <c r="AD620" s="619"/>
      <c r="AE620" s="619"/>
      <c r="AF620" s="619"/>
      <c r="AG620" s="619"/>
      <c r="AH620" s="619"/>
      <c r="AI620" s="619"/>
      <c r="AJ620" s="619"/>
      <c r="AK620" s="619"/>
    </row>
    <row r="621" spans="1:37" ht="14.25" customHeight="1">
      <c r="A621" s="619"/>
      <c r="B621" s="619"/>
      <c r="C621" s="4"/>
      <c r="D621" s="619"/>
      <c r="E621" s="619"/>
      <c r="F621" s="619"/>
      <c r="G621" s="619"/>
      <c r="H621" s="619"/>
      <c r="I621" s="619"/>
      <c r="J621" s="619"/>
      <c r="K621" s="619"/>
      <c r="L621" s="619"/>
      <c r="M621" s="619"/>
      <c r="N621" s="619"/>
      <c r="O621" s="619"/>
      <c r="P621" s="619"/>
      <c r="Q621" s="619"/>
      <c r="R621" s="619"/>
      <c r="S621" s="619"/>
      <c r="T621" s="619"/>
      <c r="U621" s="619"/>
      <c r="V621" s="619"/>
      <c r="W621" s="619"/>
      <c r="X621" s="619"/>
      <c r="Y621" s="619"/>
      <c r="Z621" s="619"/>
      <c r="AA621" s="619"/>
      <c r="AB621" s="619"/>
      <c r="AC621" s="619"/>
      <c r="AD621" s="619"/>
      <c r="AE621" s="619"/>
      <c r="AF621" s="619"/>
      <c r="AG621" s="619"/>
      <c r="AH621" s="619"/>
      <c r="AI621" s="619"/>
      <c r="AJ621" s="619"/>
      <c r="AK621" s="619"/>
    </row>
    <row r="622" spans="1:37" ht="14.25" customHeight="1">
      <c r="A622" s="619"/>
      <c r="B622" s="619"/>
      <c r="C622" s="4"/>
      <c r="D622" s="619"/>
      <c r="E622" s="619"/>
      <c r="F622" s="619"/>
      <c r="G622" s="619"/>
      <c r="H622" s="619"/>
      <c r="I622" s="619"/>
      <c r="J622" s="619"/>
      <c r="K622" s="619"/>
      <c r="L622" s="619"/>
      <c r="M622" s="619"/>
      <c r="N622" s="619"/>
      <c r="O622" s="619"/>
      <c r="P622" s="619"/>
      <c r="Q622" s="619"/>
      <c r="R622" s="619"/>
      <c r="S622" s="619"/>
      <c r="T622" s="619"/>
      <c r="U622" s="619"/>
      <c r="V622" s="619"/>
      <c r="W622" s="619"/>
      <c r="X622" s="619"/>
      <c r="Y622" s="619"/>
      <c r="Z622" s="619"/>
      <c r="AA622" s="619"/>
      <c r="AB622" s="619"/>
      <c r="AC622" s="619"/>
      <c r="AD622" s="619"/>
      <c r="AE622" s="619"/>
      <c r="AF622" s="619"/>
      <c r="AG622" s="619"/>
      <c r="AH622" s="619"/>
      <c r="AI622" s="619"/>
      <c r="AJ622" s="619"/>
      <c r="AK622" s="619"/>
    </row>
    <row r="623" spans="1:37" ht="14.25" customHeight="1">
      <c r="A623" s="619"/>
      <c r="B623" s="619"/>
      <c r="C623" s="4"/>
      <c r="D623" s="619"/>
      <c r="E623" s="619"/>
      <c r="F623" s="619"/>
      <c r="G623" s="619"/>
      <c r="H623" s="619"/>
      <c r="I623" s="619"/>
      <c r="J623" s="619"/>
      <c r="K623" s="619"/>
      <c r="L623" s="619"/>
      <c r="M623" s="619"/>
      <c r="N623" s="619"/>
      <c r="O623" s="619"/>
      <c r="P623" s="619"/>
      <c r="Q623" s="619"/>
      <c r="R623" s="619"/>
      <c r="S623" s="619"/>
      <c r="T623" s="619"/>
      <c r="U623" s="619"/>
      <c r="V623" s="619"/>
      <c r="W623" s="619"/>
      <c r="X623" s="619"/>
      <c r="Y623" s="619"/>
      <c r="Z623" s="619"/>
      <c r="AA623" s="619"/>
      <c r="AB623" s="619"/>
      <c r="AC623" s="619"/>
      <c r="AD623" s="619"/>
      <c r="AE623" s="619"/>
      <c r="AF623" s="619"/>
      <c r="AG623" s="619"/>
      <c r="AH623" s="619"/>
      <c r="AI623" s="619"/>
      <c r="AJ623" s="619"/>
      <c r="AK623" s="619"/>
    </row>
    <row r="624" spans="1:37" ht="14.25" customHeight="1">
      <c r="A624" s="619"/>
      <c r="B624" s="619"/>
      <c r="C624" s="4"/>
      <c r="D624" s="619"/>
      <c r="E624" s="619"/>
      <c r="F624" s="619"/>
      <c r="G624" s="619"/>
      <c r="H624" s="619"/>
      <c r="I624" s="619"/>
      <c r="J624" s="619"/>
      <c r="K624" s="619"/>
      <c r="L624" s="619"/>
      <c r="M624" s="619"/>
      <c r="N624" s="619"/>
      <c r="O624" s="619"/>
      <c r="P624" s="619"/>
      <c r="Q624" s="619"/>
      <c r="R624" s="619"/>
      <c r="S624" s="619"/>
      <c r="T624" s="619"/>
      <c r="U624" s="619"/>
      <c r="V624" s="619"/>
      <c r="W624" s="619"/>
      <c r="X624" s="619"/>
      <c r="Y624" s="619"/>
      <c r="Z624" s="619"/>
      <c r="AA624" s="619"/>
      <c r="AB624" s="619"/>
      <c r="AC624" s="619"/>
      <c r="AD624" s="619"/>
      <c r="AE624" s="619"/>
      <c r="AF624" s="619"/>
      <c r="AG624" s="619"/>
      <c r="AH624" s="619"/>
      <c r="AI624" s="619"/>
      <c r="AJ624" s="619"/>
      <c r="AK624" s="619"/>
    </row>
    <row r="625" spans="1:37" ht="14.25" customHeight="1">
      <c r="A625" s="619"/>
      <c r="B625" s="619"/>
      <c r="C625" s="4"/>
      <c r="D625" s="619"/>
      <c r="E625" s="619"/>
      <c r="F625" s="619"/>
      <c r="G625" s="619"/>
      <c r="H625" s="619"/>
      <c r="I625" s="619"/>
      <c r="J625" s="619"/>
      <c r="K625" s="619"/>
      <c r="L625" s="619"/>
      <c r="M625" s="619"/>
      <c r="N625" s="619"/>
      <c r="O625" s="619"/>
      <c r="P625" s="619"/>
      <c r="Q625" s="619"/>
      <c r="R625" s="619"/>
      <c r="S625" s="619"/>
      <c r="T625" s="619"/>
      <c r="U625" s="619"/>
      <c r="V625" s="619"/>
      <c r="W625" s="619"/>
      <c r="X625" s="619"/>
      <c r="Y625" s="619"/>
      <c r="Z625" s="619"/>
      <c r="AA625" s="619"/>
      <c r="AB625" s="619"/>
      <c r="AC625" s="619"/>
      <c r="AD625" s="619"/>
      <c r="AE625" s="619"/>
      <c r="AF625" s="619"/>
      <c r="AG625" s="619"/>
      <c r="AH625" s="619"/>
      <c r="AI625" s="619"/>
      <c r="AJ625" s="619"/>
      <c r="AK625" s="619"/>
    </row>
    <row r="626" spans="1:37" ht="14.25" customHeight="1">
      <c r="A626" s="619"/>
      <c r="B626" s="619"/>
      <c r="C626" s="4"/>
      <c r="D626" s="619"/>
      <c r="E626" s="619"/>
      <c r="F626" s="619"/>
      <c r="G626" s="619"/>
      <c r="H626" s="619"/>
      <c r="I626" s="619"/>
      <c r="J626" s="619"/>
      <c r="K626" s="619"/>
      <c r="L626" s="619"/>
      <c r="M626" s="619"/>
      <c r="N626" s="619"/>
      <c r="O626" s="619"/>
      <c r="P626" s="619"/>
      <c r="Q626" s="619"/>
      <c r="R626" s="619"/>
      <c r="S626" s="619"/>
      <c r="T626" s="619"/>
      <c r="U626" s="619"/>
      <c r="V626" s="619"/>
      <c r="W626" s="619"/>
      <c r="X626" s="619"/>
      <c r="Y626" s="619"/>
      <c r="Z626" s="619"/>
      <c r="AA626" s="619"/>
      <c r="AB626" s="619"/>
      <c r="AC626" s="619"/>
      <c r="AD626" s="619"/>
      <c r="AE626" s="619"/>
      <c r="AF626" s="619"/>
      <c r="AG626" s="619"/>
      <c r="AH626" s="619"/>
      <c r="AI626" s="619"/>
      <c r="AJ626" s="619"/>
      <c r="AK626" s="619"/>
    </row>
    <row r="627" spans="1:37" ht="14.25" customHeight="1">
      <c r="A627" s="619"/>
      <c r="B627" s="619"/>
      <c r="C627" s="4"/>
      <c r="D627" s="619"/>
      <c r="E627" s="619"/>
      <c r="F627" s="619"/>
      <c r="G627" s="619"/>
      <c r="H627" s="619"/>
      <c r="I627" s="619"/>
      <c r="J627" s="619"/>
      <c r="K627" s="619"/>
      <c r="L627" s="619"/>
      <c r="M627" s="619"/>
      <c r="N627" s="619"/>
      <c r="O627" s="619"/>
      <c r="P627" s="619"/>
      <c r="Q627" s="619"/>
      <c r="R627" s="619"/>
      <c r="S627" s="619"/>
      <c r="T627" s="619"/>
      <c r="U627" s="619"/>
      <c r="V627" s="619"/>
      <c r="W627" s="619"/>
      <c r="X627" s="619"/>
      <c r="Y627" s="619"/>
      <c r="Z627" s="619"/>
      <c r="AA627" s="619"/>
      <c r="AB627" s="619"/>
      <c r="AC627" s="619"/>
      <c r="AD627" s="619"/>
      <c r="AE627" s="619"/>
      <c r="AF627" s="619"/>
      <c r="AG627" s="619"/>
      <c r="AH627" s="619"/>
      <c r="AI627" s="619"/>
      <c r="AJ627" s="619"/>
      <c r="AK627" s="619"/>
    </row>
    <row r="628" spans="1:37" ht="14.25" customHeight="1">
      <c r="A628" s="619"/>
      <c r="B628" s="619"/>
      <c r="C628" s="4"/>
      <c r="D628" s="619"/>
      <c r="E628" s="619"/>
      <c r="F628" s="619"/>
      <c r="G628" s="619"/>
      <c r="H628" s="619"/>
      <c r="I628" s="619"/>
      <c r="J628" s="619"/>
      <c r="K628" s="619"/>
      <c r="L628" s="619"/>
      <c r="M628" s="619"/>
      <c r="N628" s="619"/>
      <c r="O628" s="619"/>
      <c r="P628" s="619"/>
      <c r="Q628" s="619"/>
      <c r="R628" s="619"/>
      <c r="S628" s="619"/>
      <c r="T628" s="619"/>
      <c r="U628" s="619"/>
      <c r="V628" s="619"/>
      <c r="W628" s="619"/>
      <c r="X628" s="619"/>
      <c r="Y628" s="619"/>
      <c r="Z628" s="619"/>
      <c r="AA628" s="619"/>
      <c r="AB628" s="619"/>
      <c r="AC628" s="619"/>
      <c r="AD628" s="619"/>
      <c r="AE628" s="619"/>
      <c r="AF628" s="619"/>
      <c r="AG628" s="619"/>
      <c r="AH628" s="619"/>
      <c r="AI628" s="619"/>
      <c r="AJ628" s="619"/>
      <c r="AK628" s="619"/>
    </row>
    <row r="629" spans="1:37" ht="14.25" customHeight="1">
      <c r="A629" s="619"/>
      <c r="B629" s="619"/>
      <c r="C629" s="4"/>
      <c r="D629" s="619"/>
      <c r="E629" s="619"/>
      <c r="F629" s="619"/>
      <c r="G629" s="619"/>
      <c r="H629" s="619"/>
      <c r="I629" s="619"/>
      <c r="J629" s="619"/>
      <c r="K629" s="619"/>
      <c r="L629" s="619"/>
      <c r="M629" s="619"/>
      <c r="N629" s="619"/>
      <c r="O629" s="619"/>
      <c r="P629" s="619"/>
      <c r="Q629" s="619"/>
      <c r="R629" s="619"/>
      <c r="S629" s="619"/>
      <c r="T629" s="619"/>
      <c r="U629" s="619"/>
      <c r="V629" s="619"/>
      <c r="W629" s="619"/>
      <c r="X629" s="619"/>
      <c r="Y629" s="619"/>
      <c r="Z629" s="619"/>
      <c r="AA629" s="619"/>
      <c r="AB629" s="619"/>
      <c r="AC629" s="619"/>
      <c r="AD629" s="619"/>
      <c r="AE629" s="619"/>
      <c r="AF629" s="619"/>
      <c r="AG629" s="619"/>
      <c r="AH629" s="619"/>
      <c r="AI629" s="619"/>
      <c r="AJ629" s="619"/>
      <c r="AK629" s="619"/>
    </row>
    <row r="630" spans="1:37" ht="14.25" customHeight="1">
      <c r="A630" s="619"/>
      <c r="B630" s="619"/>
      <c r="C630" s="4"/>
      <c r="D630" s="619"/>
      <c r="E630" s="619"/>
      <c r="F630" s="619"/>
      <c r="G630" s="619"/>
      <c r="H630" s="619"/>
      <c r="I630" s="619"/>
      <c r="J630" s="619"/>
      <c r="K630" s="619"/>
      <c r="L630" s="619"/>
      <c r="M630" s="619"/>
      <c r="N630" s="619"/>
      <c r="O630" s="619"/>
      <c r="P630" s="619"/>
      <c r="Q630" s="619"/>
      <c r="R630" s="619"/>
      <c r="S630" s="619"/>
      <c r="T630" s="619"/>
      <c r="U630" s="619"/>
      <c r="V630" s="619"/>
      <c r="W630" s="619"/>
      <c r="X630" s="619"/>
      <c r="Y630" s="619"/>
      <c r="Z630" s="619"/>
      <c r="AA630" s="619"/>
      <c r="AB630" s="619"/>
      <c r="AC630" s="619"/>
      <c r="AD630" s="619"/>
      <c r="AE630" s="619"/>
      <c r="AF630" s="619"/>
      <c r="AG630" s="619"/>
      <c r="AH630" s="619"/>
      <c r="AI630" s="619"/>
      <c r="AJ630" s="619"/>
      <c r="AK630" s="619"/>
    </row>
    <row r="631" spans="1:37" ht="14.25" customHeight="1">
      <c r="A631" s="619"/>
      <c r="B631" s="619"/>
      <c r="C631" s="4"/>
      <c r="D631" s="619"/>
      <c r="E631" s="619"/>
      <c r="F631" s="619"/>
      <c r="G631" s="619"/>
      <c r="H631" s="619"/>
      <c r="I631" s="619"/>
      <c r="J631" s="619"/>
      <c r="K631" s="619"/>
      <c r="L631" s="619"/>
      <c r="M631" s="619"/>
      <c r="N631" s="619"/>
      <c r="O631" s="619"/>
      <c r="P631" s="619"/>
      <c r="Q631" s="619"/>
      <c r="R631" s="619"/>
      <c r="S631" s="619"/>
      <c r="T631" s="619"/>
      <c r="U631" s="619"/>
      <c r="V631" s="619"/>
      <c r="W631" s="619"/>
      <c r="X631" s="619"/>
      <c r="Y631" s="619"/>
      <c r="Z631" s="619"/>
      <c r="AA631" s="619"/>
      <c r="AB631" s="619"/>
      <c r="AC631" s="619"/>
      <c r="AD631" s="619"/>
      <c r="AE631" s="619"/>
      <c r="AF631" s="619"/>
      <c r="AG631" s="619"/>
      <c r="AH631" s="619"/>
      <c r="AI631" s="619"/>
      <c r="AJ631" s="619"/>
      <c r="AK631" s="619"/>
    </row>
    <row r="632" spans="1:37" ht="14.25" customHeight="1">
      <c r="A632" s="619"/>
      <c r="B632" s="619"/>
      <c r="C632" s="4"/>
      <c r="D632" s="619"/>
      <c r="E632" s="619"/>
      <c r="F632" s="619"/>
      <c r="G632" s="619"/>
      <c r="H632" s="619"/>
      <c r="I632" s="619"/>
      <c r="J632" s="619"/>
      <c r="K632" s="619"/>
      <c r="L632" s="619"/>
      <c r="M632" s="619"/>
      <c r="N632" s="619"/>
      <c r="O632" s="619"/>
      <c r="P632" s="619"/>
      <c r="Q632" s="619"/>
      <c r="R632" s="619"/>
      <c r="S632" s="619"/>
      <c r="T632" s="619"/>
      <c r="U632" s="619"/>
      <c r="V632" s="619"/>
      <c r="W632" s="619"/>
      <c r="X632" s="619"/>
      <c r="Y632" s="619"/>
      <c r="Z632" s="619"/>
      <c r="AA632" s="619"/>
      <c r="AB632" s="619"/>
      <c r="AC632" s="619"/>
      <c r="AD632" s="619"/>
      <c r="AE632" s="619"/>
      <c r="AF632" s="619"/>
      <c r="AG632" s="619"/>
      <c r="AH632" s="619"/>
      <c r="AI632" s="619"/>
      <c r="AJ632" s="619"/>
      <c r="AK632" s="619"/>
    </row>
    <row r="633" spans="1:37" ht="14.25" customHeight="1">
      <c r="A633" s="619"/>
      <c r="B633" s="619"/>
      <c r="C633" s="4"/>
      <c r="D633" s="619"/>
      <c r="E633" s="619"/>
      <c r="F633" s="619"/>
      <c r="G633" s="619"/>
      <c r="H633" s="619"/>
      <c r="I633" s="619"/>
      <c r="J633" s="619"/>
      <c r="K633" s="619"/>
      <c r="L633" s="619"/>
      <c r="M633" s="619"/>
      <c r="N633" s="619"/>
      <c r="O633" s="619"/>
      <c r="P633" s="619"/>
      <c r="Q633" s="619"/>
      <c r="R633" s="619"/>
      <c r="S633" s="619"/>
      <c r="T633" s="619"/>
      <c r="U633" s="619"/>
      <c r="V633" s="619"/>
      <c r="W633" s="619"/>
      <c r="X633" s="619"/>
      <c r="Y633" s="619"/>
      <c r="Z633" s="619"/>
      <c r="AA633" s="619"/>
      <c r="AB633" s="619"/>
      <c r="AC633" s="619"/>
      <c r="AD633" s="619"/>
      <c r="AE633" s="619"/>
      <c r="AF633" s="619"/>
      <c r="AG633" s="619"/>
      <c r="AH633" s="619"/>
      <c r="AI633" s="619"/>
      <c r="AJ633" s="619"/>
      <c r="AK633" s="619"/>
    </row>
    <row r="634" spans="1:37" ht="14.25" customHeight="1">
      <c r="A634" s="619"/>
      <c r="B634" s="619"/>
      <c r="C634" s="4"/>
      <c r="D634" s="619"/>
      <c r="E634" s="619"/>
      <c r="F634" s="619"/>
      <c r="G634" s="619"/>
      <c r="H634" s="619"/>
      <c r="I634" s="619"/>
      <c r="J634" s="619"/>
      <c r="K634" s="619"/>
      <c r="L634" s="619"/>
      <c r="M634" s="619"/>
      <c r="N634" s="619"/>
      <c r="O634" s="619"/>
      <c r="P634" s="619"/>
      <c r="Q634" s="619"/>
      <c r="R634" s="619"/>
      <c r="S634" s="619"/>
      <c r="T634" s="619"/>
      <c r="U634" s="619"/>
      <c r="V634" s="619"/>
      <c r="W634" s="619"/>
      <c r="X634" s="619"/>
      <c r="Y634" s="619"/>
      <c r="Z634" s="619"/>
      <c r="AA634" s="619"/>
      <c r="AB634" s="619"/>
      <c r="AC634" s="619"/>
      <c r="AD634" s="619"/>
      <c r="AE634" s="619"/>
      <c r="AF634" s="619"/>
      <c r="AG634" s="619"/>
      <c r="AH634" s="619"/>
      <c r="AI634" s="619"/>
      <c r="AJ634" s="619"/>
      <c r="AK634" s="619"/>
    </row>
    <row r="635" spans="1:37" ht="14.25" customHeight="1">
      <c r="A635" s="619"/>
      <c r="B635" s="619"/>
      <c r="C635" s="4"/>
      <c r="D635" s="619"/>
      <c r="E635" s="619"/>
      <c r="F635" s="619"/>
      <c r="G635" s="619"/>
      <c r="H635" s="619"/>
      <c r="I635" s="619"/>
      <c r="J635" s="619"/>
      <c r="K635" s="619"/>
      <c r="L635" s="619"/>
      <c r="M635" s="619"/>
      <c r="N635" s="619"/>
      <c r="O635" s="619"/>
      <c r="P635" s="619"/>
      <c r="Q635" s="619"/>
      <c r="R635" s="619"/>
      <c r="S635" s="619"/>
      <c r="T635" s="619"/>
      <c r="U635" s="619"/>
      <c r="V635" s="619"/>
      <c r="W635" s="619"/>
      <c r="X635" s="619"/>
      <c r="Y635" s="619"/>
      <c r="Z635" s="619"/>
      <c r="AA635" s="619"/>
      <c r="AB635" s="619"/>
      <c r="AC635" s="619"/>
      <c r="AD635" s="619"/>
      <c r="AE635" s="619"/>
      <c r="AF635" s="619"/>
      <c r="AG635" s="619"/>
      <c r="AH635" s="619"/>
      <c r="AI635" s="619"/>
      <c r="AJ635" s="619"/>
      <c r="AK635" s="619"/>
    </row>
    <row r="636" spans="1:37" ht="14.25" customHeight="1">
      <c r="A636" s="619"/>
      <c r="B636" s="619"/>
      <c r="C636" s="4"/>
      <c r="D636" s="619"/>
      <c r="E636" s="619"/>
      <c r="F636" s="619"/>
      <c r="G636" s="619"/>
      <c r="H636" s="619"/>
      <c r="I636" s="619"/>
      <c r="J636" s="619"/>
      <c r="K636" s="619"/>
      <c r="L636" s="619"/>
      <c r="M636" s="619"/>
      <c r="N636" s="619"/>
      <c r="O636" s="619"/>
      <c r="P636" s="619"/>
      <c r="Q636" s="619"/>
      <c r="R636" s="619"/>
      <c r="S636" s="619"/>
      <c r="T636" s="619"/>
      <c r="U636" s="619"/>
      <c r="V636" s="619"/>
      <c r="W636" s="619"/>
      <c r="X636" s="619"/>
      <c r="Y636" s="619"/>
      <c r="Z636" s="619"/>
      <c r="AA636" s="619"/>
      <c r="AB636" s="619"/>
      <c r="AC636" s="619"/>
      <c r="AD636" s="619"/>
      <c r="AE636" s="619"/>
      <c r="AF636" s="619"/>
      <c r="AG636" s="619"/>
      <c r="AH636" s="619"/>
      <c r="AI636" s="619"/>
      <c r="AJ636" s="619"/>
      <c r="AK636" s="619"/>
    </row>
    <row r="637" spans="1:37" ht="14.25" customHeight="1">
      <c r="A637" s="619"/>
      <c r="B637" s="619"/>
      <c r="C637" s="4"/>
      <c r="D637" s="619"/>
      <c r="E637" s="619"/>
      <c r="F637" s="619"/>
      <c r="G637" s="619"/>
      <c r="H637" s="619"/>
      <c r="I637" s="619"/>
      <c r="J637" s="619"/>
      <c r="K637" s="619"/>
      <c r="L637" s="619"/>
      <c r="M637" s="619"/>
      <c r="N637" s="619"/>
      <c r="O637" s="619"/>
      <c r="P637" s="619"/>
      <c r="Q637" s="619"/>
      <c r="R637" s="619"/>
      <c r="S637" s="619"/>
      <c r="T637" s="619"/>
      <c r="U637" s="619"/>
      <c r="V637" s="619"/>
      <c r="W637" s="619"/>
      <c r="X637" s="619"/>
      <c r="Y637" s="619"/>
      <c r="Z637" s="619"/>
      <c r="AA637" s="619"/>
      <c r="AB637" s="619"/>
      <c r="AC637" s="619"/>
      <c r="AD637" s="619"/>
      <c r="AE637" s="619"/>
      <c r="AF637" s="619"/>
      <c r="AG637" s="619"/>
      <c r="AH637" s="619"/>
      <c r="AI637" s="619"/>
      <c r="AJ637" s="619"/>
      <c r="AK637" s="619"/>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row r="1014" spans="1:37"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row>
    <row r="1015" spans="1:37"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row>
    <row r="1016" spans="1:37"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row>
    <row r="1017" spans="1:37"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row>
    <row r="1018" spans="1:37"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row>
    <row r="1019" spans="1:37"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row>
    <row r="1020" spans="1:37"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row>
    <row r="1021" spans="1:37"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row>
    <row r="1022" spans="1:37"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row>
    <row r="1023" spans="1:37"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row>
    <row r="1024" spans="1:37"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row>
    <row r="1025" spans="1:37"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row>
    <row r="1026" spans="1:37"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row>
    <row r="1027" spans="1:37"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row>
    <row r="1028" spans="1:37" ht="15.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row>
    <row r="1029" spans="1:37" ht="15.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row>
    <row r="1030" spans="1:37" ht="15.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row>
    <row r="1031" spans="1:37" ht="15.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row>
    <row r="1032" spans="1:37" ht="15.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row>
    <row r="1033" spans="1:37" ht="15.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row>
    <row r="1034" spans="1:37" ht="15.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row>
    <row r="1035" spans="1:37" ht="15.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row>
    <row r="1036" spans="1:37" ht="15.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row>
    <row r="1037" spans="1:37" ht="15.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row>
    <row r="1038" spans="1:37" ht="15.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row>
    <row r="1039" spans="1:37" ht="15.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row>
    <row r="1040" spans="1:37" ht="15.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row>
    <row r="1041" spans="1:37" ht="15.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row>
    <row r="1042" spans="1:37" ht="15.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row>
    <row r="1043" spans="1:37" ht="15.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row>
    <row r="1044" spans="1:37" ht="15.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row>
    <row r="1045" spans="1:37" ht="15.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row>
    <row r="1046" spans="1:37" ht="15.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row>
    <row r="1047" spans="1:37" ht="15.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row>
    <row r="1048" spans="1:37" ht="15.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row>
    <row r="1049" spans="1:37" ht="15.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row>
    <row r="1050" spans="1:37" ht="15.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row>
    <row r="1051" spans="1:37" ht="15.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row>
    <row r="1052" spans="1:37" ht="15.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row>
    <row r="1053" spans="1:37" ht="15.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row>
    <row r="1054" spans="1:37" ht="15.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row>
    <row r="1055" spans="1:37" ht="15.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row>
    <row r="1056" spans="1:37" ht="15.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row>
    <row r="1057" spans="1:37" ht="15.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row>
    <row r="1058" spans="1:37" ht="15.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row>
    <row r="1059" spans="1:37" ht="15.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row>
    <row r="1060" spans="1:37" ht="15.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row>
    <row r="1061" spans="1:37" ht="15.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row>
    <row r="1062" spans="1:37" ht="15.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row>
    <row r="1063" spans="1:37" ht="15.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row>
    <row r="1064" spans="1:37" ht="15.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row>
    <row r="1065" spans="1:37" ht="15.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row>
    <row r="1066" spans="1:37" ht="15.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row>
    <row r="1067" spans="1:37" ht="15.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row>
    <row r="1068" spans="1:37" ht="15.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row>
    <row r="1069" spans="1:37" ht="15.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row>
    <row r="1070" spans="1:37" ht="15.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row>
    <row r="1071" spans="1:37" ht="15.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row>
  </sheetData>
  <mergeCells count="2">
    <mergeCell ref="B309:B336"/>
    <mergeCell ref="B357:B367"/>
  </mergeCells>
  <hyperlinks>
    <hyperlink ref="C104" location="Google_Sheet_Link_1571033540" display="Nueva capacidad proyectada en los actuales planes de expansión" xr:uid="{00000000-0004-0000-1100-000000000000}"/>
    <hyperlink ref="C204" location="Google_Sheet_Link_1376587179" display="Distribuida eólica [GW]" xr:uid="{00000000-0004-0000-1100-000001000000}"/>
    <hyperlink ref="D382" r:id="rId1" display="https://www.controlrecursosyenergia.gob.ec/wp-content/uploads/downloads/2020/08/Atlas2018.pdf" xr:uid="{00000000-0004-0000-1100-000002000000}"/>
    <hyperlink ref="E382" r:id="rId2" display="https://www.controlrecursosyenergia.gob.ec/wp-content/uploads/downloads/2020/11/Atlas-2019-nuevologo-small.pdf" xr:uid="{00000000-0004-0000-1100-000003000000}"/>
    <hyperlink ref="F382" r:id="rId3" display="https://www.controlrecursosyenergia.gob.ec/wp-content/uploads/downloads/2021/06/Atlas-2020-baja.pdf" xr:uid="{00000000-0004-0000-1100-000004000000}"/>
    <hyperlink ref="G382" r:id="rId4" display="https://www.controlrecursosyenergia.gob.ec/wp-content/uploads/downloads/2022/04/Atlas2021.pdf" xr:uid="{00000000-0004-0000-1100-000005000000}"/>
    <hyperlink ref="C383" r:id="rId5" xr:uid="{00000000-0004-0000-1100-000006000000}"/>
    <hyperlink ref="G384" r:id="rId6" display="https://www.controlrecursosyenergia.gob.ec/wp-content/uploads/downloads/2021/07/RNA-para-publicaci%C3%B3n-actualizado-a-junio.pdf" xr:uid="{00000000-0004-0000-1100-000007000000}"/>
    <hyperlink ref="C386" r:id="rId7" location=":~:text=Uno%20de%20los%20proyectos%20priorizados,el%20compromiso%20del%20cuidado%20ambiental." xr:uid="{00000000-0004-0000-1100-000008000000}"/>
    <hyperlink ref="D387" r:id="rId8" display="https://www.controlrecursosyenergia.gob.ec/wp-content/uploads/downloads/2020/08/Estad%C3%ADsticaAnualMultianual2018.pdf" xr:uid="{00000000-0004-0000-1100-000009000000}"/>
    <hyperlink ref="E387" r:id="rId9" display="https://www.controlrecursosyenergia.gob.ec/wp-content/uploads/downloads/2020/11/Estad%C3%ADstica-2019-nuevologo-small.pdf" xr:uid="{00000000-0004-0000-1100-00000A000000}"/>
    <hyperlink ref="F387" r:id="rId10" display="https://www.controlrecursosyenergia.gob.ec/wp-content/uploads/downloads/2021/09/Estadistica-2020-baja.pdf" xr:uid="{00000000-0004-0000-1100-00000B000000}"/>
    <hyperlink ref="G387" r:id="rId11" display="https://www.controlrecursosyenergia.gob.ec/wp-content/uploads/downloads/2022/04/Estadistica2021.pdf" xr:uid="{00000000-0004-0000-1100-00000C000000}"/>
    <hyperlink ref="C388" r:id="rId12" xr:uid="{00000000-0004-0000-1100-00000D000000}"/>
    <hyperlink ref="C389" r:id="rId13" xr:uid="{00000000-0004-0000-1100-00000E000000}"/>
    <hyperlink ref="C390" r:id="rId14" xr:uid="{00000000-0004-0000-1100-00000F000000}"/>
    <hyperlink ref="E395" r:id="rId15" xr:uid="{00000000-0004-0000-1100-000010000000}"/>
    <hyperlink ref="E397" r:id="rId16" xr:uid="{00000000-0004-0000-1100-000011000000}"/>
    <hyperlink ref="E399" r:id="rId17" xr:uid="{00000000-0004-0000-1100-000012000000}"/>
    <hyperlink ref="E401" r:id="rId18" xr:uid="{00000000-0004-0000-1100-000013000000}"/>
    <hyperlink ref="E402" r:id="rId19" xr:uid="{00000000-0004-0000-1100-000014000000}"/>
    <hyperlink ref="E406" r:id="rId20" xr:uid="{00000000-0004-0000-1100-000015000000}"/>
    <hyperlink ref="E408" r:id="rId21" xr:uid="{00000000-0004-0000-1100-000016000000}"/>
    <hyperlink ref="E411" r:id="rId22" xr:uid="{00000000-0004-0000-1100-000017000000}"/>
    <hyperlink ref="E412" location="null!A38" display="ERNC" xr:uid="{00000000-0004-0000-1100-000018000000}"/>
    <hyperlink ref="E413" r:id="rId23" xr:uid="{00000000-0004-0000-1100-000019000000}"/>
    <hyperlink ref="E420" r:id="rId24" xr:uid="{00000000-0004-0000-1100-00001A000000}"/>
    <hyperlink ref="E421" r:id="rId25" xr:uid="{00000000-0004-0000-1100-00001B000000}"/>
    <hyperlink ref="E422" r:id="rId26" xr:uid="{00000000-0004-0000-1100-00001C000000}"/>
    <hyperlink ref="C433" r:id="rId27" location=":~:text=Uno%20de%20los%20proyectos%20priorizados,el%20compromiso%20del%20cuidado%20ambiental." xr:uid="{00000000-0004-0000-1100-00001D000000}"/>
  </hyperlinks>
  <pageMargins left="0.7" right="0.7" top="0.75" bottom="0.75" header="0" footer="0"/>
  <pageSetup orientation="landscape"/>
  <legacyDrawing r:id="rId2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workbookViewId="0"/>
  </sheetViews>
  <sheetFormatPr defaultColWidth="12.6640625" defaultRowHeight="15" customHeight="1"/>
  <cols>
    <col min="1" max="1" width="8.44140625" customWidth="1"/>
    <col min="2" max="2" width="3.44140625" customWidth="1"/>
    <col min="3" max="3" width="44.44140625" customWidth="1"/>
    <col min="4" max="7" width="10.77734375" customWidth="1"/>
    <col min="8" max="37" width="8.44140625" customWidth="1"/>
  </cols>
  <sheetData>
    <row r="1" spans="1:37" ht="14.2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c r="A3" s="619"/>
      <c r="B3" s="61"/>
      <c r="C3" s="424"/>
      <c r="D3" s="423"/>
      <c r="E3" s="423"/>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98"/>
    </row>
    <row r="4" spans="1:37" ht="14.25" customHeight="1">
      <c r="A4" s="619"/>
      <c r="B4" s="426"/>
      <c r="C4" s="427" t="s">
        <v>411</v>
      </c>
      <c r="D4" s="428"/>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99"/>
    </row>
    <row r="5" spans="1:37" ht="14.25" customHeight="1">
      <c r="A5" s="619"/>
      <c r="B5" s="426"/>
      <c r="C5" s="429" t="s">
        <v>412</v>
      </c>
      <c r="D5" s="428"/>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99"/>
    </row>
    <row r="6" spans="1:37" ht="14.25" customHeight="1">
      <c r="A6" s="619">
        <v>1</v>
      </c>
      <c r="B6" s="426"/>
      <c r="C6" s="430" t="s">
        <v>934</v>
      </c>
      <c r="D6" s="428" t="s">
        <v>186</v>
      </c>
      <c r="E6" s="428" t="s">
        <v>186</v>
      </c>
      <c r="F6" s="428" t="s">
        <v>186</v>
      </c>
      <c r="G6" s="428" t="s">
        <v>186</v>
      </c>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99"/>
    </row>
    <row r="7" spans="1:37" ht="14.25" customHeight="1">
      <c r="A7" s="619">
        <v>1</v>
      </c>
      <c r="B7" s="426"/>
      <c r="C7" s="355" t="s">
        <v>935</v>
      </c>
      <c r="D7" s="431">
        <v>17.071831700000001</v>
      </c>
      <c r="E7" s="431">
        <v>21.190639699999998</v>
      </c>
      <c r="F7" s="431">
        <v>5.9586163900000004</v>
      </c>
      <c r="G7" s="431">
        <v>40.8165531</v>
      </c>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99"/>
    </row>
    <row r="8" spans="1:37" ht="14.25" customHeight="1">
      <c r="A8" s="619">
        <v>1</v>
      </c>
      <c r="B8" s="426"/>
      <c r="C8" s="430" t="s">
        <v>936</v>
      </c>
      <c r="D8" s="431">
        <v>105.707769</v>
      </c>
      <c r="E8" s="431">
        <v>147.101394</v>
      </c>
      <c r="F8" s="431">
        <v>128.865058</v>
      </c>
      <c r="G8" s="431">
        <v>178.806735</v>
      </c>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99"/>
    </row>
    <row r="9" spans="1:37" ht="14.25" customHeight="1">
      <c r="A9" s="619">
        <v>1</v>
      </c>
      <c r="B9" s="426"/>
      <c r="C9" s="355" t="s">
        <v>937</v>
      </c>
      <c r="D9" s="431">
        <v>6019.4532499999996</v>
      </c>
      <c r="E9" s="431">
        <v>5615.3797400000003</v>
      </c>
      <c r="F9" s="431">
        <v>4323.9372000000003</v>
      </c>
      <c r="G9" s="431">
        <v>3496.5626900000002</v>
      </c>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99"/>
    </row>
    <row r="10" spans="1:37" ht="14.25" customHeight="1">
      <c r="A10" s="619">
        <v>1</v>
      </c>
      <c r="B10" s="426"/>
      <c r="C10" s="355" t="s">
        <v>938</v>
      </c>
      <c r="D10" s="431">
        <v>820.29284399999995</v>
      </c>
      <c r="E10" s="431">
        <v>897.953936</v>
      </c>
      <c r="F10" s="431">
        <v>834.09944800000005</v>
      </c>
      <c r="G10" s="431">
        <v>931.74166500000001</v>
      </c>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99"/>
    </row>
    <row r="11" spans="1:37" ht="14.25" customHeight="1">
      <c r="A11" s="619">
        <v>1</v>
      </c>
      <c r="B11" s="426"/>
      <c r="C11" s="355" t="s">
        <v>939</v>
      </c>
      <c r="D11" s="431"/>
      <c r="E11" s="431"/>
      <c r="F11" s="431"/>
      <c r="G11" s="431"/>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99"/>
    </row>
    <row r="12" spans="1:37" ht="14.25" customHeight="1">
      <c r="A12" s="619">
        <v>1</v>
      </c>
      <c r="B12" s="426"/>
      <c r="C12" s="355" t="s">
        <v>359</v>
      </c>
      <c r="D12" s="431">
        <v>10700.1</v>
      </c>
      <c r="E12" s="431">
        <v>10873</v>
      </c>
      <c r="F12" s="431">
        <v>8485.2999999999993</v>
      </c>
      <c r="G12" s="431">
        <v>11048.6</v>
      </c>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99"/>
    </row>
    <row r="13" spans="1:37" ht="14.25" customHeight="1">
      <c r="A13" s="619">
        <v>1</v>
      </c>
      <c r="B13" s="426"/>
      <c r="C13" s="355" t="s">
        <v>360</v>
      </c>
      <c r="D13" s="431">
        <v>10115.5</v>
      </c>
      <c r="E13" s="431">
        <v>10278.9</v>
      </c>
      <c r="F13" s="431">
        <v>8080</v>
      </c>
      <c r="G13" s="431">
        <v>10520.9</v>
      </c>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99"/>
    </row>
    <row r="14" spans="1:37" ht="14.25" customHeight="1">
      <c r="A14" s="619">
        <v>1</v>
      </c>
      <c r="B14" s="426"/>
      <c r="C14" s="355" t="s">
        <v>362</v>
      </c>
      <c r="D14" s="431">
        <v>5.3</v>
      </c>
      <c r="E14" s="431">
        <v>0.6</v>
      </c>
      <c r="F14" s="431">
        <v>1.7</v>
      </c>
      <c r="G14" s="431">
        <v>3.4</v>
      </c>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99"/>
    </row>
    <row r="15" spans="1:37" ht="14.25" customHeight="1">
      <c r="A15" s="619">
        <v>1</v>
      </c>
      <c r="B15" s="426"/>
      <c r="C15" s="355" t="s">
        <v>363</v>
      </c>
      <c r="D15" s="431">
        <v>32.700000000000003</v>
      </c>
      <c r="E15" s="431">
        <v>34.799999999999997</v>
      </c>
      <c r="F15" s="431">
        <v>29</v>
      </c>
      <c r="G15" s="431">
        <v>34</v>
      </c>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99"/>
    </row>
    <row r="16" spans="1:37" ht="14.25" customHeight="1">
      <c r="A16" s="619"/>
      <c r="B16" s="426"/>
      <c r="C16" s="430" t="s">
        <v>767</v>
      </c>
      <c r="D16" s="431">
        <f t="shared" ref="D16:G16" si="0">SUM(D7:D15)</f>
        <v>27816.1256947</v>
      </c>
      <c r="E16" s="431">
        <f t="shared" si="0"/>
        <v>27868.925709699997</v>
      </c>
      <c r="F16" s="431">
        <f t="shared" si="0"/>
        <v>21888.860322389999</v>
      </c>
      <c r="G16" s="431">
        <f t="shared" si="0"/>
        <v>26254.827643100001</v>
      </c>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99"/>
    </row>
    <row r="17" spans="1:37" ht="14.25" customHeight="1">
      <c r="A17" s="619"/>
      <c r="B17" s="426"/>
      <c r="C17" s="434"/>
      <c r="D17" s="425"/>
      <c r="E17" s="425"/>
      <c r="F17" s="425"/>
      <c r="G17" s="425"/>
      <c r="H17" s="425"/>
      <c r="I17" s="425"/>
      <c r="J17" s="425"/>
      <c r="K17" s="425"/>
      <c r="L17" s="425"/>
      <c r="M17" s="425"/>
      <c r="N17" s="425"/>
      <c r="O17" s="425"/>
      <c r="P17" s="425"/>
      <c r="Q17" s="425"/>
      <c r="R17" s="425"/>
      <c r="S17" s="425"/>
      <c r="T17" s="425"/>
      <c r="U17" s="425"/>
      <c r="V17" s="425"/>
      <c r="W17" s="425"/>
      <c r="X17" s="425"/>
      <c r="Y17" s="425"/>
      <c r="Z17" s="425"/>
      <c r="AA17" s="425"/>
      <c r="AB17" s="425"/>
      <c r="AC17" s="425"/>
      <c r="AD17" s="425"/>
      <c r="AE17" s="425"/>
      <c r="AF17" s="425"/>
      <c r="AG17" s="425"/>
      <c r="AH17" s="425"/>
      <c r="AI17" s="425"/>
      <c r="AJ17" s="425"/>
      <c r="AK17" s="499"/>
    </row>
    <row r="18" spans="1:37" ht="14.25" customHeight="1">
      <c r="A18" s="619"/>
      <c r="B18" s="426"/>
      <c r="C18" s="429" t="s">
        <v>425</v>
      </c>
      <c r="D18" s="428"/>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99"/>
    </row>
    <row r="19" spans="1:37" ht="14.25" customHeight="1">
      <c r="A19" s="619">
        <v>1</v>
      </c>
      <c r="B19" s="426"/>
      <c r="C19" s="430" t="s">
        <v>934</v>
      </c>
      <c r="D19" s="428"/>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99"/>
    </row>
    <row r="20" spans="1:37" ht="14.25" customHeight="1">
      <c r="A20" s="619">
        <v>1</v>
      </c>
      <c r="B20" s="426"/>
      <c r="C20" s="355" t="s">
        <v>935</v>
      </c>
      <c r="D20" s="431">
        <v>987.99351000000001</v>
      </c>
      <c r="E20" s="431">
        <v>811.81991300000004</v>
      </c>
      <c r="F20" s="431">
        <v>792.18981799999995</v>
      </c>
      <c r="G20" s="431">
        <v>756.03191100000004</v>
      </c>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99"/>
    </row>
    <row r="21" spans="1:37" ht="14.25" customHeight="1">
      <c r="A21" s="619">
        <v>1</v>
      </c>
      <c r="B21" s="426"/>
      <c r="C21" s="430" t="s">
        <v>936</v>
      </c>
      <c r="D21" s="431">
        <v>4406.1963999999998</v>
      </c>
      <c r="E21" s="431">
        <v>3792.9441999999999</v>
      </c>
      <c r="F21" s="431">
        <v>3701.2294499999998</v>
      </c>
      <c r="G21" s="431">
        <v>3532.2943</v>
      </c>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99"/>
    </row>
    <row r="22" spans="1:37" ht="14.25" customHeight="1">
      <c r="A22" s="619">
        <v>1</v>
      </c>
      <c r="B22" s="426"/>
      <c r="C22" s="355" t="s">
        <v>937</v>
      </c>
      <c r="D22" s="431">
        <v>438.97197599999998</v>
      </c>
      <c r="E22" s="431">
        <v>501.91827000000001</v>
      </c>
      <c r="F22" s="431">
        <v>116.05379600000001</v>
      </c>
      <c r="G22" s="431">
        <v>543.51865999999995</v>
      </c>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99"/>
    </row>
    <row r="23" spans="1:37" ht="14.25" customHeight="1">
      <c r="A23" s="619">
        <v>1</v>
      </c>
      <c r="B23" s="426"/>
      <c r="C23" s="355" t="s">
        <v>938</v>
      </c>
      <c r="D23" s="428"/>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99"/>
    </row>
    <row r="24" spans="1:37" ht="14.25" customHeight="1">
      <c r="A24" s="619">
        <v>1</v>
      </c>
      <c r="B24" s="426"/>
      <c r="C24" s="355" t="s">
        <v>939</v>
      </c>
      <c r="D24" s="431"/>
      <c r="E24" s="431"/>
      <c r="F24" s="431"/>
      <c r="G24" s="431"/>
      <c r="H24" s="428"/>
      <c r="I24" s="428"/>
      <c r="J24" s="428"/>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99"/>
    </row>
    <row r="25" spans="1:37" ht="14.25" customHeight="1">
      <c r="A25" s="619"/>
      <c r="B25" s="426"/>
      <c r="C25" s="355" t="s">
        <v>359</v>
      </c>
      <c r="D25" s="431">
        <v>20627.5</v>
      </c>
      <c r="E25" s="431">
        <v>20960.7</v>
      </c>
      <c r="F25" s="431">
        <v>17781.8</v>
      </c>
      <c r="G25" s="431">
        <v>20111.5</v>
      </c>
      <c r="H25" s="428"/>
      <c r="I25" s="428"/>
      <c r="J25" s="428"/>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99"/>
    </row>
    <row r="26" spans="1:37" ht="14.25" customHeight="1">
      <c r="A26" s="619"/>
      <c r="B26" s="426"/>
      <c r="C26" s="355" t="s">
        <v>360</v>
      </c>
      <c r="D26" s="431">
        <v>1480.1</v>
      </c>
      <c r="E26" s="431">
        <v>1504</v>
      </c>
      <c r="F26" s="431">
        <v>1275.9000000000001</v>
      </c>
      <c r="G26" s="431">
        <v>1443.1</v>
      </c>
      <c r="H26" s="428"/>
      <c r="I26" s="428"/>
      <c r="J26" s="428"/>
      <c r="K26" s="428"/>
      <c r="L26" s="428"/>
      <c r="M26" s="428"/>
      <c r="N26" s="428"/>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99"/>
    </row>
    <row r="27" spans="1:37" ht="14.25" customHeight="1">
      <c r="A27" s="619"/>
      <c r="B27" s="426"/>
      <c r="C27" s="355" t="s">
        <v>362</v>
      </c>
      <c r="D27" s="431">
        <v>1977</v>
      </c>
      <c r="E27" s="431">
        <v>1988.5</v>
      </c>
      <c r="F27" s="431">
        <v>1697.4</v>
      </c>
      <c r="G27" s="431">
        <v>2054</v>
      </c>
      <c r="H27" s="428"/>
      <c r="I27" s="428"/>
      <c r="J27" s="428"/>
      <c r="K27" s="428"/>
      <c r="L27" s="428"/>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99"/>
    </row>
    <row r="28" spans="1:37" ht="14.25" customHeight="1">
      <c r="A28" s="619"/>
      <c r="B28" s="426"/>
      <c r="C28" s="355" t="s">
        <v>363</v>
      </c>
      <c r="D28" s="431" t="s">
        <v>186</v>
      </c>
      <c r="E28" s="431" t="s">
        <v>186</v>
      </c>
      <c r="F28" s="431" t="s">
        <v>186</v>
      </c>
      <c r="G28" s="431" t="s">
        <v>186</v>
      </c>
      <c r="H28" s="428"/>
      <c r="I28" s="428"/>
      <c r="J28" s="428"/>
      <c r="K28" s="428"/>
      <c r="L28" s="428"/>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99"/>
    </row>
    <row r="29" spans="1:37" ht="14.25" customHeight="1">
      <c r="A29" s="619"/>
      <c r="B29" s="426"/>
      <c r="C29" s="430" t="s">
        <v>767</v>
      </c>
      <c r="D29" s="431">
        <f t="shared" ref="D29:G29" si="1">SUM(D19:D28)</f>
        <v>29917.761886</v>
      </c>
      <c r="E29" s="431">
        <f t="shared" si="1"/>
        <v>29559.882383</v>
      </c>
      <c r="F29" s="431">
        <f t="shared" si="1"/>
        <v>25364.573064000004</v>
      </c>
      <c r="G29" s="431">
        <f t="shared" si="1"/>
        <v>28440.444871</v>
      </c>
      <c r="H29" s="428"/>
      <c r="I29" s="428"/>
      <c r="J29" s="428"/>
      <c r="K29" s="428"/>
      <c r="L29" s="428"/>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99"/>
    </row>
    <row r="30" spans="1:37" ht="14.25" customHeight="1">
      <c r="A30" s="619"/>
      <c r="B30" s="426"/>
      <c r="C30" s="434"/>
      <c r="D30" s="425"/>
      <c r="E30" s="425"/>
      <c r="F30" s="425"/>
      <c r="G30" s="425"/>
      <c r="H30" s="425"/>
      <c r="I30" s="425"/>
      <c r="J30" s="425"/>
      <c r="K30" s="425"/>
      <c r="L30" s="425"/>
      <c r="M30" s="425"/>
      <c r="N30" s="425"/>
      <c r="O30" s="425"/>
      <c r="P30" s="425"/>
      <c r="Q30" s="425"/>
      <c r="R30" s="425"/>
      <c r="S30" s="425"/>
      <c r="T30" s="425"/>
      <c r="U30" s="425"/>
      <c r="V30" s="425"/>
      <c r="W30" s="425"/>
      <c r="X30" s="425"/>
      <c r="Y30" s="425"/>
      <c r="Z30" s="425"/>
      <c r="AA30" s="425"/>
      <c r="AB30" s="425"/>
      <c r="AC30" s="425"/>
      <c r="AD30" s="425"/>
      <c r="AE30" s="425"/>
      <c r="AF30" s="425"/>
      <c r="AG30" s="425"/>
      <c r="AH30" s="425"/>
      <c r="AI30" s="425"/>
      <c r="AJ30" s="425"/>
      <c r="AK30" s="499"/>
    </row>
    <row r="31" spans="1:37" ht="14.25" customHeight="1">
      <c r="A31" s="619"/>
      <c r="B31" s="426"/>
      <c r="C31" s="429" t="s">
        <v>430</v>
      </c>
      <c r="D31" s="428"/>
      <c r="E31" s="428"/>
      <c r="F31" s="428"/>
      <c r="G31" s="428"/>
      <c r="H31" s="428"/>
      <c r="I31" s="428"/>
      <c r="J31" s="428"/>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99"/>
    </row>
    <row r="32" spans="1:37" ht="14.25" customHeight="1">
      <c r="A32" s="619">
        <v>1</v>
      </c>
      <c r="B32" s="426"/>
      <c r="C32" s="430" t="s">
        <v>934</v>
      </c>
      <c r="D32" s="431">
        <v>6404.5161099999996</v>
      </c>
      <c r="E32" s="431">
        <v>6607.6360100000002</v>
      </c>
      <c r="F32" s="431">
        <v>6740.0053799999996</v>
      </c>
      <c r="G32" s="431">
        <v>6874.5846300000003</v>
      </c>
      <c r="H32" s="428"/>
      <c r="I32" s="428"/>
      <c r="J32" s="428"/>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99"/>
    </row>
    <row r="33" spans="1:37" ht="14.25" customHeight="1">
      <c r="A33" s="619">
        <v>1</v>
      </c>
      <c r="B33" s="426"/>
      <c r="C33" s="355" t="s">
        <v>935</v>
      </c>
      <c r="D33" s="431">
        <v>411.79626100000002</v>
      </c>
      <c r="E33" s="431">
        <v>412.939685</v>
      </c>
      <c r="F33" s="431">
        <v>385.889725</v>
      </c>
      <c r="G33" s="431">
        <v>410.070446</v>
      </c>
      <c r="H33" s="428"/>
      <c r="I33" s="428"/>
      <c r="J33" s="428"/>
      <c r="K33" s="428"/>
      <c r="L33" s="428"/>
      <c r="M33" s="428"/>
      <c r="N33" s="428"/>
      <c r="O33" s="428"/>
      <c r="P33" s="428"/>
      <c r="Q33" s="428"/>
      <c r="R33" s="428"/>
      <c r="S33" s="428"/>
      <c r="T33" s="428"/>
      <c r="U33" s="428"/>
      <c r="V33" s="428"/>
      <c r="W33" s="428"/>
      <c r="X33" s="428"/>
      <c r="Y33" s="428"/>
      <c r="Z33" s="428"/>
      <c r="AA33" s="428"/>
      <c r="AB33" s="428"/>
      <c r="AC33" s="428"/>
      <c r="AD33" s="428"/>
      <c r="AE33" s="428"/>
      <c r="AF33" s="428"/>
      <c r="AG33" s="428"/>
      <c r="AH33" s="428"/>
      <c r="AI33" s="428"/>
      <c r="AJ33" s="428"/>
      <c r="AK33" s="499"/>
    </row>
    <row r="34" spans="1:37" ht="14.25" customHeight="1">
      <c r="A34" s="619">
        <v>1</v>
      </c>
      <c r="B34" s="426"/>
      <c r="C34" s="430" t="s">
        <v>936</v>
      </c>
      <c r="D34" s="431">
        <v>683.37323100000003</v>
      </c>
      <c r="E34" s="431">
        <v>713.90662599999996</v>
      </c>
      <c r="F34" s="431">
        <v>635.53352900000004</v>
      </c>
      <c r="G34" s="431">
        <v>710.57270600000004</v>
      </c>
      <c r="H34" s="428"/>
      <c r="I34" s="428"/>
      <c r="J34" s="428"/>
      <c r="K34" s="428"/>
      <c r="L34" s="428"/>
      <c r="M34" s="428"/>
      <c r="N34" s="428"/>
      <c r="O34" s="428"/>
      <c r="P34" s="428"/>
      <c r="Q34" s="428"/>
      <c r="R34" s="428"/>
      <c r="S34" s="428"/>
      <c r="T34" s="428"/>
      <c r="U34" s="428"/>
      <c r="V34" s="428"/>
      <c r="W34" s="428"/>
      <c r="X34" s="428"/>
      <c r="Y34" s="428"/>
      <c r="Z34" s="428"/>
      <c r="AA34" s="428"/>
      <c r="AB34" s="428"/>
      <c r="AC34" s="428"/>
      <c r="AD34" s="428"/>
      <c r="AE34" s="428"/>
      <c r="AF34" s="428"/>
      <c r="AG34" s="428"/>
      <c r="AH34" s="428"/>
      <c r="AI34" s="428"/>
      <c r="AJ34" s="428"/>
      <c r="AK34" s="499"/>
    </row>
    <row r="35" spans="1:37" ht="14.25" customHeight="1">
      <c r="A35" s="619">
        <v>1</v>
      </c>
      <c r="B35" s="426"/>
      <c r="C35" s="355" t="s">
        <v>937</v>
      </c>
      <c r="D35" s="431">
        <v>993.90595099999996</v>
      </c>
      <c r="E35" s="431">
        <v>1359.12997</v>
      </c>
      <c r="F35" s="431">
        <v>1458.27503</v>
      </c>
      <c r="G35" s="431">
        <v>1485.0539200000001</v>
      </c>
      <c r="H35" s="428"/>
      <c r="I35" s="428"/>
      <c r="J35" s="428"/>
      <c r="K35" s="428"/>
      <c r="L35" s="428"/>
      <c r="M35" s="428"/>
      <c r="N35" s="428"/>
      <c r="O35" s="428"/>
      <c r="P35" s="428"/>
      <c r="Q35" s="428"/>
      <c r="R35" s="428"/>
      <c r="S35" s="428"/>
      <c r="T35" s="428"/>
      <c r="U35" s="428"/>
      <c r="V35" s="428"/>
      <c r="W35" s="428"/>
      <c r="X35" s="428"/>
      <c r="Y35" s="428"/>
      <c r="Z35" s="428"/>
      <c r="AA35" s="428"/>
      <c r="AB35" s="428"/>
      <c r="AC35" s="428"/>
      <c r="AD35" s="428"/>
      <c r="AE35" s="428"/>
      <c r="AF35" s="428"/>
      <c r="AG35" s="428"/>
      <c r="AH35" s="428"/>
      <c r="AI35" s="428"/>
      <c r="AJ35" s="428"/>
      <c r="AK35" s="499"/>
    </row>
    <row r="36" spans="1:37" ht="14.25" customHeight="1">
      <c r="A36" s="619">
        <v>1</v>
      </c>
      <c r="B36" s="426"/>
      <c r="C36" s="355" t="s">
        <v>938</v>
      </c>
      <c r="D36" s="431">
        <v>181.26799299999999</v>
      </c>
      <c r="E36" s="431">
        <v>196.066349</v>
      </c>
      <c r="F36" s="431">
        <v>160.703935</v>
      </c>
      <c r="G36" s="431">
        <v>188.85862399999999</v>
      </c>
      <c r="H36" s="428"/>
      <c r="I36" s="428"/>
      <c r="J36" s="428"/>
      <c r="K36" s="428"/>
      <c r="L36" s="428"/>
      <c r="M36" s="428"/>
      <c r="N36" s="428"/>
      <c r="O36" s="428"/>
      <c r="P36" s="428"/>
      <c r="Q36" s="428"/>
      <c r="R36" s="428"/>
      <c r="S36" s="428"/>
      <c r="T36" s="428"/>
      <c r="U36" s="428"/>
      <c r="V36" s="428"/>
      <c r="W36" s="428"/>
      <c r="X36" s="428"/>
      <c r="Y36" s="428"/>
      <c r="Z36" s="428"/>
      <c r="AA36" s="428"/>
      <c r="AB36" s="428"/>
      <c r="AC36" s="428"/>
      <c r="AD36" s="428"/>
      <c r="AE36" s="428"/>
      <c r="AF36" s="428"/>
      <c r="AG36" s="428"/>
      <c r="AH36" s="428"/>
      <c r="AI36" s="428"/>
      <c r="AJ36" s="428"/>
      <c r="AK36" s="499"/>
    </row>
    <row r="37" spans="1:37" ht="14.25" customHeight="1">
      <c r="A37" s="619">
        <v>1</v>
      </c>
      <c r="B37" s="426"/>
      <c r="C37" s="355" t="s">
        <v>939</v>
      </c>
      <c r="D37" s="431"/>
      <c r="E37" s="431"/>
      <c r="F37" s="431"/>
      <c r="G37" s="431"/>
      <c r="H37" s="428"/>
      <c r="I37" s="428"/>
      <c r="J37" s="428"/>
      <c r="K37" s="428"/>
      <c r="L37" s="428"/>
      <c r="M37" s="428"/>
      <c r="N37" s="428"/>
      <c r="O37" s="428"/>
      <c r="P37" s="428"/>
      <c r="Q37" s="428"/>
      <c r="R37" s="428"/>
      <c r="S37" s="428"/>
      <c r="T37" s="428"/>
      <c r="U37" s="428"/>
      <c r="V37" s="428"/>
      <c r="W37" s="428"/>
      <c r="X37" s="428"/>
      <c r="Y37" s="428"/>
      <c r="Z37" s="428"/>
      <c r="AA37" s="428"/>
      <c r="AB37" s="428"/>
      <c r="AC37" s="428"/>
      <c r="AD37" s="428"/>
      <c r="AE37" s="428"/>
      <c r="AF37" s="428"/>
      <c r="AG37" s="428"/>
      <c r="AH37" s="428"/>
      <c r="AI37" s="428"/>
      <c r="AJ37" s="428"/>
      <c r="AK37" s="499"/>
    </row>
    <row r="38" spans="1:37" ht="14.25" customHeight="1">
      <c r="A38" s="619"/>
      <c r="B38" s="426"/>
      <c r="C38" s="355" t="s">
        <v>359</v>
      </c>
      <c r="D38" s="431" t="s">
        <v>186</v>
      </c>
      <c r="E38" s="431" t="s">
        <v>186</v>
      </c>
      <c r="F38" s="431" t="s">
        <v>186</v>
      </c>
      <c r="G38" s="431" t="s">
        <v>186</v>
      </c>
      <c r="H38" s="428"/>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99"/>
    </row>
    <row r="39" spans="1:37" ht="14.25" customHeight="1">
      <c r="A39" s="619"/>
      <c r="B39" s="426"/>
      <c r="C39" s="355" t="s">
        <v>360</v>
      </c>
      <c r="D39" s="431">
        <v>43.73</v>
      </c>
      <c r="E39" s="431">
        <v>49.61</v>
      </c>
      <c r="F39" s="431">
        <v>54.2</v>
      </c>
      <c r="G39" s="431">
        <v>95.07</v>
      </c>
      <c r="H39" s="428"/>
      <c r="I39" s="428"/>
      <c r="J39" s="428"/>
      <c r="K39" s="428"/>
      <c r="L39" s="428"/>
      <c r="M39" s="428"/>
      <c r="N39" s="428"/>
      <c r="O39" s="428"/>
      <c r="P39" s="428"/>
      <c r="Q39" s="428"/>
      <c r="R39" s="428"/>
      <c r="S39" s="428"/>
      <c r="T39" s="428"/>
      <c r="U39" s="428"/>
      <c r="V39" s="428"/>
      <c r="W39" s="428"/>
      <c r="X39" s="428"/>
      <c r="Y39" s="428"/>
      <c r="Z39" s="428"/>
      <c r="AA39" s="428"/>
      <c r="AB39" s="428"/>
      <c r="AC39" s="428"/>
      <c r="AD39" s="428"/>
      <c r="AE39" s="428"/>
      <c r="AF39" s="428"/>
      <c r="AG39" s="428"/>
      <c r="AH39" s="428"/>
      <c r="AI39" s="428"/>
      <c r="AJ39" s="428"/>
      <c r="AK39" s="499"/>
    </row>
    <row r="40" spans="1:37" ht="14.25" customHeight="1">
      <c r="A40" s="619"/>
      <c r="B40" s="426"/>
      <c r="C40" s="355" t="s">
        <v>362</v>
      </c>
      <c r="D40" s="431" t="s">
        <v>186</v>
      </c>
      <c r="E40" s="431" t="s">
        <v>186</v>
      </c>
      <c r="F40" s="431" t="s">
        <v>186</v>
      </c>
      <c r="G40" s="431" t="s">
        <v>186</v>
      </c>
      <c r="H40" s="428"/>
      <c r="I40" s="428"/>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99"/>
    </row>
    <row r="41" spans="1:37" ht="14.25" customHeight="1">
      <c r="A41" s="619"/>
      <c r="B41" s="426"/>
      <c r="C41" s="355" t="s">
        <v>363</v>
      </c>
      <c r="D41" s="431" t="s">
        <v>186</v>
      </c>
      <c r="E41" s="431" t="s">
        <v>186</v>
      </c>
      <c r="F41" s="431" t="s">
        <v>186</v>
      </c>
      <c r="G41" s="431" t="s">
        <v>186</v>
      </c>
      <c r="H41" s="428"/>
      <c r="I41" s="428"/>
      <c r="J41" s="428"/>
      <c r="K41" s="428"/>
      <c r="L41" s="428"/>
      <c r="M41" s="428"/>
      <c r="N41" s="428"/>
      <c r="O41" s="428"/>
      <c r="P41" s="428"/>
      <c r="Q41" s="428"/>
      <c r="R41" s="428"/>
      <c r="S41" s="428"/>
      <c r="T41" s="428"/>
      <c r="U41" s="428"/>
      <c r="V41" s="428"/>
      <c r="W41" s="428"/>
      <c r="X41" s="428"/>
      <c r="Y41" s="428"/>
      <c r="Z41" s="428"/>
      <c r="AA41" s="428"/>
      <c r="AB41" s="428"/>
      <c r="AC41" s="428"/>
      <c r="AD41" s="428"/>
      <c r="AE41" s="428"/>
      <c r="AF41" s="428"/>
      <c r="AG41" s="428"/>
      <c r="AH41" s="428"/>
      <c r="AI41" s="428"/>
      <c r="AJ41" s="428"/>
      <c r="AK41" s="499"/>
    </row>
    <row r="42" spans="1:37" ht="14.25" customHeight="1">
      <c r="A42" s="619"/>
      <c r="B42" s="426"/>
      <c r="C42" s="430" t="s">
        <v>767</v>
      </c>
      <c r="D42" s="431">
        <f t="shared" ref="D42:G42" si="2">SUM(D32:D41)</f>
        <v>8718.5895459999992</v>
      </c>
      <c r="E42" s="431">
        <f t="shared" si="2"/>
        <v>9339.2886400000025</v>
      </c>
      <c r="F42" s="431">
        <f t="shared" si="2"/>
        <v>9434.6075990000008</v>
      </c>
      <c r="G42" s="431">
        <f t="shared" si="2"/>
        <v>9764.2103260000004</v>
      </c>
      <c r="H42" s="428"/>
      <c r="I42" s="428"/>
      <c r="J42" s="428"/>
      <c r="K42" s="428"/>
      <c r="L42" s="428"/>
      <c r="M42" s="428"/>
      <c r="N42" s="428"/>
      <c r="O42" s="428"/>
      <c r="P42" s="428"/>
      <c r="Q42" s="428"/>
      <c r="R42" s="428"/>
      <c r="S42" s="428"/>
      <c r="T42" s="428"/>
      <c r="U42" s="428"/>
      <c r="V42" s="428"/>
      <c r="W42" s="428"/>
      <c r="X42" s="428"/>
      <c r="Y42" s="428"/>
      <c r="Z42" s="428"/>
      <c r="AA42" s="428"/>
      <c r="AB42" s="428"/>
      <c r="AC42" s="428"/>
      <c r="AD42" s="428"/>
      <c r="AE42" s="428"/>
      <c r="AF42" s="428"/>
      <c r="AG42" s="428"/>
      <c r="AH42" s="428"/>
      <c r="AI42" s="428"/>
      <c r="AJ42" s="428"/>
      <c r="AK42" s="499"/>
    </row>
    <row r="43" spans="1:37" ht="14.25" customHeight="1">
      <c r="A43" s="619"/>
      <c r="B43" s="426"/>
      <c r="C43" s="434"/>
      <c r="D43" s="425"/>
      <c r="E43" s="425"/>
      <c r="F43" s="425"/>
      <c r="G43" s="425"/>
      <c r="H43" s="425"/>
      <c r="I43" s="425"/>
      <c r="J43" s="425"/>
      <c r="K43" s="425"/>
      <c r="L43" s="425"/>
      <c r="M43" s="425"/>
      <c r="N43" s="425"/>
      <c r="O43" s="425"/>
      <c r="P43" s="425"/>
      <c r="Q43" s="425"/>
      <c r="R43" s="425"/>
      <c r="S43" s="425"/>
      <c r="T43" s="425"/>
      <c r="U43" s="425"/>
      <c r="V43" s="425"/>
      <c r="W43" s="425"/>
      <c r="X43" s="425"/>
      <c r="Y43" s="425"/>
      <c r="Z43" s="425"/>
      <c r="AA43" s="425"/>
      <c r="AB43" s="425"/>
      <c r="AC43" s="425"/>
      <c r="AD43" s="425"/>
      <c r="AE43" s="425"/>
      <c r="AF43" s="425"/>
      <c r="AG43" s="425"/>
      <c r="AH43" s="425"/>
      <c r="AI43" s="425"/>
      <c r="AJ43" s="425"/>
      <c r="AK43" s="499"/>
    </row>
    <row r="44" spans="1:37" ht="14.25" customHeight="1">
      <c r="A44" s="619"/>
      <c r="B44" s="426"/>
      <c r="C44" s="429" t="s">
        <v>437</v>
      </c>
      <c r="D44" s="428"/>
      <c r="E44" s="428"/>
      <c r="F44" s="428"/>
      <c r="G44" s="428"/>
      <c r="H44" s="428"/>
      <c r="I44" s="428"/>
      <c r="J44" s="428"/>
      <c r="K44" s="428"/>
      <c r="L44" s="428"/>
      <c r="M44" s="428"/>
      <c r="N44" s="428"/>
      <c r="O44" s="428"/>
      <c r="P44" s="428"/>
      <c r="Q44" s="428"/>
      <c r="R44" s="428"/>
      <c r="S44" s="428"/>
      <c r="T44" s="428"/>
      <c r="U44" s="428"/>
      <c r="V44" s="428"/>
      <c r="W44" s="428"/>
      <c r="X44" s="428"/>
      <c r="Y44" s="428"/>
      <c r="Z44" s="428"/>
      <c r="AA44" s="428"/>
      <c r="AB44" s="428"/>
      <c r="AC44" s="428"/>
      <c r="AD44" s="428"/>
      <c r="AE44" s="428"/>
      <c r="AF44" s="428"/>
      <c r="AG44" s="428"/>
      <c r="AH44" s="428"/>
      <c r="AI44" s="428"/>
      <c r="AJ44" s="428"/>
      <c r="AK44" s="499"/>
    </row>
    <row r="45" spans="1:37" ht="14.25" customHeight="1">
      <c r="A45" s="619">
        <v>1</v>
      </c>
      <c r="B45" s="426"/>
      <c r="C45" s="430" t="s">
        <v>934</v>
      </c>
      <c r="D45" s="436" t="s">
        <v>186</v>
      </c>
      <c r="E45" s="436" t="s">
        <v>186</v>
      </c>
      <c r="F45" s="436" t="s">
        <v>186</v>
      </c>
      <c r="G45" s="436" t="s">
        <v>186</v>
      </c>
      <c r="H45" s="428"/>
      <c r="I45" s="428"/>
      <c r="J45" s="428"/>
      <c r="K45" s="428"/>
      <c r="L45" s="428"/>
      <c r="M45" s="428"/>
      <c r="N45" s="428"/>
      <c r="O45" s="428"/>
      <c r="P45" s="428"/>
      <c r="Q45" s="428"/>
      <c r="R45" s="428"/>
      <c r="S45" s="428"/>
      <c r="T45" s="428"/>
      <c r="U45" s="428"/>
      <c r="V45" s="428"/>
      <c r="W45" s="428"/>
      <c r="X45" s="428"/>
      <c r="Y45" s="428"/>
      <c r="Z45" s="428"/>
      <c r="AA45" s="428"/>
      <c r="AB45" s="428"/>
      <c r="AC45" s="428"/>
      <c r="AD45" s="428"/>
      <c r="AE45" s="428"/>
      <c r="AF45" s="428"/>
      <c r="AG45" s="428"/>
      <c r="AH45" s="428"/>
      <c r="AI45" s="428"/>
      <c r="AJ45" s="428"/>
      <c r="AK45" s="499"/>
    </row>
    <row r="46" spans="1:37" ht="14.25" customHeight="1">
      <c r="A46" s="619">
        <v>1</v>
      </c>
      <c r="B46" s="426"/>
      <c r="C46" s="355" t="s">
        <v>935</v>
      </c>
      <c r="D46" s="436" t="s">
        <v>186</v>
      </c>
      <c r="E46" s="436" t="s">
        <v>186</v>
      </c>
      <c r="F46" s="436" t="s">
        <v>186</v>
      </c>
      <c r="G46" s="436" t="s">
        <v>186</v>
      </c>
      <c r="H46" s="428"/>
      <c r="I46" s="428"/>
      <c r="J46" s="428"/>
      <c r="K46" s="428"/>
      <c r="L46" s="428"/>
      <c r="M46" s="428"/>
      <c r="N46" s="428"/>
      <c r="O46" s="428"/>
      <c r="P46" s="428"/>
      <c r="Q46" s="428"/>
      <c r="R46" s="428"/>
      <c r="S46" s="428"/>
      <c r="T46" s="428"/>
      <c r="U46" s="428"/>
      <c r="V46" s="428"/>
      <c r="W46" s="428"/>
      <c r="X46" s="428"/>
      <c r="Y46" s="428"/>
      <c r="Z46" s="428"/>
      <c r="AA46" s="428"/>
      <c r="AB46" s="428"/>
      <c r="AC46" s="428"/>
      <c r="AD46" s="428"/>
      <c r="AE46" s="428"/>
      <c r="AF46" s="428"/>
      <c r="AG46" s="428"/>
      <c r="AH46" s="428"/>
      <c r="AI46" s="428"/>
      <c r="AJ46" s="428"/>
      <c r="AK46" s="499"/>
    </row>
    <row r="47" spans="1:37" ht="14.25" customHeight="1">
      <c r="A47" s="619">
        <v>1</v>
      </c>
      <c r="B47" s="426"/>
      <c r="C47" s="430" t="s">
        <v>936</v>
      </c>
      <c r="D47" s="436" t="s">
        <v>186</v>
      </c>
      <c r="E47" s="436" t="s">
        <v>186</v>
      </c>
      <c r="F47" s="436" t="s">
        <v>186</v>
      </c>
      <c r="G47" s="436" t="s">
        <v>186</v>
      </c>
      <c r="H47" s="428"/>
      <c r="I47" s="428"/>
      <c r="J47" s="428"/>
      <c r="K47" s="428"/>
      <c r="L47" s="428"/>
      <c r="M47" s="428"/>
      <c r="N47" s="428"/>
      <c r="O47" s="428"/>
      <c r="P47" s="428"/>
      <c r="Q47" s="428"/>
      <c r="R47" s="428"/>
      <c r="S47" s="428"/>
      <c r="T47" s="428"/>
      <c r="U47" s="428"/>
      <c r="V47" s="428"/>
      <c r="W47" s="428"/>
      <c r="X47" s="428"/>
      <c r="Y47" s="428"/>
      <c r="Z47" s="428"/>
      <c r="AA47" s="428"/>
      <c r="AB47" s="428"/>
      <c r="AC47" s="428"/>
      <c r="AD47" s="428"/>
      <c r="AE47" s="428"/>
      <c r="AF47" s="428"/>
      <c r="AG47" s="428"/>
      <c r="AH47" s="428"/>
      <c r="AI47" s="428"/>
      <c r="AJ47" s="428"/>
      <c r="AK47" s="499"/>
    </row>
    <row r="48" spans="1:37" ht="14.25" customHeight="1">
      <c r="A48" s="619">
        <v>1</v>
      </c>
      <c r="B48" s="426"/>
      <c r="C48" s="355" t="s">
        <v>937</v>
      </c>
      <c r="D48" s="431">
        <v>235.673304</v>
      </c>
      <c r="E48" s="431">
        <v>180.905754</v>
      </c>
      <c r="F48" s="431">
        <v>275.52083299999998</v>
      </c>
      <c r="G48" s="431">
        <v>315.60652199999998</v>
      </c>
      <c r="H48" s="428"/>
      <c r="I48" s="428"/>
      <c r="J48" s="428"/>
      <c r="K48" s="428"/>
      <c r="L48" s="428"/>
      <c r="M48" s="428"/>
      <c r="N48" s="428"/>
      <c r="O48" s="428"/>
      <c r="P48" s="428"/>
      <c r="Q48" s="428"/>
      <c r="R48" s="428"/>
      <c r="S48" s="428"/>
      <c r="T48" s="428"/>
      <c r="U48" s="428"/>
      <c r="V48" s="428"/>
      <c r="W48" s="428"/>
      <c r="X48" s="428"/>
      <c r="Y48" s="428"/>
      <c r="Z48" s="428"/>
      <c r="AA48" s="428"/>
      <c r="AB48" s="428"/>
      <c r="AC48" s="428"/>
      <c r="AD48" s="428"/>
      <c r="AE48" s="428"/>
      <c r="AF48" s="428"/>
      <c r="AG48" s="428"/>
      <c r="AH48" s="428"/>
      <c r="AI48" s="428"/>
      <c r="AJ48" s="428"/>
      <c r="AK48" s="499"/>
    </row>
    <row r="49" spans="1:37" ht="14.25" customHeight="1">
      <c r="A49" s="619">
        <v>1</v>
      </c>
      <c r="B49" s="426"/>
      <c r="C49" s="355" t="s">
        <v>938</v>
      </c>
      <c r="D49" s="436" t="s">
        <v>186</v>
      </c>
      <c r="E49" s="436" t="s">
        <v>186</v>
      </c>
      <c r="F49" s="436" t="s">
        <v>186</v>
      </c>
      <c r="G49" s="436" t="s">
        <v>186</v>
      </c>
      <c r="H49" s="428"/>
      <c r="I49" s="428"/>
      <c r="J49" s="428"/>
      <c r="K49" s="428"/>
      <c r="L49" s="428"/>
      <c r="M49" s="428"/>
      <c r="N49" s="428"/>
      <c r="O49" s="428"/>
      <c r="P49" s="428"/>
      <c r="Q49" s="428"/>
      <c r="R49" s="428"/>
      <c r="S49" s="428"/>
      <c r="T49" s="428"/>
      <c r="U49" s="428"/>
      <c r="V49" s="428"/>
      <c r="W49" s="428"/>
      <c r="X49" s="428"/>
      <c r="Y49" s="428"/>
      <c r="Z49" s="428"/>
      <c r="AA49" s="428"/>
      <c r="AB49" s="428"/>
      <c r="AC49" s="428"/>
      <c r="AD49" s="428"/>
      <c r="AE49" s="428"/>
      <c r="AF49" s="428"/>
      <c r="AG49" s="428"/>
      <c r="AH49" s="428"/>
      <c r="AI49" s="428"/>
      <c r="AJ49" s="428"/>
      <c r="AK49" s="499"/>
    </row>
    <row r="50" spans="1:37" ht="14.25" customHeight="1">
      <c r="A50" s="619">
        <v>1</v>
      </c>
      <c r="B50" s="426"/>
      <c r="C50" s="355" t="s">
        <v>939</v>
      </c>
      <c r="D50" s="431"/>
      <c r="E50" s="431"/>
      <c r="F50" s="431"/>
      <c r="G50" s="431"/>
      <c r="H50" s="428"/>
      <c r="I50" s="428"/>
      <c r="J50" s="428"/>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99"/>
    </row>
    <row r="51" spans="1:37" ht="14.25" customHeight="1">
      <c r="A51" s="619"/>
      <c r="B51" s="426"/>
      <c r="C51" s="355" t="s">
        <v>359</v>
      </c>
      <c r="D51" s="431" t="s">
        <v>186</v>
      </c>
      <c r="E51" s="431" t="s">
        <v>186</v>
      </c>
      <c r="F51" s="431" t="s">
        <v>186</v>
      </c>
      <c r="G51" s="431" t="s">
        <v>186</v>
      </c>
      <c r="H51" s="428"/>
      <c r="I51" s="428"/>
      <c r="J51" s="428"/>
      <c r="K51" s="428"/>
      <c r="L51" s="428"/>
      <c r="M51" s="428"/>
      <c r="N51" s="42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99"/>
    </row>
    <row r="52" spans="1:37" ht="14.25" customHeight="1">
      <c r="A52" s="619"/>
      <c r="B52" s="426"/>
      <c r="C52" s="355" t="s">
        <v>360</v>
      </c>
      <c r="D52" s="431" t="s">
        <v>186</v>
      </c>
      <c r="E52" s="431" t="s">
        <v>186</v>
      </c>
      <c r="F52" s="431" t="s">
        <v>186</v>
      </c>
      <c r="G52" s="431" t="s">
        <v>186</v>
      </c>
      <c r="H52" s="428"/>
      <c r="I52" s="428"/>
      <c r="J52" s="428"/>
      <c r="K52" s="428"/>
      <c r="L52" s="428"/>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99"/>
    </row>
    <row r="53" spans="1:37" ht="14.25" customHeight="1">
      <c r="A53" s="619"/>
      <c r="B53" s="426"/>
      <c r="C53" s="355" t="s">
        <v>362</v>
      </c>
      <c r="D53" s="431" t="s">
        <v>186</v>
      </c>
      <c r="E53" s="431" t="s">
        <v>186</v>
      </c>
      <c r="F53" s="431" t="s">
        <v>186</v>
      </c>
      <c r="G53" s="431" t="s">
        <v>186</v>
      </c>
      <c r="H53" s="428"/>
      <c r="I53" s="428"/>
      <c r="J53" s="428"/>
      <c r="K53" s="428"/>
      <c r="L53" s="428"/>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99"/>
    </row>
    <row r="54" spans="1:37" ht="14.25" customHeight="1">
      <c r="A54" s="619"/>
      <c r="B54" s="426"/>
      <c r="C54" s="355" t="s">
        <v>363</v>
      </c>
      <c r="D54" s="431">
        <v>659.35</v>
      </c>
      <c r="E54" s="431">
        <v>662.92</v>
      </c>
      <c r="F54" s="431">
        <v>299.91000000000003</v>
      </c>
      <c r="G54" s="431">
        <v>407.31</v>
      </c>
      <c r="H54" s="428"/>
      <c r="I54" s="428"/>
      <c r="J54" s="428"/>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99"/>
    </row>
    <row r="55" spans="1:37" ht="14.25" customHeight="1">
      <c r="A55" s="619"/>
      <c r="B55" s="426"/>
      <c r="C55" s="430" t="s">
        <v>767</v>
      </c>
      <c r="D55" s="431">
        <f t="shared" ref="D55:G55" si="3">SUM(D45:D54)</f>
        <v>895.02330400000005</v>
      </c>
      <c r="E55" s="431">
        <f t="shared" si="3"/>
        <v>843.82575399999996</v>
      </c>
      <c r="F55" s="431">
        <f t="shared" si="3"/>
        <v>575.43083300000001</v>
      </c>
      <c r="G55" s="431">
        <f t="shared" si="3"/>
        <v>722.91652199999999</v>
      </c>
      <c r="H55" s="428"/>
      <c r="I55" s="428"/>
      <c r="J55" s="42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99"/>
    </row>
    <row r="56" spans="1:37" ht="14.25" customHeight="1">
      <c r="A56" s="619"/>
      <c r="B56" s="426"/>
      <c r="C56" s="434"/>
      <c r="D56" s="425"/>
      <c r="E56" s="425"/>
      <c r="F56" s="425"/>
      <c r="G56" s="425"/>
      <c r="H56" s="425"/>
      <c r="I56" s="425"/>
      <c r="J56" s="425"/>
      <c r="K56" s="425"/>
      <c r="L56" s="425"/>
      <c r="M56" s="425"/>
      <c r="N56" s="425"/>
      <c r="O56" s="425"/>
      <c r="P56" s="425"/>
      <c r="Q56" s="425"/>
      <c r="R56" s="425"/>
      <c r="S56" s="425"/>
      <c r="T56" s="425"/>
      <c r="U56" s="425"/>
      <c r="V56" s="425"/>
      <c r="W56" s="425"/>
      <c r="X56" s="425"/>
      <c r="Y56" s="425"/>
      <c r="Z56" s="425"/>
      <c r="AA56" s="425"/>
      <c r="AB56" s="425"/>
      <c r="AC56" s="425"/>
      <c r="AD56" s="425"/>
      <c r="AE56" s="425"/>
      <c r="AF56" s="425"/>
      <c r="AG56" s="425"/>
      <c r="AH56" s="425"/>
      <c r="AI56" s="425"/>
      <c r="AJ56" s="425"/>
      <c r="AK56" s="499"/>
    </row>
    <row r="57" spans="1:37" ht="14.25" customHeight="1">
      <c r="A57" s="619"/>
      <c r="B57" s="426"/>
      <c r="C57" s="429" t="s">
        <v>440</v>
      </c>
      <c r="D57" s="428"/>
      <c r="E57" s="428"/>
      <c r="F57" s="428"/>
      <c r="G57" s="428"/>
      <c r="H57" s="428"/>
      <c r="I57" s="428"/>
      <c r="J57" s="428"/>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99"/>
    </row>
    <row r="58" spans="1:37" ht="14.25" customHeight="1">
      <c r="A58" s="619">
        <v>1</v>
      </c>
      <c r="B58" s="426"/>
      <c r="C58" s="430" t="s">
        <v>934</v>
      </c>
      <c r="D58" s="431" t="s">
        <v>186</v>
      </c>
      <c r="E58" s="431" t="s">
        <v>186</v>
      </c>
      <c r="F58" s="431" t="s">
        <v>186</v>
      </c>
      <c r="G58" s="431" t="s">
        <v>186</v>
      </c>
      <c r="H58" s="428"/>
      <c r="I58" s="428"/>
      <c r="J58" s="428"/>
      <c r="K58" s="428"/>
      <c r="L58" s="428"/>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99"/>
    </row>
    <row r="59" spans="1:37" ht="14.25" customHeight="1">
      <c r="A59" s="619">
        <v>1</v>
      </c>
      <c r="B59" s="426"/>
      <c r="C59" s="355" t="s">
        <v>935</v>
      </c>
      <c r="D59" s="431">
        <v>47.280129100000003</v>
      </c>
      <c r="E59" s="431">
        <v>48.661400800000003</v>
      </c>
      <c r="F59" s="431">
        <v>46.465556599999999</v>
      </c>
      <c r="G59" s="431">
        <v>54.233958199999996</v>
      </c>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99"/>
    </row>
    <row r="60" spans="1:37" ht="14.25" customHeight="1">
      <c r="A60" s="619">
        <v>1</v>
      </c>
      <c r="B60" s="426"/>
      <c r="C60" s="430" t="s">
        <v>936</v>
      </c>
      <c r="D60" s="431">
        <v>1629.3201899999999</v>
      </c>
      <c r="E60" s="431">
        <v>1676.92019</v>
      </c>
      <c r="F60" s="431">
        <v>1601.2492199999999</v>
      </c>
      <c r="G60" s="431">
        <v>1868.95605</v>
      </c>
      <c r="H60" s="428"/>
      <c r="I60" s="428"/>
      <c r="J60" s="428"/>
      <c r="K60" s="428"/>
      <c r="L60" s="428"/>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99"/>
    </row>
    <row r="61" spans="1:37" ht="14.25" customHeight="1">
      <c r="A61" s="619">
        <v>1</v>
      </c>
      <c r="B61" s="426"/>
      <c r="C61" s="355" t="s">
        <v>937</v>
      </c>
      <c r="D61" s="431" t="s">
        <v>186</v>
      </c>
      <c r="E61" s="431" t="s">
        <v>186</v>
      </c>
      <c r="F61" s="431" t="s">
        <v>186</v>
      </c>
      <c r="G61" s="431" t="s">
        <v>186</v>
      </c>
      <c r="H61" s="428"/>
      <c r="I61" s="428"/>
      <c r="J61" s="428"/>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99"/>
    </row>
    <row r="62" spans="1:37" ht="14.25" customHeight="1">
      <c r="A62" s="619">
        <v>1</v>
      </c>
      <c r="B62" s="426"/>
      <c r="C62" s="355" t="s">
        <v>938</v>
      </c>
      <c r="D62" s="431" t="s">
        <v>186</v>
      </c>
      <c r="E62" s="431" t="s">
        <v>186</v>
      </c>
      <c r="F62" s="431" t="s">
        <v>186</v>
      </c>
      <c r="G62" s="431" t="s">
        <v>186</v>
      </c>
      <c r="H62" s="428"/>
      <c r="I62" s="428"/>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99"/>
    </row>
    <row r="63" spans="1:37" ht="14.25" customHeight="1">
      <c r="A63" s="619">
        <v>1</v>
      </c>
      <c r="B63" s="426"/>
      <c r="C63" s="355" t="s">
        <v>939</v>
      </c>
      <c r="D63" s="431"/>
      <c r="E63" s="431"/>
      <c r="F63" s="431"/>
      <c r="G63" s="428"/>
      <c r="H63" s="428"/>
      <c r="I63" s="428"/>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99"/>
    </row>
    <row r="64" spans="1:37" ht="14.25" customHeight="1">
      <c r="A64" s="619"/>
      <c r="B64" s="426"/>
      <c r="C64" s="355" t="s">
        <v>359</v>
      </c>
      <c r="D64" s="431" t="s">
        <v>186</v>
      </c>
      <c r="E64" s="431" t="s">
        <v>186</v>
      </c>
      <c r="F64" s="431" t="s">
        <v>186</v>
      </c>
      <c r="G64" s="428" t="s">
        <v>186</v>
      </c>
      <c r="H64" s="428"/>
      <c r="I64" s="428"/>
      <c r="J64" s="428"/>
      <c r="K64" s="428"/>
      <c r="L64" s="428"/>
      <c r="M64" s="428"/>
      <c r="N64" s="428"/>
      <c r="O64" s="428"/>
      <c r="P64" s="428"/>
      <c r="Q64" s="428"/>
      <c r="R64" s="428"/>
      <c r="S64" s="428"/>
      <c r="T64" s="428"/>
      <c r="U64" s="428"/>
      <c r="V64" s="428"/>
      <c r="W64" s="428"/>
      <c r="X64" s="428"/>
      <c r="Y64" s="428"/>
      <c r="Z64" s="428"/>
      <c r="AA64" s="428"/>
      <c r="AB64" s="428"/>
      <c r="AC64" s="428"/>
      <c r="AD64" s="428"/>
      <c r="AE64" s="428"/>
      <c r="AF64" s="428"/>
      <c r="AG64" s="428"/>
      <c r="AH64" s="428"/>
      <c r="AI64" s="428"/>
      <c r="AJ64" s="428"/>
      <c r="AK64" s="499"/>
    </row>
    <row r="65" spans="1:37" ht="14.25" customHeight="1">
      <c r="A65" s="619"/>
      <c r="B65" s="426"/>
      <c r="C65" s="355" t="s">
        <v>360</v>
      </c>
      <c r="D65" s="431" t="s">
        <v>186</v>
      </c>
      <c r="E65" s="431" t="s">
        <v>186</v>
      </c>
      <c r="F65" s="431" t="s">
        <v>186</v>
      </c>
      <c r="G65" s="428" t="s">
        <v>186</v>
      </c>
      <c r="H65" s="428"/>
      <c r="I65" s="428"/>
      <c r="J65" s="428"/>
      <c r="K65" s="428"/>
      <c r="L65" s="428"/>
      <c r="M65" s="428"/>
      <c r="N65" s="428"/>
      <c r="O65" s="428"/>
      <c r="P65" s="428"/>
      <c r="Q65" s="428"/>
      <c r="R65" s="428"/>
      <c r="S65" s="428"/>
      <c r="T65" s="428"/>
      <c r="U65" s="428"/>
      <c r="V65" s="428"/>
      <c r="W65" s="428"/>
      <c r="X65" s="428"/>
      <c r="Y65" s="428"/>
      <c r="Z65" s="428"/>
      <c r="AA65" s="428"/>
      <c r="AB65" s="428"/>
      <c r="AC65" s="428"/>
      <c r="AD65" s="428"/>
      <c r="AE65" s="428"/>
      <c r="AF65" s="428"/>
      <c r="AG65" s="428"/>
      <c r="AH65" s="428"/>
      <c r="AI65" s="428"/>
      <c r="AJ65" s="428"/>
      <c r="AK65" s="499"/>
    </row>
    <row r="66" spans="1:37" ht="14.25" customHeight="1">
      <c r="A66" s="619"/>
      <c r="B66" s="426"/>
      <c r="C66" s="355" t="s">
        <v>362</v>
      </c>
      <c r="D66" s="431">
        <v>63.76</v>
      </c>
      <c r="E66" s="431">
        <v>63.56</v>
      </c>
      <c r="F66" s="431">
        <v>32.24</v>
      </c>
      <c r="G66" s="428" t="s">
        <v>186</v>
      </c>
      <c r="H66" s="428"/>
      <c r="I66" s="428"/>
      <c r="J66" s="428"/>
      <c r="K66" s="428"/>
      <c r="L66" s="428"/>
      <c r="M66" s="428"/>
      <c r="N66" s="428"/>
      <c r="O66" s="428"/>
      <c r="P66" s="428"/>
      <c r="Q66" s="428"/>
      <c r="R66" s="428"/>
      <c r="S66" s="428"/>
      <c r="T66" s="428"/>
      <c r="U66" s="428"/>
      <c r="V66" s="428"/>
      <c r="W66" s="428"/>
      <c r="X66" s="428"/>
      <c r="Y66" s="428"/>
      <c r="Z66" s="428"/>
      <c r="AA66" s="428"/>
      <c r="AB66" s="428"/>
      <c r="AC66" s="428"/>
      <c r="AD66" s="428"/>
      <c r="AE66" s="428"/>
      <c r="AF66" s="428"/>
      <c r="AG66" s="428"/>
      <c r="AH66" s="428"/>
      <c r="AI66" s="428"/>
      <c r="AJ66" s="428"/>
      <c r="AK66" s="499"/>
    </row>
    <row r="67" spans="1:37" ht="14.25" customHeight="1">
      <c r="A67" s="619"/>
      <c r="B67" s="426"/>
      <c r="C67" s="355" t="s">
        <v>363</v>
      </c>
      <c r="D67" s="431" t="s">
        <v>186</v>
      </c>
      <c r="E67" s="431" t="s">
        <v>186</v>
      </c>
      <c r="F67" s="431" t="s">
        <v>186</v>
      </c>
      <c r="G67" s="428" t="s">
        <v>186</v>
      </c>
      <c r="H67" s="428"/>
      <c r="I67" s="428"/>
      <c r="J67" s="428"/>
      <c r="K67" s="428"/>
      <c r="L67" s="428"/>
      <c r="M67" s="428"/>
      <c r="N67" s="42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99"/>
    </row>
    <row r="68" spans="1:37" ht="14.25" customHeight="1">
      <c r="A68" s="619"/>
      <c r="B68" s="426"/>
      <c r="C68" s="430" t="s">
        <v>767</v>
      </c>
      <c r="D68" s="431">
        <f t="shared" ref="D68:G68" si="4">SUM(D58:D67)</f>
        <v>1740.3603191</v>
      </c>
      <c r="E68" s="431">
        <f t="shared" si="4"/>
        <v>1789.1415907999999</v>
      </c>
      <c r="F68" s="431">
        <f t="shared" si="4"/>
        <v>1679.9547765999998</v>
      </c>
      <c r="G68" s="431">
        <f t="shared" si="4"/>
        <v>1923.1900082</v>
      </c>
      <c r="H68" s="428"/>
      <c r="I68" s="428"/>
      <c r="J68" s="428"/>
      <c r="K68" s="428"/>
      <c r="L68" s="428"/>
      <c r="M68" s="428"/>
      <c r="N68" s="428"/>
      <c r="O68" s="428"/>
      <c r="P68" s="428"/>
      <c r="Q68" s="428"/>
      <c r="R68" s="428"/>
      <c r="S68" s="428"/>
      <c r="T68" s="428"/>
      <c r="U68" s="428"/>
      <c r="V68" s="428"/>
      <c r="W68" s="428"/>
      <c r="X68" s="428"/>
      <c r="Y68" s="428"/>
      <c r="Z68" s="428"/>
      <c r="AA68" s="428"/>
      <c r="AB68" s="428"/>
      <c r="AC68" s="428"/>
      <c r="AD68" s="428"/>
      <c r="AE68" s="428"/>
      <c r="AF68" s="428"/>
      <c r="AG68" s="428"/>
      <c r="AH68" s="428"/>
      <c r="AI68" s="428"/>
      <c r="AJ68" s="428"/>
      <c r="AK68" s="499"/>
    </row>
    <row r="69" spans="1:37" ht="14.25" customHeight="1">
      <c r="A69" s="619"/>
      <c r="B69" s="426"/>
      <c r="C69" s="434"/>
      <c r="D69" s="425"/>
      <c r="E69" s="425"/>
      <c r="F69" s="425"/>
      <c r="G69" s="425"/>
      <c r="H69" s="425"/>
      <c r="I69" s="425"/>
      <c r="J69" s="425"/>
      <c r="K69" s="425"/>
      <c r="L69" s="425"/>
      <c r="M69" s="425"/>
      <c r="N69" s="425"/>
      <c r="O69" s="425"/>
      <c r="P69" s="425"/>
      <c r="Q69" s="425"/>
      <c r="R69" s="425"/>
      <c r="S69" s="425"/>
      <c r="T69" s="425"/>
      <c r="U69" s="425"/>
      <c r="V69" s="425"/>
      <c r="W69" s="425"/>
      <c r="X69" s="425"/>
      <c r="Y69" s="425"/>
      <c r="Z69" s="425"/>
      <c r="AA69" s="425"/>
      <c r="AB69" s="425"/>
      <c r="AC69" s="425"/>
      <c r="AD69" s="425"/>
      <c r="AE69" s="425"/>
      <c r="AF69" s="425"/>
      <c r="AG69" s="425"/>
      <c r="AH69" s="425"/>
      <c r="AI69" s="425"/>
      <c r="AJ69" s="425"/>
      <c r="AK69" s="499"/>
    </row>
    <row r="70" spans="1:37" ht="14.25" customHeight="1">
      <c r="A70" s="619"/>
      <c r="B70" s="426"/>
      <c r="C70" s="429" t="s">
        <v>444</v>
      </c>
      <c r="D70" s="428"/>
      <c r="E70" s="437"/>
      <c r="F70" s="438"/>
      <c r="G70" s="438"/>
      <c r="H70" s="438"/>
      <c r="I70" s="438"/>
      <c r="J70" s="428"/>
      <c r="K70" s="428"/>
      <c r="L70" s="428"/>
      <c r="M70" s="428"/>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99"/>
    </row>
    <row r="71" spans="1:37" ht="14.25" customHeight="1">
      <c r="A71" s="619">
        <v>1</v>
      </c>
      <c r="B71" s="426"/>
      <c r="C71" s="430" t="s">
        <v>936</v>
      </c>
      <c r="D71" s="431">
        <v>338.131328</v>
      </c>
      <c r="E71" s="559">
        <v>271.99655799999999</v>
      </c>
      <c r="F71" s="431">
        <v>162.63273699999999</v>
      </c>
      <c r="G71" s="431">
        <v>284.99849399999999</v>
      </c>
      <c r="H71" s="438"/>
      <c r="I71" s="438"/>
      <c r="J71" s="428"/>
      <c r="K71" s="428"/>
      <c r="L71" s="428"/>
      <c r="M71" s="428"/>
      <c r="N71" s="428"/>
      <c r="O71" s="428"/>
      <c r="P71" s="428"/>
      <c r="Q71" s="428"/>
      <c r="R71" s="428"/>
      <c r="S71" s="428"/>
      <c r="T71" s="428"/>
      <c r="U71" s="428"/>
      <c r="V71" s="428"/>
      <c r="W71" s="428"/>
      <c r="X71" s="428"/>
      <c r="Y71" s="428"/>
      <c r="Z71" s="428"/>
      <c r="AA71" s="428"/>
      <c r="AB71" s="428"/>
      <c r="AC71" s="428"/>
      <c r="AD71" s="428"/>
      <c r="AE71" s="428"/>
      <c r="AF71" s="428"/>
      <c r="AG71" s="428"/>
      <c r="AH71" s="428"/>
      <c r="AI71" s="428"/>
      <c r="AJ71" s="428"/>
      <c r="AK71" s="499"/>
    </row>
    <row r="72" spans="1:37" ht="14.25" customHeight="1">
      <c r="A72" s="619">
        <v>1</v>
      </c>
      <c r="B72" s="426"/>
      <c r="C72" s="430" t="s">
        <v>934</v>
      </c>
      <c r="D72" s="431">
        <v>3.78280474</v>
      </c>
      <c r="E72" s="559">
        <v>3.5420360799999999</v>
      </c>
      <c r="F72" s="431">
        <v>3.2735867299999999</v>
      </c>
      <c r="G72" s="431">
        <v>4.0458348099999997</v>
      </c>
      <c r="H72" s="438"/>
      <c r="I72" s="438"/>
      <c r="J72" s="428"/>
      <c r="K72" s="428"/>
      <c r="L72" s="428"/>
      <c r="M72" s="428"/>
      <c r="N72" s="428"/>
      <c r="O72" s="428"/>
      <c r="P72" s="428"/>
      <c r="Q72" s="428"/>
      <c r="R72" s="428"/>
      <c r="S72" s="428"/>
      <c r="T72" s="428"/>
      <c r="U72" s="428"/>
      <c r="V72" s="428"/>
      <c r="W72" s="428"/>
      <c r="X72" s="428"/>
      <c r="Y72" s="428"/>
      <c r="Z72" s="428"/>
      <c r="AA72" s="428"/>
      <c r="AB72" s="428"/>
      <c r="AC72" s="428"/>
      <c r="AD72" s="428"/>
      <c r="AE72" s="428"/>
      <c r="AF72" s="428"/>
      <c r="AG72" s="428"/>
      <c r="AH72" s="428"/>
      <c r="AI72" s="428"/>
      <c r="AJ72" s="428"/>
      <c r="AK72" s="499"/>
    </row>
    <row r="73" spans="1:37" ht="14.25" customHeight="1">
      <c r="A73" s="619"/>
      <c r="B73" s="426"/>
      <c r="C73" s="430" t="s">
        <v>767</v>
      </c>
      <c r="D73" s="431">
        <f t="shared" ref="D73:G73" si="5">SUM(D71:D72)</f>
        <v>341.91413274000001</v>
      </c>
      <c r="E73" s="431">
        <f t="shared" si="5"/>
        <v>275.53859408</v>
      </c>
      <c r="F73" s="431">
        <f t="shared" si="5"/>
        <v>165.90632373</v>
      </c>
      <c r="G73" s="431">
        <f t="shared" si="5"/>
        <v>289.04432880999997</v>
      </c>
      <c r="H73" s="438"/>
      <c r="I73" s="438"/>
      <c r="J73" s="428"/>
      <c r="K73" s="428"/>
      <c r="L73" s="428"/>
      <c r="M73" s="428"/>
      <c r="N73" s="428"/>
      <c r="O73" s="428"/>
      <c r="P73" s="428"/>
      <c r="Q73" s="428"/>
      <c r="R73" s="428"/>
      <c r="S73" s="428"/>
      <c r="T73" s="428"/>
      <c r="U73" s="428"/>
      <c r="V73" s="428"/>
      <c r="W73" s="428"/>
      <c r="X73" s="428"/>
      <c r="Y73" s="428"/>
      <c r="Z73" s="428"/>
      <c r="AA73" s="428"/>
      <c r="AB73" s="428"/>
      <c r="AC73" s="428"/>
      <c r="AD73" s="428"/>
      <c r="AE73" s="428"/>
      <c r="AF73" s="428"/>
      <c r="AG73" s="428"/>
      <c r="AH73" s="428"/>
      <c r="AI73" s="428"/>
      <c r="AJ73" s="428"/>
      <c r="AK73" s="499"/>
    </row>
    <row r="74" spans="1:37" ht="14.25" customHeight="1">
      <c r="A74" s="619"/>
      <c r="B74" s="426"/>
      <c r="C74" s="434"/>
      <c r="D74" s="425"/>
      <c r="E74" s="439"/>
      <c r="F74" s="439"/>
      <c r="G74" s="439"/>
      <c r="H74" s="439"/>
      <c r="I74" s="439"/>
      <c r="J74" s="425"/>
      <c r="K74" s="425"/>
      <c r="L74" s="425"/>
      <c r="M74" s="425"/>
      <c r="N74" s="425"/>
      <c r="O74" s="425"/>
      <c r="P74" s="425"/>
      <c r="Q74" s="425"/>
      <c r="R74" s="425"/>
      <c r="S74" s="425"/>
      <c r="T74" s="425"/>
      <c r="U74" s="425"/>
      <c r="V74" s="425"/>
      <c r="W74" s="425"/>
      <c r="X74" s="425"/>
      <c r="Y74" s="425"/>
      <c r="Z74" s="425"/>
      <c r="AA74" s="425"/>
      <c r="AB74" s="425"/>
      <c r="AC74" s="425"/>
      <c r="AD74" s="425"/>
      <c r="AE74" s="425"/>
      <c r="AF74" s="425"/>
      <c r="AG74" s="425"/>
      <c r="AH74" s="425"/>
      <c r="AI74" s="425"/>
      <c r="AJ74" s="425"/>
      <c r="AK74" s="499"/>
    </row>
    <row r="75" spans="1:37" ht="14.25" customHeight="1">
      <c r="A75" s="619"/>
      <c r="B75" s="426"/>
      <c r="C75" s="429" t="s">
        <v>447</v>
      </c>
      <c r="D75" s="428"/>
      <c r="E75" s="428"/>
      <c r="F75" s="428"/>
      <c r="G75" s="428"/>
      <c r="H75" s="428"/>
      <c r="I75" s="428"/>
      <c r="J75" s="428"/>
      <c r="K75" s="428"/>
      <c r="L75" s="428"/>
      <c r="M75" s="428"/>
      <c r="N75" s="428"/>
      <c r="O75" s="428"/>
      <c r="P75" s="428"/>
      <c r="Q75" s="428"/>
      <c r="R75" s="428"/>
      <c r="S75" s="428"/>
      <c r="T75" s="428"/>
      <c r="U75" s="428"/>
      <c r="V75" s="428"/>
      <c r="W75" s="428"/>
      <c r="X75" s="428"/>
      <c r="Y75" s="428"/>
      <c r="Z75" s="428"/>
      <c r="AA75" s="428"/>
      <c r="AB75" s="428"/>
      <c r="AC75" s="428"/>
      <c r="AD75" s="428"/>
      <c r="AE75" s="428"/>
      <c r="AF75" s="428"/>
      <c r="AG75" s="428"/>
      <c r="AH75" s="428"/>
      <c r="AI75" s="428"/>
      <c r="AJ75" s="428"/>
      <c r="AK75" s="499"/>
    </row>
    <row r="76" spans="1:37" ht="14.25" customHeight="1">
      <c r="A76" s="619">
        <v>1</v>
      </c>
      <c r="B76" s="426"/>
      <c r="C76" s="430" t="s">
        <v>940</v>
      </c>
      <c r="D76" s="431">
        <v>350.97862800000001</v>
      </c>
      <c r="E76" s="431">
        <v>357.9982</v>
      </c>
      <c r="F76" s="431">
        <v>365.158164</v>
      </c>
      <c r="G76" s="431">
        <v>372.46132799999998</v>
      </c>
      <c r="H76" s="428"/>
      <c r="I76" s="428"/>
      <c r="J76" s="428"/>
      <c r="K76" s="428"/>
      <c r="L76" s="428"/>
      <c r="M76" s="428"/>
      <c r="N76" s="428"/>
      <c r="O76" s="428"/>
      <c r="P76" s="428"/>
      <c r="Q76" s="428"/>
      <c r="R76" s="428"/>
      <c r="S76" s="428"/>
      <c r="T76" s="428"/>
      <c r="U76" s="428"/>
      <c r="V76" s="428"/>
      <c r="W76" s="428"/>
      <c r="X76" s="428"/>
      <c r="Y76" s="428"/>
      <c r="Z76" s="428"/>
      <c r="AA76" s="428"/>
      <c r="AB76" s="428"/>
      <c r="AC76" s="428"/>
      <c r="AD76" s="428"/>
      <c r="AE76" s="428"/>
      <c r="AF76" s="428"/>
      <c r="AG76" s="428"/>
      <c r="AH76" s="428"/>
      <c r="AI76" s="428"/>
      <c r="AJ76" s="428"/>
      <c r="AK76" s="499"/>
    </row>
    <row r="77" spans="1:37" ht="14.25" customHeight="1">
      <c r="A77" s="619">
        <v>1</v>
      </c>
      <c r="B77" s="426"/>
      <c r="C77" s="430" t="s">
        <v>934</v>
      </c>
      <c r="D77" s="431">
        <v>1392.0700999999999</v>
      </c>
      <c r="E77" s="431">
        <v>1331.3705</v>
      </c>
      <c r="F77" s="431">
        <v>1264.1858999999999</v>
      </c>
      <c r="G77" s="431">
        <v>1192.9806000000001</v>
      </c>
      <c r="H77" s="428"/>
      <c r="I77" s="428"/>
      <c r="J77" s="428"/>
      <c r="K77" s="428"/>
      <c r="L77" s="428"/>
      <c r="M77" s="428"/>
      <c r="N77" s="428"/>
      <c r="O77" s="428"/>
      <c r="P77" s="428"/>
      <c r="Q77" s="428"/>
      <c r="R77" s="428"/>
      <c r="S77" s="428"/>
      <c r="T77" s="428"/>
      <c r="U77" s="428"/>
      <c r="V77" s="428"/>
      <c r="W77" s="428"/>
      <c r="X77" s="428"/>
      <c r="Y77" s="428"/>
      <c r="Z77" s="428"/>
      <c r="AA77" s="428"/>
      <c r="AB77" s="428"/>
      <c r="AC77" s="428"/>
      <c r="AD77" s="428"/>
      <c r="AE77" s="428"/>
      <c r="AF77" s="428"/>
      <c r="AG77" s="428"/>
      <c r="AH77" s="428"/>
      <c r="AI77" s="428"/>
      <c r="AJ77" s="428"/>
      <c r="AK77" s="499"/>
    </row>
    <row r="78" spans="1:37" ht="14.25" customHeight="1">
      <c r="A78" s="619"/>
      <c r="B78" s="426"/>
      <c r="C78" s="430" t="s">
        <v>767</v>
      </c>
      <c r="D78" s="431">
        <f t="shared" ref="D78:G78" si="6">SUM(D76:D77)</f>
        <v>1743.048728</v>
      </c>
      <c r="E78" s="431">
        <f t="shared" si="6"/>
        <v>1689.3687</v>
      </c>
      <c r="F78" s="431">
        <f t="shared" si="6"/>
        <v>1629.3440639999999</v>
      </c>
      <c r="G78" s="431">
        <f t="shared" si="6"/>
        <v>1565.4419280000002</v>
      </c>
      <c r="H78" s="428"/>
      <c r="I78" s="428"/>
      <c r="J78" s="428"/>
      <c r="K78" s="428"/>
      <c r="L78" s="428"/>
      <c r="M78" s="428"/>
      <c r="N78" s="428"/>
      <c r="O78" s="428"/>
      <c r="P78" s="428"/>
      <c r="Q78" s="428"/>
      <c r="R78" s="428"/>
      <c r="S78" s="428"/>
      <c r="T78" s="428"/>
      <c r="U78" s="428"/>
      <c r="V78" s="428"/>
      <c r="W78" s="428"/>
      <c r="X78" s="428"/>
      <c r="Y78" s="428"/>
      <c r="Z78" s="428"/>
      <c r="AA78" s="428"/>
      <c r="AB78" s="428"/>
      <c r="AC78" s="428"/>
      <c r="AD78" s="428"/>
      <c r="AE78" s="428"/>
      <c r="AF78" s="428"/>
      <c r="AG78" s="428"/>
      <c r="AH78" s="428"/>
      <c r="AI78" s="428"/>
      <c r="AJ78" s="428"/>
      <c r="AK78" s="499"/>
    </row>
    <row r="79" spans="1:37" ht="14.25" customHeight="1">
      <c r="A79" s="619"/>
      <c r="B79" s="426"/>
      <c r="C79" s="434"/>
      <c r="D79" s="425"/>
      <c r="E79" s="439"/>
      <c r="F79" s="439"/>
      <c r="G79" s="439"/>
      <c r="H79" s="439"/>
      <c r="I79" s="439"/>
      <c r="J79" s="425"/>
      <c r="K79" s="425"/>
      <c r="L79" s="425"/>
      <c r="M79" s="425"/>
      <c r="N79" s="425"/>
      <c r="O79" s="425"/>
      <c r="P79" s="425"/>
      <c r="Q79" s="425"/>
      <c r="R79" s="425"/>
      <c r="S79" s="425"/>
      <c r="T79" s="425"/>
      <c r="U79" s="425"/>
      <c r="V79" s="425"/>
      <c r="W79" s="425"/>
      <c r="X79" s="425"/>
      <c r="Y79" s="425"/>
      <c r="Z79" s="425"/>
      <c r="AA79" s="425"/>
      <c r="AB79" s="425"/>
      <c r="AC79" s="425"/>
      <c r="AD79" s="425"/>
      <c r="AE79" s="425"/>
      <c r="AF79" s="425"/>
      <c r="AG79" s="425"/>
      <c r="AH79" s="425"/>
      <c r="AI79" s="425"/>
      <c r="AJ79" s="425"/>
      <c r="AK79" s="499"/>
    </row>
    <row r="80" spans="1:37" ht="14.25" customHeight="1">
      <c r="A80" s="619"/>
      <c r="B80" s="426"/>
      <c r="C80" s="429" t="s">
        <v>451</v>
      </c>
      <c r="D80" s="428"/>
      <c r="E80" s="428"/>
      <c r="F80" s="428"/>
      <c r="G80" s="428"/>
      <c r="H80" s="428"/>
      <c r="I80" s="428"/>
      <c r="J80" s="428"/>
      <c r="K80" s="428"/>
      <c r="L80" s="428"/>
      <c r="M80" s="428"/>
      <c r="N80" s="428"/>
      <c r="O80" s="428"/>
      <c r="P80" s="428"/>
      <c r="Q80" s="428"/>
      <c r="R80" s="428"/>
      <c r="S80" s="428"/>
      <c r="T80" s="428"/>
      <c r="U80" s="428"/>
      <c r="V80" s="428"/>
      <c r="W80" s="428"/>
      <c r="X80" s="428"/>
      <c r="Y80" s="428"/>
      <c r="Z80" s="428"/>
      <c r="AA80" s="428"/>
      <c r="AB80" s="428"/>
      <c r="AC80" s="428"/>
      <c r="AD80" s="428"/>
      <c r="AE80" s="428"/>
      <c r="AF80" s="428"/>
      <c r="AG80" s="428"/>
      <c r="AH80" s="428"/>
      <c r="AI80" s="428"/>
      <c r="AJ80" s="428"/>
      <c r="AK80" s="499"/>
    </row>
    <row r="81" spans="1:37" ht="14.25" customHeight="1">
      <c r="A81" s="619">
        <v>1</v>
      </c>
      <c r="B81" s="426"/>
      <c r="C81" s="430" t="s">
        <v>940</v>
      </c>
      <c r="D81" s="431">
        <v>1414.7248</v>
      </c>
      <c r="E81" s="431">
        <v>1542.7108499999999</v>
      </c>
      <c r="F81" s="431">
        <v>1565.7251100000001</v>
      </c>
      <c r="G81" s="431">
        <v>1320.9015199999999</v>
      </c>
      <c r="H81" s="428"/>
      <c r="I81" s="428"/>
      <c r="J81" s="428"/>
      <c r="K81" s="428"/>
      <c r="L81" s="428"/>
      <c r="M81" s="428"/>
      <c r="N81" s="428"/>
      <c r="O81" s="428"/>
      <c r="P81" s="428"/>
      <c r="Q81" s="428"/>
      <c r="R81" s="428"/>
      <c r="S81" s="428"/>
      <c r="T81" s="428"/>
      <c r="U81" s="428"/>
      <c r="V81" s="428"/>
      <c r="W81" s="428"/>
      <c r="X81" s="428"/>
      <c r="Y81" s="428"/>
      <c r="Z81" s="428"/>
      <c r="AA81" s="428"/>
      <c r="AB81" s="428"/>
      <c r="AC81" s="428"/>
      <c r="AD81" s="428"/>
      <c r="AE81" s="428"/>
      <c r="AF81" s="428"/>
      <c r="AG81" s="428"/>
      <c r="AH81" s="428"/>
      <c r="AI81" s="428"/>
      <c r="AJ81" s="428"/>
      <c r="AK81" s="499"/>
    </row>
    <row r="82" spans="1:37" ht="14.25" customHeight="1">
      <c r="A82" s="619"/>
      <c r="B82" s="426"/>
      <c r="C82" s="434"/>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c r="AF82" s="425"/>
      <c r="AG82" s="425"/>
      <c r="AH82" s="425"/>
      <c r="AI82" s="425"/>
      <c r="AJ82" s="425"/>
      <c r="AK82" s="499"/>
    </row>
    <row r="83" spans="1:37" ht="14.25" customHeight="1">
      <c r="A83" s="619"/>
      <c r="B83" s="426"/>
      <c r="C83" s="429" t="s">
        <v>748</v>
      </c>
      <c r="D83" s="428"/>
      <c r="E83" s="437"/>
      <c r="F83" s="438"/>
      <c r="G83" s="438"/>
      <c r="H83" s="438" t="s">
        <v>941</v>
      </c>
      <c r="I83" s="43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99"/>
    </row>
    <row r="84" spans="1:37" ht="14.25" customHeight="1">
      <c r="A84" s="619"/>
      <c r="B84" s="426"/>
      <c r="C84" s="430" t="s">
        <v>413</v>
      </c>
      <c r="D84" s="428"/>
      <c r="E84" s="428"/>
      <c r="F84" s="428"/>
      <c r="G84" s="428"/>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99"/>
    </row>
    <row r="85" spans="1:37" ht="14.25" customHeight="1">
      <c r="A85" s="619"/>
      <c r="B85" s="426"/>
      <c r="C85" s="430" t="s">
        <v>749</v>
      </c>
      <c r="D85" s="428"/>
      <c r="E85" s="428"/>
      <c r="F85" s="428"/>
      <c r="G85" s="428"/>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99"/>
    </row>
    <row r="86" spans="1:37" ht="14.25" customHeight="1">
      <c r="A86" s="619"/>
      <c r="B86" s="426"/>
      <c r="C86" s="430" t="s">
        <v>449</v>
      </c>
      <c r="D86" s="428"/>
      <c r="E86" s="428"/>
      <c r="F86" s="428"/>
      <c r="G86" s="428"/>
      <c r="H86" s="428"/>
      <c r="I86" s="428"/>
      <c r="J86" s="42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99"/>
    </row>
    <row r="87" spans="1:37" ht="14.25" customHeight="1">
      <c r="A87" s="619"/>
      <c r="B87" s="426"/>
      <c r="C87" s="430" t="s">
        <v>750</v>
      </c>
      <c r="D87" s="428"/>
      <c r="E87" s="428"/>
      <c r="F87" s="428"/>
      <c r="G87" s="428"/>
      <c r="H87" s="428"/>
      <c r="I87" s="428"/>
      <c r="J87" s="42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99"/>
    </row>
    <row r="88" spans="1:37" ht="14.25" customHeight="1">
      <c r="A88" s="619"/>
      <c r="B88" s="426"/>
      <c r="C88" s="430" t="s">
        <v>751</v>
      </c>
      <c r="D88" s="428"/>
      <c r="E88" s="428"/>
      <c r="F88" s="428"/>
      <c r="G88" s="428"/>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99"/>
    </row>
    <row r="89" spans="1:37" ht="14.25" customHeight="1">
      <c r="A89" s="619"/>
      <c r="B89" s="426"/>
      <c r="C89" s="430" t="s">
        <v>13</v>
      </c>
      <c r="D89" s="428"/>
      <c r="E89" s="428"/>
      <c r="F89" s="428"/>
      <c r="G89" s="428"/>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99"/>
    </row>
    <row r="90" spans="1:37" ht="14.25" customHeight="1">
      <c r="A90" s="619"/>
      <c r="B90" s="426"/>
      <c r="C90" s="430"/>
      <c r="D90" s="428"/>
      <c r="E90" s="428"/>
      <c r="F90" s="428"/>
      <c r="G90" s="428"/>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99"/>
    </row>
    <row r="91" spans="1:37" ht="14.25" customHeight="1">
      <c r="A91" s="619"/>
      <c r="B91" s="500"/>
      <c r="C91" s="501"/>
      <c r="D91" s="502"/>
      <c r="E91" s="502"/>
      <c r="F91" s="502"/>
      <c r="G91" s="502"/>
      <c r="H91" s="502"/>
      <c r="I91" s="502"/>
      <c r="J91" s="502"/>
      <c r="K91" s="502"/>
      <c r="L91" s="502"/>
      <c r="M91" s="502"/>
      <c r="N91" s="502"/>
      <c r="O91" s="502"/>
      <c r="P91" s="502"/>
      <c r="Q91" s="502"/>
      <c r="R91" s="502"/>
      <c r="S91" s="502"/>
      <c r="T91" s="502"/>
      <c r="U91" s="502"/>
      <c r="V91" s="502"/>
      <c r="W91" s="502"/>
      <c r="X91" s="502"/>
      <c r="Y91" s="502"/>
      <c r="Z91" s="502"/>
      <c r="AA91" s="502"/>
      <c r="AB91" s="502"/>
      <c r="AC91" s="502"/>
      <c r="AD91" s="502"/>
      <c r="AE91" s="502"/>
      <c r="AF91" s="502"/>
      <c r="AG91" s="502"/>
      <c r="AH91" s="502"/>
      <c r="AI91" s="502"/>
      <c r="AJ91" s="502"/>
      <c r="AK91" s="503"/>
    </row>
    <row r="92" spans="1:37"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c r="A93" s="1"/>
      <c r="B93" s="1">
        <v>1</v>
      </c>
      <c r="C93" s="442" t="s">
        <v>869</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hyperlinks>
    <hyperlink ref="C93"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K1013"/>
  <sheetViews>
    <sheetView workbookViewId="0"/>
  </sheetViews>
  <sheetFormatPr defaultColWidth="12.6640625" defaultRowHeight="15" customHeight="1"/>
  <cols>
    <col min="1" max="2" width="8.44140625" customWidth="1"/>
    <col min="3" max="3" width="47.21875" customWidth="1"/>
    <col min="4"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c r="A3" s="619"/>
      <c r="B3" s="6"/>
      <c r="C3" s="152"/>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1"/>
    </row>
    <row r="4" spans="1:37" ht="13.5" customHeight="1">
      <c r="A4" s="619"/>
      <c r="B4" s="155"/>
      <c r="C4" s="156" t="s">
        <v>660</v>
      </c>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2"/>
    </row>
    <row r="5" spans="1:37" ht="13.5" customHeight="1">
      <c r="A5" s="619">
        <v>1</v>
      </c>
      <c r="B5" s="202"/>
      <c r="C5" s="160" t="s">
        <v>661</v>
      </c>
      <c r="D5" s="204" t="s">
        <v>186</v>
      </c>
      <c r="E5" s="204" t="s">
        <v>186</v>
      </c>
      <c r="F5" s="204" t="s">
        <v>186</v>
      </c>
      <c r="G5" s="620"/>
      <c r="H5" s="620"/>
      <c r="I5" s="620"/>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473"/>
    </row>
    <row r="6" spans="1:37" ht="13.5" customHeight="1">
      <c r="A6" s="619"/>
      <c r="B6" s="202"/>
      <c r="C6" s="164" t="s">
        <v>942</v>
      </c>
      <c r="D6" s="204" t="s">
        <v>186</v>
      </c>
      <c r="E6" s="204" t="s">
        <v>186</v>
      </c>
      <c r="F6" s="204" t="s">
        <v>186</v>
      </c>
      <c r="G6" s="620"/>
      <c r="H6" s="620"/>
      <c r="I6" s="620"/>
      <c r="J6" s="620"/>
      <c r="K6" s="620"/>
      <c r="L6" s="620"/>
      <c r="M6" s="620"/>
      <c r="N6" s="620"/>
      <c r="O6" s="620"/>
      <c r="P6" s="620"/>
      <c r="Q6" s="620"/>
      <c r="R6" s="620"/>
      <c r="S6" s="620"/>
      <c r="T6" s="620"/>
      <c r="U6" s="620"/>
      <c r="V6" s="620"/>
      <c r="W6" s="620"/>
      <c r="X6" s="620"/>
      <c r="Y6" s="620"/>
      <c r="Z6" s="620"/>
      <c r="AA6" s="620"/>
      <c r="AB6" s="620"/>
      <c r="AC6" s="620"/>
      <c r="AD6" s="620"/>
      <c r="AE6" s="620"/>
      <c r="AF6" s="620"/>
      <c r="AG6" s="620"/>
      <c r="AH6" s="620"/>
      <c r="AI6" s="620"/>
      <c r="AJ6" s="620"/>
      <c r="AK6" s="473"/>
    </row>
    <row r="7" spans="1:37" ht="13.5" customHeight="1">
      <c r="A7" s="619"/>
      <c r="B7" s="202"/>
      <c r="C7" s="164" t="s">
        <v>664</v>
      </c>
      <c r="D7" s="483">
        <v>9.5000000000000005E-5</v>
      </c>
      <c r="E7" s="204"/>
      <c r="F7" s="204"/>
      <c r="G7" s="620"/>
      <c r="H7" s="620"/>
      <c r="I7" s="620"/>
      <c r="J7" s="620"/>
      <c r="K7" s="620"/>
      <c r="L7" s="620"/>
      <c r="M7" s="620"/>
      <c r="N7" s="620"/>
      <c r="O7" s="620"/>
      <c r="P7" s="620"/>
      <c r="Q7" s="620"/>
      <c r="R7" s="620"/>
      <c r="S7" s="620"/>
      <c r="T7" s="620"/>
      <c r="U7" s="620"/>
      <c r="V7" s="620"/>
      <c r="W7" s="620"/>
      <c r="X7" s="620"/>
      <c r="Y7" s="620"/>
      <c r="Z7" s="620"/>
      <c r="AA7" s="620"/>
      <c r="AB7" s="620"/>
      <c r="AC7" s="620"/>
      <c r="AD7" s="620"/>
      <c r="AE7" s="620"/>
      <c r="AF7" s="620"/>
      <c r="AG7" s="620"/>
      <c r="AH7" s="620"/>
      <c r="AI7" s="620"/>
      <c r="AJ7" s="620"/>
      <c r="AK7" s="473"/>
    </row>
    <row r="8" spans="1:37" ht="13.5" customHeight="1">
      <c r="A8" s="619"/>
      <c r="B8" s="202"/>
      <c r="C8" s="164" t="s">
        <v>666</v>
      </c>
      <c r="D8" s="483">
        <v>4.1000000000000002E-2</v>
      </c>
      <c r="E8" s="204"/>
      <c r="F8" s="204"/>
      <c r="G8" s="620"/>
      <c r="H8" s="620"/>
      <c r="I8" s="620"/>
      <c r="J8" s="620"/>
      <c r="K8" s="620"/>
      <c r="L8" s="620"/>
      <c r="M8" s="620"/>
      <c r="N8" s="620"/>
      <c r="O8" s="620"/>
      <c r="P8" s="620"/>
      <c r="Q8" s="620"/>
      <c r="R8" s="620"/>
      <c r="S8" s="620"/>
      <c r="T8" s="620"/>
      <c r="U8" s="620"/>
      <c r="V8" s="620"/>
      <c r="W8" s="620"/>
      <c r="X8" s="620"/>
      <c r="Y8" s="620"/>
      <c r="Z8" s="620"/>
      <c r="AA8" s="620"/>
      <c r="AB8" s="620"/>
      <c r="AC8" s="620"/>
      <c r="AD8" s="620"/>
      <c r="AE8" s="620"/>
      <c r="AF8" s="620"/>
      <c r="AG8" s="620"/>
      <c r="AH8" s="620"/>
      <c r="AI8" s="620"/>
      <c r="AJ8" s="620"/>
      <c r="AK8" s="473"/>
    </row>
    <row r="9" spans="1:37" ht="13.5" customHeight="1">
      <c r="A9" s="619"/>
      <c r="B9" s="202"/>
      <c r="C9" s="164" t="s">
        <v>668</v>
      </c>
      <c r="D9" s="483">
        <f>0.0001</f>
        <v>1E-4</v>
      </c>
      <c r="E9" s="204"/>
      <c r="F9" s="204"/>
      <c r="G9" s="620"/>
      <c r="H9" s="620"/>
      <c r="I9" s="620"/>
      <c r="J9" s="620"/>
      <c r="K9" s="620"/>
      <c r="L9" s="620"/>
      <c r="M9" s="620"/>
      <c r="N9" s="620"/>
      <c r="O9" s="620"/>
      <c r="P9" s="620"/>
      <c r="Q9" s="620"/>
      <c r="R9" s="620"/>
      <c r="S9" s="620"/>
      <c r="T9" s="620"/>
      <c r="U9" s="620"/>
      <c r="V9" s="620"/>
      <c r="W9" s="620"/>
      <c r="X9" s="620"/>
      <c r="Y9" s="620"/>
      <c r="Z9" s="620"/>
      <c r="AA9" s="620"/>
      <c r="AB9" s="620"/>
      <c r="AC9" s="620"/>
      <c r="AD9" s="620"/>
      <c r="AE9" s="620"/>
      <c r="AF9" s="620"/>
      <c r="AG9" s="620"/>
      <c r="AH9" s="620"/>
      <c r="AI9" s="620"/>
      <c r="AJ9" s="620"/>
      <c r="AK9" s="473"/>
    </row>
    <row r="10" spans="1:37" ht="13.5" customHeight="1">
      <c r="A10" s="619"/>
      <c r="B10" s="202"/>
      <c r="C10" s="164" t="s">
        <v>673</v>
      </c>
      <c r="D10" s="483">
        <f>0.00000011</f>
        <v>1.1000000000000001E-7</v>
      </c>
      <c r="E10" s="204"/>
      <c r="F10" s="204"/>
      <c r="G10" s="620"/>
      <c r="H10" s="620"/>
      <c r="I10" s="620"/>
      <c r="J10" s="620"/>
      <c r="K10" s="620"/>
      <c r="L10" s="620"/>
      <c r="M10" s="620"/>
      <c r="N10" s="620"/>
      <c r="O10" s="620"/>
      <c r="P10" s="620"/>
      <c r="Q10" s="620"/>
      <c r="R10" s="620"/>
      <c r="S10" s="620"/>
      <c r="T10" s="620"/>
      <c r="U10" s="620"/>
      <c r="V10" s="620"/>
      <c r="W10" s="620"/>
      <c r="X10" s="620"/>
      <c r="Y10" s="620"/>
      <c r="Z10" s="620"/>
      <c r="AA10" s="620"/>
      <c r="AB10" s="620"/>
      <c r="AC10" s="620"/>
      <c r="AD10" s="620"/>
      <c r="AE10" s="620"/>
      <c r="AF10" s="620"/>
      <c r="AG10" s="620"/>
      <c r="AH10" s="620"/>
      <c r="AI10" s="620"/>
      <c r="AJ10" s="620"/>
      <c r="AK10" s="473"/>
    </row>
    <row r="11" spans="1:37" ht="13.5" customHeight="1">
      <c r="A11" s="619"/>
      <c r="B11" s="202"/>
      <c r="C11" s="164" t="s">
        <v>676</v>
      </c>
      <c r="D11" s="483">
        <f>0.00000049</f>
        <v>4.8999999999999997E-7</v>
      </c>
      <c r="E11" s="204"/>
      <c r="F11" s="204"/>
      <c r="G11" s="620"/>
      <c r="H11" s="620"/>
      <c r="I11" s="620"/>
      <c r="J11" s="620"/>
      <c r="K11" s="620"/>
      <c r="L11" s="620"/>
      <c r="M11" s="620"/>
      <c r="N11" s="620"/>
      <c r="O11" s="620"/>
      <c r="P11" s="620"/>
      <c r="Q11" s="620"/>
      <c r="R11" s="620"/>
      <c r="S11" s="620"/>
      <c r="T11" s="620"/>
      <c r="U11" s="620"/>
      <c r="V11" s="620"/>
      <c r="W11" s="620"/>
      <c r="X11" s="620"/>
      <c r="Y11" s="620"/>
      <c r="Z11" s="620"/>
      <c r="AA11" s="620"/>
      <c r="AB11" s="620"/>
      <c r="AC11" s="620"/>
      <c r="AD11" s="620"/>
      <c r="AE11" s="620"/>
      <c r="AF11" s="620"/>
      <c r="AG11" s="620"/>
      <c r="AH11" s="620"/>
      <c r="AI11" s="620"/>
      <c r="AJ11" s="620"/>
      <c r="AK11" s="473"/>
    </row>
    <row r="12" spans="1:37" ht="13.5" customHeight="1">
      <c r="A12" s="619"/>
      <c r="B12" s="202"/>
      <c r="C12" s="164" t="s">
        <v>943</v>
      </c>
      <c r="D12" s="483" t="s">
        <v>186</v>
      </c>
      <c r="E12" s="204" t="s">
        <v>186</v>
      </c>
      <c r="F12" s="204" t="s">
        <v>186</v>
      </c>
      <c r="G12" s="620"/>
      <c r="H12" s="620"/>
      <c r="I12" s="620"/>
      <c r="J12" s="620"/>
      <c r="K12" s="620"/>
      <c r="L12" s="620"/>
      <c r="M12" s="620"/>
      <c r="N12" s="620"/>
      <c r="O12" s="620"/>
      <c r="P12" s="620"/>
      <c r="Q12" s="620"/>
      <c r="R12" s="620"/>
      <c r="S12" s="620"/>
      <c r="T12" s="620"/>
      <c r="U12" s="620"/>
      <c r="V12" s="620"/>
      <c r="W12" s="620"/>
      <c r="X12" s="620"/>
      <c r="Y12" s="620"/>
      <c r="Z12" s="620"/>
      <c r="AA12" s="620"/>
      <c r="AB12" s="620"/>
      <c r="AC12" s="620"/>
      <c r="AD12" s="620"/>
      <c r="AE12" s="620"/>
      <c r="AF12" s="620"/>
      <c r="AG12" s="620"/>
      <c r="AH12" s="620"/>
      <c r="AI12" s="620"/>
      <c r="AJ12" s="620"/>
      <c r="AK12" s="473"/>
    </row>
    <row r="13" spans="1:37" ht="13.5" customHeight="1">
      <c r="A13" s="619"/>
      <c r="B13" s="202"/>
      <c r="C13" s="164" t="s">
        <v>666</v>
      </c>
      <c r="D13" s="483">
        <f>0.0012</f>
        <v>1.1999999999999999E-3</v>
      </c>
      <c r="E13" s="204"/>
      <c r="F13" s="204"/>
      <c r="G13" s="620"/>
      <c r="H13" s="620"/>
      <c r="I13" s="620"/>
      <c r="J13" s="620"/>
      <c r="K13" s="620"/>
      <c r="L13" s="620"/>
      <c r="M13" s="620"/>
      <c r="N13" s="620"/>
      <c r="O13" s="620"/>
      <c r="P13" s="620"/>
      <c r="Q13" s="620"/>
      <c r="R13" s="620"/>
      <c r="S13" s="620"/>
      <c r="T13" s="620"/>
      <c r="U13" s="620"/>
      <c r="V13" s="620"/>
      <c r="W13" s="620"/>
      <c r="X13" s="620"/>
      <c r="Y13" s="620"/>
      <c r="Z13" s="620"/>
      <c r="AA13" s="620"/>
      <c r="AB13" s="620"/>
      <c r="AC13" s="620"/>
      <c r="AD13" s="620"/>
      <c r="AE13" s="620"/>
      <c r="AF13" s="620"/>
      <c r="AG13" s="620"/>
      <c r="AH13" s="620"/>
      <c r="AI13" s="620"/>
      <c r="AJ13" s="620"/>
      <c r="AK13" s="473"/>
    </row>
    <row r="14" spans="1:37" ht="13.5" customHeight="1">
      <c r="A14" s="619"/>
      <c r="B14" s="202"/>
      <c r="C14" s="164" t="s">
        <v>668</v>
      </c>
      <c r="D14" s="483">
        <f>0.0001</f>
        <v>1E-4</v>
      </c>
      <c r="E14" s="204"/>
      <c r="F14" s="204"/>
      <c r="G14" s="620"/>
      <c r="H14" s="620"/>
      <c r="I14" s="620"/>
      <c r="J14" s="620"/>
      <c r="K14" s="620"/>
      <c r="L14" s="620"/>
      <c r="M14" s="620"/>
      <c r="N14" s="620"/>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473"/>
    </row>
    <row r="15" spans="1:37" ht="13.5" customHeight="1">
      <c r="A15" s="619"/>
      <c r="B15" s="202"/>
      <c r="C15" s="164" t="s">
        <v>675</v>
      </c>
      <c r="D15" s="483">
        <f>0.000014</f>
        <v>1.4E-5</v>
      </c>
      <c r="E15" s="204"/>
      <c r="F15" s="204"/>
      <c r="G15" s="620"/>
      <c r="H15" s="620"/>
      <c r="I15" s="620"/>
      <c r="J15" s="620"/>
      <c r="K15" s="620"/>
      <c r="L15" s="620"/>
      <c r="M15" s="620"/>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473"/>
    </row>
    <row r="16" spans="1:37" ht="13.5" customHeight="1">
      <c r="A16" s="619"/>
      <c r="B16" s="202"/>
      <c r="C16" s="164" t="s">
        <v>679</v>
      </c>
      <c r="D16" s="483">
        <f>0.000012</f>
        <v>1.2E-5</v>
      </c>
      <c r="E16" s="204"/>
      <c r="F16" s="204"/>
      <c r="G16" s="620"/>
      <c r="H16" s="620"/>
      <c r="I16" s="620"/>
      <c r="J16" s="620"/>
      <c r="K16" s="620"/>
      <c r="L16" s="620"/>
      <c r="M16" s="620"/>
      <c r="N16" s="620"/>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473"/>
    </row>
    <row r="17" spans="1:37" ht="13.5" customHeight="1">
      <c r="A17" s="619"/>
      <c r="B17" s="202"/>
      <c r="C17" s="164" t="s">
        <v>681</v>
      </c>
      <c r="D17" s="483">
        <f>0.00000088</f>
        <v>8.8000000000000004E-7</v>
      </c>
      <c r="E17" s="204"/>
      <c r="F17" s="204"/>
      <c r="G17" s="620"/>
      <c r="H17" s="620"/>
      <c r="I17" s="620"/>
      <c r="J17" s="620"/>
      <c r="K17" s="620"/>
      <c r="L17" s="620"/>
      <c r="M17" s="620"/>
      <c r="N17" s="620"/>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473"/>
    </row>
    <row r="18" spans="1:37" ht="13.5" customHeight="1">
      <c r="A18" s="619"/>
      <c r="B18" s="202"/>
      <c r="C18" s="164" t="s">
        <v>284</v>
      </c>
      <c r="D18" s="483">
        <f>0.000051</f>
        <v>5.1E-5</v>
      </c>
      <c r="E18" s="204"/>
      <c r="F18" s="204"/>
      <c r="G18" s="620"/>
      <c r="H18" s="620"/>
      <c r="I18" s="620"/>
      <c r="J18" s="620"/>
      <c r="K18" s="620"/>
      <c r="L18" s="620"/>
      <c r="M18" s="620"/>
      <c r="N18" s="620"/>
      <c r="O18" s="620"/>
      <c r="P18" s="620"/>
      <c r="Q18" s="620"/>
      <c r="R18" s="620"/>
      <c r="S18" s="620"/>
      <c r="T18" s="620"/>
      <c r="U18" s="620"/>
      <c r="V18" s="620"/>
      <c r="W18" s="620"/>
      <c r="X18" s="620"/>
      <c r="Y18" s="620"/>
      <c r="Z18" s="620"/>
      <c r="AA18" s="620"/>
      <c r="AB18" s="620"/>
      <c r="AC18" s="620"/>
      <c r="AD18" s="620"/>
      <c r="AE18" s="620"/>
      <c r="AF18" s="620"/>
      <c r="AG18" s="620"/>
      <c r="AH18" s="620"/>
      <c r="AI18" s="620"/>
      <c r="AJ18" s="620"/>
      <c r="AK18" s="473"/>
    </row>
    <row r="19" spans="1:37" ht="13.5" customHeight="1">
      <c r="A19" s="619"/>
      <c r="B19" s="202"/>
      <c r="C19" s="164" t="s">
        <v>944</v>
      </c>
      <c r="D19" s="204" t="s">
        <v>186</v>
      </c>
      <c r="E19" s="204" t="s">
        <v>186</v>
      </c>
      <c r="F19" s="204" t="s">
        <v>186</v>
      </c>
      <c r="G19" s="620"/>
      <c r="H19" s="620"/>
      <c r="I19" s="620"/>
      <c r="J19" s="620"/>
      <c r="K19" s="620"/>
      <c r="L19" s="620"/>
      <c r="M19" s="620"/>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473"/>
    </row>
    <row r="20" spans="1:37" ht="13.5" customHeight="1">
      <c r="A20" s="619"/>
      <c r="B20" s="155"/>
      <c r="C20" s="355"/>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2"/>
    </row>
    <row r="21" spans="1:37" ht="13.5" customHeight="1">
      <c r="A21" s="619"/>
      <c r="B21" s="202"/>
      <c r="C21" s="160" t="s">
        <v>683</v>
      </c>
      <c r="D21" s="620"/>
      <c r="E21" s="620"/>
      <c r="F21" s="620"/>
      <c r="G21" s="620"/>
      <c r="H21" s="620"/>
      <c r="I21" s="620"/>
      <c r="J21" s="620"/>
      <c r="K21" s="620"/>
      <c r="L21" s="620"/>
      <c r="M21" s="620"/>
      <c r="N21" s="620"/>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473"/>
    </row>
    <row r="22" spans="1:37" ht="13.5" customHeight="1">
      <c r="A22" s="619"/>
      <c r="B22" s="202"/>
      <c r="C22" s="160"/>
      <c r="D22" s="620"/>
      <c r="E22" s="620"/>
      <c r="F22" s="620"/>
      <c r="G22" s="620"/>
      <c r="H22" s="620"/>
      <c r="I22" s="620"/>
      <c r="J22" s="620"/>
      <c r="K22" s="620"/>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473"/>
    </row>
    <row r="23" spans="1:37" ht="13.5" customHeight="1">
      <c r="A23" s="619">
        <v>2</v>
      </c>
      <c r="B23" s="202"/>
      <c r="C23" s="160" t="s">
        <v>684</v>
      </c>
      <c r="D23" s="620"/>
      <c r="E23" s="620"/>
      <c r="F23" s="620"/>
      <c r="G23" s="620"/>
      <c r="H23" s="620"/>
      <c r="I23" s="620"/>
      <c r="J23" s="620"/>
      <c r="K23" s="620"/>
      <c r="L23" s="620"/>
      <c r="M23" s="620"/>
      <c r="N23" s="620"/>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473"/>
    </row>
    <row r="24" spans="1:37" ht="13.5" customHeight="1">
      <c r="A24" s="619"/>
      <c r="B24" s="202"/>
      <c r="C24" s="164" t="s">
        <v>945</v>
      </c>
      <c r="D24" s="620"/>
      <c r="E24" s="620"/>
      <c r="F24" s="620"/>
      <c r="G24" s="620"/>
      <c r="H24" s="620"/>
      <c r="I24" s="620"/>
      <c r="J24" s="620"/>
      <c r="K24" s="620"/>
      <c r="L24" s="620"/>
      <c r="M24" s="620"/>
      <c r="N24" s="620"/>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473"/>
    </row>
    <row r="25" spans="1:37" ht="13.5" customHeight="1">
      <c r="A25" s="619"/>
      <c r="B25" s="202"/>
      <c r="C25" s="164" t="s">
        <v>686</v>
      </c>
      <c r="D25" s="204">
        <v>74100</v>
      </c>
      <c r="E25" s="620"/>
      <c r="F25" s="620"/>
      <c r="G25" s="620"/>
      <c r="H25" s="620"/>
      <c r="I25" s="620"/>
      <c r="J25" s="620"/>
      <c r="K25" s="620"/>
      <c r="L25" s="620"/>
      <c r="M25" s="620"/>
      <c r="N25" s="620"/>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473"/>
    </row>
    <row r="26" spans="1:37" ht="13.5" customHeight="1">
      <c r="A26" s="619"/>
      <c r="B26" s="202"/>
      <c r="C26" s="164" t="s">
        <v>687</v>
      </c>
      <c r="D26" s="204">
        <v>77400</v>
      </c>
      <c r="E26" s="620"/>
      <c r="F26" s="620"/>
      <c r="G26" s="620"/>
      <c r="H26" s="620"/>
      <c r="I26" s="620"/>
      <c r="J26" s="620"/>
      <c r="K26" s="620"/>
      <c r="L26" s="620"/>
      <c r="M26" s="620"/>
      <c r="N26" s="620"/>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473"/>
    </row>
    <row r="27" spans="1:37" ht="13.5" customHeight="1">
      <c r="A27" s="619"/>
      <c r="B27" s="202"/>
      <c r="C27" s="164" t="s">
        <v>688</v>
      </c>
      <c r="D27" s="204">
        <v>56100</v>
      </c>
      <c r="E27" s="620"/>
      <c r="F27" s="620"/>
      <c r="G27" s="620"/>
      <c r="H27" s="620"/>
      <c r="I27" s="620"/>
      <c r="J27" s="620"/>
      <c r="K27" s="620"/>
      <c r="L27" s="620"/>
      <c r="M27" s="620"/>
      <c r="N27" s="620"/>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473"/>
    </row>
    <row r="28" spans="1:37" ht="13.5" customHeight="1">
      <c r="A28" s="619"/>
      <c r="B28" s="202"/>
      <c r="C28" s="164" t="s">
        <v>689</v>
      </c>
      <c r="D28" s="204">
        <v>100000</v>
      </c>
      <c r="E28" s="620"/>
      <c r="F28" s="620"/>
      <c r="G28" s="620"/>
      <c r="H28" s="620"/>
      <c r="I28" s="620"/>
      <c r="J28" s="620"/>
      <c r="K28" s="620"/>
      <c r="L28" s="620"/>
      <c r="M28" s="620"/>
      <c r="N28" s="620"/>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473"/>
    </row>
    <row r="29" spans="1:37" ht="13.5" customHeight="1">
      <c r="A29" s="619"/>
      <c r="B29" s="202"/>
      <c r="C29" s="164"/>
      <c r="D29" s="204"/>
      <c r="E29" s="620"/>
      <c r="F29" s="620"/>
      <c r="G29" s="620"/>
      <c r="H29" s="620"/>
      <c r="I29" s="620"/>
      <c r="J29" s="620"/>
      <c r="K29" s="620"/>
      <c r="L29" s="620"/>
      <c r="M29" s="620"/>
      <c r="N29" s="620"/>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473"/>
    </row>
    <row r="30" spans="1:37" ht="13.5" customHeight="1">
      <c r="A30" s="619">
        <v>3</v>
      </c>
      <c r="B30" s="202"/>
      <c r="C30" s="160" t="s">
        <v>690</v>
      </c>
      <c r="D30" s="204"/>
      <c r="E30" s="620"/>
      <c r="F30" s="620"/>
      <c r="G30" s="620"/>
      <c r="H30" s="620"/>
      <c r="I30" s="620"/>
      <c r="J30" s="620"/>
      <c r="K30" s="620"/>
      <c r="L30" s="620"/>
      <c r="M30" s="620"/>
      <c r="N30" s="620"/>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473"/>
    </row>
    <row r="31" spans="1:37" ht="13.5" customHeight="1">
      <c r="A31" s="619"/>
      <c r="B31" s="202"/>
      <c r="C31" s="164" t="s">
        <v>945</v>
      </c>
      <c r="D31" s="204"/>
      <c r="E31" s="620"/>
      <c r="F31" s="620"/>
      <c r="G31" s="620"/>
      <c r="H31" s="620"/>
      <c r="I31" s="620"/>
      <c r="J31" s="620"/>
      <c r="K31" s="620"/>
      <c r="L31" s="620"/>
      <c r="M31" s="620"/>
      <c r="N31" s="620"/>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473"/>
    </row>
    <row r="32" spans="1:37" ht="13.5" customHeight="1">
      <c r="A32" s="619"/>
      <c r="B32" s="202"/>
      <c r="C32" s="164" t="s">
        <v>692</v>
      </c>
      <c r="D32" s="204">
        <v>69300</v>
      </c>
      <c r="E32" s="620"/>
      <c r="F32" s="620"/>
      <c r="G32" s="620"/>
      <c r="H32" s="620"/>
      <c r="I32" s="620"/>
      <c r="J32" s="620"/>
      <c r="K32" s="620"/>
      <c r="L32" s="620"/>
      <c r="M32" s="620"/>
      <c r="N32" s="620"/>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473"/>
    </row>
    <row r="33" spans="1:37" ht="13.5" customHeight="1">
      <c r="A33" s="619"/>
      <c r="B33" s="202"/>
      <c r="C33" s="164" t="s">
        <v>693</v>
      </c>
      <c r="D33" s="204">
        <v>71500</v>
      </c>
      <c r="E33" s="620"/>
      <c r="F33" s="620"/>
      <c r="G33" s="620"/>
      <c r="H33" s="620"/>
      <c r="I33" s="620"/>
      <c r="J33" s="620"/>
      <c r="K33" s="620"/>
      <c r="L33" s="620"/>
      <c r="M33" s="620"/>
      <c r="N33" s="620"/>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473"/>
    </row>
    <row r="34" spans="1:37" ht="13.5" customHeight="1">
      <c r="A34" s="619"/>
      <c r="B34" s="202"/>
      <c r="C34" s="164" t="s">
        <v>686</v>
      </c>
      <c r="D34" s="204">
        <v>74100</v>
      </c>
      <c r="E34" s="620"/>
      <c r="F34" s="620"/>
      <c r="G34" s="620"/>
      <c r="H34" s="620"/>
      <c r="I34" s="620"/>
      <c r="J34" s="620"/>
      <c r="K34" s="620"/>
      <c r="L34" s="620"/>
      <c r="M34" s="620"/>
      <c r="N34" s="620"/>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473"/>
    </row>
    <row r="35" spans="1:37" ht="13.5" customHeight="1">
      <c r="A35" s="619"/>
      <c r="B35" s="202"/>
      <c r="C35" s="164" t="s">
        <v>687</v>
      </c>
      <c r="D35" s="204">
        <v>77400</v>
      </c>
      <c r="E35" s="620"/>
      <c r="F35" s="620"/>
      <c r="G35" s="620"/>
      <c r="H35" s="620"/>
      <c r="I35" s="620"/>
      <c r="J35" s="620"/>
      <c r="K35" s="620"/>
      <c r="L35" s="620"/>
      <c r="M35" s="620"/>
      <c r="N35" s="620"/>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473"/>
    </row>
    <row r="36" spans="1:37" ht="13.5" customHeight="1">
      <c r="A36" s="619"/>
      <c r="B36" s="202"/>
      <c r="C36" s="164" t="s">
        <v>694</v>
      </c>
      <c r="D36" s="204">
        <v>63100</v>
      </c>
      <c r="E36" s="620"/>
      <c r="F36" s="620"/>
      <c r="G36" s="620"/>
      <c r="H36" s="620"/>
      <c r="I36" s="620"/>
      <c r="J36" s="620"/>
      <c r="K36" s="620"/>
      <c r="L36" s="620"/>
      <c r="M36" s="620"/>
      <c r="N36" s="620"/>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473"/>
    </row>
    <row r="37" spans="1:37" ht="13.5" customHeight="1">
      <c r="A37" s="619"/>
      <c r="B37" s="202"/>
      <c r="C37" s="164" t="s">
        <v>695</v>
      </c>
      <c r="D37" s="204">
        <v>57600</v>
      </c>
      <c r="E37" s="620"/>
      <c r="F37" s="620"/>
      <c r="G37" s="620"/>
      <c r="H37" s="620"/>
      <c r="I37" s="620"/>
      <c r="J37" s="620"/>
      <c r="K37" s="620"/>
      <c r="L37" s="620"/>
      <c r="M37" s="620"/>
      <c r="N37" s="620"/>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473"/>
    </row>
    <row r="38" spans="1:37" ht="13.5" customHeight="1">
      <c r="A38" s="619"/>
      <c r="B38" s="202"/>
      <c r="C38" s="164"/>
      <c r="D38" s="204"/>
      <c r="E38" s="620"/>
      <c r="F38" s="620"/>
      <c r="G38" s="620"/>
      <c r="H38" s="620"/>
      <c r="I38" s="620"/>
      <c r="J38" s="620"/>
      <c r="K38" s="620"/>
      <c r="L38" s="620"/>
      <c r="M38" s="620"/>
      <c r="N38" s="620"/>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473"/>
    </row>
    <row r="39" spans="1:37" ht="13.5" customHeight="1">
      <c r="A39" s="619">
        <v>4</v>
      </c>
      <c r="B39" s="202"/>
      <c r="C39" s="160" t="s">
        <v>696</v>
      </c>
      <c r="D39" s="204"/>
      <c r="E39" s="620"/>
      <c r="F39" s="620"/>
      <c r="G39" s="620"/>
      <c r="H39" s="620"/>
      <c r="I39" s="620"/>
      <c r="J39" s="620"/>
      <c r="K39" s="620"/>
      <c r="L39" s="620"/>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473"/>
    </row>
    <row r="40" spans="1:37" ht="13.5" customHeight="1">
      <c r="A40" s="619"/>
      <c r="B40" s="202"/>
      <c r="C40" s="164" t="s">
        <v>945</v>
      </c>
      <c r="D40" s="204"/>
      <c r="E40" s="620"/>
      <c r="F40" s="620"/>
      <c r="G40" s="620"/>
      <c r="H40" s="620"/>
      <c r="I40" s="620"/>
      <c r="J40" s="620"/>
      <c r="K40" s="620"/>
      <c r="L40" s="620"/>
      <c r="M40" s="620"/>
      <c r="N40" s="620"/>
      <c r="O40" s="620"/>
      <c r="P40" s="620"/>
      <c r="Q40" s="620"/>
      <c r="R40" s="620"/>
      <c r="S40" s="620"/>
      <c r="T40" s="620"/>
      <c r="U40" s="620"/>
      <c r="V40" s="620"/>
      <c r="W40" s="620"/>
      <c r="X40" s="620"/>
      <c r="Y40" s="620"/>
      <c r="Z40" s="620"/>
      <c r="AA40" s="620"/>
      <c r="AB40" s="620"/>
      <c r="AC40" s="620"/>
      <c r="AD40" s="620"/>
      <c r="AE40" s="620"/>
      <c r="AF40" s="620"/>
      <c r="AG40" s="620"/>
      <c r="AH40" s="620"/>
      <c r="AI40" s="620"/>
      <c r="AJ40" s="620"/>
      <c r="AK40" s="473"/>
    </row>
    <row r="41" spans="1:37" ht="13.5" customHeight="1">
      <c r="A41" s="619"/>
      <c r="B41" s="202"/>
      <c r="C41" s="164" t="s">
        <v>697</v>
      </c>
      <c r="D41" s="204">
        <v>56100</v>
      </c>
      <c r="E41" s="620"/>
      <c r="F41" s="620"/>
      <c r="G41" s="620"/>
      <c r="H41" s="620"/>
      <c r="I41" s="620"/>
      <c r="J41" s="620"/>
      <c r="K41" s="620"/>
      <c r="L41" s="620"/>
      <c r="M41" s="620"/>
      <c r="N41" s="620"/>
      <c r="O41" s="620"/>
      <c r="P41" s="620"/>
      <c r="Q41" s="620"/>
      <c r="R41" s="620"/>
      <c r="S41" s="620"/>
      <c r="T41" s="620"/>
      <c r="U41" s="620"/>
      <c r="V41" s="620"/>
      <c r="W41" s="620"/>
      <c r="X41" s="620"/>
      <c r="Y41" s="620"/>
      <c r="Z41" s="620"/>
      <c r="AA41" s="620"/>
      <c r="AB41" s="620"/>
      <c r="AC41" s="620"/>
      <c r="AD41" s="620"/>
      <c r="AE41" s="620"/>
      <c r="AF41" s="620"/>
      <c r="AG41" s="620"/>
      <c r="AH41" s="620"/>
      <c r="AI41" s="620"/>
      <c r="AJ41" s="620"/>
      <c r="AK41" s="473"/>
    </row>
    <row r="42" spans="1:37" ht="13.5" customHeight="1">
      <c r="A42" s="619"/>
      <c r="B42" s="202"/>
      <c r="C42" s="164" t="s">
        <v>698</v>
      </c>
      <c r="D42" s="204">
        <v>11200</v>
      </c>
      <c r="E42" s="620"/>
      <c r="F42" s="620"/>
      <c r="G42" s="620"/>
      <c r="H42" s="620"/>
      <c r="I42" s="620"/>
      <c r="J42" s="620"/>
      <c r="K42" s="620"/>
      <c r="L42" s="620"/>
      <c r="M42" s="620"/>
      <c r="N42" s="620"/>
      <c r="O42" s="620"/>
      <c r="P42" s="620"/>
      <c r="Q42" s="620"/>
      <c r="R42" s="620"/>
      <c r="S42" s="620"/>
      <c r="T42" s="620"/>
      <c r="U42" s="620"/>
      <c r="V42" s="620"/>
      <c r="W42" s="620"/>
      <c r="X42" s="620"/>
      <c r="Y42" s="620"/>
      <c r="Z42" s="620"/>
      <c r="AA42" s="620"/>
      <c r="AB42" s="620"/>
      <c r="AC42" s="620"/>
      <c r="AD42" s="620"/>
      <c r="AE42" s="620"/>
      <c r="AF42" s="620"/>
      <c r="AG42" s="620"/>
      <c r="AH42" s="620"/>
      <c r="AI42" s="620"/>
      <c r="AJ42" s="620"/>
      <c r="AK42" s="473"/>
    </row>
    <row r="43" spans="1:37" ht="13.5" customHeight="1">
      <c r="A43" s="619"/>
      <c r="B43" s="202"/>
      <c r="C43" s="164" t="s">
        <v>694</v>
      </c>
      <c r="D43" s="204">
        <v>63100</v>
      </c>
      <c r="E43" s="620"/>
      <c r="F43" s="620"/>
      <c r="G43" s="620"/>
      <c r="H43" s="620"/>
      <c r="I43" s="620"/>
      <c r="J43" s="620"/>
      <c r="K43" s="620"/>
      <c r="L43" s="620"/>
      <c r="M43" s="620"/>
      <c r="N43" s="620"/>
      <c r="O43" s="620"/>
      <c r="P43" s="620"/>
      <c r="Q43" s="620"/>
      <c r="R43" s="620"/>
      <c r="S43" s="620"/>
      <c r="T43" s="620"/>
      <c r="U43" s="620"/>
      <c r="V43" s="620"/>
      <c r="W43" s="620"/>
      <c r="X43" s="620"/>
      <c r="Y43" s="620"/>
      <c r="Z43" s="620"/>
      <c r="AA43" s="620"/>
      <c r="AB43" s="620"/>
      <c r="AC43" s="620"/>
      <c r="AD43" s="620"/>
      <c r="AE43" s="620"/>
      <c r="AF43" s="620"/>
      <c r="AG43" s="620"/>
      <c r="AH43" s="620"/>
      <c r="AI43" s="620"/>
      <c r="AJ43" s="620"/>
      <c r="AK43" s="473"/>
    </row>
    <row r="44" spans="1:37" ht="13.5" customHeight="1">
      <c r="A44" s="619"/>
      <c r="B44" s="202"/>
      <c r="C44" s="164" t="s">
        <v>124</v>
      </c>
      <c r="D44" s="204">
        <v>69300</v>
      </c>
      <c r="E44" s="620"/>
      <c r="F44" s="620"/>
      <c r="G44" s="620"/>
      <c r="H44" s="620"/>
      <c r="I44" s="620"/>
      <c r="J44" s="620"/>
      <c r="K44" s="620"/>
      <c r="L44" s="620"/>
      <c r="M44" s="620"/>
      <c r="N44" s="620"/>
      <c r="O44" s="620"/>
      <c r="P44" s="620"/>
      <c r="Q44" s="620"/>
      <c r="R44" s="620"/>
      <c r="S44" s="620"/>
      <c r="T44" s="620"/>
      <c r="U44" s="620"/>
      <c r="V44" s="620"/>
      <c r="W44" s="620"/>
      <c r="X44" s="620"/>
      <c r="Y44" s="620"/>
      <c r="Z44" s="620"/>
      <c r="AA44" s="620"/>
      <c r="AB44" s="620"/>
      <c r="AC44" s="620"/>
      <c r="AD44" s="620"/>
      <c r="AE44" s="620"/>
      <c r="AF44" s="620"/>
      <c r="AG44" s="620"/>
      <c r="AH44" s="620"/>
      <c r="AI44" s="620"/>
      <c r="AJ44" s="620"/>
      <c r="AK44" s="473"/>
    </row>
    <row r="45" spans="1:37" ht="13.5" customHeight="1">
      <c r="A45" s="619"/>
      <c r="B45" s="202"/>
      <c r="C45" s="164" t="s">
        <v>699</v>
      </c>
      <c r="D45" s="204">
        <v>70000</v>
      </c>
      <c r="E45" s="620"/>
      <c r="F45" s="620"/>
      <c r="G45" s="620"/>
      <c r="H45" s="620"/>
      <c r="I45" s="620"/>
      <c r="J45" s="620"/>
      <c r="K45" s="620"/>
      <c r="L45" s="620"/>
      <c r="M45" s="620"/>
      <c r="N45" s="620"/>
      <c r="O45" s="620"/>
      <c r="P45" s="620"/>
      <c r="Q45" s="620"/>
      <c r="R45" s="620"/>
      <c r="S45" s="620"/>
      <c r="T45" s="620"/>
      <c r="U45" s="620"/>
      <c r="V45" s="620"/>
      <c r="W45" s="620"/>
      <c r="X45" s="620"/>
      <c r="Y45" s="620"/>
      <c r="Z45" s="620"/>
      <c r="AA45" s="620"/>
      <c r="AB45" s="620"/>
      <c r="AC45" s="620"/>
      <c r="AD45" s="620"/>
      <c r="AE45" s="620"/>
      <c r="AF45" s="620"/>
      <c r="AG45" s="620"/>
      <c r="AH45" s="620"/>
      <c r="AI45" s="620"/>
      <c r="AJ45" s="620"/>
      <c r="AK45" s="473"/>
    </row>
    <row r="46" spans="1:37" ht="13.5" customHeight="1">
      <c r="A46" s="619"/>
      <c r="B46" s="202"/>
      <c r="C46" s="164" t="s">
        <v>693</v>
      </c>
      <c r="D46" s="204">
        <v>71500</v>
      </c>
      <c r="E46" s="620"/>
      <c r="F46" s="620"/>
      <c r="G46" s="620"/>
      <c r="H46" s="620"/>
      <c r="I46" s="620"/>
      <c r="J46" s="620"/>
      <c r="K46" s="620"/>
      <c r="L46" s="620"/>
      <c r="M46" s="620"/>
      <c r="N46" s="620"/>
      <c r="O46" s="620"/>
      <c r="P46" s="620"/>
      <c r="Q46" s="620"/>
      <c r="R46" s="620"/>
      <c r="S46" s="620"/>
      <c r="T46" s="620"/>
      <c r="U46" s="620"/>
      <c r="V46" s="620"/>
      <c r="W46" s="620"/>
      <c r="X46" s="620"/>
      <c r="Y46" s="620"/>
      <c r="Z46" s="620"/>
      <c r="AA46" s="620"/>
      <c r="AB46" s="620"/>
      <c r="AC46" s="620"/>
      <c r="AD46" s="620"/>
      <c r="AE46" s="620"/>
      <c r="AF46" s="620"/>
      <c r="AG46" s="620"/>
      <c r="AH46" s="620"/>
      <c r="AI46" s="620"/>
      <c r="AJ46" s="620"/>
      <c r="AK46" s="473"/>
    </row>
    <row r="47" spans="1:37" ht="13.5" customHeight="1">
      <c r="A47" s="619"/>
      <c r="B47" s="202"/>
      <c r="C47" s="164" t="s">
        <v>686</v>
      </c>
      <c r="D47" s="204">
        <v>74100</v>
      </c>
      <c r="E47" s="620"/>
      <c r="F47" s="620"/>
      <c r="G47" s="620"/>
      <c r="H47" s="620"/>
      <c r="I47" s="620"/>
      <c r="J47" s="620"/>
      <c r="K47" s="620"/>
      <c r="L47" s="620"/>
      <c r="M47" s="620"/>
      <c r="N47" s="620"/>
      <c r="O47" s="620"/>
      <c r="P47" s="620"/>
      <c r="Q47" s="620"/>
      <c r="R47" s="620"/>
      <c r="S47" s="620"/>
      <c r="T47" s="620"/>
      <c r="U47" s="620"/>
      <c r="V47" s="620"/>
      <c r="W47" s="620"/>
      <c r="X47" s="620"/>
      <c r="Y47" s="620"/>
      <c r="Z47" s="620"/>
      <c r="AA47" s="620"/>
      <c r="AB47" s="620"/>
      <c r="AC47" s="620"/>
      <c r="AD47" s="620"/>
      <c r="AE47" s="620"/>
      <c r="AF47" s="620"/>
      <c r="AG47" s="620"/>
      <c r="AH47" s="620"/>
      <c r="AI47" s="620"/>
      <c r="AJ47" s="620"/>
      <c r="AK47" s="473"/>
    </row>
    <row r="48" spans="1:37" ht="13.5" customHeight="1">
      <c r="A48" s="619"/>
      <c r="B48" s="202"/>
      <c r="C48" s="164" t="s">
        <v>687</v>
      </c>
      <c r="D48" s="204">
        <v>77400</v>
      </c>
      <c r="E48" s="620"/>
      <c r="F48" s="620"/>
      <c r="G48" s="620"/>
      <c r="H48" s="620"/>
      <c r="I48" s="620"/>
      <c r="J48" s="620"/>
      <c r="K48" s="620"/>
      <c r="L48" s="620"/>
      <c r="M48" s="620"/>
      <c r="N48" s="620"/>
      <c r="O48" s="620"/>
      <c r="P48" s="620"/>
      <c r="Q48" s="620"/>
      <c r="R48" s="620"/>
      <c r="S48" s="620"/>
      <c r="T48" s="620"/>
      <c r="U48" s="620"/>
      <c r="V48" s="620"/>
      <c r="W48" s="620"/>
      <c r="X48" s="620"/>
      <c r="Y48" s="620"/>
      <c r="Z48" s="620"/>
      <c r="AA48" s="620"/>
      <c r="AB48" s="620"/>
      <c r="AC48" s="620"/>
      <c r="AD48" s="620"/>
      <c r="AE48" s="620"/>
      <c r="AF48" s="620"/>
      <c r="AG48" s="620"/>
      <c r="AH48" s="620"/>
      <c r="AI48" s="620"/>
      <c r="AJ48" s="620"/>
      <c r="AK48" s="473"/>
    </row>
    <row r="49" spans="1:37" ht="13.5" customHeight="1">
      <c r="A49" s="619"/>
      <c r="B49" s="202"/>
      <c r="C49" s="164" t="s">
        <v>700</v>
      </c>
      <c r="D49" s="204">
        <v>97500</v>
      </c>
      <c r="E49" s="620"/>
      <c r="F49" s="620"/>
      <c r="G49" s="620"/>
      <c r="H49" s="620"/>
      <c r="I49" s="620"/>
      <c r="J49" s="620"/>
      <c r="K49" s="620"/>
      <c r="L49" s="620"/>
      <c r="M49" s="620"/>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473"/>
    </row>
    <row r="50" spans="1:37" ht="13.5" customHeight="1">
      <c r="A50" s="619"/>
      <c r="B50" s="155"/>
      <c r="C50" s="355"/>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2"/>
    </row>
    <row r="51" spans="1:37" ht="13.5" customHeight="1">
      <c r="A51" s="619">
        <v>5</v>
      </c>
      <c r="B51" s="202"/>
      <c r="C51" s="160" t="s">
        <v>701</v>
      </c>
      <c r="D51" s="620"/>
      <c r="E51" s="620"/>
      <c r="F51" s="620"/>
      <c r="G51" s="620"/>
      <c r="H51" s="620"/>
      <c r="I51" s="620"/>
      <c r="J51" s="620"/>
      <c r="K51" s="620"/>
      <c r="L51" s="620"/>
      <c r="M51" s="620"/>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473"/>
    </row>
    <row r="52" spans="1:37" ht="13.5" customHeight="1">
      <c r="A52" s="619"/>
      <c r="B52" s="202"/>
      <c r="C52" s="164" t="s">
        <v>946</v>
      </c>
      <c r="D52" s="165">
        <v>152.19999999999999</v>
      </c>
      <c r="E52" s="165">
        <v>164.1</v>
      </c>
      <c r="F52" s="165">
        <v>148.6</v>
      </c>
      <c r="G52" s="165">
        <v>146.1</v>
      </c>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473"/>
    </row>
    <row r="53" spans="1:37" ht="13.5" customHeight="1">
      <c r="A53" s="619"/>
      <c r="B53" s="202"/>
      <c r="C53" s="164" t="s">
        <v>947</v>
      </c>
      <c r="D53" s="165">
        <v>4</v>
      </c>
      <c r="E53" s="165">
        <v>4.4000000000000004</v>
      </c>
      <c r="F53" s="165">
        <v>3.9</v>
      </c>
      <c r="G53" s="165">
        <v>4.5999999999999996</v>
      </c>
      <c r="H53" s="620"/>
      <c r="I53" s="620"/>
      <c r="J53" s="620"/>
      <c r="K53" s="620"/>
      <c r="L53" s="620"/>
      <c r="M53" s="620"/>
      <c r="N53" s="620"/>
      <c r="O53" s="620"/>
      <c r="P53" s="620"/>
      <c r="Q53" s="620"/>
      <c r="R53" s="620"/>
      <c r="S53" s="620"/>
      <c r="T53" s="620"/>
      <c r="U53" s="620"/>
      <c r="V53" s="620"/>
      <c r="W53" s="620"/>
      <c r="X53" s="620"/>
      <c r="Y53" s="620"/>
      <c r="Z53" s="620"/>
      <c r="AA53" s="620"/>
      <c r="AB53" s="620"/>
      <c r="AC53" s="620"/>
      <c r="AD53" s="620"/>
      <c r="AE53" s="620"/>
      <c r="AF53" s="620"/>
      <c r="AG53" s="620"/>
      <c r="AH53" s="620"/>
      <c r="AI53" s="620"/>
      <c r="AJ53" s="620"/>
      <c r="AK53" s="473"/>
    </row>
    <row r="54" spans="1:37" ht="13.5" customHeight="1">
      <c r="A54" s="619"/>
      <c r="B54" s="202"/>
      <c r="C54" s="164" t="s">
        <v>948</v>
      </c>
      <c r="D54" s="165">
        <v>37.6</v>
      </c>
      <c r="E54" s="165">
        <v>36.200000000000003</v>
      </c>
      <c r="F54" s="165">
        <v>32.299999999999997</v>
      </c>
      <c r="G54" s="165">
        <v>32.6</v>
      </c>
      <c r="H54" s="620"/>
      <c r="I54" s="620"/>
      <c r="J54" s="620"/>
      <c r="K54" s="620"/>
      <c r="L54" s="620"/>
      <c r="M54" s="620"/>
      <c r="N54" s="620"/>
      <c r="O54" s="620"/>
      <c r="P54" s="620"/>
      <c r="Q54" s="620"/>
      <c r="R54" s="620"/>
      <c r="S54" s="620"/>
      <c r="T54" s="620"/>
      <c r="U54" s="620"/>
      <c r="V54" s="620"/>
      <c r="W54" s="620"/>
      <c r="X54" s="620"/>
      <c r="Y54" s="620"/>
      <c r="Z54" s="620"/>
      <c r="AA54" s="620"/>
      <c r="AB54" s="620"/>
      <c r="AC54" s="620"/>
      <c r="AD54" s="620"/>
      <c r="AE54" s="620"/>
      <c r="AF54" s="620"/>
      <c r="AG54" s="620"/>
      <c r="AH54" s="620"/>
      <c r="AI54" s="620"/>
      <c r="AJ54" s="620"/>
      <c r="AK54" s="473"/>
    </row>
    <row r="55" spans="1:37" ht="13.5" customHeight="1">
      <c r="A55" s="3"/>
      <c r="B55" s="202"/>
      <c r="C55" s="160"/>
      <c r="D55" s="488"/>
      <c r="E55" s="488"/>
      <c r="F55" s="488"/>
      <c r="G55" s="488"/>
      <c r="H55" s="620"/>
      <c r="I55" s="620"/>
      <c r="J55" s="620"/>
      <c r="K55" s="620"/>
      <c r="L55" s="620"/>
      <c r="M55" s="620"/>
      <c r="N55" s="620"/>
      <c r="O55" s="620"/>
      <c r="P55" s="620"/>
      <c r="Q55" s="620"/>
      <c r="R55" s="620"/>
      <c r="S55" s="620"/>
      <c r="T55" s="620"/>
      <c r="U55" s="620"/>
      <c r="V55" s="620"/>
      <c r="W55" s="620"/>
      <c r="X55" s="620"/>
      <c r="Y55" s="620"/>
      <c r="Z55" s="620"/>
      <c r="AA55" s="620"/>
      <c r="AB55" s="620"/>
      <c r="AC55" s="620"/>
      <c r="AD55" s="620"/>
      <c r="AE55" s="620"/>
      <c r="AF55" s="620"/>
      <c r="AG55" s="620"/>
      <c r="AH55" s="620"/>
      <c r="AI55" s="620"/>
      <c r="AJ55" s="620"/>
      <c r="AK55" s="473"/>
    </row>
    <row r="56" spans="1:37" ht="13.5" customHeight="1">
      <c r="A56" s="3"/>
      <c r="B56" s="202"/>
      <c r="C56" s="164" t="s">
        <v>949</v>
      </c>
      <c r="D56" s="488">
        <f t="shared" ref="D56:G56" si="0">SUM(D52:D54)</f>
        <v>193.79999999999998</v>
      </c>
      <c r="E56" s="488">
        <f t="shared" si="0"/>
        <v>204.7</v>
      </c>
      <c r="F56" s="488">
        <f t="shared" si="0"/>
        <v>184.8</v>
      </c>
      <c r="G56" s="488">
        <f t="shared" si="0"/>
        <v>183.29999999999998</v>
      </c>
      <c r="H56" s="620"/>
      <c r="I56" s="620"/>
      <c r="J56" s="620"/>
      <c r="K56" s="620"/>
      <c r="L56" s="620"/>
      <c r="M56" s="620"/>
      <c r="N56" s="620"/>
      <c r="O56" s="620"/>
      <c r="P56" s="620"/>
      <c r="Q56" s="620"/>
      <c r="R56" s="620"/>
      <c r="S56" s="620"/>
      <c r="T56" s="620"/>
      <c r="U56" s="620"/>
      <c r="V56" s="620"/>
      <c r="W56" s="620"/>
      <c r="X56" s="620"/>
      <c r="Y56" s="620"/>
      <c r="Z56" s="620"/>
      <c r="AA56" s="620"/>
      <c r="AB56" s="620"/>
      <c r="AC56" s="620"/>
      <c r="AD56" s="620"/>
      <c r="AE56" s="620"/>
      <c r="AF56" s="620"/>
      <c r="AG56" s="620"/>
      <c r="AH56" s="620"/>
      <c r="AI56" s="620"/>
      <c r="AJ56" s="620"/>
      <c r="AK56" s="473"/>
    </row>
    <row r="57" spans="1:37" ht="13.5" customHeight="1">
      <c r="A57" s="619"/>
      <c r="B57" s="167"/>
      <c r="C57" s="222"/>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c r="AB57" s="230"/>
      <c r="AC57" s="230"/>
      <c r="AD57" s="230"/>
      <c r="AE57" s="230"/>
      <c r="AF57" s="230"/>
      <c r="AG57" s="230"/>
      <c r="AH57" s="230"/>
      <c r="AI57" s="230"/>
      <c r="AJ57" s="230"/>
      <c r="AK57" s="231"/>
    </row>
    <row r="58" spans="1:37"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c r="A59" s="619"/>
      <c r="B59" s="23"/>
      <c r="C59" s="250"/>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375"/>
    </row>
    <row r="60" spans="1:37" ht="13.5" customHeight="1">
      <c r="A60" s="619"/>
      <c r="B60" s="253"/>
      <c r="C60" s="493" t="s">
        <v>706</v>
      </c>
      <c r="D60" s="258"/>
      <c r="E60" s="258"/>
      <c r="F60" s="258"/>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377"/>
    </row>
    <row r="61" spans="1:37" ht="13.5" customHeight="1">
      <c r="A61" s="619">
        <v>5</v>
      </c>
      <c r="B61" s="253"/>
      <c r="C61" s="281" t="s">
        <v>707</v>
      </c>
      <c r="D61" s="376"/>
      <c r="E61" s="376"/>
      <c r="F61" s="376"/>
      <c r="G61" s="376"/>
      <c r="H61" s="376"/>
      <c r="I61" s="376"/>
      <c r="J61" s="376"/>
      <c r="K61" s="376"/>
      <c r="L61" s="376"/>
      <c r="M61" s="376"/>
      <c r="N61" s="376"/>
      <c r="O61" s="376"/>
      <c r="P61" s="376"/>
      <c r="Q61" s="376"/>
      <c r="R61" s="376"/>
      <c r="S61" s="376"/>
      <c r="T61" s="376"/>
      <c r="U61" s="376"/>
      <c r="V61" s="376"/>
      <c r="W61" s="376"/>
      <c r="X61" s="376"/>
      <c r="Y61" s="376"/>
      <c r="Z61" s="376"/>
      <c r="AA61" s="376"/>
      <c r="AB61" s="376"/>
      <c r="AC61" s="376"/>
      <c r="AD61" s="376"/>
      <c r="AE61" s="376"/>
      <c r="AF61" s="376"/>
      <c r="AG61" s="376"/>
      <c r="AH61" s="376"/>
      <c r="AI61" s="376"/>
      <c r="AJ61" s="376"/>
      <c r="AK61" s="377"/>
    </row>
    <row r="62" spans="1:37" ht="13.5" customHeight="1">
      <c r="A62" s="619"/>
      <c r="B62" s="253"/>
      <c r="C62" s="259" t="s">
        <v>946</v>
      </c>
      <c r="D62" s="376" t="s">
        <v>186</v>
      </c>
      <c r="E62" s="376" t="s">
        <v>186</v>
      </c>
      <c r="F62" s="376" t="s">
        <v>186</v>
      </c>
      <c r="G62" s="376">
        <v>14</v>
      </c>
      <c r="H62" s="376"/>
      <c r="I62" s="376"/>
      <c r="J62" s="376"/>
      <c r="K62" s="376"/>
      <c r="L62" s="376"/>
      <c r="M62" s="376"/>
      <c r="N62" s="376"/>
      <c r="O62" s="376"/>
      <c r="P62" s="376"/>
      <c r="Q62" s="376"/>
      <c r="R62" s="376"/>
      <c r="S62" s="376"/>
      <c r="T62" s="376"/>
      <c r="U62" s="376"/>
      <c r="V62" s="376"/>
      <c r="W62" s="376"/>
      <c r="X62" s="376"/>
      <c r="Y62" s="376"/>
      <c r="Z62" s="376"/>
      <c r="AA62" s="376"/>
      <c r="AB62" s="376"/>
      <c r="AC62" s="376"/>
      <c r="AD62" s="376"/>
      <c r="AE62" s="376"/>
      <c r="AF62" s="376"/>
      <c r="AG62" s="376"/>
      <c r="AH62" s="376"/>
      <c r="AI62" s="376"/>
      <c r="AJ62" s="376"/>
      <c r="AK62" s="377"/>
    </row>
    <row r="63" spans="1:37" ht="13.5" customHeight="1">
      <c r="A63" s="619"/>
      <c r="B63" s="253"/>
      <c r="C63" s="259" t="s">
        <v>948</v>
      </c>
      <c r="D63" s="376">
        <v>569.5</v>
      </c>
      <c r="E63" s="376">
        <v>518.4</v>
      </c>
      <c r="F63" s="376">
        <v>443.1</v>
      </c>
      <c r="G63" s="376">
        <v>392</v>
      </c>
      <c r="H63" s="376"/>
      <c r="I63" s="376"/>
      <c r="J63" s="376"/>
      <c r="K63" s="376"/>
      <c r="L63" s="376"/>
      <c r="M63" s="376"/>
      <c r="N63" s="376"/>
      <c r="O63" s="376"/>
      <c r="P63" s="376"/>
      <c r="Q63" s="376"/>
      <c r="R63" s="376"/>
      <c r="S63" s="376"/>
      <c r="T63" s="376"/>
      <c r="U63" s="376"/>
      <c r="V63" s="376"/>
      <c r="W63" s="376"/>
      <c r="X63" s="376"/>
      <c r="Y63" s="376"/>
      <c r="Z63" s="376"/>
      <c r="AA63" s="376"/>
      <c r="AB63" s="376"/>
      <c r="AC63" s="376"/>
      <c r="AD63" s="376"/>
      <c r="AE63" s="376"/>
      <c r="AF63" s="376"/>
      <c r="AG63" s="376"/>
      <c r="AH63" s="376"/>
      <c r="AI63" s="376"/>
      <c r="AJ63" s="376"/>
      <c r="AK63" s="377"/>
    </row>
    <row r="64" spans="1:37" ht="13.5" customHeight="1">
      <c r="A64" s="619"/>
      <c r="B64" s="253"/>
      <c r="C64" s="259" t="s">
        <v>950</v>
      </c>
      <c r="D64" s="376" t="s">
        <v>186</v>
      </c>
      <c r="E64" s="376" t="s">
        <v>186</v>
      </c>
      <c r="F64" s="376" t="s">
        <v>186</v>
      </c>
      <c r="G64" s="376">
        <v>38.1</v>
      </c>
      <c r="H64" s="376"/>
      <c r="I64" s="376"/>
      <c r="J64" s="376"/>
      <c r="K64" s="376"/>
      <c r="L64" s="376"/>
      <c r="M64" s="376"/>
      <c r="N64" s="376"/>
      <c r="O64" s="376"/>
      <c r="P64" s="376"/>
      <c r="Q64" s="376"/>
      <c r="R64" s="376"/>
      <c r="S64" s="376"/>
      <c r="T64" s="376"/>
      <c r="U64" s="376"/>
      <c r="V64" s="376"/>
      <c r="W64" s="376"/>
      <c r="X64" s="376"/>
      <c r="Y64" s="376"/>
      <c r="Z64" s="376"/>
      <c r="AA64" s="376"/>
      <c r="AB64" s="376"/>
      <c r="AC64" s="376"/>
      <c r="AD64" s="376"/>
      <c r="AE64" s="376"/>
      <c r="AF64" s="376"/>
      <c r="AG64" s="376"/>
      <c r="AH64" s="376"/>
      <c r="AI64" s="376"/>
      <c r="AJ64" s="376"/>
      <c r="AK64" s="377"/>
    </row>
    <row r="65" spans="1:37" ht="13.5" customHeight="1">
      <c r="A65" s="619"/>
      <c r="B65" s="253"/>
      <c r="C65" s="259" t="s">
        <v>951</v>
      </c>
      <c r="D65" s="376">
        <v>218.5</v>
      </c>
      <c r="E65" s="376">
        <v>268.2</v>
      </c>
      <c r="F65" s="376">
        <v>235.5</v>
      </c>
      <c r="G65" s="376">
        <v>98.6</v>
      </c>
      <c r="H65" s="376"/>
      <c r="I65" s="376"/>
      <c r="J65" s="376"/>
      <c r="K65" s="376"/>
      <c r="L65" s="376"/>
      <c r="M65" s="376"/>
      <c r="N65" s="376"/>
      <c r="O65" s="376"/>
      <c r="P65" s="376"/>
      <c r="Q65" s="376"/>
      <c r="R65" s="376"/>
      <c r="S65" s="376"/>
      <c r="T65" s="376"/>
      <c r="U65" s="376"/>
      <c r="V65" s="376"/>
      <c r="W65" s="376"/>
      <c r="X65" s="376"/>
      <c r="Y65" s="376"/>
      <c r="Z65" s="376"/>
      <c r="AA65" s="376"/>
      <c r="AB65" s="376"/>
      <c r="AC65" s="376"/>
      <c r="AD65" s="376"/>
      <c r="AE65" s="376"/>
      <c r="AF65" s="376"/>
      <c r="AG65" s="376"/>
      <c r="AH65" s="376"/>
      <c r="AI65" s="376"/>
      <c r="AJ65" s="376"/>
      <c r="AK65" s="377"/>
    </row>
    <row r="66" spans="1:37" ht="13.5" customHeight="1">
      <c r="A66" s="619"/>
      <c r="B66" s="253"/>
      <c r="C66" s="259" t="s">
        <v>952</v>
      </c>
      <c r="D66" s="376">
        <v>1987.5</v>
      </c>
      <c r="E66" s="376">
        <v>1107.5999999999999</v>
      </c>
      <c r="F66" s="376">
        <v>1086.9000000000001</v>
      </c>
      <c r="G66" s="376">
        <v>962.8</v>
      </c>
      <c r="H66" s="376"/>
      <c r="I66" s="376"/>
      <c r="J66" s="376"/>
      <c r="K66" s="376"/>
      <c r="L66" s="376"/>
      <c r="M66" s="376"/>
      <c r="N66" s="376"/>
      <c r="O66" s="376"/>
      <c r="P66" s="376"/>
      <c r="Q66" s="376"/>
      <c r="R66" s="376"/>
      <c r="S66" s="376"/>
      <c r="T66" s="376"/>
      <c r="U66" s="376"/>
      <c r="V66" s="376"/>
      <c r="W66" s="376"/>
      <c r="X66" s="376"/>
      <c r="Y66" s="376"/>
      <c r="Z66" s="376"/>
      <c r="AA66" s="376"/>
      <c r="AB66" s="376"/>
      <c r="AC66" s="376"/>
      <c r="AD66" s="376"/>
      <c r="AE66" s="376"/>
      <c r="AF66" s="376"/>
      <c r="AG66" s="376"/>
      <c r="AH66" s="376"/>
      <c r="AI66" s="376"/>
      <c r="AJ66" s="376"/>
      <c r="AK66" s="377"/>
    </row>
    <row r="67" spans="1:37" ht="13.5" customHeight="1">
      <c r="A67" s="619"/>
      <c r="B67" s="253"/>
      <c r="C67" s="259" t="s">
        <v>953</v>
      </c>
      <c r="D67" s="376">
        <v>0.5</v>
      </c>
      <c r="E67" s="376">
        <v>0.2</v>
      </c>
      <c r="F67" s="376" t="s">
        <v>186</v>
      </c>
      <c r="G67" s="376" t="s">
        <v>186</v>
      </c>
      <c r="H67" s="376"/>
      <c r="I67" s="376"/>
      <c r="J67" s="376"/>
      <c r="K67" s="376"/>
      <c r="L67" s="376"/>
      <c r="M67" s="376"/>
      <c r="N67" s="376"/>
      <c r="O67" s="376"/>
      <c r="P67" s="376"/>
      <c r="Q67" s="376"/>
      <c r="R67" s="376"/>
      <c r="S67" s="376"/>
      <c r="T67" s="376"/>
      <c r="U67" s="376"/>
      <c r="V67" s="376"/>
      <c r="W67" s="376"/>
      <c r="X67" s="376"/>
      <c r="Y67" s="376"/>
      <c r="Z67" s="376"/>
      <c r="AA67" s="376"/>
      <c r="AB67" s="376"/>
      <c r="AC67" s="376"/>
      <c r="AD67" s="376"/>
      <c r="AE67" s="376"/>
      <c r="AF67" s="376"/>
      <c r="AG67" s="376"/>
      <c r="AH67" s="376"/>
      <c r="AI67" s="376"/>
      <c r="AJ67" s="376"/>
      <c r="AK67" s="377"/>
    </row>
    <row r="68" spans="1:37" ht="13.5" customHeight="1">
      <c r="A68" s="619"/>
      <c r="B68" s="253"/>
      <c r="C68" s="130" t="s">
        <v>949</v>
      </c>
      <c r="D68" s="494">
        <f t="shared" ref="D68:G68" si="1">SUM(D62:D67)</f>
        <v>2776</v>
      </c>
      <c r="E68" s="494">
        <f t="shared" si="1"/>
        <v>1894.3999999999999</v>
      </c>
      <c r="F68" s="494">
        <f t="shared" si="1"/>
        <v>1765.5</v>
      </c>
      <c r="G68" s="494">
        <f t="shared" si="1"/>
        <v>1505.5</v>
      </c>
      <c r="H68" s="376"/>
      <c r="I68" s="376"/>
      <c r="J68" s="376"/>
      <c r="K68" s="376"/>
      <c r="L68" s="376"/>
      <c r="M68" s="376"/>
      <c r="N68" s="376"/>
      <c r="O68" s="376"/>
      <c r="P68" s="376"/>
      <c r="Q68" s="376"/>
      <c r="R68" s="376"/>
      <c r="S68" s="376"/>
      <c r="T68" s="376"/>
      <c r="U68" s="376"/>
      <c r="V68" s="376"/>
      <c r="W68" s="376"/>
      <c r="X68" s="376"/>
      <c r="Y68" s="376"/>
      <c r="Z68" s="376"/>
      <c r="AA68" s="376"/>
      <c r="AB68" s="376"/>
      <c r="AC68" s="376"/>
      <c r="AD68" s="376"/>
      <c r="AE68" s="376"/>
      <c r="AF68" s="376"/>
      <c r="AG68" s="376"/>
      <c r="AH68" s="376"/>
      <c r="AI68" s="376"/>
      <c r="AJ68" s="376"/>
      <c r="AK68" s="377"/>
    </row>
    <row r="69" spans="1:37" ht="13.5" customHeight="1">
      <c r="A69" s="619"/>
      <c r="B69" s="253"/>
      <c r="C69" s="281"/>
      <c r="D69" s="376"/>
      <c r="E69" s="376"/>
      <c r="F69" s="376"/>
      <c r="G69" s="376"/>
      <c r="H69" s="376"/>
      <c r="I69" s="376"/>
      <c r="J69" s="376"/>
      <c r="K69" s="376"/>
      <c r="L69" s="376"/>
      <c r="M69" s="376"/>
      <c r="N69" s="376"/>
      <c r="O69" s="376"/>
      <c r="P69" s="376"/>
      <c r="Q69" s="376"/>
      <c r="R69" s="376"/>
      <c r="S69" s="376"/>
      <c r="T69" s="376"/>
      <c r="U69" s="376"/>
      <c r="V69" s="376"/>
      <c r="W69" s="376"/>
      <c r="X69" s="376"/>
      <c r="Y69" s="376"/>
      <c r="Z69" s="376"/>
      <c r="AA69" s="376"/>
      <c r="AB69" s="376"/>
      <c r="AC69" s="376"/>
      <c r="AD69" s="376"/>
      <c r="AE69" s="376"/>
      <c r="AF69" s="376"/>
      <c r="AG69" s="376"/>
      <c r="AH69" s="376"/>
      <c r="AI69" s="376"/>
      <c r="AJ69" s="376"/>
      <c r="AK69" s="377"/>
    </row>
    <row r="70" spans="1:37" ht="13.5" customHeight="1">
      <c r="A70" s="619">
        <v>5</v>
      </c>
      <c r="B70" s="253"/>
      <c r="C70" s="281" t="s">
        <v>712</v>
      </c>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7"/>
    </row>
    <row r="71" spans="1:37" ht="13.5" customHeight="1">
      <c r="A71" s="619"/>
      <c r="B71" s="253"/>
      <c r="C71" s="259" t="s">
        <v>946</v>
      </c>
      <c r="D71" s="376">
        <v>1139.3</v>
      </c>
      <c r="E71" s="376">
        <v>1200.7</v>
      </c>
      <c r="F71" s="376">
        <v>1209.9000000000001</v>
      </c>
      <c r="G71" s="376">
        <v>1155.5</v>
      </c>
      <c r="H71" s="376"/>
      <c r="I71" s="376"/>
      <c r="J71" s="376"/>
      <c r="K71" s="376"/>
      <c r="L71" s="376"/>
      <c r="M71" s="376"/>
      <c r="N71" s="376"/>
      <c r="O71" s="376"/>
      <c r="P71" s="376"/>
      <c r="Q71" s="376"/>
      <c r="R71" s="376"/>
      <c r="S71" s="376"/>
      <c r="T71" s="376"/>
      <c r="U71" s="376"/>
      <c r="V71" s="376"/>
      <c r="W71" s="376"/>
      <c r="X71" s="376"/>
      <c r="Y71" s="376"/>
      <c r="Z71" s="376"/>
      <c r="AA71" s="376"/>
      <c r="AB71" s="376"/>
      <c r="AC71" s="376"/>
      <c r="AD71" s="376"/>
      <c r="AE71" s="376"/>
      <c r="AF71" s="376"/>
      <c r="AG71" s="376"/>
      <c r="AH71" s="376"/>
      <c r="AI71" s="376"/>
      <c r="AJ71" s="376"/>
      <c r="AK71" s="377"/>
    </row>
    <row r="72" spans="1:37" ht="13.5" customHeight="1">
      <c r="A72" s="619"/>
      <c r="B72" s="253"/>
      <c r="C72" s="259" t="s">
        <v>948</v>
      </c>
      <c r="D72" s="376">
        <v>546.6</v>
      </c>
      <c r="E72" s="376">
        <v>479.1</v>
      </c>
      <c r="F72" s="376">
        <v>418.3</v>
      </c>
      <c r="G72" s="376">
        <v>466.2</v>
      </c>
      <c r="H72" s="376"/>
      <c r="I72" s="376"/>
      <c r="J72" s="376"/>
      <c r="K72" s="376"/>
      <c r="L72" s="376"/>
      <c r="M72" s="376"/>
      <c r="N72" s="376"/>
      <c r="O72" s="376"/>
      <c r="P72" s="376"/>
      <c r="Q72" s="376"/>
      <c r="R72" s="376"/>
      <c r="S72" s="376"/>
      <c r="T72" s="376"/>
      <c r="U72" s="376"/>
      <c r="V72" s="376"/>
      <c r="W72" s="376"/>
      <c r="X72" s="376"/>
      <c r="Y72" s="376"/>
      <c r="Z72" s="376"/>
      <c r="AA72" s="376"/>
      <c r="AB72" s="376"/>
      <c r="AC72" s="376"/>
      <c r="AD72" s="376"/>
      <c r="AE72" s="376"/>
      <c r="AF72" s="376"/>
      <c r="AG72" s="376"/>
      <c r="AH72" s="376"/>
      <c r="AI72" s="376"/>
      <c r="AJ72" s="376"/>
      <c r="AK72" s="377"/>
    </row>
    <row r="73" spans="1:37" ht="13.5" customHeight="1">
      <c r="A73" s="619"/>
      <c r="B73" s="253"/>
      <c r="C73" s="259" t="s">
        <v>950</v>
      </c>
      <c r="D73" s="376">
        <v>277.89999999999998</v>
      </c>
      <c r="E73" s="376">
        <v>300.60000000000002</v>
      </c>
      <c r="F73" s="376">
        <v>310.10000000000002</v>
      </c>
      <c r="G73" s="376">
        <v>232.9</v>
      </c>
      <c r="H73" s="376"/>
      <c r="I73" s="376"/>
      <c r="J73" s="376"/>
      <c r="K73" s="376"/>
      <c r="L73" s="376"/>
      <c r="M73" s="376"/>
      <c r="N73" s="376"/>
      <c r="O73" s="376"/>
      <c r="P73" s="376"/>
      <c r="Q73" s="376"/>
      <c r="R73" s="376"/>
      <c r="S73" s="376"/>
      <c r="T73" s="376"/>
      <c r="U73" s="376"/>
      <c r="V73" s="376"/>
      <c r="W73" s="376"/>
      <c r="X73" s="376"/>
      <c r="Y73" s="376"/>
      <c r="Z73" s="376"/>
      <c r="AA73" s="376"/>
      <c r="AB73" s="376"/>
      <c r="AC73" s="376"/>
      <c r="AD73" s="376"/>
      <c r="AE73" s="376"/>
      <c r="AF73" s="376"/>
      <c r="AG73" s="376"/>
      <c r="AH73" s="376"/>
      <c r="AI73" s="376"/>
      <c r="AJ73" s="376"/>
      <c r="AK73" s="377"/>
    </row>
    <row r="74" spans="1:37" ht="13.5" customHeight="1">
      <c r="A74" s="619"/>
      <c r="B74" s="253"/>
      <c r="C74" s="259" t="s">
        <v>954</v>
      </c>
      <c r="D74" s="376">
        <v>46.2</v>
      </c>
      <c r="E74" s="376">
        <v>36.9</v>
      </c>
      <c r="F74" s="376">
        <v>38.9</v>
      </c>
      <c r="G74" s="376">
        <v>36.299999999999997</v>
      </c>
      <c r="H74" s="376"/>
      <c r="I74" s="376"/>
      <c r="J74" s="376"/>
      <c r="K74" s="376"/>
      <c r="L74" s="376"/>
      <c r="M74" s="376"/>
      <c r="N74" s="376"/>
      <c r="O74" s="376"/>
      <c r="P74" s="376"/>
      <c r="Q74" s="376"/>
      <c r="R74" s="376"/>
      <c r="S74" s="376"/>
      <c r="T74" s="376"/>
      <c r="U74" s="376"/>
      <c r="V74" s="376"/>
      <c r="W74" s="376"/>
      <c r="X74" s="376"/>
      <c r="Y74" s="376"/>
      <c r="Z74" s="376"/>
      <c r="AA74" s="376"/>
      <c r="AB74" s="376"/>
      <c r="AC74" s="376"/>
      <c r="AD74" s="376"/>
      <c r="AE74" s="376"/>
      <c r="AF74" s="376"/>
      <c r="AG74" s="376"/>
      <c r="AH74" s="376"/>
      <c r="AI74" s="376"/>
      <c r="AJ74" s="376"/>
      <c r="AK74" s="377"/>
    </row>
    <row r="75" spans="1:37" ht="13.5" customHeight="1">
      <c r="A75" s="619"/>
      <c r="B75" s="253"/>
      <c r="C75" s="259" t="s">
        <v>951</v>
      </c>
      <c r="D75" s="376">
        <v>958.3</v>
      </c>
      <c r="E75" s="376">
        <v>1048.5999999999999</v>
      </c>
      <c r="F75" s="376">
        <v>1005.7</v>
      </c>
      <c r="G75" s="376">
        <v>1193.4000000000001</v>
      </c>
      <c r="H75" s="376"/>
      <c r="I75" s="376"/>
      <c r="J75" s="376"/>
      <c r="K75" s="376"/>
      <c r="L75" s="376"/>
      <c r="M75" s="376"/>
      <c r="N75" s="376"/>
      <c r="O75" s="376"/>
      <c r="P75" s="376"/>
      <c r="Q75" s="376"/>
      <c r="R75" s="376"/>
      <c r="S75" s="376"/>
      <c r="T75" s="376"/>
      <c r="U75" s="376"/>
      <c r="V75" s="376"/>
      <c r="W75" s="376"/>
      <c r="X75" s="376"/>
      <c r="Y75" s="376"/>
      <c r="Z75" s="376"/>
      <c r="AA75" s="376"/>
      <c r="AB75" s="376"/>
      <c r="AC75" s="376"/>
      <c r="AD75" s="376"/>
      <c r="AE75" s="376"/>
      <c r="AF75" s="376"/>
      <c r="AG75" s="376"/>
      <c r="AH75" s="376"/>
      <c r="AI75" s="376"/>
      <c r="AJ75" s="376"/>
      <c r="AK75" s="377"/>
    </row>
    <row r="76" spans="1:37" ht="13.5" customHeight="1">
      <c r="A76" s="619"/>
      <c r="B76" s="253"/>
      <c r="C76" s="259" t="s">
        <v>952</v>
      </c>
      <c r="D76" s="376">
        <v>70</v>
      </c>
      <c r="E76" s="376">
        <v>67.2</v>
      </c>
      <c r="F76" s="376">
        <v>67.2</v>
      </c>
      <c r="G76" s="376">
        <v>70.400000000000006</v>
      </c>
      <c r="H76" s="376"/>
      <c r="I76" s="376"/>
      <c r="J76" s="376"/>
      <c r="K76" s="376"/>
      <c r="L76" s="376"/>
      <c r="M76" s="376"/>
      <c r="N76" s="376"/>
      <c r="O76" s="376"/>
      <c r="P76" s="376"/>
      <c r="Q76" s="376"/>
      <c r="R76" s="376"/>
      <c r="S76" s="376"/>
      <c r="T76" s="376"/>
      <c r="U76" s="376"/>
      <c r="V76" s="376"/>
      <c r="W76" s="376"/>
      <c r="X76" s="376"/>
      <c r="Y76" s="376"/>
      <c r="Z76" s="376"/>
      <c r="AA76" s="376"/>
      <c r="AB76" s="376"/>
      <c r="AC76" s="376"/>
      <c r="AD76" s="376"/>
      <c r="AE76" s="376"/>
      <c r="AF76" s="376"/>
      <c r="AG76" s="376"/>
      <c r="AH76" s="376"/>
      <c r="AI76" s="376"/>
      <c r="AJ76" s="376"/>
      <c r="AK76" s="377"/>
    </row>
    <row r="77" spans="1:37" ht="13.5" customHeight="1">
      <c r="A77" s="619"/>
      <c r="B77" s="253"/>
      <c r="C77" s="259" t="s">
        <v>953</v>
      </c>
      <c r="D77" s="376">
        <v>0.3</v>
      </c>
      <c r="E77" s="376">
        <v>0.2</v>
      </c>
      <c r="F77" s="376">
        <v>0.2</v>
      </c>
      <c r="G77" s="376">
        <v>0.2</v>
      </c>
      <c r="H77" s="376"/>
      <c r="I77" s="376"/>
      <c r="J77" s="376"/>
      <c r="K77" s="376"/>
      <c r="L77" s="376"/>
      <c r="M77" s="376"/>
      <c r="N77" s="376"/>
      <c r="O77" s="376"/>
      <c r="P77" s="376"/>
      <c r="Q77" s="376"/>
      <c r="R77" s="376"/>
      <c r="S77" s="376"/>
      <c r="T77" s="376"/>
      <c r="U77" s="376"/>
      <c r="V77" s="376"/>
      <c r="W77" s="376"/>
      <c r="X77" s="376"/>
      <c r="Y77" s="376"/>
      <c r="Z77" s="376"/>
      <c r="AA77" s="376"/>
      <c r="AB77" s="376"/>
      <c r="AC77" s="376"/>
      <c r="AD77" s="376"/>
      <c r="AE77" s="376"/>
      <c r="AF77" s="376"/>
      <c r="AG77" s="376"/>
      <c r="AH77" s="376"/>
      <c r="AI77" s="376"/>
      <c r="AJ77" s="376"/>
      <c r="AK77" s="377"/>
    </row>
    <row r="78" spans="1:37" ht="13.5" customHeight="1">
      <c r="A78" s="619"/>
      <c r="B78" s="253"/>
      <c r="C78" s="130" t="s">
        <v>949</v>
      </c>
      <c r="D78" s="494">
        <f t="shared" ref="D78:G78" si="2">SUM(D71:D77)</f>
        <v>3038.6000000000004</v>
      </c>
      <c r="E78" s="494">
        <f t="shared" si="2"/>
        <v>3133.2999999999997</v>
      </c>
      <c r="F78" s="494">
        <f t="shared" si="2"/>
        <v>3050.3</v>
      </c>
      <c r="G78" s="494">
        <f t="shared" si="2"/>
        <v>3154.9</v>
      </c>
      <c r="H78" s="376"/>
      <c r="I78" s="376"/>
      <c r="J78" s="376"/>
      <c r="K78" s="376"/>
      <c r="L78" s="376"/>
      <c r="M78" s="376"/>
      <c r="N78" s="376"/>
      <c r="O78" s="376"/>
      <c r="P78" s="376"/>
      <c r="Q78" s="376"/>
      <c r="R78" s="376"/>
      <c r="S78" s="376"/>
      <c r="T78" s="376"/>
      <c r="U78" s="376"/>
      <c r="V78" s="376"/>
      <c r="W78" s="376"/>
      <c r="X78" s="376"/>
      <c r="Y78" s="376"/>
      <c r="Z78" s="376"/>
      <c r="AA78" s="376"/>
      <c r="AB78" s="376"/>
      <c r="AC78" s="376"/>
      <c r="AD78" s="376"/>
      <c r="AE78" s="376"/>
      <c r="AF78" s="376"/>
      <c r="AG78" s="376"/>
      <c r="AH78" s="376"/>
      <c r="AI78" s="376"/>
      <c r="AJ78" s="376"/>
      <c r="AK78" s="377"/>
    </row>
    <row r="79" spans="1:37" ht="13.5" customHeight="1">
      <c r="A79" s="619"/>
      <c r="B79" s="294"/>
      <c r="C79" s="358"/>
      <c r="D79" s="295"/>
      <c r="E79" s="295"/>
      <c r="F79" s="295"/>
      <c r="G79" s="295"/>
      <c r="H79" s="295"/>
      <c r="I79" s="295"/>
      <c r="J79" s="295"/>
      <c r="K79" s="295"/>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466"/>
    </row>
    <row r="80" spans="1:37"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c r="A81" s="619"/>
      <c r="B81" s="61"/>
      <c r="C81" s="424"/>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98"/>
    </row>
    <row r="82" spans="1:37" ht="13.5" customHeight="1">
      <c r="A82" s="619"/>
      <c r="B82" s="426"/>
      <c r="C82" s="427" t="s">
        <v>411</v>
      </c>
      <c r="D82" s="428"/>
      <c r="E82" s="428"/>
      <c r="F82" s="428"/>
      <c r="G82" s="428"/>
      <c r="H82" s="428"/>
      <c r="I82" s="428"/>
      <c r="J82" s="428"/>
      <c r="K82" s="428"/>
      <c r="L82" s="428"/>
      <c r="M82" s="428"/>
      <c r="N82" s="428"/>
      <c r="O82" s="428"/>
      <c r="P82" s="428"/>
      <c r="Q82" s="428"/>
      <c r="R82" s="428"/>
      <c r="S82" s="428"/>
      <c r="T82" s="428"/>
      <c r="U82" s="428"/>
      <c r="V82" s="428"/>
      <c r="W82" s="428"/>
      <c r="X82" s="428"/>
      <c r="Y82" s="428"/>
      <c r="Z82" s="428"/>
      <c r="AA82" s="428"/>
      <c r="AB82" s="428"/>
      <c r="AC82" s="428"/>
      <c r="AD82" s="428"/>
      <c r="AE82" s="428"/>
      <c r="AF82" s="428"/>
      <c r="AG82" s="428"/>
      <c r="AH82" s="428"/>
      <c r="AI82" s="428"/>
      <c r="AJ82" s="428"/>
      <c r="AK82" s="499"/>
    </row>
    <row r="83" spans="1:37" ht="13.5" customHeight="1">
      <c r="A83" s="619">
        <v>5</v>
      </c>
      <c r="B83" s="426"/>
      <c r="C83" s="429" t="s">
        <v>714</v>
      </c>
      <c r="D83" s="428"/>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c r="AF83" s="428"/>
      <c r="AG83" s="428"/>
      <c r="AH83" s="428"/>
      <c r="AI83" s="428"/>
      <c r="AJ83" s="428"/>
      <c r="AK83" s="499"/>
    </row>
    <row r="84" spans="1:37" ht="13.5" customHeight="1">
      <c r="A84" s="619"/>
      <c r="B84" s="426"/>
      <c r="C84" s="430" t="s">
        <v>948</v>
      </c>
      <c r="D84" s="428">
        <v>111.5</v>
      </c>
      <c r="E84" s="428">
        <v>89.8</v>
      </c>
      <c r="F84" s="428">
        <v>54.1</v>
      </c>
      <c r="G84" s="428">
        <v>94.2</v>
      </c>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c r="AF84" s="428"/>
      <c r="AG84" s="428"/>
      <c r="AH84" s="428"/>
      <c r="AI84" s="428"/>
      <c r="AJ84" s="428"/>
      <c r="AK84" s="499"/>
    </row>
    <row r="85" spans="1:37" ht="13.5" customHeight="1">
      <c r="A85" s="619"/>
      <c r="B85" s="426"/>
      <c r="C85" s="430" t="s">
        <v>955</v>
      </c>
      <c r="D85" s="428">
        <v>1198.3</v>
      </c>
      <c r="E85" s="428">
        <v>1175.7</v>
      </c>
      <c r="F85" s="428">
        <v>1133.0999999999999</v>
      </c>
      <c r="G85" s="428">
        <v>1087.7</v>
      </c>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c r="AF85" s="428"/>
      <c r="AG85" s="428"/>
      <c r="AH85" s="428"/>
      <c r="AI85" s="428"/>
      <c r="AJ85" s="428"/>
      <c r="AK85" s="499"/>
    </row>
    <row r="86" spans="1:37" ht="13.5" customHeight="1">
      <c r="A86" s="619"/>
      <c r="B86" s="426"/>
      <c r="C86" s="430" t="s">
        <v>950</v>
      </c>
      <c r="D86" s="428">
        <v>836.8</v>
      </c>
      <c r="E86" s="428">
        <v>912.8</v>
      </c>
      <c r="F86" s="428">
        <v>926.4</v>
      </c>
      <c r="G86" s="428">
        <v>781.6</v>
      </c>
      <c r="H86" s="428"/>
      <c r="I86" s="428"/>
      <c r="J86" s="428"/>
      <c r="K86" s="428"/>
      <c r="L86" s="428"/>
      <c r="M86" s="428"/>
      <c r="N86" s="428"/>
      <c r="O86" s="428"/>
      <c r="P86" s="428"/>
      <c r="Q86" s="428"/>
      <c r="R86" s="428"/>
      <c r="S86" s="428"/>
      <c r="T86" s="428"/>
      <c r="U86" s="428"/>
      <c r="V86" s="428"/>
      <c r="W86" s="428"/>
      <c r="X86" s="428"/>
      <c r="Y86" s="428"/>
      <c r="Z86" s="428"/>
      <c r="AA86" s="428"/>
      <c r="AB86" s="428"/>
      <c r="AC86" s="428"/>
      <c r="AD86" s="428"/>
      <c r="AE86" s="428"/>
      <c r="AF86" s="428"/>
      <c r="AG86" s="428"/>
      <c r="AH86" s="428"/>
      <c r="AI86" s="428"/>
      <c r="AJ86" s="428"/>
      <c r="AK86" s="499"/>
    </row>
    <row r="87" spans="1:37" ht="13.5" customHeight="1">
      <c r="A87" s="619"/>
      <c r="B87" s="426"/>
      <c r="C87" s="430" t="s">
        <v>954</v>
      </c>
      <c r="D87" s="428">
        <v>3201.3</v>
      </c>
      <c r="E87" s="428">
        <v>3430.9</v>
      </c>
      <c r="F87" s="428">
        <v>3466</v>
      </c>
      <c r="G87" s="428">
        <v>3587.4</v>
      </c>
      <c r="H87" s="428"/>
      <c r="I87" s="428"/>
      <c r="J87" s="428"/>
      <c r="K87" s="428"/>
      <c r="L87" s="428"/>
      <c r="M87" s="428"/>
      <c r="N87" s="428"/>
      <c r="O87" s="428"/>
      <c r="P87" s="428"/>
      <c r="Q87" s="428"/>
      <c r="R87" s="428"/>
      <c r="S87" s="428"/>
      <c r="T87" s="428"/>
      <c r="U87" s="428"/>
      <c r="V87" s="428"/>
      <c r="W87" s="428"/>
      <c r="X87" s="428"/>
      <c r="Y87" s="428"/>
      <c r="Z87" s="428"/>
      <c r="AA87" s="428"/>
      <c r="AB87" s="428"/>
      <c r="AC87" s="428"/>
      <c r="AD87" s="428"/>
      <c r="AE87" s="428"/>
      <c r="AF87" s="428"/>
      <c r="AG87" s="428"/>
      <c r="AH87" s="428"/>
      <c r="AI87" s="428"/>
      <c r="AJ87" s="428"/>
      <c r="AK87" s="499"/>
    </row>
    <row r="88" spans="1:37" ht="13.5" customHeight="1">
      <c r="A88" s="619"/>
      <c r="B88" s="426"/>
      <c r="C88" s="430" t="s">
        <v>956</v>
      </c>
      <c r="D88" s="428">
        <v>11328.9</v>
      </c>
      <c r="E88" s="428">
        <v>11376.1</v>
      </c>
      <c r="F88" s="428">
        <v>8934.9</v>
      </c>
      <c r="G88" s="428">
        <v>10724.3</v>
      </c>
      <c r="H88" s="428"/>
      <c r="I88" s="428"/>
      <c r="J88" s="428"/>
      <c r="K88" s="428"/>
      <c r="L88" s="428"/>
      <c r="M88" s="428"/>
      <c r="N88" s="428"/>
      <c r="O88" s="428"/>
      <c r="P88" s="428"/>
      <c r="Q88" s="428"/>
      <c r="R88" s="428"/>
      <c r="S88" s="428"/>
      <c r="T88" s="428"/>
      <c r="U88" s="428"/>
      <c r="V88" s="428"/>
      <c r="W88" s="428"/>
      <c r="X88" s="428"/>
      <c r="Y88" s="428"/>
      <c r="Z88" s="428"/>
      <c r="AA88" s="428"/>
      <c r="AB88" s="428"/>
      <c r="AC88" s="428"/>
      <c r="AD88" s="428"/>
      <c r="AE88" s="428"/>
      <c r="AF88" s="428"/>
      <c r="AG88" s="428"/>
      <c r="AH88" s="428"/>
      <c r="AI88" s="428"/>
      <c r="AJ88" s="428"/>
      <c r="AK88" s="499"/>
    </row>
    <row r="89" spans="1:37" ht="13.5" customHeight="1">
      <c r="A89" s="619"/>
      <c r="B89" s="426"/>
      <c r="C89" s="430" t="s">
        <v>957</v>
      </c>
      <c r="D89" s="428">
        <v>375.4</v>
      </c>
      <c r="E89" s="428">
        <v>353.7</v>
      </c>
      <c r="F89" s="428">
        <v>241.1</v>
      </c>
      <c r="G89" s="428">
        <v>302.89999999999998</v>
      </c>
      <c r="H89" s="428"/>
      <c r="I89" s="428"/>
      <c r="J89" s="428"/>
      <c r="K89" s="428"/>
      <c r="L89" s="428"/>
      <c r="M89" s="428"/>
      <c r="N89" s="428"/>
      <c r="O89" s="428"/>
      <c r="P89" s="428"/>
      <c r="Q89" s="428"/>
      <c r="R89" s="428"/>
      <c r="S89" s="428"/>
      <c r="T89" s="428"/>
      <c r="U89" s="428"/>
      <c r="V89" s="428"/>
      <c r="W89" s="428"/>
      <c r="X89" s="428"/>
      <c r="Y89" s="428"/>
      <c r="Z89" s="428"/>
      <c r="AA89" s="428"/>
      <c r="AB89" s="428"/>
      <c r="AC89" s="428"/>
      <c r="AD89" s="428"/>
      <c r="AE89" s="428"/>
      <c r="AF89" s="428"/>
      <c r="AG89" s="428"/>
      <c r="AH89" s="428"/>
      <c r="AI89" s="428"/>
      <c r="AJ89" s="428"/>
      <c r="AK89" s="499"/>
    </row>
    <row r="90" spans="1:37" ht="13.5" customHeight="1">
      <c r="A90" s="619"/>
      <c r="B90" s="426"/>
      <c r="C90" s="430" t="s">
        <v>951</v>
      </c>
      <c r="D90" s="428">
        <v>12933.4</v>
      </c>
      <c r="E90" s="428">
        <v>12778</v>
      </c>
      <c r="F90" s="428">
        <v>10964</v>
      </c>
      <c r="G90" s="428">
        <v>12293.9</v>
      </c>
      <c r="H90" s="428"/>
      <c r="I90" s="428"/>
      <c r="J90" s="428"/>
      <c r="K90" s="428"/>
      <c r="L90" s="428"/>
      <c r="M90" s="428"/>
      <c r="N90" s="428"/>
      <c r="O90" s="428"/>
      <c r="P90" s="428"/>
      <c r="Q90" s="428"/>
      <c r="R90" s="428"/>
      <c r="S90" s="428"/>
      <c r="T90" s="428"/>
      <c r="U90" s="428"/>
      <c r="V90" s="428"/>
      <c r="W90" s="428"/>
      <c r="X90" s="428"/>
      <c r="Y90" s="428"/>
      <c r="Z90" s="428"/>
      <c r="AA90" s="428"/>
      <c r="AB90" s="428"/>
      <c r="AC90" s="428"/>
      <c r="AD90" s="428"/>
      <c r="AE90" s="428"/>
      <c r="AF90" s="428"/>
      <c r="AG90" s="428"/>
      <c r="AH90" s="428"/>
      <c r="AI90" s="428"/>
      <c r="AJ90" s="428"/>
      <c r="AK90" s="499"/>
    </row>
    <row r="91" spans="1:37" ht="13.5" customHeight="1">
      <c r="A91" s="619"/>
      <c r="B91" s="426"/>
      <c r="C91" s="430" t="s">
        <v>952</v>
      </c>
      <c r="D91" s="428">
        <v>784.4</v>
      </c>
      <c r="E91" s="428">
        <v>806.3</v>
      </c>
      <c r="F91" s="428">
        <v>757.3</v>
      </c>
      <c r="G91" s="428">
        <v>867</v>
      </c>
      <c r="H91" s="428"/>
      <c r="I91" s="428"/>
      <c r="J91" s="428"/>
      <c r="K91" s="428"/>
      <c r="L91" s="428"/>
      <c r="M91" s="428"/>
      <c r="N91" s="428"/>
      <c r="O91" s="428"/>
      <c r="P91" s="428"/>
      <c r="Q91" s="428"/>
      <c r="R91" s="428"/>
      <c r="S91" s="428"/>
      <c r="T91" s="428"/>
      <c r="U91" s="428"/>
      <c r="V91" s="428"/>
      <c r="W91" s="428"/>
      <c r="X91" s="428"/>
      <c r="Y91" s="428"/>
      <c r="Z91" s="428"/>
      <c r="AA91" s="428"/>
      <c r="AB91" s="428"/>
      <c r="AC91" s="428"/>
      <c r="AD91" s="428"/>
      <c r="AE91" s="428"/>
      <c r="AF91" s="428"/>
      <c r="AG91" s="428"/>
      <c r="AH91" s="428"/>
      <c r="AI91" s="428"/>
      <c r="AJ91" s="428"/>
      <c r="AK91" s="499"/>
    </row>
    <row r="92" spans="1:37" ht="13.5" customHeight="1">
      <c r="A92" s="619"/>
      <c r="B92" s="426"/>
      <c r="C92" s="430" t="s">
        <v>958</v>
      </c>
      <c r="D92" s="428" t="s">
        <v>186</v>
      </c>
      <c r="E92" s="428" t="s">
        <v>186</v>
      </c>
      <c r="F92" s="428" t="s">
        <v>186</v>
      </c>
      <c r="G92" s="428">
        <v>554.4</v>
      </c>
      <c r="H92" s="428"/>
      <c r="I92" s="428"/>
      <c r="J92" s="428"/>
      <c r="K92" s="428"/>
      <c r="L92" s="428"/>
      <c r="M92" s="428"/>
      <c r="N92" s="428"/>
      <c r="O92" s="428"/>
      <c r="P92" s="428"/>
      <c r="Q92" s="428"/>
      <c r="R92" s="428"/>
      <c r="S92" s="428"/>
      <c r="T92" s="428"/>
      <c r="U92" s="428"/>
      <c r="V92" s="428"/>
      <c r="W92" s="428"/>
      <c r="X92" s="428"/>
      <c r="Y92" s="428"/>
      <c r="Z92" s="428"/>
      <c r="AA92" s="428"/>
      <c r="AB92" s="428"/>
      <c r="AC92" s="428"/>
      <c r="AD92" s="428"/>
      <c r="AE92" s="428"/>
      <c r="AF92" s="428"/>
      <c r="AG92" s="428"/>
      <c r="AH92" s="428"/>
      <c r="AI92" s="428"/>
      <c r="AJ92" s="428"/>
      <c r="AK92" s="499"/>
    </row>
    <row r="93" spans="1:37" ht="13.5" customHeight="1">
      <c r="A93" s="619"/>
      <c r="B93" s="426"/>
      <c r="C93" s="430" t="s">
        <v>959</v>
      </c>
      <c r="D93" s="428">
        <v>659.1</v>
      </c>
      <c r="E93" s="428">
        <v>630.6</v>
      </c>
      <c r="F93" s="428">
        <v>487.1</v>
      </c>
      <c r="G93" s="428">
        <v>586.1</v>
      </c>
      <c r="H93" s="428"/>
      <c r="I93" s="428"/>
      <c r="J93" s="428"/>
      <c r="K93" s="428"/>
      <c r="L93" s="428"/>
      <c r="M93" s="428"/>
      <c r="N93" s="428"/>
      <c r="O93" s="428"/>
      <c r="P93" s="428"/>
      <c r="Q93" s="428"/>
      <c r="R93" s="428"/>
      <c r="S93" s="428"/>
      <c r="T93" s="428"/>
      <c r="U93" s="428"/>
      <c r="V93" s="428"/>
      <c r="W93" s="428"/>
      <c r="X93" s="428"/>
      <c r="Y93" s="428"/>
      <c r="Z93" s="428"/>
      <c r="AA93" s="428"/>
      <c r="AB93" s="428"/>
      <c r="AC93" s="428"/>
      <c r="AD93" s="428"/>
      <c r="AE93" s="428"/>
      <c r="AF93" s="428"/>
      <c r="AG93" s="428"/>
      <c r="AH93" s="428"/>
      <c r="AI93" s="428"/>
      <c r="AJ93" s="428"/>
      <c r="AK93" s="499"/>
    </row>
    <row r="94" spans="1:37" ht="13.5" customHeight="1">
      <c r="A94" s="619"/>
      <c r="B94" s="426"/>
      <c r="C94" s="430"/>
      <c r="D94" s="428"/>
      <c r="E94" s="428"/>
      <c r="F94" s="428"/>
      <c r="G94" s="428"/>
      <c r="H94" s="428"/>
      <c r="I94" s="428"/>
      <c r="J94" s="428"/>
      <c r="K94" s="428"/>
      <c r="L94" s="428"/>
      <c r="M94" s="428"/>
      <c r="N94" s="428"/>
      <c r="O94" s="428"/>
      <c r="P94" s="428"/>
      <c r="Q94" s="428"/>
      <c r="R94" s="428"/>
      <c r="S94" s="428"/>
      <c r="T94" s="428"/>
      <c r="U94" s="428"/>
      <c r="V94" s="428"/>
      <c r="W94" s="428"/>
      <c r="X94" s="428"/>
      <c r="Y94" s="428"/>
      <c r="Z94" s="428"/>
      <c r="AA94" s="428"/>
      <c r="AB94" s="428"/>
      <c r="AC94" s="428"/>
      <c r="AD94" s="428"/>
      <c r="AE94" s="428"/>
      <c r="AF94" s="428"/>
      <c r="AG94" s="428"/>
      <c r="AH94" s="428"/>
      <c r="AI94" s="428"/>
      <c r="AJ94" s="428"/>
      <c r="AK94" s="499"/>
    </row>
    <row r="95" spans="1:37" ht="13.5" customHeight="1">
      <c r="A95" s="619"/>
      <c r="B95" s="426"/>
      <c r="C95" s="131" t="s">
        <v>949</v>
      </c>
      <c r="D95" s="428">
        <f t="shared" ref="D95:G95" si="3">SUM(D84:D93)</f>
        <v>31429.1</v>
      </c>
      <c r="E95" s="428">
        <f t="shared" si="3"/>
        <v>31553.9</v>
      </c>
      <c r="F95" s="428">
        <f t="shared" si="3"/>
        <v>26963.999999999996</v>
      </c>
      <c r="G95" s="428">
        <f t="shared" si="3"/>
        <v>30879.5</v>
      </c>
      <c r="H95" s="428"/>
      <c r="I95" s="428"/>
      <c r="J95" s="428"/>
      <c r="K95" s="428"/>
      <c r="L95" s="428"/>
      <c r="M95" s="428"/>
      <c r="N95" s="428"/>
      <c r="O95" s="428"/>
      <c r="P95" s="428"/>
      <c r="Q95" s="428"/>
      <c r="R95" s="428"/>
      <c r="S95" s="428"/>
      <c r="T95" s="428"/>
      <c r="U95" s="428"/>
      <c r="V95" s="428"/>
      <c r="W95" s="428"/>
      <c r="X95" s="428"/>
      <c r="Y95" s="428"/>
      <c r="Z95" s="428"/>
      <c r="AA95" s="428"/>
      <c r="AB95" s="428"/>
      <c r="AC95" s="428"/>
      <c r="AD95" s="428"/>
      <c r="AE95" s="428"/>
      <c r="AF95" s="428"/>
      <c r="AG95" s="428"/>
      <c r="AH95" s="428"/>
      <c r="AI95" s="428"/>
      <c r="AJ95" s="428"/>
      <c r="AK95" s="499"/>
    </row>
    <row r="96" spans="1:37" ht="13.5" customHeight="1">
      <c r="A96" s="619"/>
      <c r="B96" s="500"/>
      <c r="C96" s="501"/>
      <c r="D96" s="502"/>
      <c r="E96" s="502"/>
      <c r="F96" s="502"/>
      <c r="G96" s="502"/>
      <c r="H96" s="502"/>
      <c r="I96" s="502"/>
      <c r="J96" s="502"/>
      <c r="K96" s="502"/>
      <c r="L96" s="502"/>
      <c r="M96" s="502"/>
      <c r="N96" s="502"/>
      <c r="O96" s="502"/>
      <c r="P96" s="502"/>
      <c r="Q96" s="502"/>
      <c r="R96" s="502"/>
      <c r="S96" s="502"/>
      <c r="T96" s="502"/>
      <c r="U96" s="502"/>
      <c r="V96" s="502"/>
      <c r="W96" s="502"/>
      <c r="X96" s="502"/>
      <c r="Y96" s="502"/>
      <c r="Z96" s="502"/>
      <c r="AA96" s="502"/>
      <c r="AB96" s="502"/>
      <c r="AC96" s="502"/>
      <c r="AD96" s="502"/>
      <c r="AE96" s="502"/>
      <c r="AF96" s="502"/>
      <c r="AG96" s="502"/>
      <c r="AH96" s="502"/>
      <c r="AI96" s="502"/>
      <c r="AJ96" s="502"/>
      <c r="AK96" s="503"/>
    </row>
    <row r="97" spans="1:37"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c r="A98" s="619"/>
      <c r="B98" s="23"/>
      <c r="C98" s="250"/>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c r="AC98" s="249"/>
      <c r="AD98" s="249"/>
      <c r="AE98" s="249"/>
      <c r="AF98" s="249"/>
      <c r="AG98" s="249"/>
      <c r="AH98" s="249"/>
      <c r="AI98" s="249"/>
      <c r="AJ98" s="249"/>
      <c r="AK98" s="375"/>
    </row>
    <row r="99" spans="1:37" ht="13.5" customHeight="1">
      <c r="A99" s="619"/>
      <c r="B99" s="253"/>
      <c r="C99" s="281" t="s">
        <v>720</v>
      </c>
      <c r="D99" s="376"/>
      <c r="E99" s="376"/>
      <c r="F99" s="376"/>
      <c r="G99" s="376"/>
      <c r="H99" s="376"/>
      <c r="I99" s="376"/>
      <c r="J99" s="376"/>
      <c r="K99" s="376"/>
      <c r="L99" s="376"/>
      <c r="M99" s="376"/>
      <c r="N99" s="376"/>
      <c r="O99" s="376"/>
      <c r="P99" s="376"/>
      <c r="Q99" s="376"/>
      <c r="R99" s="376"/>
      <c r="S99" s="376"/>
      <c r="T99" s="376"/>
      <c r="U99" s="376"/>
      <c r="V99" s="376"/>
      <c r="W99" s="376"/>
      <c r="X99" s="376"/>
      <c r="Y99" s="376"/>
      <c r="Z99" s="376"/>
      <c r="AA99" s="376"/>
      <c r="AB99" s="376"/>
      <c r="AC99" s="376"/>
      <c r="AD99" s="376"/>
      <c r="AE99" s="376"/>
      <c r="AF99" s="376"/>
      <c r="AG99" s="376"/>
      <c r="AH99" s="376"/>
      <c r="AI99" s="376"/>
      <c r="AJ99" s="376"/>
      <c r="AK99" s="377"/>
    </row>
    <row r="100" spans="1:37" ht="13.5" customHeight="1">
      <c r="A100" s="619"/>
      <c r="B100" s="253"/>
      <c r="C100" s="259" t="s">
        <v>947</v>
      </c>
      <c r="D100" s="376">
        <v>312.8</v>
      </c>
      <c r="E100" s="376">
        <v>344.9</v>
      </c>
      <c r="F100" s="376">
        <v>304.5</v>
      </c>
      <c r="G100" s="376">
        <v>329.3</v>
      </c>
      <c r="H100" s="376"/>
      <c r="I100" s="376"/>
      <c r="J100" s="376"/>
      <c r="K100" s="376"/>
      <c r="L100" s="376"/>
      <c r="M100" s="376"/>
      <c r="N100" s="376"/>
      <c r="O100" s="376"/>
      <c r="P100" s="376"/>
      <c r="Q100" s="376"/>
      <c r="R100" s="376"/>
      <c r="S100" s="376"/>
      <c r="T100" s="376"/>
      <c r="U100" s="376"/>
      <c r="V100" s="376"/>
      <c r="W100" s="376"/>
      <c r="X100" s="376"/>
      <c r="Y100" s="376"/>
      <c r="Z100" s="376"/>
      <c r="AA100" s="376"/>
      <c r="AB100" s="376"/>
      <c r="AC100" s="376"/>
      <c r="AD100" s="376"/>
      <c r="AE100" s="376"/>
      <c r="AF100" s="376"/>
      <c r="AG100" s="376"/>
      <c r="AH100" s="376"/>
      <c r="AI100" s="376"/>
      <c r="AJ100" s="376"/>
      <c r="AK100" s="377"/>
    </row>
    <row r="101" spans="1:37" ht="13.5" customHeight="1">
      <c r="A101" s="619"/>
      <c r="B101" s="253"/>
      <c r="C101" s="259" t="s">
        <v>948</v>
      </c>
      <c r="D101" s="376">
        <v>322.7</v>
      </c>
      <c r="E101" s="376">
        <v>297</v>
      </c>
      <c r="F101" s="376">
        <v>260.5</v>
      </c>
      <c r="G101" s="376">
        <v>288.10000000000002</v>
      </c>
      <c r="H101" s="376"/>
      <c r="I101" s="376"/>
      <c r="J101" s="376"/>
      <c r="K101" s="376"/>
      <c r="L101" s="376"/>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377"/>
    </row>
    <row r="102" spans="1:37" ht="13.5" customHeight="1">
      <c r="A102" s="619"/>
      <c r="B102" s="253"/>
      <c r="C102" s="130" t="s">
        <v>949</v>
      </c>
      <c r="D102" s="494">
        <f t="shared" ref="D102:G102" si="4">SUM(D100:D101)</f>
        <v>635.5</v>
      </c>
      <c r="E102" s="494">
        <f t="shared" si="4"/>
        <v>641.9</v>
      </c>
      <c r="F102" s="494">
        <f t="shared" si="4"/>
        <v>565</v>
      </c>
      <c r="G102" s="494">
        <f t="shared" si="4"/>
        <v>617.40000000000009</v>
      </c>
      <c r="H102" s="376"/>
      <c r="I102" s="376"/>
      <c r="J102" s="376"/>
      <c r="K102" s="376"/>
      <c r="L102" s="376"/>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377"/>
    </row>
    <row r="103" spans="1:37" ht="13.5" customHeight="1">
      <c r="A103" s="619"/>
      <c r="B103" s="253"/>
      <c r="C103" s="281"/>
      <c r="D103" s="376"/>
      <c r="E103" s="376"/>
      <c r="F103" s="376"/>
      <c r="G103" s="376"/>
      <c r="H103" s="376"/>
      <c r="I103" s="376"/>
      <c r="J103" s="376"/>
      <c r="K103" s="376"/>
      <c r="L103" s="376"/>
      <c r="M103" s="376"/>
      <c r="N103" s="376"/>
      <c r="O103" s="376"/>
      <c r="P103" s="376"/>
      <c r="Q103" s="376"/>
      <c r="R103" s="376"/>
      <c r="S103" s="376"/>
      <c r="T103" s="376"/>
      <c r="U103" s="376"/>
      <c r="V103" s="376"/>
      <c r="W103" s="376"/>
      <c r="X103" s="376"/>
      <c r="Y103" s="376"/>
      <c r="Z103" s="376"/>
      <c r="AA103" s="376"/>
      <c r="AB103" s="376"/>
      <c r="AC103" s="376"/>
      <c r="AD103" s="376"/>
      <c r="AE103" s="376"/>
      <c r="AF103" s="376"/>
      <c r="AG103" s="376"/>
      <c r="AH103" s="376"/>
      <c r="AI103" s="376"/>
      <c r="AJ103" s="376"/>
      <c r="AK103" s="377"/>
    </row>
    <row r="104" spans="1:37" ht="13.5" customHeight="1">
      <c r="A104" s="619"/>
      <c r="B104" s="253"/>
      <c r="C104" s="281" t="s">
        <v>721</v>
      </c>
      <c r="D104" s="376"/>
      <c r="E104" s="376"/>
      <c r="F104" s="376"/>
      <c r="G104" s="376"/>
      <c r="H104" s="376"/>
      <c r="I104" s="376"/>
      <c r="J104" s="376"/>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377"/>
    </row>
    <row r="105" spans="1:37" ht="13.5" customHeight="1">
      <c r="A105" s="619"/>
      <c r="B105" s="253"/>
      <c r="C105" s="259" t="s">
        <v>946</v>
      </c>
      <c r="D105" s="376">
        <v>449</v>
      </c>
      <c r="E105" s="376">
        <v>485.4</v>
      </c>
      <c r="F105" s="376">
        <v>454.6</v>
      </c>
      <c r="G105" s="376">
        <v>437.5</v>
      </c>
      <c r="H105" s="376"/>
      <c r="I105" s="376"/>
      <c r="J105" s="376"/>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377"/>
    </row>
    <row r="106" spans="1:37" ht="13.5" customHeight="1">
      <c r="A106" s="619"/>
      <c r="B106" s="253"/>
      <c r="C106" s="259" t="s">
        <v>954</v>
      </c>
      <c r="D106" s="376">
        <v>49.4</v>
      </c>
      <c r="E106" s="376">
        <v>40.700000000000003</v>
      </c>
      <c r="F106" s="376">
        <v>41.7</v>
      </c>
      <c r="G106" s="376">
        <v>39.700000000000003</v>
      </c>
      <c r="H106" s="376"/>
      <c r="I106" s="376"/>
      <c r="J106" s="376"/>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377"/>
    </row>
    <row r="107" spans="1:37" ht="13.5" customHeight="1">
      <c r="A107" s="619"/>
      <c r="B107" s="253"/>
      <c r="C107" s="259" t="s">
        <v>956</v>
      </c>
      <c r="D107" s="376">
        <v>46.3</v>
      </c>
      <c r="E107" s="376">
        <v>51.4</v>
      </c>
      <c r="F107" s="376">
        <v>43.7</v>
      </c>
      <c r="G107" s="376">
        <v>49.1</v>
      </c>
      <c r="H107" s="376"/>
      <c r="I107" s="376"/>
      <c r="J107" s="376"/>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377"/>
    </row>
    <row r="108" spans="1:37" ht="13.5" customHeight="1">
      <c r="A108" s="619"/>
      <c r="B108" s="253"/>
      <c r="C108" s="259" t="s">
        <v>957</v>
      </c>
      <c r="D108" s="376">
        <v>8.9</v>
      </c>
      <c r="E108" s="376">
        <v>10.199999999999999</v>
      </c>
      <c r="F108" s="376">
        <v>9.3000000000000007</v>
      </c>
      <c r="G108" s="376">
        <v>10.1</v>
      </c>
      <c r="H108" s="376"/>
      <c r="I108" s="376"/>
      <c r="J108" s="376"/>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7"/>
    </row>
    <row r="109" spans="1:37" ht="13.5" customHeight="1">
      <c r="A109" s="619"/>
      <c r="B109" s="253"/>
      <c r="C109" s="259" t="s">
        <v>951</v>
      </c>
      <c r="D109" s="376">
        <v>354</v>
      </c>
      <c r="E109" s="376">
        <v>362.5</v>
      </c>
      <c r="F109" s="376">
        <v>312.89999999999998</v>
      </c>
      <c r="G109" s="376">
        <v>327.39999999999998</v>
      </c>
      <c r="H109" s="376"/>
      <c r="I109" s="376"/>
      <c r="J109" s="376"/>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377"/>
    </row>
    <row r="110" spans="1:37" ht="13.5" customHeight="1">
      <c r="A110" s="619"/>
      <c r="B110" s="253"/>
      <c r="C110" s="259" t="s">
        <v>952</v>
      </c>
      <c r="D110" s="376">
        <v>643.1</v>
      </c>
      <c r="E110" s="376">
        <v>585.5</v>
      </c>
      <c r="F110" s="376">
        <v>491.8</v>
      </c>
      <c r="G110" s="376">
        <v>583.9</v>
      </c>
      <c r="H110" s="376"/>
      <c r="I110" s="376"/>
      <c r="J110" s="376"/>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377"/>
    </row>
    <row r="111" spans="1:37" ht="13.5" customHeight="1">
      <c r="A111" s="619"/>
      <c r="B111" s="253"/>
      <c r="C111" s="259" t="s">
        <v>960</v>
      </c>
      <c r="D111" s="376">
        <v>96.5</v>
      </c>
      <c r="E111" s="376">
        <v>93.5</v>
      </c>
      <c r="F111" s="376">
        <v>192</v>
      </c>
      <c r="G111" s="376">
        <v>204.9</v>
      </c>
      <c r="H111" s="376"/>
      <c r="I111" s="376"/>
      <c r="J111" s="376"/>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377"/>
    </row>
    <row r="112" spans="1:37" ht="13.5" customHeight="1">
      <c r="A112" s="619"/>
      <c r="B112" s="253"/>
      <c r="C112" s="130" t="s">
        <v>949</v>
      </c>
      <c r="D112" s="494">
        <f t="shared" ref="D112:G112" si="5">SUM(D105:D111)</f>
        <v>1647.1999999999998</v>
      </c>
      <c r="E112" s="494">
        <f t="shared" si="5"/>
        <v>1629.2</v>
      </c>
      <c r="F112" s="494">
        <f t="shared" si="5"/>
        <v>1546</v>
      </c>
      <c r="G112" s="494">
        <f t="shared" si="5"/>
        <v>1652.6</v>
      </c>
      <c r="H112" s="376"/>
      <c r="I112" s="376"/>
      <c r="J112" s="376"/>
      <c r="K112" s="376"/>
      <c r="L112" s="376"/>
      <c r="M112" s="376"/>
      <c r="N112" s="376"/>
      <c r="O112" s="376"/>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377"/>
    </row>
    <row r="113" spans="1:37" ht="13.5" customHeight="1">
      <c r="A113" s="619"/>
      <c r="B113" s="294"/>
      <c r="C113" s="358"/>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466"/>
    </row>
    <row r="114" spans="1:37"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c r="A115" s="1"/>
      <c r="B115" s="1"/>
      <c r="C115" s="15" t="s">
        <v>723</v>
      </c>
      <c r="D115" s="1">
        <f t="shared" ref="D115:G115" si="6">SUM(D112,D102,D95,D78,D68,D56)</f>
        <v>39720.199999999997</v>
      </c>
      <c r="E115" s="1">
        <f t="shared" si="6"/>
        <v>39057.4</v>
      </c>
      <c r="F115" s="1">
        <f t="shared" si="6"/>
        <v>34075.599999999999</v>
      </c>
      <c r="G115" s="1">
        <f t="shared" si="6"/>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c r="A117" s="619"/>
      <c r="B117" s="23"/>
      <c r="C117" s="250"/>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375"/>
    </row>
    <row r="118" spans="1:37" ht="20.25" customHeight="1">
      <c r="A118" s="619"/>
      <c r="B118" s="253"/>
      <c r="C118" s="493" t="s">
        <v>724</v>
      </c>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c r="AD118" s="258"/>
      <c r="AE118" s="258"/>
      <c r="AF118" s="258"/>
      <c r="AG118" s="258"/>
      <c r="AH118" s="258"/>
      <c r="AI118" s="258"/>
      <c r="AJ118" s="258"/>
      <c r="AK118" s="377"/>
    </row>
    <row r="119" spans="1:37" ht="14.45">
      <c r="A119" s="619"/>
      <c r="B119" s="253"/>
      <c r="C119" s="506"/>
      <c r="D119" s="387"/>
      <c r="E119" s="387"/>
      <c r="F119" s="387"/>
      <c r="G119" s="387"/>
      <c r="H119" s="376"/>
      <c r="I119" s="376"/>
      <c r="J119" s="376"/>
      <c r="K119" s="376"/>
      <c r="L119" s="376"/>
      <c r="M119" s="376"/>
      <c r="N119" s="376"/>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377"/>
    </row>
    <row r="120" spans="1:37" ht="14.45">
      <c r="A120" s="619">
        <v>5</v>
      </c>
      <c r="B120" s="253"/>
      <c r="C120" s="506" t="s">
        <v>961</v>
      </c>
      <c r="D120" s="387">
        <v>2667.7</v>
      </c>
      <c r="E120" s="387">
        <v>2811.8</v>
      </c>
      <c r="F120" s="387">
        <v>2833.3</v>
      </c>
      <c r="G120" s="387">
        <v>2705.8</v>
      </c>
      <c r="H120" s="376"/>
      <c r="I120" s="376"/>
      <c r="J120" s="376"/>
      <c r="K120" s="376"/>
      <c r="L120" s="376"/>
      <c r="M120" s="376"/>
      <c r="N120" s="376"/>
      <c r="O120" s="376"/>
      <c r="P120" s="376"/>
      <c r="Q120" s="376"/>
      <c r="R120" s="376"/>
      <c r="S120" s="376"/>
      <c r="T120" s="376"/>
      <c r="U120" s="376"/>
      <c r="V120" s="376"/>
      <c r="W120" s="376"/>
      <c r="X120" s="376"/>
      <c r="Y120" s="376"/>
      <c r="Z120" s="376"/>
      <c r="AA120" s="376"/>
      <c r="AB120" s="376"/>
      <c r="AC120" s="376"/>
      <c r="AD120" s="376"/>
      <c r="AE120" s="376"/>
      <c r="AF120" s="376"/>
      <c r="AG120" s="376"/>
      <c r="AH120" s="376"/>
      <c r="AI120" s="376"/>
      <c r="AJ120" s="376"/>
      <c r="AK120" s="377"/>
    </row>
    <row r="121" spans="1:37" ht="14.45">
      <c r="A121" s="619"/>
      <c r="B121" s="253"/>
      <c r="C121" s="506"/>
      <c r="D121" s="387"/>
      <c r="E121" s="387"/>
      <c r="F121" s="387"/>
      <c r="G121" s="387"/>
      <c r="H121" s="376"/>
      <c r="I121" s="376"/>
      <c r="J121" s="376"/>
      <c r="K121" s="376"/>
      <c r="L121" s="376"/>
      <c r="M121" s="376"/>
      <c r="N121" s="376"/>
      <c r="O121" s="376"/>
      <c r="P121" s="376"/>
      <c r="Q121" s="376"/>
      <c r="R121" s="376"/>
      <c r="S121" s="376"/>
      <c r="T121" s="376"/>
      <c r="U121" s="376"/>
      <c r="V121" s="376"/>
      <c r="W121" s="376"/>
      <c r="X121" s="376"/>
      <c r="Y121" s="376"/>
      <c r="Z121" s="376"/>
      <c r="AA121" s="376"/>
      <c r="AB121" s="376"/>
      <c r="AC121" s="376"/>
      <c r="AD121" s="376"/>
      <c r="AE121" s="376"/>
      <c r="AF121" s="376"/>
      <c r="AG121" s="376"/>
      <c r="AH121" s="376"/>
      <c r="AI121" s="376"/>
      <c r="AJ121" s="376"/>
      <c r="AK121" s="377"/>
    </row>
    <row r="122" spans="1:37" ht="28.9">
      <c r="A122" s="619">
        <v>3</v>
      </c>
      <c r="B122" s="253"/>
      <c r="C122" s="506" t="s">
        <v>962</v>
      </c>
      <c r="D122" s="387">
        <v>73300</v>
      </c>
      <c r="E122" s="387"/>
      <c r="F122" s="387"/>
      <c r="G122" s="387"/>
      <c r="H122" s="376"/>
      <c r="I122" s="376"/>
      <c r="J122" s="376"/>
      <c r="K122" s="376"/>
      <c r="L122" s="376"/>
      <c r="M122" s="376"/>
      <c r="N122" s="376"/>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377"/>
    </row>
    <row r="123" spans="1:37" ht="14.45">
      <c r="A123" s="619"/>
      <c r="B123" s="253"/>
      <c r="C123" s="506"/>
      <c r="D123" s="387"/>
      <c r="E123" s="387"/>
      <c r="F123" s="387"/>
      <c r="G123" s="387"/>
      <c r="H123" s="376"/>
      <c r="I123" s="376"/>
      <c r="J123" s="376"/>
      <c r="K123" s="376"/>
      <c r="L123" s="376"/>
      <c r="M123" s="376"/>
      <c r="N123" s="376"/>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377"/>
    </row>
    <row r="124" spans="1:37" ht="28.9">
      <c r="A124" s="619">
        <v>5</v>
      </c>
      <c r="B124" s="253"/>
      <c r="C124" s="505" t="s">
        <v>963</v>
      </c>
      <c r="D124" s="387">
        <v>1045</v>
      </c>
      <c r="E124" s="387">
        <v>1135</v>
      </c>
      <c r="F124" s="387">
        <v>1063</v>
      </c>
      <c r="G124" s="387">
        <v>1023</v>
      </c>
      <c r="H124" s="376"/>
      <c r="I124" s="376"/>
      <c r="J124" s="376"/>
      <c r="K124" s="376"/>
      <c r="L124" s="376"/>
      <c r="M124" s="376"/>
      <c r="N124" s="376"/>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377"/>
    </row>
    <row r="125" spans="1:37" ht="28.9">
      <c r="A125" s="619"/>
      <c r="B125" s="253"/>
      <c r="C125" s="505" t="s">
        <v>964</v>
      </c>
      <c r="D125" s="387">
        <f t="shared" ref="D125:G125" si="7">D124*5.82</f>
        <v>6081.9000000000005</v>
      </c>
      <c r="E125" s="387">
        <f t="shared" si="7"/>
        <v>6605.7000000000007</v>
      </c>
      <c r="F125" s="387">
        <f t="shared" si="7"/>
        <v>6186.66</v>
      </c>
      <c r="G125" s="387">
        <f t="shared" si="7"/>
        <v>5953.8600000000006</v>
      </c>
      <c r="H125" s="376"/>
      <c r="I125" s="376"/>
      <c r="J125" s="376"/>
      <c r="K125" s="376"/>
      <c r="L125" s="376"/>
      <c r="M125" s="376"/>
      <c r="N125" s="376"/>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377"/>
    </row>
    <row r="126" spans="1:37" ht="28.9">
      <c r="A126" s="619">
        <v>7</v>
      </c>
      <c r="B126" s="253"/>
      <c r="C126" s="505" t="s">
        <v>965</v>
      </c>
      <c r="D126" s="387">
        <v>73300</v>
      </c>
      <c r="E126" s="387"/>
      <c r="F126" s="387"/>
      <c r="G126" s="387"/>
      <c r="H126" s="376"/>
      <c r="I126" s="376"/>
      <c r="J126" s="376"/>
      <c r="K126" s="376"/>
      <c r="L126" s="376"/>
      <c r="M126" s="376"/>
      <c r="N126" s="376"/>
      <c r="O126" s="376"/>
      <c r="P126" s="376"/>
      <c r="Q126" s="376"/>
      <c r="R126" s="376"/>
      <c r="S126" s="376"/>
      <c r="T126" s="376"/>
      <c r="U126" s="376"/>
      <c r="V126" s="376"/>
      <c r="W126" s="376"/>
      <c r="X126" s="376"/>
      <c r="Y126" s="376"/>
      <c r="Z126" s="376"/>
      <c r="AA126" s="376"/>
      <c r="AB126" s="376"/>
      <c r="AC126" s="376"/>
      <c r="AD126" s="376"/>
      <c r="AE126" s="376"/>
      <c r="AF126" s="376"/>
      <c r="AG126" s="376"/>
      <c r="AH126" s="376"/>
      <c r="AI126" s="376"/>
      <c r="AJ126" s="376"/>
      <c r="AK126" s="377"/>
    </row>
    <row r="127" spans="1:37" ht="14.45">
      <c r="A127" s="619"/>
      <c r="B127" s="253"/>
      <c r="C127" s="505" t="s">
        <v>966</v>
      </c>
      <c r="D127" s="387">
        <f t="shared" ref="D127:G127" si="8">D125*$D$126</f>
        <v>445803270.00000006</v>
      </c>
      <c r="E127" s="387">
        <f t="shared" si="8"/>
        <v>484197810.00000006</v>
      </c>
      <c r="F127" s="387">
        <f t="shared" si="8"/>
        <v>453482178</v>
      </c>
      <c r="G127" s="387">
        <f t="shared" si="8"/>
        <v>436417938.00000006</v>
      </c>
      <c r="H127" s="376"/>
      <c r="I127" s="376"/>
      <c r="J127" s="376"/>
      <c r="K127" s="376"/>
      <c r="L127" s="376"/>
      <c r="M127" s="376"/>
      <c r="N127" s="376"/>
      <c r="O127" s="376"/>
      <c r="P127" s="376"/>
      <c r="Q127" s="376"/>
      <c r="R127" s="376"/>
      <c r="S127" s="376"/>
      <c r="T127" s="376"/>
      <c r="U127" s="376"/>
      <c r="V127" s="376"/>
      <c r="W127" s="376"/>
      <c r="X127" s="376"/>
      <c r="Y127" s="376"/>
      <c r="Z127" s="376"/>
      <c r="AA127" s="376"/>
      <c r="AB127" s="376"/>
      <c r="AC127" s="376"/>
      <c r="AD127" s="376"/>
      <c r="AE127" s="376"/>
      <c r="AF127" s="376"/>
      <c r="AG127" s="376"/>
      <c r="AH127" s="376"/>
      <c r="AI127" s="376"/>
      <c r="AJ127" s="376"/>
      <c r="AK127" s="377"/>
    </row>
    <row r="128" spans="1:37" ht="14.45">
      <c r="A128" s="619"/>
      <c r="B128" s="253"/>
      <c r="C128" s="506" t="s">
        <v>967</v>
      </c>
      <c r="D128" s="387">
        <f t="shared" ref="D128:G128" si="9">D127/1000000</f>
        <v>445.80327000000005</v>
      </c>
      <c r="E128" s="387">
        <f t="shared" si="9"/>
        <v>484.19781000000006</v>
      </c>
      <c r="F128" s="387">
        <f t="shared" si="9"/>
        <v>453.48217799999998</v>
      </c>
      <c r="G128" s="387">
        <f t="shared" si="9"/>
        <v>436.41793800000005</v>
      </c>
      <c r="H128" s="376"/>
      <c r="I128" s="376"/>
      <c r="J128" s="376"/>
      <c r="K128" s="376"/>
      <c r="L128" s="376"/>
      <c r="M128" s="376"/>
      <c r="N128" s="376"/>
      <c r="O128" s="376"/>
      <c r="P128" s="376"/>
      <c r="Q128" s="376"/>
      <c r="R128" s="376"/>
      <c r="S128" s="376"/>
      <c r="T128" s="376"/>
      <c r="U128" s="376"/>
      <c r="V128" s="376"/>
      <c r="W128" s="376"/>
      <c r="X128" s="376"/>
      <c r="Y128" s="376"/>
      <c r="Z128" s="376"/>
      <c r="AA128" s="376"/>
      <c r="AB128" s="376"/>
      <c r="AC128" s="376"/>
      <c r="AD128" s="376"/>
      <c r="AE128" s="376"/>
      <c r="AF128" s="376"/>
      <c r="AG128" s="376"/>
      <c r="AH128" s="376"/>
      <c r="AI128" s="376"/>
      <c r="AJ128" s="376"/>
      <c r="AK128" s="377"/>
    </row>
    <row r="129" spans="1:37" ht="13.5" customHeight="1">
      <c r="A129" s="619"/>
      <c r="B129" s="294"/>
      <c r="C129" s="358"/>
      <c r="D129" s="295"/>
      <c r="E129" s="295"/>
      <c r="F129" s="295"/>
      <c r="G129" s="295"/>
      <c r="H129" s="295"/>
      <c r="I129" s="295"/>
      <c r="J129" s="295"/>
      <c r="K129" s="295"/>
      <c r="L129" s="295"/>
      <c r="M129" s="295"/>
      <c r="N129" s="295"/>
      <c r="O129" s="295"/>
      <c r="P129" s="295"/>
      <c r="Q129" s="295"/>
      <c r="R129" s="295"/>
      <c r="S129" s="295"/>
      <c r="T129" s="295"/>
      <c r="U129" s="295"/>
      <c r="V129" s="295"/>
      <c r="W129" s="295"/>
      <c r="X129" s="295"/>
      <c r="Y129" s="295"/>
      <c r="Z129" s="295"/>
      <c r="AA129" s="295"/>
      <c r="AB129" s="295"/>
      <c r="AC129" s="295"/>
      <c r="AD129" s="295"/>
      <c r="AE129" s="295"/>
      <c r="AF129" s="295"/>
      <c r="AG129" s="295"/>
      <c r="AH129" s="295"/>
      <c r="AI129" s="295"/>
      <c r="AJ129" s="295"/>
      <c r="AK129" s="466"/>
    </row>
    <row r="130" spans="1:37"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c r="A131" s="1"/>
      <c r="B131" s="1"/>
      <c r="C131" s="560" t="s">
        <v>968</v>
      </c>
      <c r="D131" s="1"/>
      <c r="E131" s="8"/>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c r="A133" s="1"/>
      <c r="B133" s="1"/>
      <c r="C133" s="1" t="s">
        <v>969</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c r="A135" s="1"/>
      <c r="B135" s="1"/>
      <c r="C135" s="15" t="s">
        <v>561</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c r="A136" s="1"/>
      <c r="B136" s="1">
        <v>1</v>
      </c>
      <c r="C136" s="1" t="s">
        <v>970</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c r="A137" s="1"/>
      <c r="B137" s="1">
        <v>2</v>
      </c>
      <c r="C137" s="1" t="s">
        <v>971</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c r="A138" s="1"/>
      <c r="B138" s="1">
        <v>3</v>
      </c>
      <c r="C138" s="1" t="s">
        <v>972</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c r="A139" s="1"/>
      <c r="B139" s="1">
        <v>4</v>
      </c>
      <c r="C139" s="1" t="s">
        <v>973</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c r="A140" s="1"/>
      <c r="B140" s="1">
        <v>5</v>
      </c>
      <c r="C140" s="1" t="s">
        <v>869</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c r="A141" s="1"/>
      <c r="B141" s="1">
        <v>6</v>
      </c>
      <c r="C141" s="1" t="s">
        <v>974</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c r="A142" s="1"/>
      <c r="B142" s="1">
        <v>7</v>
      </c>
      <c r="C142" s="1" t="s">
        <v>975</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004"/>
  <sheetViews>
    <sheetView zoomScale="85" zoomScaleNormal="85" workbookViewId="0">
      <pane ySplit="1" topLeftCell="B61" activePane="bottomLeft" state="frozen"/>
      <selection pane="bottomLeft" activeCell="B97" sqref="B97"/>
    </sheetView>
  </sheetViews>
  <sheetFormatPr defaultColWidth="12.6640625" defaultRowHeight="15" customHeight="1"/>
  <cols>
    <col min="1" max="1" width="9.77734375" customWidth="1"/>
    <col min="2" max="2" width="15.21875" customWidth="1"/>
    <col min="3" max="3" width="9.77734375" customWidth="1"/>
    <col min="4" max="4" width="2.44140625" customWidth="1"/>
    <col min="5" max="5" width="58.21875" customWidth="1"/>
    <col min="6" max="13" width="8.44140625" customWidth="1"/>
    <col min="14" max="14" width="10.77734375" customWidth="1"/>
    <col min="15" max="39" width="8.44140625" customWidth="1"/>
  </cols>
  <sheetData>
    <row r="1" spans="1:39" ht="13.5" customHeight="1">
      <c r="A1" s="619"/>
      <c r="B1" s="619"/>
      <c r="C1" s="619"/>
      <c r="D1" s="52"/>
      <c r="E1" s="621" t="s">
        <v>6</v>
      </c>
      <c r="F1" s="374">
        <v>2018</v>
      </c>
      <c r="G1" s="374">
        <v>2019</v>
      </c>
      <c r="H1" s="374">
        <v>2020</v>
      </c>
      <c r="I1" s="373">
        <v>2021</v>
      </c>
      <c r="J1" s="373">
        <v>2022</v>
      </c>
      <c r="K1" s="373">
        <v>2023</v>
      </c>
      <c r="L1" s="373">
        <v>2024</v>
      </c>
      <c r="M1" s="373">
        <v>2025</v>
      </c>
      <c r="N1" s="373">
        <v>2026</v>
      </c>
      <c r="O1" s="373">
        <v>2027</v>
      </c>
      <c r="P1" s="373">
        <v>2028</v>
      </c>
      <c r="Q1" s="373">
        <v>2029</v>
      </c>
      <c r="R1" s="373">
        <v>2030</v>
      </c>
      <c r="S1" s="373">
        <v>2031</v>
      </c>
      <c r="T1" s="373">
        <v>2032</v>
      </c>
      <c r="U1" s="373">
        <v>2033</v>
      </c>
      <c r="V1" s="373">
        <v>2034</v>
      </c>
      <c r="W1" s="373">
        <v>2035</v>
      </c>
      <c r="X1" s="373">
        <v>2036</v>
      </c>
      <c r="Y1" s="373">
        <v>2037</v>
      </c>
      <c r="Z1" s="373">
        <v>2038</v>
      </c>
      <c r="AA1" s="373">
        <v>2039</v>
      </c>
      <c r="AB1" s="373">
        <v>2040</v>
      </c>
      <c r="AC1" s="373">
        <v>2041</v>
      </c>
      <c r="AD1" s="373">
        <v>2042</v>
      </c>
      <c r="AE1" s="373">
        <v>2043</v>
      </c>
      <c r="AF1" s="373">
        <v>2044</v>
      </c>
      <c r="AG1" s="373">
        <v>2045</v>
      </c>
      <c r="AH1" s="373">
        <v>2046</v>
      </c>
      <c r="AI1" s="373">
        <v>2047</v>
      </c>
      <c r="AJ1" s="373">
        <v>2048</v>
      </c>
      <c r="AK1" s="373">
        <v>2049</v>
      </c>
      <c r="AL1" s="373">
        <v>2050</v>
      </c>
      <c r="AM1" s="53"/>
    </row>
    <row r="2" spans="1:39" ht="13.5" customHeight="1">
      <c r="A2" s="619"/>
      <c r="B2" s="619"/>
      <c r="C2" s="619"/>
      <c r="D2" s="619"/>
      <c r="E2" s="4"/>
      <c r="F2" s="619"/>
      <c r="G2" s="619"/>
      <c r="H2" s="619"/>
      <c r="I2" s="619"/>
      <c r="J2" s="619"/>
      <c r="K2" s="619"/>
      <c r="L2" s="619"/>
      <c r="M2" s="619"/>
      <c r="N2" s="619"/>
      <c r="O2" s="619"/>
      <c r="P2" s="619"/>
      <c r="Q2" s="619"/>
      <c r="R2" s="619"/>
      <c r="S2" s="619"/>
      <c r="T2" s="619"/>
      <c r="U2" s="619"/>
      <c r="V2" s="619"/>
      <c r="W2" s="619"/>
      <c r="X2" s="619"/>
      <c r="Y2" s="619"/>
      <c r="Z2" s="619"/>
      <c r="AA2" s="619"/>
      <c r="AB2" s="619"/>
      <c r="AC2" s="619"/>
      <c r="AD2" s="619"/>
      <c r="AE2" s="619"/>
      <c r="AF2" s="619"/>
      <c r="AG2" s="619"/>
      <c r="AH2" s="619"/>
      <c r="AI2" s="619"/>
      <c r="AJ2" s="619"/>
      <c r="AK2" s="619"/>
      <c r="AL2" s="619"/>
      <c r="AM2" s="619"/>
    </row>
    <row r="3" spans="1:39" ht="13.5" customHeight="1">
      <c r="A3" s="619"/>
      <c r="B3" s="619"/>
      <c r="C3" s="619"/>
      <c r="D3" s="6"/>
      <c r="E3" s="152"/>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1"/>
    </row>
    <row r="4" spans="1:39" ht="13.5" customHeight="1">
      <c r="A4" s="619"/>
      <c r="B4" s="619"/>
      <c r="C4" s="619"/>
      <c r="D4" s="155"/>
      <c r="E4" s="156" t="s">
        <v>976</v>
      </c>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2"/>
    </row>
    <row r="5" spans="1:39" ht="13.5" customHeight="1">
      <c r="A5" s="619"/>
      <c r="B5" s="619"/>
      <c r="C5" s="619"/>
      <c r="D5" s="155"/>
      <c r="E5" s="156"/>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2"/>
    </row>
    <row r="6" spans="1:39" ht="13.5" customHeight="1">
      <c r="A6" s="619">
        <v>6</v>
      </c>
      <c r="B6" s="619" t="s">
        <v>674</v>
      </c>
      <c r="C6" s="619" t="s">
        <v>977</v>
      </c>
      <c r="D6" s="155"/>
      <c r="E6" s="164" t="s">
        <v>978</v>
      </c>
      <c r="F6" s="204">
        <v>3.63</v>
      </c>
      <c r="G6" s="204">
        <v>3.63</v>
      </c>
      <c r="H6" s="204">
        <v>3.63</v>
      </c>
      <c r="I6" s="204">
        <v>3.63</v>
      </c>
      <c r="J6" s="204">
        <v>3.63</v>
      </c>
      <c r="K6" s="204">
        <v>3.63</v>
      </c>
      <c r="L6" s="204">
        <v>3.63</v>
      </c>
      <c r="M6" s="204">
        <v>3.63</v>
      </c>
      <c r="N6" s="204">
        <v>3.63</v>
      </c>
      <c r="O6" s="204">
        <v>3.63</v>
      </c>
      <c r="P6" s="204">
        <v>3.63</v>
      </c>
      <c r="Q6" s="204">
        <v>3.63</v>
      </c>
      <c r="R6" s="204">
        <v>3.63</v>
      </c>
      <c r="S6" s="204">
        <v>3.63</v>
      </c>
      <c r="T6" s="204">
        <v>3.63</v>
      </c>
      <c r="U6" s="204">
        <v>3.63</v>
      </c>
      <c r="V6" s="204">
        <v>3.63</v>
      </c>
      <c r="W6" s="204">
        <v>3.63</v>
      </c>
      <c r="X6" s="204">
        <v>3.63</v>
      </c>
      <c r="Y6" s="204">
        <v>3.63</v>
      </c>
      <c r="Z6" s="204">
        <v>3.63</v>
      </c>
      <c r="AA6" s="204">
        <v>3.63</v>
      </c>
      <c r="AB6" s="204">
        <v>3.63</v>
      </c>
      <c r="AC6" s="204">
        <v>3.63</v>
      </c>
      <c r="AD6" s="204">
        <v>3.63</v>
      </c>
      <c r="AE6" s="204">
        <v>3.63</v>
      </c>
      <c r="AF6" s="204">
        <v>3.63</v>
      </c>
      <c r="AG6" s="204">
        <v>3.63</v>
      </c>
      <c r="AH6" s="204">
        <v>3.63</v>
      </c>
      <c r="AI6" s="204">
        <v>3.63</v>
      </c>
      <c r="AJ6" s="204">
        <v>3.63</v>
      </c>
      <c r="AK6" s="204">
        <v>3.63</v>
      </c>
      <c r="AL6" s="204">
        <v>3.63</v>
      </c>
      <c r="AM6" s="142"/>
    </row>
    <row r="7" spans="1:39" ht="13.5" customHeight="1">
      <c r="A7" s="619">
        <v>6</v>
      </c>
      <c r="B7" s="619" t="s">
        <v>674</v>
      </c>
      <c r="C7" s="619" t="s">
        <v>979</v>
      </c>
      <c r="D7" s="155"/>
      <c r="E7" s="164" t="s">
        <v>980</v>
      </c>
      <c r="F7" s="204">
        <v>2.4</v>
      </c>
      <c r="G7" s="204">
        <v>2.4</v>
      </c>
      <c r="H7" s="204">
        <v>2.4</v>
      </c>
      <c r="I7" s="204">
        <v>2.4</v>
      </c>
      <c r="J7" s="204">
        <v>2.4</v>
      </c>
      <c r="K7" s="204">
        <v>2.4</v>
      </c>
      <c r="L7" s="204">
        <v>2.4</v>
      </c>
      <c r="M7" s="204">
        <v>2.4</v>
      </c>
      <c r="N7" s="204">
        <v>2.4</v>
      </c>
      <c r="O7" s="204">
        <v>2.4</v>
      </c>
      <c r="P7" s="204">
        <v>2.4</v>
      </c>
      <c r="Q7" s="204">
        <v>2.4</v>
      </c>
      <c r="R7" s="204">
        <v>2.4</v>
      </c>
      <c r="S7" s="204">
        <v>2.4</v>
      </c>
      <c r="T7" s="204">
        <v>2.4</v>
      </c>
      <c r="U7" s="204">
        <v>2.4</v>
      </c>
      <c r="V7" s="204">
        <v>2.4</v>
      </c>
      <c r="W7" s="204">
        <v>2.4</v>
      </c>
      <c r="X7" s="204">
        <v>2.4</v>
      </c>
      <c r="Y7" s="204">
        <v>2.4</v>
      </c>
      <c r="Z7" s="204">
        <v>2.4</v>
      </c>
      <c r="AA7" s="204">
        <v>2.4</v>
      </c>
      <c r="AB7" s="204">
        <v>2.4</v>
      </c>
      <c r="AC7" s="204">
        <v>2.4</v>
      </c>
      <c r="AD7" s="204">
        <v>2.4</v>
      </c>
      <c r="AE7" s="204">
        <v>2.4</v>
      </c>
      <c r="AF7" s="204">
        <v>2.4</v>
      </c>
      <c r="AG7" s="204">
        <v>2.4</v>
      </c>
      <c r="AH7" s="204">
        <v>2.4</v>
      </c>
      <c r="AI7" s="204">
        <v>2.4</v>
      </c>
      <c r="AJ7" s="204">
        <v>2.4</v>
      </c>
      <c r="AK7" s="204">
        <v>2.4</v>
      </c>
      <c r="AL7" s="204">
        <v>2.4</v>
      </c>
      <c r="AM7" s="142"/>
    </row>
    <row r="8" spans="1:39" ht="13.5" customHeight="1">
      <c r="A8" s="619"/>
      <c r="B8" s="619"/>
      <c r="C8" s="619"/>
      <c r="D8" s="155"/>
      <c r="E8" s="440"/>
      <c r="F8" s="143"/>
      <c r="G8" s="143"/>
      <c r="H8" s="143"/>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2"/>
    </row>
    <row r="9" spans="1:39" ht="13.5" customHeight="1">
      <c r="A9" s="619"/>
      <c r="B9" s="619"/>
      <c r="C9" s="619"/>
      <c r="D9" s="155"/>
      <c r="E9" s="440" t="s">
        <v>981</v>
      </c>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2"/>
    </row>
    <row r="10" spans="1:39" ht="13.5" customHeight="1">
      <c r="A10" s="619">
        <v>1</v>
      </c>
      <c r="B10" s="619"/>
      <c r="C10" s="619"/>
      <c r="D10" s="155"/>
      <c r="E10" s="164" t="s">
        <v>982</v>
      </c>
      <c r="F10" s="204">
        <v>1.22</v>
      </c>
      <c r="G10" s="204">
        <v>1.22</v>
      </c>
      <c r="H10" s="204">
        <v>1.22</v>
      </c>
      <c r="I10" s="204">
        <v>1.22</v>
      </c>
      <c r="J10" s="204">
        <v>1.22</v>
      </c>
      <c r="K10" s="204">
        <v>1.22</v>
      </c>
      <c r="L10" s="204">
        <v>1.22</v>
      </c>
      <c r="M10" s="204">
        <v>1.22</v>
      </c>
      <c r="N10" s="204">
        <v>1.22</v>
      </c>
      <c r="O10" s="204">
        <v>1.22</v>
      </c>
      <c r="P10" s="204">
        <v>1.22</v>
      </c>
      <c r="Q10" s="204">
        <v>1.22</v>
      </c>
      <c r="R10" s="204">
        <v>1.22</v>
      </c>
      <c r="S10" s="204">
        <v>1.22</v>
      </c>
      <c r="T10" s="204">
        <v>1.22</v>
      </c>
      <c r="U10" s="204">
        <v>1.22</v>
      </c>
      <c r="V10" s="204">
        <v>1.22</v>
      </c>
      <c r="W10" s="204">
        <v>1.22</v>
      </c>
      <c r="X10" s="204">
        <v>1.22</v>
      </c>
      <c r="Y10" s="204">
        <v>1.22</v>
      </c>
      <c r="Z10" s="204">
        <v>1.22</v>
      </c>
      <c r="AA10" s="204">
        <v>1.22</v>
      </c>
      <c r="AB10" s="204">
        <v>1.22</v>
      </c>
      <c r="AC10" s="204">
        <v>1.22</v>
      </c>
      <c r="AD10" s="204">
        <v>1.22</v>
      </c>
      <c r="AE10" s="204">
        <v>1.22</v>
      </c>
      <c r="AF10" s="204">
        <v>1.22</v>
      </c>
      <c r="AG10" s="204">
        <v>1.22</v>
      </c>
      <c r="AH10" s="204">
        <v>1.22</v>
      </c>
      <c r="AI10" s="204">
        <v>1.22</v>
      </c>
      <c r="AJ10" s="204">
        <v>1.22</v>
      </c>
      <c r="AK10" s="204">
        <v>1.22</v>
      </c>
      <c r="AL10" s="204">
        <v>1.22</v>
      </c>
      <c r="AM10" s="142"/>
    </row>
    <row r="11" spans="1:39" ht="13.5" customHeight="1">
      <c r="A11" s="619">
        <v>1</v>
      </c>
      <c r="B11" s="619"/>
      <c r="C11" s="619"/>
      <c r="D11" s="155"/>
      <c r="E11" s="164" t="s">
        <v>983</v>
      </c>
      <c r="F11" s="204">
        <v>2.31</v>
      </c>
      <c r="G11" s="204">
        <v>2.31</v>
      </c>
      <c r="H11" s="204">
        <v>2.31</v>
      </c>
      <c r="I11" s="204">
        <v>2.31</v>
      </c>
      <c r="J11" s="204">
        <v>2.31</v>
      </c>
      <c r="K11" s="204">
        <v>2.31</v>
      </c>
      <c r="L11" s="204">
        <v>2.31</v>
      </c>
      <c r="M11" s="204">
        <v>2.31</v>
      </c>
      <c r="N11" s="204">
        <v>2.31</v>
      </c>
      <c r="O11" s="204">
        <v>2.31</v>
      </c>
      <c r="P11" s="204">
        <v>2.31</v>
      </c>
      <c r="Q11" s="204">
        <v>2.31</v>
      </c>
      <c r="R11" s="204">
        <v>2.31</v>
      </c>
      <c r="S11" s="204">
        <v>2.31</v>
      </c>
      <c r="T11" s="204">
        <v>2.31</v>
      </c>
      <c r="U11" s="204">
        <v>2.31</v>
      </c>
      <c r="V11" s="204">
        <v>2.31</v>
      </c>
      <c r="W11" s="204">
        <v>2.31</v>
      </c>
      <c r="X11" s="204">
        <v>2.31</v>
      </c>
      <c r="Y11" s="204">
        <v>2.31</v>
      </c>
      <c r="Z11" s="204">
        <v>2.31</v>
      </c>
      <c r="AA11" s="204">
        <v>2.31</v>
      </c>
      <c r="AB11" s="204">
        <v>2.31</v>
      </c>
      <c r="AC11" s="204">
        <v>2.31</v>
      </c>
      <c r="AD11" s="204">
        <v>2.31</v>
      </c>
      <c r="AE11" s="204">
        <v>2.31</v>
      </c>
      <c r="AF11" s="204">
        <v>2.31</v>
      </c>
      <c r="AG11" s="204">
        <v>2.31</v>
      </c>
      <c r="AH11" s="204">
        <v>2.31</v>
      </c>
      <c r="AI11" s="204">
        <v>2.31</v>
      </c>
      <c r="AJ11" s="204">
        <v>2.31</v>
      </c>
      <c r="AK11" s="204">
        <v>2.31</v>
      </c>
      <c r="AL11" s="204">
        <v>2.31</v>
      </c>
      <c r="AM11" s="142"/>
    </row>
    <row r="12" spans="1:39" ht="13.5" customHeight="1">
      <c r="A12" s="619">
        <v>7</v>
      </c>
      <c r="B12" s="619"/>
      <c r="C12" s="619" t="s">
        <v>984</v>
      </c>
      <c r="D12" s="155"/>
      <c r="E12" s="561" t="s">
        <v>985</v>
      </c>
      <c r="F12" s="204">
        <v>3.28</v>
      </c>
      <c r="G12" s="204">
        <v>3.28</v>
      </c>
      <c r="H12" s="204">
        <v>3.28</v>
      </c>
      <c r="I12" s="204">
        <v>3.28</v>
      </c>
      <c r="J12" s="204">
        <v>3.28</v>
      </c>
      <c r="K12" s="204">
        <v>3.28</v>
      </c>
      <c r="L12" s="204">
        <v>3.28</v>
      </c>
      <c r="M12" s="204">
        <v>3.28</v>
      </c>
      <c r="N12" s="204">
        <v>3.28</v>
      </c>
      <c r="O12" s="204">
        <v>3.28</v>
      </c>
      <c r="P12" s="204">
        <v>3.28</v>
      </c>
      <c r="Q12" s="204">
        <v>3.28</v>
      </c>
      <c r="R12" s="204">
        <v>3.28</v>
      </c>
      <c r="S12" s="204">
        <v>3.28</v>
      </c>
      <c r="T12" s="204">
        <v>3.28</v>
      </c>
      <c r="U12" s="204">
        <v>3.28</v>
      </c>
      <c r="V12" s="204">
        <v>3.28</v>
      </c>
      <c r="W12" s="204">
        <v>3.28</v>
      </c>
      <c r="X12" s="204">
        <v>3.28</v>
      </c>
      <c r="Y12" s="204">
        <v>3.28</v>
      </c>
      <c r="Z12" s="204">
        <v>3.28</v>
      </c>
      <c r="AA12" s="204">
        <v>3.28</v>
      </c>
      <c r="AB12" s="204">
        <v>3.28</v>
      </c>
      <c r="AC12" s="204">
        <v>3.28</v>
      </c>
      <c r="AD12" s="204">
        <v>3.28</v>
      </c>
      <c r="AE12" s="204">
        <v>3.28</v>
      </c>
      <c r="AF12" s="204">
        <v>3.28</v>
      </c>
      <c r="AG12" s="204">
        <v>3.28</v>
      </c>
      <c r="AH12" s="204">
        <v>3.28</v>
      </c>
      <c r="AI12" s="204">
        <v>3.28</v>
      </c>
      <c r="AJ12" s="204">
        <v>3.28</v>
      </c>
      <c r="AK12" s="204">
        <v>3.28</v>
      </c>
      <c r="AL12" s="204">
        <v>3.28</v>
      </c>
      <c r="AM12" s="142"/>
    </row>
    <row r="13" spans="1:39" ht="13.5" customHeight="1">
      <c r="A13" s="619"/>
      <c r="B13" s="619"/>
      <c r="C13" s="619"/>
      <c r="D13" s="155"/>
      <c r="E13" s="440"/>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2"/>
    </row>
    <row r="14" spans="1:39" ht="13.5" customHeight="1">
      <c r="A14" s="619"/>
      <c r="B14" s="619"/>
      <c r="C14" s="619"/>
      <c r="D14" s="155"/>
      <c r="E14" s="440" t="s">
        <v>986</v>
      </c>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2"/>
    </row>
    <row r="15" spans="1:39" ht="13.5" customHeight="1">
      <c r="A15" s="619">
        <v>1</v>
      </c>
      <c r="B15" s="619" t="s">
        <v>987</v>
      </c>
      <c r="C15" s="619" t="s">
        <v>979</v>
      </c>
      <c r="D15" s="155"/>
      <c r="E15" s="164" t="s">
        <v>988</v>
      </c>
      <c r="F15" s="204">
        <f>F10*1000/(1000000*0.005807)</f>
        <v>0.21009126915791287</v>
      </c>
      <c r="G15" s="204">
        <f t="shared" ref="G15:AL15" si="0">G10*1000/(1000000*0.005807)</f>
        <v>0.21009126915791287</v>
      </c>
      <c r="H15" s="204">
        <f t="shared" si="0"/>
        <v>0.21009126915791287</v>
      </c>
      <c r="I15" s="204">
        <f t="shared" si="0"/>
        <v>0.21009126915791287</v>
      </c>
      <c r="J15" s="204">
        <f t="shared" si="0"/>
        <v>0.21009126915791287</v>
      </c>
      <c r="K15" s="204">
        <f t="shared" si="0"/>
        <v>0.21009126915791287</v>
      </c>
      <c r="L15" s="204">
        <f t="shared" si="0"/>
        <v>0.21009126915791287</v>
      </c>
      <c r="M15" s="204">
        <f t="shared" si="0"/>
        <v>0.21009126915791287</v>
      </c>
      <c r="N15" s="204">
        <f t="shared" si="0"/>
        <v>0.21009126915791287</v>
      </c>
      <c r="O15" s="204">
        <f t="shared" si="0"/>
        <v>0.21009126915791287</v>
      </c>
      <c r="P15" s="204">
        <f t="shared" si="0"/>
        <v>0.21009126915791287</v>
      </c>
      <c r="Q15" s="204">
        <f t="shared" si="0"/>
        <v>0.21009126915791287</v>
      </c>
      <c r="R15" s="204">
        <f t="shared" si="0"/>
        <v>0.21009126915791287</v>
      </c>
      <c r="S15" s="204">
        <f t="shared" si="0"/>
        <v>0.21009126915791287</v>
      </c>
      <c r="T15" s="204">
        <f t="shared" si="0"/>
        <v>0.21009126915791287</v>
      </c>
      <c r="U15" s="204">
        <f t="shared" si="0"/>
        <v>0.21009126915791287</v>
      </c>
      <c r="V15" s="204">
        <f t="shared" si="0"/>
        <v>0.21009126915791287</v>
      </c>
      <c r="W15" s="204">
        <f t="shared" si="0"/>
        <v>0.21009126915791287</v>
      </c>
      <c r="X15" s="204">
        <f t="shared" si="0"/>
        <v>0.21009126915791287</v>
      </c>
      <c r="Y15" s="204">
        <f t="shared" si="0"/>
        <v>0.21009126915791287</v>
      </c>
      <c r="Z15" s="204">
        <f t="shared" si="0"/>
        <v>0.21009126915791287</v>
      </c>
      <c r="AA15" s="204">
        <f t="shared" si="0"/>
        <v>0.21009126915791287</v>
      </c>
      <c r="AB15" s="204">
        <f t="shared" si="0"/>
        <v>0.21009126915791287</v>
      </c>
      <c r="AC15" s="204">
        <f t="shared" si="0"/>
        <v>0.21009126915791287</v>
      </c>
      <c r="AD15" s="204">
        <f t="shared" si="0"/>
        <v>0.21009126915791287</v>
      </c>
      <c r="AE15" s="204">
        <f t="shared" si="0"/>
        <v>0.21009126915791287</v>
      </c>
      <c r="AF15" s="204">
        <f t="shared" si="0"/>
        <v>0.21009126915791287</v>
      </c>
      <c r="AG15" s="204">
        <f t="shared" si="0"/>
        <v>0.21009126915791287</v>
      </c>
      <c r="AH15" s="204">
        <f t="shared" si="0"/>
        <v>0.21009126915791287</v>
      </c>
      <c r="AI15" s="204">
        <f t="shared" si="0"/>
        <v>0.21009126915791287</v>
      </c>
      <c r="AJ15" s="204">
        <f t="shared" si="0"/>
        <v>0.21009126915791287</v>
      </c>
      <c r="AK15" s="204">
        <f t="shared" si="0"/>
        <v>0.21009126915791287</v>
      </c>
      <c r="AL15" s="204">
        <f t="shared" si="0"/>
        <v>0.21009126915791287</v>
      </c>
      <c r="AM15" s="142"/>
    </row>
    <row r="16" spans="1:39" ht="13.5" customHeight="1">
      <c r="A16" s="619">
        <v>1</v>
      </c>
      <c r="B16" s="619"/>
      <c r="C16" s="619" t="s">
        <v>979</v>
      </c>
      <c r="D16" s="155"/>
      <c r="E16" s="164" t="s">
        <v>989</v>
      </c>
      <c r="F16" s="204">
        <f>F11*1000/(1000000*0.005807)</f>
        <v>0.39779576373342518</v>
      </c>
      <c r="G16" s="204">
        <f t="shared" ref="G16:AL16" si="1">G11*1000/(1000000*0.005807)</f>
        <v>0.39779576373342518</v>
      </c>
      <c r="H16" s="204">
        <f t="shared" si="1"/>
        <v>0.39779576373342518</v>
      </c>
      <c r="I16" s="204">
        <f t="shared" si="1"/>
        <v>0.39779576373342518</v>
      </c>
      <c r="J16" s="204">
        <f t="shared" si="1"/>
        <v>0.39779576373342518</v>
      </c>
      <c r="K16" s="204">
        <f t="shared" si="1"/>
        <v>0.39779576373342518</v>
      </c>
      <c r="L16" s="204">
        <f t="shared" si="1"/>
        <v>0.39779576373342518</v>
      </c>
      <c r="M16" s="204">
        <f t="shared" si="1"/>
        <v>0.39779576373342518</v>
      </c>
      <c r="N16" s="204">
        <f t="shared" si="1"/>
        <v>0.39779576373342518</v>
      </c>
      <c r="O16" s="204">
        <f t="shared" si="1"/>
        <v>0.39779576373342518</v>
      </c>
      <c r="P16" s="204">
        <f t="shared" si="1"/>
        <v>0.39779576373342518</v>
      </c>
      <c r="Q16" s="204">
        <f t="shared" si="1"/>
        <v>0.39779576373342518</v>
      </c>
      <c r="R16" s="204">
        <f t="shared" si="1"/>
        <v>0.39779576373342518</v>
      </c>
      <c r="S16" s="204">
        <f t="shared" si="1"/>
        <v>0.39779576373342518</v>
      </c>
      <c r="T16" s="204">
        <f t="shared" si="1"/>
        <v>0.39779576373342518</v>
      </c>
      <c r="U16" s="204">
        <f t="shared" si="1"/>
        <v>0.39779576373342518</v>
      </c>
      <c r="V16" s="204">
        <f t="shared" si="1"/>
        <v>0.39779576373342518</v>
      </c>
      <c r="W16" s="204">
        <f t="shared" si="1"/>
        <v>0.39779576373342518</v>
      </c>
      <c r="X16" s="204">
        <f t="shared" si="1"/>
        <v>0.39779576373342518</v>
      </c>
      <c r="Y16" s="204">
        <f t="shared" si="1"/>
        <v>0.39779576373342518</v>
      </c>
      <c r="Z16" s="204">
        <f t="shared" si="1"/>
        <v>0.39779576373342518</v>
      </c>
      <c r="AA16" s="204">
        <f t="shared" si="1"/>
        <v>0.39779576373342518</v>
      </c>
      <c r="AB16" s="204">
        <f t="shared" si="1"/>
        <v>0.39779576373342518</v>
      </c>
      <c r="AC16" s="204">
        <f t="shared" si="1"/>
        <v>0.39779576373342518</v>
      </c>
      <c r="AD16" s="204">
        <f t="shared" si="1"/>
        <v>0.39779576373342518</v>
      </c>
      <c r="AE16" s="204">
        <f t="shared" si="1"/>
        <v>0.39779576373342518</v>
      </c>
      <c r="AF16" s="204">
        <f t="shared" si="1"/>
        <v>0.39779576373342518</v>
      </c>
      <c r="AG16" s="204">
        <f t="shared" si="1"/>
        <v>0.39779576373342518</v>
      </c>
      <c r="AH16" s="204">
        <f t="shared" si="1"/>
        <v>0.39779576373342518</v>
      </c>
      <c r="AI16" s="204">
        <f t="shared" si="1"/>
        <v>0.39779576373342518</v>
      </c>
      <c r="AJ16" s="204">
        <f t="shared" si="1"/>
        <v>0.39779576373342518</v>
      </c>
      <c r="AK16" s="204">
        <f t="shared" si="1"/>
        <v>0.39779576373342518</v>
      </c>
      <c r="AL16" s="204">
        <f t="shared" si="1"/>
        <v>0.39779576373342518</v>
      </c>
      <c r="AM16" s="142"/>
    </row>
    <row r="17" spans="1:39" ht="13.5" customHeight="1">
      <c r="A17" s="619">
        <v>7</v>
      </c>
      <c r="B17" s="619"/>
      <c r="C17" s="619" t="s">
        <v>984</v>
      </c>
      <c r="D17" s="155"/>
      <c r="E17" s="561" t="s">
        <v>990</v>
      </c>
      <c r="F17" s="204">
        <f>F12*365*1000/(1000000*0.005807)</f>
        <v>206.16497330807641</v>
      </c>
      <c r="G17" s="204">
        <f t="shared" ref="G17:AL17" si="2">G12*365*1000/(1000000*0.005807)</f>
        <v>206.16497330807641</v>
      </c>
      <c r="H17" s="204">
        <f t="shared" si="2"/>
        <v>206.16497330807641</v>
      </c>
      <c r="I17" s="204">
        <f t="shared" si="2"/>
        <v>206.16497330807641</v>
      </c>
      <c r="J17" s="204">
        <f t="shared" si="2"/>
        <v>206.16497330807641</v>
      </c>
      <c r="K17" s="204">
        <f t="shared" si="2"/>
        <v>206.16497330807641</v>
      </c>
      <c r="L17" s="204">
        <f t="shared" si="2"/>
        <v>206.16497330807641</v>
      </c>
      <c r="M17" s="204">
        <f t="shared" si="2"/>
        <v>206.16497330807641</v>
      </c>
      <c r="N17" s="204">
        <f t="shared" si="2"/>
        <v>206.16497330807641</v>
      </c>
      <c r="O17" s="204">
        <f t="shared" si="2"/>
        <v>206.16497330807641</v>
      </c>
      <c r="P17" s="204">
        <f t="shared" si="2"/>
        <v>206.16497330807641</v>
      </c>
      <c r="Q17" s="204">
        <f t="shared" si="2"/>
        <v>206.16497330807641</v>
      </c>
      <c r="R17" s="204">
        <f t="shared" si="2"/>
        <v>206.16497330807641</v>
      </c>
      <c r="S17" s="204">
        <f t="shared" si="2"/>
        <v>206.16497330807641</v>
      </c>
      <c r="T17" s="204">
        <f t="shared" si="2"/>
        <v>206.16497330807641</v>
      </c>
      <c r="U17" s="204">
        <f t="shared" si="2"/>
        <v>206.16497330807641</v>
      </c>
      <c r="V17" s="204">
        <f t="shared" si="2"/>
        <v>206.16497330807641</v>
      </c>
      <c r="W17" s="204">
        <f t="shared" si="2"/>
        <v>206.16497330807641</v>
      </c>
      <c r="X17" s="204">
        <f t="shared" si="2"/>
        <v>206.16497330807641</v>
      </c>
      <c r="Y17" s="204">
        <f t="shared" si="2"/>
        <v>206.16497330807641</v>
      </c>
      <c r="Z17" s="204">
        <f t="shared" si="2"/>
        <v>206.16497330807641</v>
      </c>
      <c r="AA17" s="204">
        <f t="shared" si="2"/>
        <v>206.16497330807641</v>
      </c>
      <c r="AB17" s="204">
        <f t="shared" si="2"/>
        <v>206.16497330807641</v>
      </c>
      <c r="AC17" s="204">
        <f t="shared" si="2"/>
        <v>206.16497330807641</v>
      </c>
      <c r="AD17" s="204">
        <f t="shared" si="2"/>
        <v>206.16497330807641</v>
      </c>
      <c r="AE17" s="204">
        <f t="shared" si="2"/>
        <v>206.16497330807641</v>
      </c>
      <c r="AF17" s="204">
        <f t="shared" si="2"/>
        <v>206.16497330807641</v>
      </c>
      <c r="AG17" s="204">
        <f t="shared" si="2"/>
        <v>206.16497330807641</v>
      </c>
      <c r="AH17" s="204">
        <f t="shared" si="2"/>
        <v>206.16497330807641</v>
      </c>
      <c r="AI17" s="204">
        <f t="shared" si="2"/>
        <v>206.16497330807641</v>
      </c>
      <c r="AJ17" s="204">
        <f t="shared" si="2"/>
        <v>206.16497330807641</v>
      </c>
      <c r="AK17" s="204">
        <f t="shared" si="2"/>
        <v>206.16497330807641</v>
      </c>
      <c r="AL17" s="204">
        <f t="shared" si="2"/>
        <v>206.16497330807641</v>
      </c>
      <c r="AM17" s="142"/>
    </row>
    <row r="18" spans="1:39" ht="13.5" customHeight="1">
      <c r="A18" s="619"/>
      <c r="B18" s="619"/>
      <c r="C18" s="619"/>
      <c r="D18" s="155"/>
      <c r="E18" s="440"/>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2"/>
    </row>
    <row r="19" spans="1:39" ht="13.5" customHeight="1">
      <c r="A19" s="619"/>
      <c r="B19" s="619"/>
      <c r="C19" s="619"/>
      <c r="D19" s="155"/>
      <c r="E19" s="156" t="s">
        <v>7</v>
      </c>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2"/>
    </row>
    <row r="20" spans="1:39" ht="13.5" customHeight="1">
      <c r="A20" s="619"/>
      <c r="B20" s="619"/>
      <c r="C20" s="619"/>
      <c r="D20" s="155"/>
      <c r="E20" s="440" t="s">
        <v>462</v>
      </c>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2"/>
    </row>
    <row r="21" spans="1:39" ht="13.5" customHeight="1">
      <c r="A21" s="632">
        <v>1</v>
      </c>
      <c r="B21" s="140" t="s">
        <v>991</v>
      </c>
      <c r="C21" s="619" t="s">
        <v>979</v>
      </c>
      <c r="D21" s="155"/>
      <c r="E21" s="164" t="s">
        <v>463</v>
      </c>
      <c r="F21" s="165">
        <v>12.063902130000001</v>
      </c>
      <c r="G21" s="165">
        <v>13.0199</v>
      </c>
      <c r="H21" s="165">
        <v>10.093</v>
      </c>
      <c r="I21" s="165">
        <f t="shared" ref="I21:AL21" si="3">AVERAGE(F21:H21)</f>
        <v>11.72560071</v>
      </c>
      <c r="J21" s="165">
        <f>AVERAGE(G21:I21)</f>
        <v>11.612833569999999</v>
      </c>
      <c r="K21" s="165">
        <f t="shared" si="3"/>
        <v>11.143811426666666</v>
      </c>
      <c r="L21" s="165">
        <f t="shared" si="3"/>
        <v>11.494081902222222</v>
      </c>
      <c r="M21" s="165">
        <f t="shared" si="3"/>
        <v>11.416908966296296</v>
      </c>
      <c r="N21" s="165">
        <f t="shared" si="3"/>
        <v>11.351600765061727</v>
      </c>
      <c r="O21" s="165">
        <f t="shared" si="3"/>
        <v>11.42086387786008</v>
      </c>
      <c r="P21" s="165">
        <f t="shared" si="3"/>
        <v>11.396457869739367</v>
      </c>
      <c r="Q21" s="165">
        <f t="shared" si="3"/>
        <v>11.389640837553726</v>
      </c>
      <c r="R21" s="165">
        <f t="shared" si="3"/>
        <v>11.402320861717724</v>
      </c>
      <c r="S21" s="165">
        <f t="shared" si="3"/>
        <v>11.396139856336939</v>
      </c>
      <c r="T21" s="165">
        <f t="shared" si="3"/>
        <v>11.396033851869463</v>
      </c>
      <c r="U21" s="165">
        <f t="shared" si="3"/>
        <v>11.398164856641374</v>
      </c>
      <c r="V21" s="165">
        <f t="shared" si="3"/>
        <v>11.396779521615926</v>
      </c>
      <c r="W21" s="165">
        <f t="shared" si="3"/>
        <v>11.396992743375586</v>
      </c>
      <c r="X21" s="165">
        <f t="shared" si="3"/>
        <v>11.397312373877627</v>
      </c>
      <c r="Y21" s="165">
        <f t="shared" si="3"/>
        <v>11.397028212956378</v>
      </c>
      <c r="Z21" s="165">
        <f t="shared" si="3"/>
        <v>11.397111110069863</v>
      </c>
      <c r="AA21" s="165">
        <f t="shared" si="3"/>
        <v>11.397150565634623</v>
      </c>
      <c r="AB21" s="165">
        <f t="shared" si="3"/>
        <v>11.397096629553623</v>
      </c>
      <c r="AC21" s="165">
        <f t="shared" si="3"/>
        <v>11.397119435086035</v>
      </c>
      <c r="AD21" s="165">
        <f t="shared" si="3"/>
        <v>11.397122210091426</v>
      </c>
      <c r="AE21" s="165">
        <f t="shared" si="3"/>
        <v>11.397112758243694</v>
      </c>
      <c r="AF21" s="165">
        <f t="shared" si="3"/>
        <v>11.39711813447372</v>
      </c>
      <c r="AG21" s="165">
        <f t="shared" si="3"/>
        <v>11.397117700936279</v>
      </c>
      <c r="AH21" s="165">
        <f t="shared" si="3"/>
        <v>11.397116197884564</v>
      </c>
      <c r="AI21" s="165">
        <f t="shared" si="3"/>
        <v>11.397117344431521</v>
      </c>
      <c r="AJ21" s="165">
        <f t="shared" si="3"/>
        <v>11.39711708108412</v>
      </c>
      <c r="AK21" s="165">
        <f t="shared" si="3"/>
        <v>11.397116874466734</v>
      </c>
      <c r="AL21" s="165">
        <f t="shared" si="3"/>
        <v>11.397117099994125</v>
      </c>
      <c r="AM21" s="142"/>
    </row>
    <row r="22" spans="1:39" ht="13.5" customHeight="1">
      <c r="A22" s="651"/>
      <c r="B22" s="141" t="s">
        <v>992</v>
      </c>
      <c r="C22" s="619" t="s">
        <v>993</v>
      </c>
      <c r="D22" s="155"/>
      <c r="E22" s="164" t="s">
        <v>464</v>
      </c>
      <c r="F22" s="165">
        <v>10.98401215</v>
      </c>
      <c r="G22" s="165">
        <v>13.8933</v>
      </c>
      <c r="H22" s="165">
        <v>13.0825</v>
      </c>
      <c r="I22" s="165">
        <f t="shared" ref="I22:AL22" si="4">AVERAGE(F22:H22)</f>
        <v>12.653270716666668</v>
      </c>
      <c r="J22" s="165">
        <f t="shared" si="4"/>
        <v>13.209690238888889</v>
      </c>
      <c r="K22" s="165">
        <f t="shared" si="4"/>
        <v>12.981820318518521</v>
      </c>
      <c r="L22" s="165">
        <f t="shared" si="4"/>
        <v>12.948260424691361</v>
      </c>
      <c r="M22" s="165">
        <f t="shared" si="4"/>
        <v>13.046590327366259</v>
      </c>
      <c r="N22" s="165">
        <f t="shared" si="4"/>
        <v>12.992223690192047</v>
      </c>
      <c r="O22" s="165">
        <f t="shared" si="4"/>
        <v>12.995691480749889</v>
      </c>
      <c r="P22" s="165">
        <f t="shared" si="4"/>
        <v>13.011501832769397</v>
      </c>
      <c r="Q22" s="165">
        <f t="shared" si="4"/>
        <v>12.999805667903777</v>
      </c>
      <c r="R22" s="165">
        <f t="shared" si="4"/>
        <v>13.002332993807689</v>
      </c>
      <c r="S22" s="165">
        <f t="shared" si="4"/>
        <v>13.004546831493622</v>
      </c>
      <c r="T22" s="165">
        <f t="shared" si="4"/>
        <v>13.002228497735031</v>
      </c>
      <c r="U22" s="165">
        <f t="shared" si="4"/>
        <v>13.003036107678781</v>
      </c>
      <c r="V22" s="165">
        <f t="shared" si="4"/>
        <v>13.003270478969144</v>
      </c>
      <c r="W22" s="165">
        <f t="shared" si="4"/>
        <v>13.002845028127652</v>
      </c>
      <c r="X22" s="165">
        <f t="shared" si="4"/>
        <v>13.003050538258526</v>
      </c>
      <c r="Y22" s="165">
        <f t="shared" si="4"/>
        <v>13.003055348451774</v>
      </c>
      <c r="Z22" s="165">
        <f t="shared" si="4"/>
        <v>13.002983638279318</v>
      </c>
      <c r="AA22" s="165">
        <f t="shared" si="4"/>
        <v>13.003029841663206</v>
      </c>
      <c r="AB22" s="165">
        <f t="shared" si="4"/>
        <v>13.003022942798099</v>
      </c>
      <c r="AC22" s="165">
        <f t="shared" si="4"/>
        <v>13.00301214091354</v>
      </c>
      <c r="AD22" s="165">
        <f t="shared" si="4"/>
        <v>13.003021641791614</v>
      </c>
      <c r="AE22" s="165">
        <f t="shared" si="4"/>
        <v>13.003018908501083</v>
      </c>
      <c r="AF22" s="165">
        <f t="shared" si="4"/>
        <v>13.003017563735412</v>
      </c>
      <c r="AG22" s="165">
        <f t="shared" si="4"/>
        <v>13.003019371342702</v>
      </c>
      <c r="AH22" s="165">
        <f t="shared" si="4"/>
        <v>13.003018614526399</v>
      </c>
      <c r="AI22" s="165">
        <f t="shared" si="4"/>
        <v>13.003018516534837</v>
      </c>
      <c r="AJ22" s="165">
        <f t="shared" si="4"/>
        <v>13.003018834134645</v>
      </c>
      <c r="AK22" s="165">
        <f t="shared" si="4"/>
        <v>13.003018655065292</v>
      </c>
      <c r="AL22" s="165">
        <f t="shared" si="4"/>
        <v>13.003018668578257</v>
      </c>
      <c r="AM22" s="142"/>
    </row>
    <row r="23" spans="1:39" ht="13.5" customHeight="1">
      <c r="A23" s="651"/>
      <c r="B23" s="140" t="s">
        <v>994</v>
      </c>
      <c r="C23" s="619" t="s">
        <v>979</v>
      </c>
      <c r="D23" s="155"/>
      <c r="E23" s="164" t="s">
        <v>465</v>
      </c>
      <c r="F23" s="165">
        <v>3.4628884389999999</v>
      </c>
      <c r="G23" s="165">
        <v>3.3956900000000001</v>
      </c>
      <c r="H23" s="165">
        <v>3.0583999999999998</v>
      </c>
      <c r="I23" s="165">
        <f t="shared" ref="I23:AL23" si="5">AVERAGE(F23:H23)</f>
        <v>3.3056594796666672</v>
      </c>
      <c r="J23" s="165">
        <f t="shared" si="5"/>
        <v>3.2532498265555554</v>
      </c>
      <c r="K23" s="165">
        <f t="shared" si="5"/>
        <v>3.2057697687407405</v>
      </c>
      <c r="L23" s="165">
        <f t="shared" si="5"/>
        <v>3.2548930249876542</v>
      </c>
      <c r="M23" s="165">
        <f t="shared" si="5"/>
        <v>3.2379708734279831</v>
      </c>
      <c r="N23" s="165">
        <f t="shared" si="5"/>
        <v>3.2328778890521259</v>
      </c>
      <c r="O23" s="165">
        <f t="shared" si="5"/>
        <v>3.2419139291559209</v>
      </c>
      <c r="P23" s="165">
        <f t="shared" si="5"/>
        <v>3.2375875638786766</v>
      </c>
      <c r="Q23" s="165">
        <f t="shared" si="5"/>
        <v>3.2374597940289078</v>
      </c>
      <c r="R23" s="165">
        <f t="shared" si="5"/>
        <v>3.2389870956878348</v>
      </c>
      <c r="S23" s="165">
        <f t="shared" si="5"/>
        <v>3.2380114845318064</v>
      </c>
      <c r="T23" s="165">
        <f t="shared" si="5"/>
        <v>3.2381527914161832</v>
      </c>
      <c r="U23" s="165">
        <f t="shared" si="5"/>
        <v>3.2383837905452748</v>
      </c>
      <c r="V23" s="165">
        <f t="shared" si="5"/>
        <v>3.2381826888310883</v>
      </c>
      <c r="W23" s="165">
        <f t="shared" si="5"/>
        <v>3.2382397569308488</v>
      </c>
      <c r="X23" s="165">
        <f t="shared" si="5"/>
        <v>3.2382687454357373</v>
      </c>
      <c r="Y23" s="165">
        <f t="shared" si="5"/>
        <v>3.2382303970658914</v>
      </c>
      <c r="Z23" s="165">
        <f t="shared" si="5"/>
        <v>3.2382462998108257</v>
      </c>
      <c r="AA23" s="165">
        <f t="shared" si="5"/>
        <v>3.2382484807708178</v>
      </c>
      <c r="AB23" s="165">
        <f t="shared" si="5"/>
        <v>3.2382417258825118</v>
      </c>
      <c r="AC23" s="165">
        <f t="shared" si="5"/>
        <v>3.2382455021547187</v>
      </c>
      <c r="AD23" s="165">
        <f t="shared" si="5"/>
        <v>3.2382452362693495</v>
      </c>
      <c r="AE23" s="165">
        <f t="shared" si="5"/>
        <v>3.2382441547688603</v>
      </c>
      <c r="AF23" s="165">
        <f t="shared" si="5"/>
        <v>3.238244964397643</v>
      </c>
      <c r="AG23" s="165">
        <f t="shared" si="5"/>
        <v>3.2382447851452842</v>
      </c>
      <c r="AH23" s="165">
        <f t="shared" si="5"/>
        <v>3.2382446347705955</v>
      </c>
      <c r="AI23" s="165">
        <f t="shared" si="5"/>
        <v>3.2382447947711746</v>
      </c>
      <c r="AJ23" s="165">
        <f t="shared" si="5"/>
        <v>3.2382447382290178</v>
      </c>
      <c r="AK23" s="165">
        <f t="shared" si="5"/>
        <v>3.2382447225902626</v>
      </c>
      <c r="AL23" s="165">
        <f t="shared" si="5"/>
        <v>3.2382447518634851</v>
      </c>
      <c r="AM23" s="142"/>
    </row>
    <row r="24" spans="1:39" ht="13.5" customHeight="1">
      <c r="A24" s="651"/>
      <c r="B24" s="141" t="s">
        <v>995</v>
      </c>
      <c r="C24" s="619" t="s">
        <v>979</v>
      </c>
      <c r="D24" s="155"/>
      <c r="E24" s="164" t="s">
        <v>466</v>
      </c>
      <c r="F24" s="165">
        <v>0.80418051499999998</v>
      </c>
      <c r="G24" s="165">
        <v>0.78913</v>
      </c>
      <c r="H24" s="165">
        <v>0.55557000000000001</v>
      </c>
      <c r="I24" s="165">
        <f t="shared" ref="I24:AL24" si="6">AVERAGE(F24:H24)</f>
        <v>0.716293505</v>
      </c>
      <c r="J24" s="165">
        <f t="shared" si="6"/>
        <v>0.686997835</v>
      </c>
      <c r="K24" s="165">
        <f t="shared" si="6"/>
        <v>0.65295377999999993</v>
      </c>
      <c r="L24" s="165">
        <f t="shared" si="6"/>
        <v>0.68541503999999998</v>
      </c>
      <c r="M24" s="165">
        <f t="shared" si="6"/>
        <v>0.6751222183333333</v>
      </c>
      <c r="N24" s="165">
        <f t="shared" si="6"/>
        <v>0.67116367944444433</v>
      </c>
      <c r="O24" s="165">
        <f t="shared" si="6"/>
        <v>0.67723364592592583</v>
      </c>
      <c r="P24" s="165">
        <f t="shared" si="6"/>
        <v>0.67450651456790123</v>
      </c>
      <c r="Q24" s="165">
        <f t="shared" si="6"/>
        <v>0.6743012799794238</v>
      </c>
      <c r="R24" s="165">
        <f t="shared" si="6"/>
        <v>0.67534714682441699</v>
      </c>
      <c r="S24" s="165">
        <f t="shared" si="6"/>
        <v>0.67471831379058067</v>
      </c>
      <c r="T24" s="165">
        <f t="shared" si="6"/>
        <v>0.67478891353147386</v>
      </c>
      <c r="U24" s="165">
        <f t="shared" si="6"/>
        <v>0.67495145804882384</v>
      </c>
      <c r="V24" s="165">
        <f t="shared" si="6"/>
        <v>0.67481956179029279</v>
      </c>
      <c r="W24" s="165">
        <f t="shared" si="6"/>
        <v>0.6748533111235302</v>
      </c>
      <c r="X24" s="165">
        <f t="shared" si="6"/>
        <v>0.67487477698754894</v>
      </c>
      <c r="Y24" s="165">
        <f t="shared" si="6"/>
        <v>0.67484921663379061</v>
      </c>
      <c r="Z24" s="165">
        <f t="shared" si="6"/>
        <v>0.67485910158162321</v>
      </c>
      <c r="AA24" s="165">
        <f t="shared" si="6"/>
        <v>0.67486103173432088</v>
      </c>
      <c r="AB24" s="165">
        <f t="shared" si="6"/>
        <v>0.6748564499832449</v>
      </c>
      <c r="AC24" s="165">
        <f t="shared" si="6"/>
        <v>0.6748588610997297</v>
      </c>
      <c r="AD24" s="165">
        <f t="shared" si="6"/>
        <v>0.67485878093909857</v>
      </c>
      <c r="AE24" s="165">
        <f t="shared" si="6"/>
        <v>0.6748580306740245</v>
      </c>
      <c r="AF24" s="165">
        <f t="shared" si="6"/>
        <v>0.67485855757095103</v>
      </c>
      <c r="AG24" s="165">
        <f t="shared" si="6"/>
        <v>0.67485845639469133</v>
      </c>
      <c r="AH24" s="165">
        <f t="shared" si="6"/>
        <v>0.67485834821322221</v>
      </c>
      <c r="AI24" s="165">
        <f t="shared" si="6"/>
        <v>0.67485845405962153</v>
      </c>
      <c r="AJ24" s="165">
        <f t="shared" si="6"/>
        <v>0.67485841955584502</v>
      </c>
      <c r="AK24" s="165">
        <f t="shared" si="6"/>
        <v>0.67485840727622959</v>
      </c>
      <c r="AL24" s="165">
        <f t="shared" si="6"/>
        <v>0.67485842696389875</v>
      </c>
      <c r="AM24" s="142"/>
    </row>
    <row r="25" spans="1:39" ht="13.5" customHeight="1">
      <c r="A25" s="651"/>
      <c r="B25" s="140" t="s">
        <v>996</v>
      </c>
      <c r="C25" s="619" t="s">
        <v>979</v>
      </c>
      <c r="D25" s="155"/>
      <c r="E25" s="164" t="s">
        <v>467</v>
      </c>
      <c r="F25" s="165">
        <v>16.109515869999999</v>
      </c>
      <c r="G25" s="165">
        <v>16.086500000000001</v>
      </c>
      <c r="H25" s="165">
        <v>12.6517</v>
      </c>
      <c r="I25" s="165">
        <f t="shared" ref="I25:AL25" si="7">AVERAGE(F25:H25)</f>
        <v>14.949238623333331</v>
      </c>
      <c r="J25" s="165">
        <f t="shared" si="7"/>
        <v>14.562479541111109</v>
      </c>
      <c r="K25" s="165">
        <f t="shared" si="7"/>
        <v>14.05447272148148</v>
      </c>
      <c r="L25" s="165">
        <f t="shared" si="7"/>
        <v>14.522063628641973</v>
      </c>
      <c r="M25" s="165">
        <f t="shared" si="7"/>
        <v>14.379671963744855</v>
      </c>
      <c r="N25" s="165">
        <f t="shared" si="7"/>
        <v>14.31873610462277</v>
      </c>
      <c r="O25" s="165">
        <f t="shared" si="7"/>
        <v>14.4068238990032</v>
      </c>
      <c r="P25" s="165">
        <f t="shared" si="7"/>
        <v>14.368410655790276</v>
      </c>
      <c r="Q25" s="165">
        <f t="shared" si="7"/>
        <v>14.364656886472083</v>
      </c>
      <c r="R25" s="165">
        <f t="shared" si="7"/>
        <v>14.379963813755188</v>
      </c>
      <c r="S25" s="165">
        <f t="shared" si="7"/>
        <v>14.37101045200585</v>
      </c>
      <c r="T25" s="165">
        <f t="shared" si="7"/>
        <v>14.371877050744374</v>
      </c>
      <c r="U25" s="165">
        <f t="shared" si="7"/>
        <v>14.37428377216847</v>
      </c>
      <c r="V25" s="165">
        <f t="shared" si="7"/>
        <v>14.372390424972897</v>
      </c>
      <c r="W25" s="165">
        <f t="shared" si="7"/>
        <v>14.372850415961913</v>
      </c>
      <c r="X25" s="165">
        <f t="shared" si="7"/>
        <v>14.373174871034427</v>
      </c>
      <c r="Y25" s="165">
        <f t="shared" si="7"/>
        <v>14.37280523732308</v>
      </c>
      <c r="Z25" s="165">
        <f t="shared" si="7"/>
        <v>14.372943508106474</v>
      </c>
      <c r="AA25" s="165">
        <f t="shared" si="7"/>
        <v>14.372974538821326</v>
      </c>
      <c r="AB25" s="165">
        <f t="shared" si="7"/>
        <v>14.372907761416959</v>
      </c>
      <c r="AC25" s="165">
        <f t="shared" si="7"/>
        <v>14.37294193611492</v>
      </c>
      <c r="AD25" s="165">
        <f t="shared" si="7"/>
        <v>14.372941412117735</v>
      </c>
      <c r="AE25" s="165">
        <f t="shared" si="7"/>
        <v>14.372930369883205</v>
      </c>
      <c r="AF25" s="165">
        <f t="shared" si="7"/>
        <v>14.37293790603862</v>
      </c>
      <c r="AG25" s="165">
        <f t="shared" si="7"/>
        <v>14.372936562679854</v>
      </c>
      <c r="AH25" s="165">
        <f t="shared" si="7"/>
        <v>14.372934946200559</v>
      </c>
      <c r="AI25" s="165">
        <f t="shared" si="7"/>
        <v>14.372936471639678</v>
      </c>
      <c r="AJ25" s="165">
        <f t="shared" si="7"/>
        <v>14.372935993506696</v>
      </c>
      <c r="AK25" s="165">
        <f t="shared" si="7"/>
        <v>14.37293580378231</v>
      </c>
      <c r="AL25" s="165">
        <f t="shared" si="7"/>
        <v>14.372936089642893</v>
      </c>
      <c r="AM25" s="142"/>
    </row>
    <row r="26" spans="1:39" ht="13.5" customHeight="1">
      <c r="A26" s="619">
        <v>10</v>
      </c>
      <c r="B26" s="619" t="s">
        <v>669</v>
      </c>
      <c r="C26" s="619"/>
      <c r="D26" s="155"/>
      <c r="E26" s="562" t="s">
        <v>468</v>
      </c>
      <c r="F26" s="563">
        <v>2.04</v>
      </c>
      <c r="G26" s="563">
        <v>2.04</v>
      </c>
      <c r="H26" s="563">
        <v>2.04</v>
      </c>
      <c r="I26" s="563">
        <v>2.04</v>
      </c>
      <c r="J26" s="563">
        <v>2.04</v>
      </c>
      <c r="K26" s="563">
        <v>2.04</v>
      </c>
      <c r="L26" s="563">
        <v>2.04</v>
      </c>
      <c r="M26" s="563">
        <v>2.04</v>
      </c>
      <c r="N26" s="563">
        <v>2.04</v>
      </c>
      <c r="O26" s="563">
        <v>2.04</v>
      </c>
      <c r="P26" s="563">
        <v>2.04</v>
      </c>
      <c r="Q26" s="563">
        <v>2.04</v>
      </c>
      <c r="R26" s="563">
        <v>2.04</v>
      </c>
      <c r="S26" s="563">
        <v>2.04</v>
      </c>
      <c r="T26" s="563">
        <v>2.04</v>
      </c>
      <c r="U26" s="563">
        <v>2.04</v>
      </c>
      <c r="V26" s="563">
        <v>2.04</v>
      </c>
      <c r="W26" s="563">
        <v>2.04</v>
      </c>
      <c r="X26" s="563">
        <v>2.04</v>
      </c>
      <c r="Y26" s="563">
        <v>2.04</v>
      </c>
      <c r="Z26" s="563">
        <v>2.04</v>
      </c>
      <c r="AA26" s="563">
        <v>2.04</v>
      </c>
      <c r="AB26" s="563">
        <v>2.04</v>
      </c>
      <c r="AC26" s="563">
        <v>2.04</v>
      </c>
      <c r="AD26" s="563">
        <v>2.04</v>
      </c>
      <c r="AE26" s="563">
        <v>2.04</v>
      </c>
      <c r="AF26" s="563">
        <v>2.04</v>
      </c>
      <c r="AG26" s="563">
        <v>2.04</v>
      </c>
      <c r="AH26" s="563">
        <v>2.04</v>
      </c>
      <c r="AI26" s="563">
        <v>2.04</v>
      </c>
      <c r="AJ26" s="563">
        <v>2.04</v>
      </c>
      <c r="AK26" s="563">
        <v>2.04</v>
      </c>
      <c r="AL26" s="563">
        <v>2.04</v>
      </c>
      <c r="AM26" s="142"/>
    </row>
    <row r="27" spans="1:39" ht="13.5" customHeight="1">
      <c r="A27" s="619"/>
      <c r="B27" s="619"/>
      <c r="C27" s="619"/>
      <c r="D27" s="155"/>
      <c r="E27" s="164" t="s">
        <v>12</v>
      </c>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142"/>
    </row>
    <row r="28" spans="1:39" ht="13.5" customHeight="1">
      <c r="A28" s="619"/>
      <c r="B28" s="619"/>
      <c r="C28" s="619"/>
      <c r="D28" s="155"/>
      <c r="E28" s="164" t="s">
        <v>469</v>
      </c>
      <c r="F28" s="165">
        <f t="shared" ref="F28:AL28" si="8">SUM(F21:F26)</f>
        <v>45.464499103999998</v>
      </c>
      <c r="G28" s="165">
        <f t="shared" si="8"/>
        <v>49.224519999999998</v>
      </c>
      <c r="H28" s="165">
        <f t="shared" si="8"/>
        <v>41.481169999999999</v>
      </c>
      <c r="I28" s="165">
        <f t="shared" si="8"/>
        <v>45.390063034666667</v>
      </c>
      <c r="J28" s="165">
        <f t="shared" si="8"/>
        <v>45.36525101155555</v>
      </c>
      <c r="K28" s="165">
        <f t="shared" si="8"/>
        <v>44.07882801540741</v>
      </c>
      <c r="L28" s="165">
        <f t="shared" si="8"/>
        <v>44.944714020543209</v>
      </c>
      <c r="M28" s="165">
        <f t="shared" si="8"/>
        <v>44.796264349168723</v>
      </c>
      <c r="N28" s="165">
        <f t="shared" si="8"/>
        <v>44.606602128373112</v>
      </c>
      <c r="O28" s="165">
        <f t="shared" si="8"/>
        <v>44.782526832695019</v>
      </c>
      <c r="P28" s="165">
        <f t="shared" si="8"/>
        <v>44.728464436745618</v>
      </c>
      <c r="Q28" s="165">
        <f t="shared" si="8"/>
        <v>44.705864465937914</v>
      </c>
      <c r="R28" s="165">
        <f t="shared" si="8"/>
        <v>44.738951911792853</v>
      </c>
      <c r="S28" s="165">
        <f t="shared" si="8"/>
        <v>44.7244269381588</v>
      </c>
      <c r="T28" s="165">
        <f t="shared" si="8"/>
        <v>44.723081105296522</v>
      </c>
      <c r="U28" s="165">
        <f t="shared" si="8"/>
        <v>44.728819985082723</v>
      </c>
      <c r="V28" s="165">
        <f t="shared" si="8"/>
        <v>44.725442676179348</v>
      </c>
      <c r="W28" s="165">
        <f t="shared" si="8"/>
        <v>44.725781255519529</v>
      </c>
      <c r="X28" s="165">
        <f t="shared" si="8"/>
        <v>44.726681305593864</v>
      </c>
      <c r="Y28" s="165">
        <f t="shared" si="8"/>
        <v>44.725968412430916</v>
      </c>
      <c r="Z28" s="165">
        <f t="shared" si="8"/>
        <v>44.726143657848105</v>
      </c>
      <c r="AA28" s="165">
        <f t="shared" si="8"/>
        <v>44.726264458624293</v>
      </c>
      <c r="AB28" s="165">
        <f t="shared" si="8"/>
        <v>44.726125509634436</v>
      </c>
      <c r="AC28" s="165">
        <f t="shared" si="8"/>
        <v>44.72617787536894</v>
      </c>
      <c r="AD28" s="165">
        <f t="shared" si="8"/>
        <v>44.726189281209223</v>
      </c>
      <c r="AE28" s="165">
        <f t="shared" si="8"/>
        <v>44.726164222070864</v>
      </c>
      <c r="AF28" s="165">
        <f t="shared" si="8"/>
        <v>44.726177126216349</v>
      </c>
      <c r="AG28" s="165">
        <f t="shared" si="8"/>
        <v>44.726176876498805</v>
      </c>
      <c r="AH28" s="165">
        <f t="shared" si="8"/>
        <v>44.726172741595335</v>
      </c>
      <c r="AI28" s="165">
        <f t="shared" si="8"/>
        <v>44.726175581436827</v>
      </c>
      <c r="AJ28" s="165">
        <f t="shared" si="8"/>
        <v>44.726175066510322</v>
      </c>
      <c r="AK28" s="165">
        <f t="shared" si="8"/>
        <v>44.726174463180826</v>
      </c>
      <c r="AL28" s="165">
        <f t="shared" si="8"/>
        <v>44.726175037042658</v>
      </c>
      <c r="AM28" s="142"/>
    </row>
    <row r="29" spans="1:39" ht="13.5" customHeight="1">
      <c r="A29" s="619"/>
      <c r="B29" s="619"/>
      <c r="C29" s="619"/>
      <c r="D29" s="155"/>
      <c r="E29" s="355"/>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2"/>
    </row>
    <row r="30" spans="1:39" ht="13.5" customHeight="1">
      <c r="A30" s="619">
        <v>2</v>
      </c>
      <c r="B30" s="619"/>
      <c r="C30" s="619"/>
      <c r="D30" s="155"/>
      <c r="E30" s="440" t="s">
        <v>470</v>
      </c>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2"/>
    </row>
    <row r="31" spans="1:39" ht="13.5" customHeight="1">
      <c r="A31" s="619"/>
      <c r="B31" s="140" t="s">
        <v>991</v>
      </c>
      <c r="C31" s="619" t="s">
        <v>997</v>
      </c>
      <c r="D31" s="155"/>
      <c r="E31" s="164" t="s">
        <v>463</v>
      </c>
      <c r="F31" s="564">
        <v>0.20080000000000001</v>
      </c>
      <c r="G31" s="564">
        <v>0.20080000000000001</v>
      </c>
      <c r="H31" s="564">
        <v>0.20080000000000001</v>
      </c>
      <c r="I31" s="564">
        <v>0.20080000000000001</v>
      </c>
      <c r="J31" s="564">
        <v>0.20080000000000001</v>
      </c>
      <c r="K31" s="564">
        <v>0.20080000000000001</v>
      </c>
      <c r="L31" s="564">
        <v>0.20080000000000001</v>
      </c>
      <c r="M31" s="564">
        <v>0.20080000000000001</v>
      </c>
      <c r="N31" s="564">
        <v>0.20080000000000001</v>
      </c>
      <c r="O31" s="564">
        <v>0.20080000000000001</v>
      </c>
      <c r="P31" s="564">
        <v>0.20080000000000001</v>
      </c>
      <c r="Q31" s="564">
        <v>0.20080000000000001</v>
      </c>
      <c r="R31" s="564">
        <v>0.20080000000000001</v>
      </c>
      <c r="S31" s="564">
        <v>0.20080000000000001</v>
      </c>
      <c r="T31" s="564">
        <v>0.20080000000000001</v>
      </c>
      <c r="U31" s="564">
        <v>0.20080000000000001</v>
      </c>
      <c r="V31" s="564">
        <v>0.20080000000000001</v>
      </c>
      <c r="W31" s="564">
        <v>0.20080000000000001</v>
      </c>
      <c r="X31" s="564">
        <v>0.20080000000000001</v>
      </c>
      <c r="Y31" s="564">
        <v>0.20080000000000001</v>
      </c>
      <c r="Z31" s="564">
        <v>0.20080000000000001</v>
      </c>
      <c r="AA31" s="564">
        <v>0.20080000000000001</v>
      </c>
      <c r="AB31" s="564">
        <v>0.20080000000000001</v>
      </c>
      <c r="AC31" s="564">
        <v>0.20080000000000001</v>
      </c>
      <c r="AD31" s="564">
        <v>0.20080000000000001</v>
      </c>
      <c r="AE31" s="564">
        <v>0.20080000000000001</v>
      </c>
      <c r="AF31" s="564">
        <v>0.20080000000000001</v>
      </c>
      <c r="AG31" s="564">
        <v>0.20080000000000001</v>
      </c>
      <c r="AH31" s="564">
        <v>0.20080000000000001</v>
      </c>
      <c r="AI31" s="564">
        <v>0.20080000000000001</v>
      </c>
      <c r="AJ31" s="564">
        <v>0.20080000000000001</v>
      </c>
      <c r="AK31" s="564">
        <v>0.20080000000000001</v>
      </c>
      <c r="AL31" s="564">
        <v>0.20080000000000001</v>
      </c>
      <c r="AM31" s="142"/>
    </row>
    <row r="32" spans="1:39" ht="13.5" customHeight="1">
      <c r="A32" s="619"/>
      <c r="B32" s="141" t="s">
        <v>992</v>
      </c>
      <c r="C32" s="619" t="s">
        <v>997</v>
      </c>
      <c r="D32" s="155"/>
      <c r="E32" s="164" t="s">
        <v>464</v>
      </c>
      <c r="F32" s="564">
        <v>0.2097</v>
      </c>
      <c r="G32" s="564">
        <v>0.2097</v>
      </c>
      <c r="H32" s="564">
        <v>0.2097</v>
      </c>
      <c r="I32" s="564">
        <v>0.2097</v>
      </c>
      <c r="J32" s="564">
        <v>0.2097</v>
      </c>
      <c r="K32" s="564">
        <v>0.2097</v>
      </c>
      <c r="L32" s="564">
        <v>0.2097</v>
      </c>
      <c r="M32" s="564">
        <v>0.2097</v>
      </c>
      <c r="N32" s="564">
        <v>0.2097</v>
      </c>
      <c r="O32" s="564">
        <v>0.2097</v>
      </c>
      <c r="P32" s="564">
        <v>0.2097</v>
      </c>
      <c r="Q32" s="564">
        <v>0.2097</v>
      </c>
      <c r="R32" s="564">
        <v>0.2097</v>
      </c>
      <c r="S32" s="564">
        <v>0.2097</v>
      </c>
      <c r="T32" s="564">
        <v>0.2097</v>
      </c>
      <c r="U32" s="564">
        <v>0.2097</v>
      </c>
      <c r="V32" s="564">
        <v>0.2097</v>
      </c>
      <c r="W32" s="564">
        <v>0.2097</v>
      </c>
      <c r="X32" s="564">
        <v>0.2097</v>
      </c>
      <c r="Y32" s="564">
        <v>0.2097</v>
      </c>
      <c r="Z32" s="564">
        <v>0.2097</v>
      </c>
      <c r="AA32" s="564">
        <v>0.2097</v>
      </c>
      <c r="AB32" s="564">
        <v>0.2097</v>
      </c>
      <c r="AC32" s="564">
        <v>0.2097</v>
      </c>
      <c r="AD32" s="564">
        <v>0.2097</v>
      </c>
      <c r="AE32" s="564">
        <v>0.2097</v>
      </c>
      <c r="AF32" s="564">
        <v>0.2097</v>
      </c>
      <c r="AG32" s="564">
        <v>0.2097</v>
      </c>
      <c r="AH32" s="564">
        <v>0.2097</v>
      </c>
      <c r="AI32" s="564">
        <v>0.2097</v>
      </c>
      <c r="AJ32" s="564">
        <v>0.2097</v>
      </c>
      <c r="AK32" s="564">
        <v>0.2097</v>
      </c>
      <c r="AL32" s="564">
        <v>0.2097</v>
      </c>
      <c r="AM32" s="142"/>
    </row>
    <row r="33" spans="1:39" ht="13.5" customHeight="1">
      <c r="A33" s="619"/>
      <c r="B33" s="140" t="s">
        <v>994</v>
      </c>
      <c r="C33" s="619" t="s">
        <v>997</v>
      </c>
      <c r="D33" s="155"/>
      <c r="E33" s="164" t="s">
        <v>465</v>
      </c>
      <c r="F33" s="564">
        <v>1.3899999999999999E-2</v>
      </c>
      <c r="G33" s="564">
        <v>1.3899999999999999E-2</v>
      </c>
      <c r="H33" s="564">
        <v>1.3899999999999999E-2</v>
      </c>
      <c r="I33" s="564">
        <v>1.3899999999999999E-2</v>
      </c>
      <c r="J33" s="564">
        <v>1.3899999999999999E-2</v>
      </c>
      <c r="K33" s="564">
        <v>1.3899999999999999E-2</v>
      </c>
      <c r="L33" s="564">
        <v>1.3899999999999999E-2</v>
      </c>
      <c r="M33" s="564">
        <v>1.3899999999999999E-2</v>
      </c>
      <c r="N33" s="564">
        <v>1.3899999999999999E-2</v>
      </c>
      <c r="O33" s="564">
        <v>1.3899999999999999E-2</v>
      </c>
      <c r="P33" s="564">
        <v>1.3899999999999999E-2</v>
      </c>
      <c r="Q33" s="564">
        <v>1.3899999999999999E-2</v>
      </c>
      <c r="R33" s="564">
        <v>1.3899999999999999E-2</v>
      </c>
      <c r="S33" s="564">
        <v>1.3899999999999999E-2</v>
      </c>
      <c r="T33" s="564">
        <v>1.3899999999999999E-2</v>
      </c>
      <c r="U33" s="564">
        <v>1.3899999999999999E-2</v>
      </c>
      <c r="V33" s="564">
        <v>1.3899999999999999E-2</v>
      </c>
      <c r="W33" s="564">
        <v>1.3899999999999999E-2</v>
      </c>
      <c r="X33" s="564">
        <v>1.3899999999999999E-2</v>
      </c>
      <c r="Y33" s="564">
        <v>1.3899999999999999E-2</v>
      </c>
      <c r="Z33" s="564">
        <v>1.3899999999999999E-2</v>
      </c>
      <c r="AA33" s="564">
        <v>1.3899999999999999E-2</v>
      </c>
      <c r="AB33" s="564">
        <v>1.3899999999999999E-2</v>
      </c>
      <c r="AC33" s="564">
        <v>1.3899999999999999E-2</v>
      </c>
      <c r="AD33" s="564">
        <v>1.3899999999999999E-2</v>
      </c>
      <c r="AE33" s="564">
        <v>1.3899999999999999E-2</v>
      </c>
      <c r="AF33" s="564">
        <v>1.3899999999999999E-2</v>
      </c>
      <c r="AG33" s="564">
        <v>1.3899999999999999E-2</v>
      </c>
      <c r="AH33" s="564">
        <v>1.3899999999999999E-2</v>
      </c>
      <c r="AI33" s="564">
        <v>1.3899999999999999E-2</v>
      </c>
      <c r="AJ33" s="564">
        <v>1.3899999999999999E-2</v>
      </c>
      <c r="AK33" s="564">
        <v>1.3899999999999999E-2</v>
      </c>
      <c r="AL33" s="564">
        <v>1.3899999999999999E-2</v>
      </c>
      <c r="AM33" s="142"/>
    </row>
    <row r="34" spans="1:39" ht="13.5" customHeight="1">
      <c r="A34" s="619"/>
      <c r="B34" s="141" t="s">
        <v>995</v>
      </c>
      <c r="C34" s="619" t="s">
        <v>997</v>
      </c>
      <c r="D34" s="155"/>
      <c r="E34" s="164" t="s">
        <v>466</v>
      </c>
      <c r="F34" s="564">
        <v>0.441</v>
      </c>
      <c r="G34" s="564">
        <v>0.441</v>
      </c>
      <c r="H34" s="564">
        <v>0.441</v>
      </c>
      <c r="I34" s="564">
        <v>0.441</v>
      </c>
      <c r="J34" s="564">
        <v>0.441</v>
      </c>
      <c r="K34" s="564">
        <v>0.441</v>
      </c>
      <c r="L34" s="564">
        <v>0.441</v>
      </c>
      <c r="M34" s="564">
        <v>0.441</v>
      </c>
      <c r="N34" s="564">
        <v>0.441</v>
      </c>
      <c r="O34" s="564">
        <v>0.441</v>
      </c>
      <c r="P34" s="564">
        <v>0.441</v>
      </c>
      <c r="Q34" s="564">
        <v>0.441</v>
      </c>
      <c r="R34" s="564">
        <v>0.441</v>
      </c>
      <c r="S34" s="564">
        <v>0.441</v>
      </c>
      <c r="T34" s="564">
        <v>0.441</v>
      </c>
      <c r="U34" s="564">
        <v>0.441</v>
      </c>
      <c r="V34" s="564">
        <v>0.441</v>
      </c>
      <c r="W34" s="564">
        <v>0.441</v>
      </c>
      <c r="X34" s="564">
        <v>0.441</v>
      </c>
      <c r="Y34" s="564">
        <v>0.441</v>
      </c>
      <c r="Z34" s="564">
        <v>0.441</v>
      </c>
      <c r="AA34" s="564">
        <v>0.441</v>
      </c>
      <c r="AB34" s="564">
        <v>0.441</v>
      </c>
      <c r="AC34" s="564">
        <v>0.441</v>
      </c>
      <c r="AD34" s="564">
        <v>0.441</v>
      </c>
      <c r="AE34" s="564">
        <v>0.441</v>
      </c>
      <c r="AF34" s="564">
        <v>0.441</v>
      </c>
      <c r="AG34" s="564">
        <v>0.441</v>
      </c>
      <c r="AH34" s="564">
        <v>0.441</v>
      </c>
      <c r="AI34" s="564">
        <v>0.441</v>
      </c>
      <c r="AJ34" s="564">
        <v>0.441</v>
      </c>
      <c r="AK34" s="564">
        <v>0.441</v>
      </c>
      <c r="AL34" s="564">
        <v>0.441</v>
      </c>
      <c r="AM34" s="142"/>
    </row>
    <row r="35" spans="1:39" ht="13.5" customHeight="1">
      <c r="A35" s="619"/>
      <c r="B35" s="140" t="s">
        <v>996</v>
      </c>
      <c r="C35" s="619" t="s">
        <v>997</v>
      </c>
      <c r="D35" s="155"/>
      <c r="E35" s="164" t="s">
        <v>998</v>
      </c>
      <c r="F35" s="564">
        <v>4.8899999999999999E-2</v>
      </c>
      <c r="G35" s="564">
        <v>4.8899999999999999E-2</v>
      </c>
      <c r="H35" s="564">
        <v>4.8899999999999999E-2</v>
      </c>
      <c r="I35" s="564">
        <v>4.8899999999999999E-2</v>
      </c>
      <c r="J35" s="564">
        <v>4.8899999999999999E-2</v>
      </c>
      <c r="K35" s="564">
        <v>4.8899999999999999E-2</v>
      </c>
      <c r="L35" s="564">
        <v>4.8899999999999999E-2</v>
      </c>
      <c r="M35" s="564">
        <v>4.8899999999999999E-2</v>
      </c>
      <c r="N35" s="564">
        <v>4.8899999999999999E-2</v>
      </c>
      <c r="O35" s="564">
        <v>4.8899999999999999E-2</v>
      </c>
      <c r="P35" s="564">
        <v>4.8899999999999999E-2</v>
      </c>
      <c r="Q35" s="564">
        <v>4.8899999999999999E-2</v>
      </c>
      <c r="R35" s="564">
        <v>4.8899999999999999E-2</v>
      </c>
      <c r="S35" s="564">
        <v>4.8899999999999999E-2</v>
      </c>
      <c r="T35" s="564">
        <v>4.8899999999999999E-2</v>
      </c>
      <c r="U35" s="564">
        <v>4.8899999999999999E-2</v>
      </c>
      <c r="V35" s="564">
        <v>4.8899999999999999E-2</v>
      </c>
      <c r="W35" s="564">
        <v>4.8899999999999999E-2</v>
      </c>
      <c r="X35" s="564">
        <v>4.8899999999999999E-2</v>
      </c>
      <c r="Y35" s="564">
        <v>4.8899999999999999E-2</v>
      </c>
      <c r="Z35" s="564">
        <v>4.8899999999999999E-2</v>
      </c>
      <c r="AA35" s="564">
        <v>4.8899999999999999E-2</v>
      </c>
      <c r="AB35" s="564">
        <v>4.8899999999999999E-2</v>
      </c>
      <c r="AC35" s="564">
        <v>4.8899999999999999E-2</v>
      </c>
      <c r="AD35" s="564">
        <v>4.8899999999999999E-2</v>
      </c>
      <c r="AE35" s="564">
        <v>4.8899999999999999E-2</v>
      </c>
      <c r="AF35" s="564">
        <v>4.8899999999999999E-2</v>
      </c>
      <c r="AG35" s="564">
        <v>4.8899999999999999E-2</v>
      </c>
      <c r="AH35" s="564">
        <v>4.8899999999999999E-2</v>
      </c>
      <c r="AI35" s="564">
        <v>4.8899999999999999E-2</v>
      </c>
      <c r="AJ35" s="564">
        <v>4.8899999999999999E-2</v>
      </c>
      <c r="AK35" s="564">
        <v>4.8899999999999999E-2</v>
      </c>
      <c r="AL35" s="564">
        <v>4.8899999999999999E-2</v>
      </c>
      <c r="AM35" s="142"/>
    </row>
    <row r="36" spans="1:39" ht="13.5" customHeight="1">
      <c r="A36" s="619"/>
      <c r="B36" s="619"/>
      <c r="C36" s="619"/>
      <c r="D36" s="155"/>
      <c r="E36" s="164" t="s">
        <v>999</v>
      </c>
      <c r="F36" s="564">
        <v>5.0000000000000001E-4</v>
      </c>
      <c r="G36" s="564">
        <v>5.0000000000000001E-4</v>
      </c>
      <c r="H36" s="564">
        <v>5.0000000000000001E-4</v>
      </c>
      <c r="I36" s="564">
        <v>5.0000000000000001E-4</v>
      </c>
      <c r="J36" s="564">
        <v>5.0000000000000001E-4</v>
      </c>
      <c r="K36" s="564">
        <v>5.0000000000000001E-4</v>
      </c>
      <c r="L36" s="564">
        <v>5.0000000000000001E-4</v>
      </c>
      <c r="M36" s="564">
        <v>5.0000000000000001E-4</v>
      </c>
      <c r="N36" s="564">
        <v>5.0000000000000001E-4</v>
      </c>
      <c r="O36" s="564">
        <v>5.0000000000000001E-4</v>
      </c>
      <c r="P36" s="564">
        <v>5.0000000000000001E-4</v>
      </c>
      <c r="Q36" s="564">
        <v>5.0000000000000001E-4</v>
      </c>
      <c r="R36" s="564">
        <v>5.0000000000000001E-4</v>
      </c>
      <c r="S36" s="564">
        <v>5.0000000000000001E-4</v>
      </c>
      <c r="T36" s="564">
        <v>5.0000000000000001E-4</v>
      </c>
      <c r="U36" s="564">
        <v>5.0000000000000001E-4</v>
      </c>
      <c r="V36" s="564">
        <v>5.0000000000000001E-4</v>
      </c>
      <c r="W36" s="564">
        <v>5.0000000000000001E-4</v>
      </c>
      <c r="X36" s="564">
        <v>5.0000000000000001E-4</v>
      </c>
      <c r="Y36" s="564">
        <v>5.0000000000000001E-4</v>
      </c>
      <c r="Z36" s="564">
        <v>5.0000000000000001E-4</v>
      </c>
      <c r="AA36" s="564">
        <v>5.0000000000000001E-4</v>
      </c>
      <c r="AB36" s="564">
        <v>5.0000000000000001E-4</v>
      </c>
      <c r="AC36" s="564">
        <v>5.0000000000000001E-4</v>
      </c>
      <c r="AD36" s="564">
        <v>5.0000000000000001E-4</v>
      </c>
      <c r="AE36" s="564">
        <v>5.0000000000000001E-4</v>
      </c>
      <c r="AF36" s="564">
        <v>5.0000000000000001E-4</v>
      </c>
      <c r="AG36" s="564">
        <v>5.0000000000000001E-4</v>
      </c>
      <c r="AH36" s="564">
        <v>5.0000000000000001E-4</v>
      </c>
      <c r="AI36" s="564">
        <v>5.0000000000000001E-4</v>
      </c>
      <c r="AJ36" s="564">
        <v>5.0000000000000001E-4</v>
      </c>
      <c r="AK36" s="564">
        <v>5.0000000000000001E-4</v>
      </c>
      <c r="AL36" s="564">
        <v>5.0000000000000001E-4</v>
      </c>
      <c r="AM36" s="142"/>
    </row>
    <row r="37" spans="1:39" ht="13.5" customHeight="1">
      <c r="A37" s="619">
        <v>10</v>
      </c>
      <c r="B37" s="619" t="s">
        <v>669</v>
      </c>
      <c r="C37" s="619"/>
      <c r="D37" s="155"/>
      <c r="E37" s="562" t="s">
        <v>468</v>
      </c>
      <c r="F37" s="565">
        <v>0.5</v>
      </c>
      <c r="G37" s="565">
        <v>0.5</v>
      </c>
      <c r="H37" s="565">
        <v>0.5</v>
      </c>
      <c r="I37" s="565">
        <v>0.5</v>
      </c>
      <c r="J37" s="565">
        <v>0.5</v>
      </c>
      <c r="K37" s="565">
        <v>0.5</v>
      </c>
      <c r="L37" s="565">
        <v>0.5</v>
      </c>
      <c r="M37" s="565">
        <v>0.5</v>
      </c>
      <c r="N37" s="565">
        <v>0.5</v>
      </c>
      <c r="O37" s="565">
        <v>0.5</v>
      </c>
      <c r="P37" s="565">
        <v>0.5</v>
      </c>
      <c r="Q37" s="565">
        <v>0.5</v>
      </c>
      <c r="R37" s="565">
        <v>0.5</v>
      </c>
      <c r="S37" s="565">
        <v>0.5</v>
      </c>
      <c r="T37" s="565">
        <v>0.5</v>
      </c>
      <c r="U37" s="565">
        <v>0.5</v>
      </c>
      <c r="V37" s="565">
        <v>0.5</v>
      </c>
      <c r="W37" s="565">
        <v>0.5</v>
      </c>
      <c r="X37" s="565">
        <v>0.5</v>
      </c>
      <c r="Y37" s="565">
        <v>0.5</v>
      </c>
      <c r="Z37" s="565">
        <v>0.5</v>
      </c>
      <c r="AA37" s="565">
        <v>0.5</v>
      </c>
      <c r="AB37" s="565">
        <v>0.5</v>
      </c>
      <c r="AC37" s="565">
        <v>0.5</v>
      </c>
      <c r="AD37" s="565">
        <v>0.5</v>
      </c>
      <c r="AE37" s="565">
        <v>0.5</v>
      </c>
      <c r="AF37" s="565">
        <v>0.5</v>
      </c>
      <c r="AG37" s="565">
        <v>0.5</v>
      </c>
      <c r="AH37" s="565">
        <v>0.5</v>
      </c>
      <c r="AI37" s="565">
        <v>0.5</v>
      </c>
      <c r="AJ37" s="565">
        <v>0.5</v>
      </c>
      <c r="AK37" s="565">
        <v>0.5</v>
      </c>
      <c r="AL37" s="565">
        <v>0.5</v>
      </c>
      <c r="AM37" s="142"/>
    </row>
    <row r="38" spans="1:39" ht="13.5" customHeight="1">
      <c r="A38" s="619"/>
      <c r="B38" s="619"/>
      <c r="C38" s="619"/>
      <c r="D38" s="155"/>
      <c r="E38" s="164" t="s">
        <v>12</v>
      </c>
      <c r="F38" s="204"/>
      <c r="G38" s="204"/>
      <c r="H38" s="204"/>
      <c r="I38" s="204"/>
      <c r="J38" s="204"/>
      <c r="K38" s="204"/>
      <c r="L38" s="204"/>
      <c r="M38" s="204"/>
      <c r="N38" s="204"/>
      <c r="O38" s="204"/>
      <c r="P38" s="204"/>
      <c r="Q38" s="204"/>
      <c r="R38" s="204"/>
      <c r="S38" s="204"/>
      <c r="T38" s="204"/>
      <c r="U38" s="204"/>
      <c r="V38" s="204"/>
      <c r="W38" s="204"/>
      <c r="X38" s="204"/>
      <c r="Y38" s="204"/>
      <c r="Z38" s="204"/>
      <c r="AA38" s="204"/>
      <c r="AB38" s="204"/>
      <c r="AC38" s="204"/>
      <c r="AD38" s="204"/>
      <c r="AE38" s="204"/>
      <c r="AF38" s="204"/>
      <c r="AG38" s="204"/>
      <c r="AH38" s="204"/>
      <c r="AI38" s="204"/>
      <c r="AJ38" s="204"/>
      <c r="AK38" s="204"/>
      <c r="AL38" s="204"/>
      <c r="AM38" s="142"/>
    </row>
    <row r="39" spans="1:39" ht="13.5" customHeight="1">
      <c r="A39" s="619"/>
      <c r="B39" s="619"/>
      <c r="C39" s="619"/>
      <c r="D39" s="155"/>
      <c r="E39" s="164" t="s">
        <v>469</v>
      </c>
      <c r="F39" s="564">
        <f t="shared" ref="F39:AL39" si="9">SUM(F31:F37)</f>
        <v>1.4147999999999998</v>
      </c>
      <c r="G39" s="564">
        <f t="shared" si="9"/>
        <v>1.4147999999999998</v>
      </c>
      <c r="H39" s="564">
        <f t="shared" si="9"/>
        <v>1.4147999999999998</v>
      </c>
      <c r="I39" s="564">
        <f t="shared" si="9"/>
        <v>1.4147999999999998</v>
      </c>
      <c r="J39" s="564">
        <f t="shared" si="9"/>
        <v>1.4147999999999998</v>
      </c>
      <c r="K39" s="564">
        <f t="shared" si="9"/>
        <v>1.4147999999999998</v>
      </c>
      <c r="L39" s="564">
        <f t="shared" si="9"/>
        <v>1.4147999999999998</v>
      </c>
      <c r="M39" s="564">
        <f t="shared" si="9"/>
        <v>1.4147999999999998</v>
      </c>
      <c r="N39" s="564">
        <f t="shared" si="9"/>
        <v>1.4147999999999998</v>
      </c>
      <c r="O39" s="564">
        <f t="shared" si="9"/>
        <v>1.4147999999999998</v>
      </c>
      <c r="P39" s="564">
        <f t="shared" si="9"/>
        <v>1.4147999999999998</v>
      </c>
      <c r="Q39" s="564">
        <f t="shared" si="9"/>
        <v>1.4147999999999998</v>
      </c>
      <c r="R39" s="564">
        <f t="shared" si="9"/>
        <v>1.4147999999999998</v>
      </c>
      <c r="S39" s="564">
        <f t="shared" si="9"/>
        <v>1.4147999999999998</v>
      </c>
      <c r="T39" s="564">
        <f t="shared" si="9"/>
        <v>1.4147999999999998</v>
      </c>
      <c r="U39" s="564">
        <f t="shared" si="9"/>
        <v>1.4147999999999998</v>
      </c>
      <c r="V39" s="564">
        <f t="shared" si="9"/>
        <v>1.4147999999999998</v>
      </c>
      <c r="W39" s="564">
        <f t="shared" si="9"/>
        <v>1.4147999999999998</v>
      </c>
      <c r="X39" s="564">
        <f t="shared" si="9"/>
        <v>1.4147999999999998</v>
      </c>
      <c r="Y39" s="564">
        <f t="shared" si="9"/>
        <v>1.4147999999999998</v>
      </c>
      <c r="Z39" s="564">
        <f t="shared" si="9"/>
        <v>1.4147999999999998</v>
      </c>
      <c r="AA39" s="564">
        <f t="shared" si="9"/>
        <v>1.4147999999999998</v>
      </c>
      <c r="AB39" s="564">
        <f t="shared" si="9"/>
        <v>1.4147999999999998</v>
      </c>
      <c r="AC39" s="564">
        <f t="shared" si="9"/>
        <v>1.4147999999999998</v>
      </c>
      <c r="AD39" s="564">
        <f t="shared" si="9"/>
        <v>1.4147999999999998</v>
      </c>
      <c r="AE39" s="564">
        <f t="shared" si="9"/>
        <v>1.4147999999999998</v>
      </c>
      <c r="AF39" s="564">
        <f t="shared" si="9"/>
        <v>1.4147999999999998</v>
      </c>
      <c r="AG39" s="564">
        <f t="shared" si="9"/>
        <v>1.4147999999999998</v>
      </c>
      <c r="AH39" s="564">
        <f t="shared" si="9"/>
        <v>1.4147999999999998</v>
      </c>
      <c r="AI39" s="564">
        <f t="shared" si="9"/>
        <v>1.4147999999999998</v>
      </c>
      <c r="AJ39" s="564">
        <f t="shared" si="9"/>
        <v>1.4147999999999998</v>
      </c>
      <c r="AK39" s="564">
        <f t="shared" si="9"/>
        <v>1.4147999999999998</v>
      </c>
      <c r="AL39" s="564">
        <f t="shared" si="9"/>
        <v>1.4147999999999998</v>
      </c>
      <c r="AM39" s="142"/>
    </row>
    <row r="40" spans="1:39" ht="13.5" customHeight="1">
      <c r="A40" s="619"/>
      <c r="B40" s="619"/>
      <c r="C40" s="619"/>
      <c r="D40" s="155"/>
      <c r="E40" s="355"/>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43"/>
      <c r="AH40" s="143"/>
      <c r="AI40" s="143"/>
      <c r="AJ40" s="143"/>
      <c r="AK40" s="143"/>
      <c r="AL40" s="143"/>
      <c r="AM40" s="142"/>
    </row>
    <row r="41" spans="1:39" ht="13.5" customHeight="1">
      <c r="A41" s="619">
        <v>2</v>
      </c>
      <c r="B41" s="619"/>
      <c r="C41" s="619"/>
      <c r="D41" s="155"/>
      <c r="E41" s="440" t="s">
        <v>471</v>
      </c>
      <c r="F41" s="143"/>
      <c r="G41" s="143"/>
      <c r="H41" s="143"/>
      <c r="I41" s="143"/>
      <c r="J41" s="143"/>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43"/>
      <c r="AH41" s="143"/>
      <c r="AI41" s="143"/>
      <c r="AJ41" s="143"/>
      <c r="AK41" s="143"/>
      <c r="AL41" s="143"/>
      <c r="AM41" s="142"/>
    </row>
    <row r="42" spans="1:39" ht="13.5" customHeight="1">
      <c r="A42" s="619"/>
      <c r="B42" s="140" t="s">
        <v>991</v>
      </c>
      <c r="C42" s="619"/>
      <c r="D42" s="155"/>
      <c r="E42" s="164" t="s">
        <v>463</v>
      </c>
      <c r="F42" s="204">
        <v>2.68</v>
      </c>
      <c r="G42" s="204">
        <v>2.68</v>
      </c>
      <c r="H42" s="204">
        <v>2.68</v>
      </c>
      <c r="I42" s="204">
        <v>2.68</v>
      </c>
      <c r="J42" s="204">
        <v>2.68</v>
      </c>
      <c r="K42" s="204">
        <v>2.68</v>
      </c>
      <c r="L42" s="204">
        <v>2.68</v>
      </c>
      <c r="M42" s="204">
        <v>2.68</v>
      </c>
      <c r="N42" s="204">
        <v>2.68</v>
      </c>
      <c r="O42" s="204">
        <v>2.68</v>
      </c>
      <c r="P42" s="204">
        <v>2.68</v>
      </c>
      <c r="Q42" s="204">
        <v>2.68</v>
      </c>
      <c r="R42" s="204">
        <v>2.68</v>
      </c>
      <c r="S42" s="204">
        <v>2.68</v>
      </c>
      <c r="T42" s="204">
        <v>2.68</v>
      </c>
      <c r="U42" s="204">
        <v>2.68</v>
      </c>
      <c r="V42" s="204">
        <v>2.68</v>
      </c>
      <c r="W42" s="204">
        <v>2.68</v>
      </c>
      <c r="X42" s="204">
        <v>2.68</v>
      </c>
      <c r="Y42" s="204">
        <v>2.68</v>
      </c>
      <c r="Z42" s="204">
        <v>2.68</v>
      </c>
      <c r="AA42" s="204">
        <v>2.68</v>
      </c>
      <c r="AB42" s="204">
        <v>2.68</v>
      </c>
      <c r="AC42" s="204">
        <v>2.68</v>
      </c>
      <c r="AD42" s="204">
        <v>2.68</v>
      </c>
      <c r="AE42" s="204">
        <v>2.68</v>
      </c>
      <c r="AF42" s="204">
        <v>2.68</v>
      </c>
      <c r="AG42" s="204">
        <v>2.68</v>
      </c>
      <c r="AH42" s="204">
        <v>2.68</v>
      </c>
      <c r="AI42" s="204">
        <v>2.68</v>
      </c>
      <c r="AJ42" s="204">
        <v>2.68</v>
      </c>
      <c r="AK42" s="204">
        <v>2.68</v>
      </c>
      <c r="AL42" s="204">
        <v>2.68</v>
      </c>
      <c r="AM42" s="142"/>
    </row>
    <row r="43" spans="1:39" ht="13.5" customHeight="1">
      <c r="A43" s="619">
        <v>5</v>
      </c>
      <c r="B43" s="141" t="s">
        <v>992</v>
      </c>
      <c r="C43" s="619"/>
      <c r="D43" s="155"/>
      <c r="E43" s="164" t="s">
        <v>464</v>
      </c>
      <c r="F43" s="204">
        <v>2.8</v>
      </c>
      <c r="G43" s="204">
        <v>2.8</v>
      </c>
      <c r="H43" s="204">
        <v>2.8</v>
      </c>
      <c r="I43" s="204">
        <v>2.8</v>
      </c>
      <c r="J43" s="204">
        <v>2.8</v>
      </c>
      <c r="K43" s="204">
        <v>2.8</v>
      </c>
      <c r="L43" s="204">
        <v>2.8</v>
      </c>
      <c r="M43" s="204">
        <v>2.8</v>
      </c>
      <c r="N43" s="204">
        <v>2.8</v>
      </c>
      <c r="O43" s="204">
        <v>2.8</v>
      </c>
      <c r="P43" s="204">
        <v>2.8</v>
      </c>
      <c r="Q43" s="204">
        <v>2.8</v>
      </c>
      <c r="R43" s="204">
        <v>2.8</v>
      </c>
      <c r="S43" s="204">
        <v>2.8</v>
      </c>
      <c r="T43" s="204">
        <v>2.8</v>
      </c>
      <c r="U43" s="204">
        <v>2.8</v>
      </c>
      <c r="V43" s="204">
        <v>2.8</v>
      </c>
      <c r="W43" s="204">
        <v>2.8</v>
      </c>
      <c r="X43" s="204">
        <v>2.8</v>
      </c>
      <c r="Y43" s="204">
        <v>2.8</v>
      </c>
      <c r="Z43" s="204">
        <v>2.8</v>
      </c>
      <c r="AA43" s="204">
        <v>2.8</v>
      </c>
      <c r="AB43" s="204">
        <v>2.8</v>
      </c>
      <c r="AC43" s="204">
        <v>2.8</v>
      </c>
      <c r="AD43" s="204">
        <v>2.8</v>
      </c>
      <c r="AE43" s="204">
        <v>2.8</v>
      </c>
      <c r="AF43" s="204">
        <v>2.8</v>
      </c>
      <c r="AG43" s="204">
        <v>2.8</v>
      </c>
      <c r="AH43" s="204">
        <v>2.8</v>
      </c>
      <c r="AI43" s="204">
        <v>2.8</v>
      </c>
      <c r="AJ43" s="204">
        <v>2.8</v>
      </c>
      <c r="AK43" s="204">
        <v>2.8</v>
      </c>
      <c r="AL43" s="204">
        <v>2.8</v>
      </c>
      <c r="AM43" s="142"/>
    </row>
    <row r="44" spans="1:39" ht="13.5" customHeight="1">
      <c r="A44" s="619">
        <v>5</v>
      </c>
      <c r="B44" s="140" t="s">
        <v>994</v>
      </c>
      <c r="C44" s="619"/>
      <c r="D44" s="155"/>
      <c r="E44" s="164" t="s">
        <v>465</v>
      </c>
      <c r="F44" s="204">
        <v>0.19</v>
      </c>
      <c r="G44" s="204">
        <v>0.19</v>
      </c>
      <c r="H44" s="204">
        <v>0.19</v>
      </c>
      <c r="I44" s="204">
        <v>0.19</v>
      </c>
      <c r="J44" s="204">
        <v>0.19</v>
      </c>
      <c r="K44" s="204">
        <v>0.19</v>
      </c>
      <c r="L44" s="204">
        <v>0.19</v>
      </c>
      <c r="M44" s="204">
        <v>0.19</v>
      </c>
      <c r="N44" s="204">
        <v>0.19</v>
      </c>
      <c r="O44" s="204">
        <v>0.19</v>
      </c>
      <c r="P44" s="204">
        <v>0.19</v>
      </c>
      <c r="Q44" s="204">
        <v>0.19</v>
      </c>
      <c r="R44" s="204">
        <v>0.19</v>
      </c>
      <c r="S44" s="204">
        <v>0.19</v>
      </c>
      <c r="T44" s="204">
        <v>0.19</v>
      </c>
      <c r="U44" s="204">
        <v>0.19</v>
      </c>
      <c r="V44" s="204">
        <v>0.19</v>
      </c>
      <c r="W44" s="204">
        <v>0.19</v>
      </c>
      <c r="X44" s="204">
        <v>0.19</v>
      </c>
      <c r="Y44" s="204">
        <v>0.19</v>
      </c>
      <c r="Z44" s="204">
        <v>0.19</v>
      </c>
      <c r="AA44" s="204">
        <v>0.19</v>
      </c>
      <c r="AB44" s="204">
        <v>0.19</v>
      </c>
      <c r="AC44" s="204">
        <v>0.19</v>
      </c>
      <c r="AD44" s="204">
        <v>0.19</v>
      </c>
      <c r="AE44" s="204">
        <v>0.19</v>
      </c>
      <c r="AF44" s="204">
        <v>0.19</v>
      </c>
      <c r="AG44" s="204">
        <v>0.19</v>
      </c>
      <c r="AH44" s="204">
        <v>0.19</v>
      </c>
      <c r="AI44" s="204">
        <v>0.19</v>
      </c>
      <c r="AJ44" s="204">
        <v>0.19</v>
      </c>
      <c r="AK44" s="204">
        <v>0.19</v>
      </c>
      <c r="AL44" s="204">
        <v>0.19</v>
      </c>
      <c r="AM44" s="142"/>
    </row>
    <row r="45" spans="1:39" ht="13.5" customHeight="1">
      <c r="A45" s="619">
        <v>5</v>
      </c>
      <c r="B45" s="141" t="s">
        <v>995</v>
      </c>
      <c r="C45" s="619"/>
      <c r="D45" s="155"/>
      <c r="E45" s="164" t="s">
        <v>466</v>
      </c>
      <c r="F45" s="204">
        <v>5.88</v>
      </c>
      <c r="G45" s="204">
        <v>5.88</v>
      </c>
      <c r="H45" s="204">
        <v>5.88</v>
      </c>
      <c r="I45" s="204">
        <v>5.88</v>
      </c>
      <c r="J45" s="204">
        <v>5.88</v>
      </c>
      <c r="K45" s="204">
        <v>5.88</v>
      </c>
      <c r="L45" s="204">
        <v>5.88</v>
      </c>
      <c r="M45" s="204">
        <v>5.88</v>
      </c>
      <c r="N45" s="204">
        <v>5.88</v>
      </c>
      <c r="O45" s="204">
        <v>5.88</v>
      </c>
      <c r="P45" s="204">
        <v>5.88</v>
      </c>
      <c r="Q45" s="204">
        <v>5.88</v>
      </c>
      <c r="R45" s="204">
        <v>5.88</v>
      </c>
      <c r="S45" s="204">
        <v>5.88</v>
      </c>
      <c r="T45" s="204">
        <v>5.88</v>
      </c>
      <c r="U45" s="204">
        <v>5.88</v>
      </c>
      <c r="V45" s="204">
        <v>5.88</v>
      </c>
      <c r="W45" s="204">
        <v>5.88</v>
      </c>
      <c r="X45" s="204">
        <v>5.88</v>
      </c>
      <c r="Y45" s="204">
        <v>5.88</v>
      </c>
      <c r="Z45" s="204">
        <v>5.88</v>
      </c>
      <c r="AA45" s="204">
        <v>5.88</v>
      </c>
      <c r="AB45" s="204">
        <v>5.88</v>
      </c>
      <c r="AC45" s="204">
        <v>5.88</v>
      </c>
      <c r="AD45" s="204">
        <v>5.88</v>
      </c>
      <c r="AE45" s="204">
        <v>5.88</v>
      </c>
      <c r="AF45" s="204">
        <v>5.88</v>
      </c>
      <c r="AG45" s="204">
        <v>5.88</v>
      </c>
      <c r="AH45" s="204">
        <v>5.88</v>
      </c>
      <c r="AI45" s="204">
        <v>5.88</v>
      </c>
      <c r="AJ45" s="204">
        <v>5.88</v>
      </c>
      <c r="AK45" s="204">
        <v>5.88</v>
      </c>
      <c r="AL45" s="204">
        <v>5.88</v>
      </c>
      <c r="AM45" s="142"/>
    </row>
    <row r="46" spans="1:39" ht="13.5" customHeight="1">
      <c r="A46" s="619"/>
      <c r="B46" s="140" t="s">
        <v>996</v>
      </c>
      <c r="C46" s="619"/>
      <c r="D46" s="155"/>
      <c r="E46" s="164" t="s">
        <v>998</v>
      </c>
      <c r="F46" s="204">
        <v>0.65</v>
      </c>
      <c r="G46" s="204">
        <v>0.65</v>
      </c>
      <c r="H46" s="204">
        <v>0.65</v>
      </c>
      <c r="I46" s="204">
        <v>0.65</v>
      </c>
      <c r="J46" s="204">
        <v>0.65</v>
      </c>
      <c r="K46" s="204">
        <v>0.65</v>
      </c>
      <c r="L46" s="204">
        <v>0.65</v>
      </c>
      <c r="M46" s="204">
        <v>0.65</v>
      </c>
      <c r="N46" s="204">
        <v>0.65</v>
      </c>
      <c r="O46" s="204">
        <v>0.65</v>
      </c>
      <c r="P46" s="204">
        <v>0.65</v>
      </c>
      <c r="Q46" s="204">
        <v>0.65</v>
      </c>
      <c r="R46" s="204">
        <v>0.65</v>
      </c>
      <c r="S46" s="204">
        <v>0.65</v>
      </c>
      <c r="T46" s="204">
        <v>0.65</v>
      </c>
      <c r="U46" s="204">
        <v>0.65</v>
      </c>
      <c r="V46" s="204">
        <v>0.65</v>
      </c>
      <c r="W46" s="204">
        <v>0.65</v>
      </c>
      <c r="X46" s="204">
        <v>0.65</v>
      </c>
      <c r="Y46" s="204">
        <v>0.65</v>
      </c>
      <c r="Z46" s="204">
        <v>0.65</v>
      </c>
      <c r="AA46" s="204">
        <v>0.65</v>
      </c>
      <c r="AB46" s="204">
        <v>0.65</v>
      </c>
      <c r="AC46" s="204">
        <v>0.65</v>
      </c>
      <c r="AD46" s="204">
        <v>0.65</v>
      </c>
      <c r="AE46" s="204">
        <v>0.65</v>
      </c>
      <c r="AF46" s="204">
        <v>0.65</v>
      </c>
      <c r="AG46" s="204">
        <v>0.65</v>
      </c>
      <c r="AH46" s="204">
        <v>0.65</v>
      </c>
      <c r="AI46" s="204">
        <v>0.65</v>
      </c>
      <c r="AJ46" s="204">
        <v>0.65</v>
      </c>
      <c r="AK46" s="204">
        <v>0.65</v>
      </c>
      <c r="AL46" s="204">
        <v>0.65</v>
      </c>
      <c r="AM46" s="142"/>
    </row>
    <row r="47" spans="1:39" ht="13.5" customHeight="1">
      <c r="A47" s="619"/>
      <c r="B47" s="619"/>
      <c r="C47" s="619"/>
      <c r="D47" s="155"/>
      <c r="E47" s="164" t="s">
        <v>999</v>
      </c>
      <c r="F47" s="204">
        <v>0.01</v>
      </c>
      <c r="G47" s="204">
        <v>0.01</v>
      </c>
      <c r="H47" s="204">
        <v>0.01</v>
      </c>
      <c r="I47" s="204">
        <v>0.01</v>
      </c>
      <c r="J47" s="204">
        <v>0.01</v>
      </c>
      <c r="K47" s="204">
        <v>0.01</v>
      </c>
      <c r="L47" s="204">
        <v>0.01</v>
      </c>
      <c r="M47" s="204">
        <v>0.01</v>
      </c>
      <c r="N47" s="204">
        <v>0.01</v>
      </c>
      <c r="O47" s="204">
        <v>0.01</v>
      </c>
      <c r="P47" s="204">
        <v>0.01</v>
      </c>
      <c r="Q47" s="204">
        <v>0.01</v>
      </c>
      <c r="R47" s="204">
        <v>0.01</v>
      </c>
      <c r="S47" s="204">
        <v>0.01</v>
      </c>
      <c r="T47" s="204">
        <v>0.01</v>
      </c>
      <c r="U47" s="204">
        <v>0.01</v>
      </c>
      <c r="V47" s="204">
        <v>0.01</v>
      </c>
      <c r="W47" s="204">
        <v>0.01</v>
      </c>
      <c r="X47" s="204">
        <v>0.01</v>
      </c>
      <c r="Y47" s="204">
        <v>0.01</v>
      </c>
      <c r="Z47" s="204">
        <v>0.01</v>
      </c>
      <c r="AA47" s="204">
        <v>0.01</v>
      </c>
      <c r="AB47" s="204">
        <v>0.01</v>
      </c>
      <c r="AC47" s="204">
        <v>0.01</v>
      </c>
      <c r="AD47" s="204">
        <v>0.01</v>
      </c>
      <c r="AE47" s="204">
        <v>0.01</v>
      </c>
      <c r="AF47" s="204">
        <v>0.01</v>
      </c>
      <c r="AG47" s="204">
        <v>0.01</v>
      </c>
      <c r="AH47" s="204">
        <v>0.01</v>
      </c>
      <c r="AI47" s="204">
        <v>0.01</v>
      </c>
      <c r="AJ47" s="204">
        <v>0.01</v>
      </c>
      <c r="AK47" s="204">
        <v>0.01</v>
      </c>
      <c r="AL47" s="204">
        <v>0.01</v>
      </c>
      <c r="AM47" s="142"/>
    </row>
    <row r="48" spans="1:39" ht="13.5" customHeight="1">
      <c r="A48" s="619">
        <v>10</v>
      </c>
      <c r="B48" s="619" t="s">
        <v>669</v>
      </c>
      <c r="C48" s="619"/>
      <c r="D48" s="155"/>
      <c r="E48" s="562" t="s">
        <v>468</v>
      </c>
      <c r="F48" s="563">
        <v>1.02</v>
      </c>
      <c r="G48" s="563">
        <v>1.02</v>
      </c>
      <c r="H48" s="563">
        <v>1.02</v>
      </c>
      <c r="I48" s="563">
        <v>1.02</v>
      </c>
      <c r="J48" s="563">
        <v>1.02</v>
      </c>
      <c r="K48" s="563">
        <v>1.02</v>
      </c>
      <c r="L48" s="563">
        <v>1.02</v>
      </c>
      <c r="M48" s="563">
        <v>1.02</v>
      </c>
      <c r="N48" s="563">
        <v>1.02</v>
      </c>
      <c r="O48" s="563">
        <v>1.02</v>
      </c>
      <c r="P48" s="563">
        <v>1.02</v>
      </c>
      <c r="Q48" s="563">
        <v>1.02</v>
      </c>
      <c r="R48" s="563">
        <v>1.02</v>
      </c>
      <c r="S48" s="563">
        <v>1.02</v>
      </c>
      <c r="T48" s="563">
        <v>1.02</v>
      </c>
      <c r="U48" s="563">
        <v>1.02</v>
      </c>
      <c r="V48" s="563">
        <v>1.02</v>
      </c>
      <c r="W48" s="563">
        <v>1.02</v>
      </c>
      <c r="X48" s="563">
        <v>1.02</v>
      </c>
      <c r="Y48" s="563">
        <v>1.02</v>
      </c>
      <c r="Z48" s="563">
        <v>1.02</v>
      </c>
      <c r="AA48" s="563">
        <v>1.02</v>
      </c>
      <c r="AB48" s="563">
        <v>1.02</v>
      </c>
      <c r="AC48" s="563">
        <v>1.02</v>
      </c>
      <c r="AD48" s="563">
        <v>1.02</v>
      </c>
      <c r="AE48" s="563">
        <v>1.02</v>
      </c>
      <c r="AF48" s="563">
        <v>1.02</v>
      </c>
      <c r="AG48" s="563">
        <v>1.02</v>
      </c>
      <c r="AH48" s="563">
        <v>1.02</v>
      </c>
      <c r="AI48" s="563">
        <v>1.02</v>
      </c>
      <c r="AJ48" s="563">
        <v>1.02</v>
      </c>
      <c r="AK48" s="563">
        <v>1.02</v>
      </c>
      <c r="AL48" s="563">
        <v>1.02</v>
      </c>
      <c r="AM48" s="142"/>
    </row>
    <row r="49" spans="1:40" ht="13.5" customHeight="1">
      <c r="A49" s="619"/>
      <c r="B49" s="619"/>
      <c r="C49" s="619"/>
      <c r="D49" s="155"/>
      <c r="E49" s="164" t="s">
        <v>12</v>
      </c>
      <c r="F49" s="204"/>
      <c r="G49" s="204"/>
      <c r="H49" s="204"/>
      <c r="I49" s="204"/>
      <c r="J49" s="204"/>
      <c r="K49" s="204"/>
      <c r="L49" s="204"/>
      <c r="M49" s="204"/>
      <c r="N49" s="204"/>
      <c r="O49" s="204"/>
      <c r="P49" s="204"/>
      <c r="Q49" s="204"/>
      <c r="R49" s="204"/>
      <c r="S49" s="204"/>
      <c r="T49" s="204"/>
      <c r="U49" s="204"/>
      <c r="V49" s="204"/>
      <c r="W49" s="204"/>
      <c r="X49" s="204"/>
      <c r="Y49" s="204"/>
      <c r="Z49" s="204"/>
      <c r="AA49" s="204"/>
      <c r="AB49" s="204"/>
      <c r="AC49" s="204"/>
      <c r="AD49" s="204"/>
      <c r="AE49" s="204"/>
      <c r="AF49" s="204"/>
      <c r="AG49" s="204"/>
      <c r="AH49" s="204"/>
      <c r="AI49" s="204"/>
      <c r="AJ49" s="204"/>
      <c r="AK49" s="204"/>
      <c r="AL49" s="204"/>
      <c r="AM49" s="142"/>
      <c r="AN49" s="617"/>
    </row>
    <row r="50" spans="1:40" ht="13.5" customHeight="1">
      <c r="A50" s="619"/>
      <c r="B50" s="619"/>
      <c r="C50" s="619"/>
      <c r="D50" s="155"/>
      <c r="E50" s="164" t="s">
        <v>469</v>
      </c>
      <c r="F50" s="204">
        <f t="shared" ref="F50:AL50" si="10">SUM(F42:F48)</f>
        <v>13.23</v>
      </c>
      <c r="G50" s="204">
        <f t="shared" si="10"/>
        <v>13.23</v>
      </c>
      <c r="H50" s="204">
        <f t="shared" si="10"/>
        <v>13.23</v>
      </c>
      <c r="I50" s="204">
        <f t="shared" si="10"/>
        <v>13.23</v>
      </c>
      <c r="J50" s="204">
        <f t="shared" si="10"/>
        <v>13.23</v>
      </c>
      <c r="K50" s="204">
        <f t="shared" si="10"/>
        <v>13.23</v>
      </c>
      <c r="L50" s="204">
        <f t="shared" si="10"/>
        <v>13.23</v>
      </c>
      <c r="M50" s="204">
        <f t="shared" si="10"/>
        <v>13.23</v>
      </c>
      <c r="N50" s="204">
        <f t="shared" si="10"/>
        <v>13.23</v>
      </c>
      <c r="O50" s="204">
        <f t="shared" si="10"/>
        <v>13.23</v>
      </c>
      <c r="P50" s="204">
        <f t="shared" si="10"/>
        <v>13.23</v>
      </c>
      <c r="Q50" s="204">
        <f t="shared" si="10"/>
        <v>13.23</v>
      </c>
      <c r="R50" s="204">
        <f t="shared" si="10"/>
        <v>13.23</v>
      </c>
      <c r="S50" s="204">
        <f t="shared" si="10"/>
        <v>13.23</v>
      </c>
      <c r="T50" s="204">
        <f t="shared" si="10"/>
        <v>13.23</v>
      </c>
      <c r="U50" s="204">
        <f t="shared" si="10"/>
        <v>13.23</v>
      </c>
      <c r="V50" s="204">
        <f t="shared" si="10"/>
        <v>13.23</v>
      </c>
      <c r="W50" s="204">
        <f t="shared" si="10"/>
        <v>13.23</v>
      </c>
      <c r="X50" s="204">
        <f t="shared" si="10"/>
        <v>13.23</v>
      </c>
      <c r="Y50" s="204">
        <f t="shared" si="10"/>
        <v>13.23</v>
      </c>
      <c r="Z50" s="204">
        <f t="shared" si="10"/>
        <v>13.23</v>
      </c>
      <c r="AA50" s="204">
        <f t="shared" si="10"/>
        <v>13.23</v>
      </c>
      <c r="AB50" s="204">
        <f t="shared" si="10"/>
        <v>13.23</v>
      </c>
      <c r="AC50" s="204">
        <f t="shared" si="10"/>
        <v>13.23</v>
      </c>
      <c r="AD50" s="204">
        <f t="shared" si="10"/>
        <v>13.23</v>
      </c>
      <c r="AE50" s="204">
        <f t="shared" si="10"/>
        <v>13.23</v>
      </c>
      <c r="AF50" s="204">
        <f t="shared" si="10"/>
        <v>13.23</v>
      </c>
      <c r="AG50" s="204">
        <f t="shared" si="10"/>
        <v>13.23</v>
      </c>
      <c r="AH50" s="204">
        <f t="shared" si="10"/>
        <v>13.23</v>
      </c>
      <c r="AI50" s="204">
        <f t="shared" si="10"/>
        <v>13.23</v>
      </c>
      <c r="AJ50" s="204">
        <f t="shared" si="10"/>
        <v>13.23</v>
      </c>
      <c r="AK50" s="204">
        <f t="shared" si="10"/>
        <v>13.23</v>
      </c>
      <c r="AL50" s="204">
        <f t="shared" si="10"/>
        <v>13.23</v>
      </c>
      <c r="AM50" s="142"/>
      <c r="AN50" s="617"/>
    </row>
    <row r="51" spans="1:40" ht="13.5" customHeight="1">
      <c r="A51" s="619"/>
      <c r="B51" s="619"/>
      <c r="C51" s="619"/>
      <c r="D51" s="155"/>
      <c r="E51" s="355"/>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3"/>
      <c r="AL51" s="143"/>
      <c r="AM51" s="142"/>
      <c r="AN51" s="617"/>
    </row>
    <row r="52" spans="1:40" ht="13.5" customHeight="1">
      <c r="A52" s="619">
        <v>3</v>
      </c>
      <c r="B52" s="619"/>
      <c r="C52" s="619"/>
      <c r="D52" s="155"/>
      <c r="E52" s="440" t="s">
        <v>1000</v>
      </c>
      <c r="F52" s="143"/>
      <c r="G52" s="143"/>
      <c r="H52" s="143"/>
      <c r="I52" s="566"/>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3"/>
      <c r="AL52" s="143"/>
      <c r="AM52" s="142"/>
      <c r="AN52" s="617"/>
    </row>
    <row r="53" spans="1:40" ht="13.5" customHeight="1">
      <c r="A53" s="619">
        <v>12</v>
      </c>
      <c r="B53" s="619"/>
      <c r="C53" s="619"/>
      <c r="D53" s="155"/>
      <c r="E53" s="561" t="s">
        <v>1001</v>
      </c>
      <c r="F53" s="204">
        <v>87.9</v>
      </c>
      <c r="G53" s="204">
        <v>79.599999999999994</v>
      </c>
      <c r="H53" s="204">
        <v>58.1</v>
      </c>
      <c r="I53" s="204">
        <v>88.6</v>
      </c>
      <c r="J53" s="567">
        <v>84.95</v>
      </c>
      <c r="K53" s="567">
        <v>76.010000000000005</v>
      </c>
      <c r="L53" s="567">
        <v>75.510000000000005</v>
      </c>
      <c r="M53" s="567">
        <v>74.73</v>
      </c>
      <c r="N53" s="567">
        <v>75.5</v>
      </c>
      <c r="O53" s="567">
        <v>76.39</v>
      </c>
      <c r="P53" s="567">
        <v>77.2</v>
      </c>
      <c r="Q53" s="567">
        <v>77.760000000000005</v>
      </c>
      <c r="R53" s="567">
        <v>79.67</v>
      </c>
      <c r="S53" s="567">
        <v>82.2</v>
      </c>
      <c r="T53" s="567">
        <v>83.02</v>
      </c>
      <c r="U53" s="567">
        <v>83.69</v>
      </c>
      <c r="V53" s="567">
        <v>84.32</v>
      </c>
      <c r="W53" s="567">
        <v>84.62</v>
      </c>
      <c r="X53" s="567">
        <v>85.2</v>
      </c>
      <c r="Y53" s="567">
        <v>85.72</v>
      </c>
      <c r="Z53" s="567">
        <v>86.65</v>
      </c>
      <c r="AA53" s="567">
        <v>86.68</v>
      </c>
      <c r="AB53" s="567">
        <v>87.34</v>
      </c>
      <c r="AC53" s="567">
        <v>87.88</v>
      </c>
      <c r="AD53" s="567">
        <v>88.01</v>
      </c>
      <c r="AE53" s="567">
        <v>88.87</v>
      </c>
      <c r="AF53" s="567">
        <v>89.7</v>
      </c>
      <c r="AG53" s="567">
        <v>89.97</v>
      </c>
      <c r="AH53" s="567">
        <v>90.68</v>
      </c>
      <c r="AI53" s="567">
        <v>90.95</v>
      </c>
      <c r="AJ53" s="567">
        <v>90.69</v>
      </c>
      <c r="AK53" s="567">
        <v>90.73</v>
      </c>
      <c r="AL53" s="567">
        <v>90.7</v>
      </c>
      <c r="AM53" s="142"/>
      <c r="AN53" s="617"/>
    </row>
    <row r="54" spans="1:40" ht="13.5" customHeight="1">
      <c r="A54" s="619">
        <v>12</v>
      </c>
      <c r="B54" s="619"/>
      <c r="C54" s="619"/>
      <c r="D54" s="155"/>
      <c r="E54" s="561" t="s">
        <v>1002</v>
      </c>
      <c r="F54" s="204">
        <v>90</v>
      </c>
      <c r="G54" s="204">
        <v>84.1</v>
      </c>
      <c r="H54" s="204">
        <v>57.1</v>
      </c>
      <c r="I54" s="204">
        <v>84.6</v>
      </c>
      <c r="J54" s="567">
        <v>81.33</v>
      </c>
      <c r="K54" s="567">
        <v>78.45</v>
      </c>
      <c r="L54" s="567">
        <v>81.25</v>
      </c>
      <c r="M54" s="567">
        <v>81.180000000000007</v>
      </c>
      <c r="N54" s="567">
        <v>81.08</v>
      </c>
      <c r="O54" s="567">
        <v>81.31</v>
      </c>
      <c r="P54" s="567">
        <v>81.95</v>
      </c>
      <c r="Q54" s="567">
        <v>82.43</v>
      </c>
      <c r="R54" s="567">
        <v>82.31</v>
      </c>
      <c r="S54" s="567">
        <v>84.49</v>
      </c>
      <c r="T54" s="567">
        <v>84.84</v>
      </c>
      <c r="U54" s="567">
        <v>85.3</v>
      </c>
      <c r="V54" s="567">
        <v>85.44</v>
      </c>
      <c r="W54" s="567">
        <v>85.8</v>
      </c>
      <c r="X54" s="567">
        <v>86.45</v>
      </c>
      <c r="Y54" s="567">
        <v>87.16</v>
      </c>
      <c r="Z54" s="567">
        <v>87.63</v>
      </c>
      <c r="AA54" s="567">
        <v>87.95</v>
      </c>
      <c r="AB54" s="567">
        <v>88.68</v>
      </c>
      <c r="AC54" s="567">
        <v>89.08</v>
      </c>
      <c r="AD54" s="567">
        <v>89.12</v>
      </c>
      <c r="AE54" s="567">
        <v>90.05</v>
      </c>
      <c r="AF54" s="567">
        <v>91.07</v>
      </c>
      <c r="AG54" s="567">
        <v>91.44</v>
      </c>
      <c r="AH54" s="567">
        <v>92.09</v>
      </c>
      <c r="AI54" s="567">
        <v>92.3</v>
      </c>
      <c r="AJ54" s="567">
        <v>92.11</v>
      </c>
      <c r="AK54" s="567">
        <v>92.03</v>
      </c>
      <c r="AL54" s="567">
        <v>91.81</v>
      </c>
      <c r="AM54" s="142"/>
      <c r="AN54" s="617"/>
    </row>
    <row r="55" spans="1:40" ht="13.5" customHeight="1">
      <c r="A55" s="619">
        <v>12</v>
      </c>
      <c r="B55" s="619"/>
      <c r="C55" s="619"/>
      <c r="D55" s="155"/>
      <c r="E55" s="561" t="s">
        <v>1003</v>
      </c>
      <c r="F55" s="204">
        <v>47.5</v>
      </c>
      <c r="G55" s="204">
        <v>32.1</v>
      </c>
      <c r="H55" s="204">
        <v>28.5</v>
      </c>
      <c r="I55" s="204">
        <v>54.7</v>
      </c>
      <c r="J55" s="568">
        <v>59.12</v>
      </c>
      <c r="K55" s="568">
        <v>58.56</v>
      </c>
      <c r="L55" s="568">
        <v>58.67</v>
      </c>
      <c r="M55" s="568">
        <v>58.53</v>
      </c>
      <c r="N55" s="568">
        <v>58.74</v>
      </c>
      <c r="O55" s="568">
        <v>59.54</v>
      </c>
      <c r="P55" s="568">
        <v>60.87</v>
      </c>
      <c r="Q55" s="568">
        <v>62.13</v>
      </c>
      <c r="R55" s="568">
        <v>63.43</v>
      </c>
      <c r="S55" s="568">
        <v>65.13</v>
      </c>
      <c r="T55" s="568">
        <v>66.239999999999995</v>
      </c>
      <c r="U55" s="568">
        <v>67.349999999999994</v>
      </c>
      <c r="V55" s="568">
        <v>68.16</v>
      </c>
      <c r="W55" s="568">
        <v>68.77</v>
      </c>
      <c r="X55" s="568">
        <v>69.36</v>
      </c>
      <c r="Y55" s="568">
        <v>70</v>
      </c>
      <c r="Z55" s="568">
        <v>70.63</v>
      </c>
      <c r="AA55" s="568">
        <v>71.099999999999994</v>
      </c>
      <c r="AB55" s="568">
        <v>71.849999999999994</v>
      </c>
      <c r="AC55" s="568">
        <v>72.510000000000005</v>
      </c>
      <c r="AD55" s="568">
        <v>72.87</v>
      </c>
      <c r="AE55" s="568">
        <v>73.39</v>
      </c>
      <c r="AF55" s="568">
        <v>74.02</v>
      </c>
      <c r="AG55" s="568">
        <v>74.38</v>
      </c>
      <c r="AH55" s="568">
        <v>74.760000000000005</v>
      </c>
      <c r="AI55" s="568">
        <v>75.08</v>
      </c>
      <c r="AJ55" s="568">
        <v>75.31</v>
      </c>
      <c r="AK55" s="568">
        <v>75.39</v>
      </c>
      <c r="AL55" s="568">
        <v>75.400000000000006</v>
      </c>
      <c r="AM55" s="142"/>
      <c r="AN55" s="617"/>
    </row>
    <row r="56" spans="1:40" ht="13.5" customHeight="1">
      <c r="A56" s="619"/>
      <c r="B56" s="619"/>
      <c r="C56" s="619"/>
      <c r="D56" s="155"/>
      <c r="E56" s="569" t="s">
        <v>1004</v>
      </c>
      <c r="F56" s="569">
        <f>F53*1000/(1000000*$L$120)</f>
        <v>15.13806278919694</v>
      </c>
      <c r="G56" s="569">
        <f t="shared" ref="G56:AL58" si="11">G53*1000/(1000000*$L$120)</f>
        <v>13.708643891013384</v>
      </c>
      <c r="H56" s="569">
        <f t="shared" si="11"/>
        <v>10.005932287284894</v>
      </c>
      <c r="I56" s="569">
        <f t="shared" si="11"/>
        <v>15.258616190248565</v>
      </c>
      <c r="J56" s="569">
        <f t="shared" si="11"/>
        <v>14.630016313336521</v>
      </c>
      <c r="K56" s="569">
        <f t="shared" si="11"/>
        <v>13.090377162762906</v>
      </c>
      <c r="L56" s="569">
        <f t="shared" si="11"/>
        <v>13.004267590583174</v>
      </c>
      <c r="M56" s="569">
        <f t="shared" si="11"/>
        <v>12.869936657982791</v>
      </c>
      <c r="N56" s="569">
        <f t="shared" si="11"/>
        <v>13.00254539913958</v>
      </c>
      <c r="O56" s="569">
        <f t="shared" si="11"/>
        <v>13.155820437619502</v>
      </c>
      <c r="P56" s="569">
        <f t="shared" si="11"/>
        <v>13.29531794455067</v>
      </c>
      <c r="Q56" s="569">
        <f t="shared" si="11"/>
        <v>13.391760665391969</v>
      </c>
      <c r="R56" s="569">
        <f t="shared" si="11"/>
        <v>13.720699231118546</v>
      </c>
      <c r="S56" s="569">
        <f t="shared" si="11"/>
        <v>14.156413666347992</v>
      </c>
      <c r="T56" s="569">
        <f t="shared" si="11"/>
        <v>14.297633364722753</v>
      </c>
      <c r="U56" s="569">
        <f t="shared" si="11"/>
        <v>14.413020191443595</v>
      </c>
      <c r="V56" s="569">
        <f t="shared" si="11"/>
        <v>14.521518252390058</v>
      </c>
      <c r="W56" s="569">
        <f t="shared" si="11"/>
        <v>14.573183995697896</v>
      </c>
      <c r="X56" s="569">
        <f t="shared" si="11"/>
        <v>14.673071099426386</v>
      </c>
      <c r="Y56" s="569">
        <f t="shared" si="11"/>
        <v>14.762625054493308</v>
      </c>
      <c r="Z56" s="569">
        <f t="shared" si="11"/>
        <v>14.922788858747611</v>
      </c>
      <c r="AA56" s="569">
        <f t="shared" si="11"/>
        <v>14.927955433078393</v>
      </c>
      <c r="AB56" s="569">
        <f t="shared" si="11"/>
        <v>15.041620068355641</v>
      </c>
      <c r="AC56" s="569">
        <f t="shared" si="11"/>
        <v>15.134618406309752</v>
      </c>
      <c r="AD56" s="569">
        <f t="shared" si="11"/>
        <v>15.157006895076481</v>
      </c>
      <c r="AE56" s="569">
        <f t="shared" si="11"/>
        <v>15.305115359225621</v>
      </c>
      <c r="AF56" s="569">
        <f t="shared" si="11"/>
        <v>15.448057249043977</v>
      </c>
      <c r="AG56" s="569">
        <f t="shared" si="11"/>
        <v>15.494556418021032</v>
      </c>
      <c r="AH56" s="569">
        <f t="shared" si="11"/>
        <v>15.616832010516251</v>
      </c>
      <c r="AI56" s="569">
        <f t="shared" si="11"/>
        <v>15.663331179493307</v>
      </c>
      <c r="AJ56" s="569">
        <f t="shared" si="11"/>
        <v>15.618554201959848</v>
      </c>
      <c r="AK56" s="569">
        <f t="shared" si="11"/>
        <v>15.625442967734225</v>
      </c>
      <c r="AL56" s="569">
        <f t="shared" si="11"/>
        <v>15.620276393403442</v>
      </c>
      <c r="AM56" s="142"/>
      <c r="AN56" s="617"/>
    </row>
    <row r="57" spans="1:40" ht="13.5" customHeight="1">
      <c r="A57" s="619"/>
      <c r="B57" s="619"/>
      <c r="C57" s="619"/>
      <c r="D57" s="155"/>
      <c r="E57" s="569" t="s">
        <v>463</v>
      </c>
      <c r="F57" s="569">
        <f t="shared" ref="F57:U58" si="12">F54*1000/(1000000*$L$120)</f>
        <v>15.499722992351817</v>
      </c>
      <c r="G57" s="569">
        <f t="shared" si="12"/>
        <v>14.483630040630976</v>
      </c>
      <c r="H57" s="569">
        <f t="shared" si="12"/>
        <v>9.8337131429254292</v>
      </c>
      <c r="I57" s="569">
        <f t="shared" si="12"/>
        <v>14.569739612810707</v>
      </c>
      <c r="J57" s="569">
        <f t="shared" si="12"/>
        <v>14.006583010755257</v>
      </c>
      <c r="K57" s="569">
        <f t="shared" si="12"/>
        <v>13.510591874999999</v>
      </c>
      <c r="L57" s="569">
        <f t="shared" si="12"/>
        <v>13.992805479206501</v>
      </c>
      <c r="M57" s="569">
        <f t="shared" si="12"/>
        <v>13.980750139101339</v>
      </c>
      <c r="N57" s="569">
        <f t="shared" si="12"/>
        <v>13.963528224665392</v>
      </c>
      <c r="O57" s="569">
        <f t="shared" si="12"/>
        <v>14.003138627868069</v>
      </c>
      <c r="P57" s="569">
        <f t="shared" si="12"/>
        <v>14.113358880258126</v>
      </c>
      <c r="Q57" s="569">
        <f t="shared" si="12"/>
        <v>14.196024069550669</v>
      </c>
      <c r="R57" s="569">
        <f t="shared" si="12"/>
        <v>14.175357772227533</v>
      </c>
      <c r="S57" s="569">
        <f t="shared" si="12"/>
        <v>14.550795506931166</v>
      </c>
      <c r="T57" s="569">
        <f t="shared" si="12"/>
        <v>14.611072207456978</v>
      </c>
      <c r="U57" s="569">
        <f t="shared" si="12"/>
        <v>14.690293013862332</v>
      </c>
      <c r="V57" s="569">
        <f t="shared" si="11"/>
        <v>14.714403694072658</v>
      </c>
      <c r="W57" s="569">
        <f t="shared" si="11"/>
        <v>14.776402586042066</v>
      </c>
      <c r="X57" s="569">
        <f t="shared" si="11"/>
        <v>14.888345029875717</v>
      </c>
      <c r="Y57" s="569">
        <f t="shared" si="11"/>
        <v>15.010620622370936</v>
      </c>
      <c r="Z57" s="569">
        <f t="shared" si="11"/>
        <v>15.091563620219885</v>
      </c>
      <c r="AA57" s="569">
        <f t="shared" si="11"/>
        <v>15.146673746414914</v>
      </c>
      <c r="AB57" s="569">
        <f t="shared" si="11"/>
        <v>15.272393721797323</v>
      </c>
      <c r="AC57" s="569">
        <f t="shared" si="11"/>
        <v>15.341281379541108</v>
      </c>
      <c r="AD57" s="569">
        <f t="shared" si="11"/>
        <v>15.348170145315487</v>
      </c>
      <c r="AE57" s="569">
        <f t="shared" si="11"/>
        <v>15.50833394956979</v>
      </c>
      <c r="AF57" s="569">
        <f t="shared" si="11"/>
        <v>15.683997476816444</v>
      </c>
      <c r="AG57" s="569">
        <f t="shared" si="11"/>
        <v>15.747718560229446</v>
      </c>
      <c r="AH57" s="569">
        <f t="shared" si="11"/>
        <v>15.859661004063097</v>
      </c>
      <c r="AI57" s="569">
        <f t="shared" si="11"/>
        <v>15.895827024378585</v>
      </c>
      <c r="AJ57" s="569">
        <f t="shared" si="11"/>
        <v>15.863105386950286</v>
      </c>
      <c r="AK57" s="569">
        <f t="shared" si="11"/>
        <v>15.84932785540153</v>
      </c>
      <c r="AL57" s="569">
        <f t="shared" si="11"/>
        <v>15.811439643642448</v>
      </c>
      <c r="AM57" s="142"/>
      <c r="AN57" s="617"/>
    </row>
    <row r="58" spans="1:40" ht="13.5" customHeight="1">
      <c r="A58" s="619"/>
      <c r="B58" s="619"/>
      <c r="C58" s="619"/>
      <c r="D58" s="155"/>
      <c r="E58" s="569" t="s">
        <v>465</v>
      </c>
      <c r="F58" s="569">
        <f t="shared" si="12"/>
        <v>8.18040935707457</v>
      </c>
      <c r="G58" s="569">
        <f t="shared" si="11"/>
        <v>5.5282345339388144</v>
      </c>
      <c r="H58" s="569">
        <f t="shared" si="11"/>
        <v>4.9082456142447421</v>
      </c>
      <c r="I58" s="569">
        <f t="shared" si="11"/>
        <v>9.4203871964627144</v>
      </c>
      <c r="J58" s="569">
        <f t="shared" si="11"/>
        <v>10.181595814531548</v>
      </c>
      <c r="K58" s="569">
        <f t="shared" si="11"/>
        <v>10.085153093690248</v>
      </c>
      <c r="L58" s="569">
        <f t="shared" si="11"/>
        <v>10.104097199569789</v>
      </c>
      <c r="M58" s="569">
        <f t="shared" si="11"/>
        <v>10.079986519359464</v>
      </c>
      <c r="N58" s="569">
        <f t="shared" si="11"/>
        <v>10.116152539674951</v>
      </c>
      <c r="O58" s="569">
        <f t="shared" si="11"/>
        <v>10.253927855162523</v>
      </c>
      <c r="P58" s="569">
        <f t="shared" si="11"/>
        <v>10.482979317160611</v>
      </c>
      <c r="Q58" s="569">
        <f t="shared" si="11"/>
        <v>10.699975439053537</v>
      </c>
      <c r="R58" s="569">
        <f t="shared" si="11"/>
        <v>10.923860326720842</v>
      </c>
      <c r="S58" s="569">
        <f t="shared" si="11"/>
        <v>11.21663287213193</v>
      </c>
      <c r="T58" s="569">
        <f t="shared" si="11"/>
        <v>11.407796122370936</v>
      </c>
      <c r="U58" s="569">
        <f t="shared" si="11"/>
        <v>11.598959372609942</v>
      </c>
      <c r="V58" s="569">
        <f t="shared" si="11"/>
        <v>11.73845687954111</v>
      </c>
      <c r="W58" s="569">
        <f t="shared" si="11"/>
        <v>11.843510557600382</v>
      </c>
      <c r="X58" s="569">
        <f t="shared" si="11"/>
        <v>11.945119852772466</v>
      </c>
      <c r="Y58" s="569">
        <f t="shared" si="11"/>
        <v>12.055340105162523</v>
      </c>
      <c r="Z58" s="569">
        <f t="shared" si="11"/>
        <v>12.163838166108986</v>
      </c>
      <c r="AA58" s="569">
        <f t="shared" si="11"/>
        <v>12.244781163957935</v>
      </c>
      <c r="AB58" s="569">
        <f t="shared" si="11"/>
        <v>12.373945522227533</v>
      </c>
      <c r="AC58" s="569">
        <f t="shared" si="11"/>
        <v>12.487610157504779</v>
      </c>
      <c r="AD58" s="569">
        <f t="shared" si="11"/>
        <v>12.549609049474187</v>
      </c>
      <c r="AE58" s="569">
        <f t="shared" si="11"/>
        <v>12.639163004541109</v>
      </c>
      <c r="AF58" s="569">
        <f t="shared" si="11"/>
        <v>12.747661065487572</v>
      </c>
      <c r="AG58" s="569">
        <f t="shared" si="11"/>
        <v>12.809659957456979</v>
      </c>
      <c r="AH58" s="569">
        <f t="shared" si="11"/>
        <v>12.875103232313576</v>
      </c>
      <c r="AI58" s="569">
        <f t="shared" si="11"/>
        <v>12.930213358508604</v>
      </c>
      <c r="AJ58" s="569">
        <f t="shared" si="11"/>
        <v>12.969823761711281</v>
      </c>
      <c r="AK58" s="569">
        <f t="shared" si="11"/>
        <v>12.983601293260039</v>
      </c>
      <c r="AL58" s="569">
        <f t="shared" si="11"/>
        <v>12.985323484703633</v>
      </c>
      <c r="AM58" s="142"/>
      <c r="AN58" s="617"/>
    </row>
    <row r="59" spans="1:40" ht="13.15" customHeight="1">
      <c r="A59" s="632">
        <v>15</v>
      </c>
      <c r="B59" s="619"/>
      <c r="C59" s="619"/>
      <c r="D59" s="155"/>
      <c r="E59" s="569" t="s">
        <v>1005</v>
      </c>
      <c r="F59" s="143"/>
      <c r="G59" s="143"/>
      <c r="H59" s="143"/>
      <c r="I59" s="570">
        <v>11.8683698</v>
      </c>
      <c r="J59" s="570">
        <v>11.46402</v>
      </c>
      <c r="K59" s="570">
        <v>10.108650000000001</v>
      </c>
      <c r="L59" s="570">
        <v>10.99977</v>
      </c>
      <c r="M59" s="570">
        <v>11.13034</v>
      </c>
      <c r="N59" s="570">
        <v>11.346310000000001</v>
      </c>
      <c r="O59" s="570">
        <v>11.66873</v>
      </c>
      <c r="P59" s="570">
        <v>11.90446</v>
      </c>
      <c r="Q59" s="570">
        <v>12.07944</v>
      </c>
      <c r="R59" s="570">
        <v>12.26516</v>
      </c>
      <c r="S59" s="570">
        <v>12.521800000000001</v>
      </c>
      <c r="T59" s="570">
        <v>12.72306</v>
      </c>
      <c r="U59" s="570">
        <v>12.85915</v>
      </c>
      <c r="V59" s="570">
        <v>12.928509999999999</v>
      </c>
      <c r="W59" s="570">
        <v>13.051360000000001</v>
      </c>
      <c r="X59" s="570">
        <v>13.26013</v>
      </c>
      <c r="Y59" s="570">
        <v>13.41297</v>
      </c>
      <c r="Z59" s="570">
        <v>13.590260000000001</v>
      </c>
      <c r="AA59" s="570">
        <v>13.63463</v>
      </c>
      <c r="AB59" s="570">
        <v>13.89406</v>
      </c>
      <c r="AC59" s="570">
        <v>14.052770000000001</v>
      </c>
      <c r="AD59" s="570">
        <v>14.11974</v>
      </c>
      <c r="AE59" s="570">
        <v>14.36478</v>
      </c>
      <c r="AF59" s="570">
        <v>14.65976</v>
      </c>
      <c r="AG59" s="570">
        <v>14.740399999999999</v>
      </c>
      <c r="AH59" s="570">
        <v>14.95421</v>
      </c>
      <c r="AI59" s="570">
        <v>14.945499999999999</v>
      </c>
      <c r="AJ59" s="570">
        <v>14.96617</v>
      </c>
      <c r="AK59" s="570">
        <v>15.01878</v>
      </c>
      <c r="AL59" s="570">
        <v>14.97146</v>
      </c>
      <c r="AM59" s="142"/>
      <c r="AN59" s="617"/>
    </row>
    <row r="60" spans="1:40" ht="13.5" customHeight="1">
      <c r="A60" s="651"/>
      <c r="B60" s="619"/>
      <c r="C60" s="619"/>
      <c r="D60" s="155"/>
      <c r="E60" s="569" t="s">
        <v>1006</v>
      </c>
      <c r="F60" s="143"/>
      <c r="G60" s="143"/>
      <c r="H60" s="143"/>
      <c r="I60" s="570">
        <v>23.0500772</v>
      </c>
      <c r="J60" s="570">
        <v>22.4237</v>
      </c>
      <c r="K60" s="570">
        <v>21.53755</v>
      </c>
      <c r="L60" s="570">
        <v>22.267060000000001</v>
      </c>
      <c r="M60" s="570">
        <v>22.163789999999999</v>
      </c>
      <c r="N60" s="570">
        <v>22.060659999999999</v>
      </c>
      <c r="O60" s="570">
        <v>22.053599999999999</v>
      </c>
      <c r="P60" s="570">
        <v>22.232949999999999</v>
      </c>
      <c r="Q60" s="570">
        <v>22.350560000000002</v>
      </c>
      <c r="R60" s="570">
        <v>22.31287</v>
      </c>
      <c r="S60" s="570">
        <v>22.837299999999999</v>
      </c>
      <c r="T60" s="570">
        <v>22.926590000000001</v>
      </c>
      <c r="U60" s="570">
        <v>23.038979999999999</v>
      </c>
      <c r="V60" s="570">
        <v>23.072510000000001</v>
      </c>
      <c r="W60" s="570">
        <v>23.162980000000001</v>
      </c>
      <c r="X60" s="570">
        <v>23.32818</v>
      </c>
      <c r="Y60" s="570">
        <v>23.542490000000001</v>
      </c>
      <c r="Z60" s="570">
        <v>23.667819999999999</v>
      </c>
      <c r="AA60" s="570">
        <v>23.739000000000001</v>
      </c>
      <c r="AB60" s="570">
        <v>23.93563</v>
      </c>
      <c r="AC60" s="570">
        <v>24.039629999999999</v>
      </c>
      <c r="AD60" s="570">
        <v>24.051690000000001</v>
      </c>
      <c r="AE60" s="570">
        <v>24.305219999999998</v>
      </c>
      <c r="AF60" s="570">
        <v>24.580069999999999</v>
      </c>
      <c r="AG60" s="570">
        <v>24.684449999999998</v>
      </c>
      <c r="AH60" s="570">
        <v>24.863140000000001</v>
      </c>
      <c r="AI60" s="570">
        <v>24.910540000000001</v>
      </c>
      <c r="AJ60" s="570">
        <v>24.858070000000001</v>
      </c>
      <c r="AK60" s="570">
        <v>24.83117</v>
      </c>
      <c r="AL60" s="570">
        <v>24.75469</v>
      </c>
      <c r="AM60" s="142"/>
      <c r="AN60" s="617"/>
    </row>
    <row r="61" spans="1:40" ht="13.5" customHeight="1">
      <c r="A61" s="651"/>
      <c r="B61" s="619"/>
      <c r="C61" s="619"/>
      <c r="D61" s="155"/>
      <c r="E61" s="569" t="s">
        <v>1007</v>
      </c>
      <c r="F61" s="143"/>
      <c r="G61" s="143"/>
      <c r="H61" s="143"/>
      <c r="I61" s="570">
        <v>14.329032</v>
      </c>
      <c r="J61" s="570">
        <v>14.978680000000001</v>
      </c>
      <c r="K61" s="570">
        <v>13.982340000000001</v>
      </c>
      <c r="L61" s="570">
        <v>15.125450000000001</v>
      </c>
      <c r="M61" s="570">
        <v>15.185079999999999</v>
      </c>
      <c r="N61" s="570">
        <v>15.32851</v>
      </c>
      <c r="O61" s="570">
        <v>15.603339999999999</v>
      </c>
      <c r="P61" s="570">
        <v>15.87411</v>
      </c>
      <c r="Q61" s="570">
        <v>16.039010000000001</v>
      </c>
      <c r="R61" s="570">
        <v>15.98338</v>
      </c>
      <c r="S61" s="570">
        <v>16.456600000000002</v>
      </c>
      <c r="T61" s="570">
        <v>16.636109999999999</v>
      </c>
      <c r="U61" s="570">
        <v>16.744499999999999</v>
      </c>
      <c r="V61" s="570">
        <v>16.90924</v>
      </c>
      <c r="W61" s="570">
        <v>17.01868</v>
      </c>
      <c r="X61" s="570">
        <v>17.21077</v>
      </c>
      <c r="Y61" s="570">
        <v>17.461210000000001</v>
      </c>
      <c r="Z61" s="570">
        <v>17.63607</v>
      </c>
      <c r="AA61" s="570">
        <v>17.737410000000001</v>
      </c>
      <c r="AB61" s="570">
        <v>17.92004</v>
      </c>
      <c r="AC61" s="570">
        <v>18.05865</v>
      </c>
      <c r="AD61" s="570">
        <v>18.098579999999998</v>
      </c>
      <c r="AE61" s="570">
        <v>18.382919999999999</v>
      </c>
      <c r="AF61" s="570">
        <v>18.68638</v>
      </c>
      <c r="AG61" s="570">
        <v>18.792470000000002</v>
      </c>
      <c r="AH61" s="570">
        <v>18.996639999999999</v>
      </c>
      <c r="AI61" s="570">
        <v>19.085789999999999</v>
      </c>
      <c r="AJ61" s="570">
        <v>19.058479999999999</v>
      </c>
      <c r="AK61" s="570">
        <v>19.098980000000001</v>
      </c>
      <c r="AL61" s="570">
        <v>19.042290000000001</v>
      </c>
      <c r="AM61" s="142"/>
      <c r="AN61" s="617"/>
    </row>
    <row r="62" spans="1:40" ht="13.5" customHeight="1">
      <c r="A62" s="651"/>
      <c r="B62" s="619"/>
      <c r="C62" s="619"/>
      <c r="D62" s="155"/>
      <c r="E62" s="569" t="s">
        <v>1008</v>
      </c>
      <c r="F62" s="143"/>
      <c r="G62" s="143"/>
      <c r="H62" s="143"/>
      <c r="I62" s="570">
        <v>14.329032</v>
      </c>
      <c r="J62" s="570">
        <v>14.978680000000001</v>
      </c>
      <c r="K62" s="570">
        <v>13.982340000000001</v>
      </c>
      <c r="L62" s="570">
        <v>15.125450000000001</v>
      </c>
      <c r="M62" s="570">
        <v>15.185079999999999</v>
      </c>
      <c r="N62" s="570">
        <v>15.32851</v>
      </c>
      <c r="O62" s="570">
        <v>15.603339999999999</v>
      </c>
      <c r="P62" s="570">
        <v>15.87411</v>
      </c>
      <c r="Q62" s="570">
        <v>16.039010000000001</v>
      </c>
      <c r="R62" s="570">
        <v>15.98338</v>
      </c>
      <c r="S62" s="570">
        <v>16.456600000000002</v>
      </c>
      <c r="T62" s="570">
        <v>16.636109999999999</v>
      </c>
      <c r="U62" s="570">
        <v>16.744499999999999</v>
      </c>
      <c r="V62" s="570">
        <v>16.90924</v>
      </c>
      <c r="W62" s="570">
        <v>17.01868</v>
      </c>
      <c r="X62" s="570">
        <v>17.21077</v>
      </c>
      <c r="Y62" s="570">
        <v>17.461210000000001</v>
      </c>
      <c r="Z62" s="570">
        <v>17.63607</v>
      </c>
      <c r="AA62" s="570">
        <v>17.737410000000001</v>
      </c>
      <c r="AB62" s="570">
        <v>17.92004</v>
      </c>
      <c r="AC62" s="570">
        <v>18.05865</v>
      </c>
      <c r="AD62" s="570">
        <v>18.098579999999998</v>
      </c>
      <c r="AE62" s="570">
        <v>18.382919999999999</v>
      </c>
      <c r="AF62" s="570">
        <v>18.68638</v>
      </c>
      <c r="AG62" s="570">
        <v>18.792470000000002</v>
      </c>
      <c r="AH62" s="570">
        <v>18.996639999999999</v>
      </c>
      <c r="AI62" s="570">
        <v>19.085789999999999</v>
      </c>
      <c r="AJ62" s="570">
        <v>19.058479999999999</v>
      </c>
      <c r="AK62" s="570">
        <v>19.098980000000001</v>
      </c>
      <c r="AL62" s="570">
        <v>19.042290000000001</v>
      </c>
      <c r="AM62" s="142"/>
      <c r="AN62" s="617"/>
    </row>
    <row r="63" spans="1:40" ht="13.5" customHeight="1">
      <c r="A63" s="651"/>
      <c r="B63" s="619"/>
      <c r="C63" s="619"/>
      <c r="D63" s="155"/>
      <c r="E63" s="571" t="s">
        <v>1009</v>
      </c>
      <c r="F63" s="143"/>
      <c r="G63" s="143"/>
      <c r="H63" s="143"/>
      <c r="I63" s="570">
        <v>13.453329107</v>
      </c>
      <c r="J63" s="570">
        <v>12.7456446</v>
      </c>
      <c r="K63" s="570">
        <v>12.0225692</v>
      </c>
      <c r="L63" s="570">
        <v>11.346323099999999</v>
      </c>
      <c r="M63" s="570">
        <v>11.033907999999998</v>
      </c>
      <c r="N63" s="570">
        <v>10.9672085</v>
      </c>
      <c r="O63" s="570">
        <v>11.0789779</v>
      </c>
      <c r="P63" s="570">
        <v>11.3312086</v>
      </c>
      <c r="Q63" s="570">
        <v>11.6032107</v>
      </c>
      <c r="R63" s="570">
        <v>11.784674000000001</v>
      </c>
      <c r="S63" s="570">
        <v>12.066387000000001</v>
      </c>
      <c r="T63" s="570">
        <v>12.106000099999999</v>
      </c>
      <c r="U63" s="570">
        <v>12.272812499999999</v>
      </c>
      <c r="V63" s="570">
        <v>12.269289899999999</v>
      </c>
      <c r="W63" s="570">
        <v>12.222527100000001</v>
      </c>
      <c r="X63" s="570">
        <v>12.2174788</v>
      </c>
      <c r="Y63" s="570">
        <v>12.2337238</v>
      </c>
      <c r="Z63" s="570">
        <v>12.237316699999999</v>
      </c>
      <c r="AA63" s="570">
        <v>12.2401553</v>
      </c>
      <c r="AB63" s="570">
        <v>12.2668503</v>
      </c>
      <c r="AC63" s="570">
        <v>12.246810999999999</v>
      </c>
      <c r="AD63" s="570">
        <v>12.1864252</v>
      </c>
      <c r="AE63" s="570">
        <v>12.159830899999999</v>
      </c>
      <c r="AF63" s="570">
        <v>12.048751199999998</v>
      </c>
      <c r="AG63" s="570">
        <v>12.011655599999999</v>
      </c>
      <c r="AH63" s="570">
        <v>11.988749199999999</v>
      </c>
      <c r="AI63" s="570">
        <v>11.967254499999999</v>
      </c>
      <c r="AJ63" s="570">
        <v>11.9578343</v>
      </c>
      <c r="AK63" s="570">
        <v>11.935697399999999</v>
      </c>
      <c r="AL63" s="570">
        <v>11.903648199999999</v>
      </c>
      <c r="AM63" s="142"/>
      <c r="AN63" s="617" t="s">
        <v>1010</v>
      </c>
    </row>
    <row r="64" spans="1:40" ht="13.5" customHeight="1">
      <c r="A64" s="619"/>
      <c r="B64" s="619"/>
      <c r="C64" s="619"/>
      <c r="D64" s="155"/>
      <c r="E64" s="571" t="s">
        <v>1011</v>
      </c>
      <c r="F64" s="570">
        <v>12.1455784</v>
      </c>
      <c r="G64" s="570">
        <v>13.34068108</v>
      </c>
      <c r="H64" s="570">
        <v>14.035508220000001</v>
      </c>
      <c r="I64" s="570">
        <v>7.0872368259999998</v>
      </c>
      <c r="J64" s="570">
        <v>12.03878108</v>
      </c>
      <c r="K64" s="570">
        <v>11.931983750000001</v>
      </c>
      <c r="L64" s="570">
        <v>11.82518642</v>
      </c>
      <c r="M64" s="570">
        <v>11.718389090000001</v>
      </c>
      <c r="N64" s="570">
        <v>11.61159177</v>
      </c>
      <c r="O64" s="570">
        <v>11.50479444</v>
      </c>
      <c r="P64" s="570">
        <v>11.39799711</v>
      </c>
      <c r="Q64" s="570">
        <v>11.291199779999999</v>
      </c>
      <c r="R64" s="570">
        <v>11.184402459999999</v>
      </c>
      <c r="S64" s="570">
        <v>11.07760513</v>
      </c>
      <c r="T64" s="570">
        <v>10.970807799999999</v>
      </c>
      <c r="U64" s="570">
        <v>10.864010479999999</v>
      </c>
      <c r="V64" s="570">
        <v>10.75721315</v>
      </c>
      <c r="W64" s="570">
        <v>10.650415819999999</v>
      </c>
      <c r="X64" s="570">
        <v>10.54361849</v>
      </c>
      <c r="Y64" s="570">
        <v>10.43682117</v>
      </c>
      <c r="Z64" s="570">
        <v>10.330023840000001</v>
      </c>
      <c r="AA64" s="570">
        <v>10.22322651</v>
      </c>
      <c r="AB64" s="570">
        <v>10.116429180000001</v>
      </c>
      <c r="AC64" s="570">
        <v>10.009631860000001</v>
      </c>
      <c r="AD64" s="570">
        <v>9.9028345289999997</v>
      </c>
      <c r="AE64" s="570">
        <v>9.7960372020000008</v>
      </c>
      <c r="AF64" s="570">
        <v>9.6892398750000002</v>
      </c>
      <c r="AG64" s="570">
        <v>9.5824425469999994</v>
      </c>
      <c r="AH64" s="570">
        <v>9.4756452200000005</v>
      </c>
      <c r="AI64" s="570">
        <v>9.3688478929999999</v>
      </c>
      <c r="AJ64" s="570">
        <v>9.2620505649999991</v>
      </c>
      <c r="AK64" s="570">
        <v>9.1552532380000002</v>
      </c>
      <c r="AL64" s="570">
        <v>9.0484559109999996</v>
      </c>
      <c r="AM64" s="142"/>
      <c r="AN64" s="617"/>
    </row>
    <row r="65" spans="1:39" ht="13.5" customHeight="1">
      <c r="A65" s="619"/>
      <c r="B65" s="619"/>
      <c r="C65" s="619"/>
      <c r="D65" s="167"/>
      <c r="E65" s="222"/>
      <c r="F65" s="230"/>
      <c r="G65" s="230"/>
      <c r="H65" s="230"/>
      <c r="I65" s="230"/>
      <c r="J65" s="230"/>
      <c r="K65" s="230"/>
      <c r="L65" s="230"/>
      <c r="M65" s="230"/>
      <c r="N65" s="230"/>
      <c r="O65" s="230"/>
      <c r="P65" s="230"/>
      <c r="Q65" s="230"/>
      <c r="R65" s="230"/>
      <c r="S65" s="230"/>
      <c r="T65" s="230"/>
      <c r="U65" s="230"/>
      <c r="V65" s="230"/>
      <c r="W65" s="230"/>
      <c r="X65" s="230"/>
      <c r="Y65" s="230"/>
      <c r="Z65" s="230"/>
      <c r="AA65" s="230"/>
      <c r="AB65" s="230"/>
      <c r="AC65" s="230"/>
      <c r="AD65" s="230"/>
      <c r="AE65" s="230"/>
      <c r="AF65" s="230"/>
      <c r="AG65" s="230"/>
      <c r="AH65" s="230"/>
      <c r="AI65" s="230"/>
      <c r="AJ65" s="230"/>
      <c r="AK65" s="230"/>
      <c r="AL65" s="230"/>
      <c r="AM65" s="230"/>
    </row>
    <row r="66" spans="1:39"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row>
    <row r="67" spans="1:39" ht="13.5" customHeight="1">
      <c r="A67" s="619"/>
      <c r="B67" s="619"/>
      <c r="C67" s="619"/>
      <c r="D67" s="6"/>
      <c r="E67" s="152"/>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1"/>
    </row>
    <row r="68" spans="1:39" ht="13.5" customHeight="1">
      <c r="A68" s="619"/>
      <c r="B68" s="619"/>
      <c r="C68" s="619"/>
      <c r="D68" s="155"/>
      <c r="E68" s="156" t="s">
        <v>60</v>
      </c>
      <c r="F68" s="143"/>
      <c r="G68" s="143"/>
      <c r="H68" s="143"/>
      <c r="I68" s="143"/>
      <c r="J68" s="143"/>
      <c r="K68" s="143"/>
      <c r="L68" s="143"/>
      <c r="M68" s="143"/>
      <c r="N68" s="143"/>
      <c r="O68" s="143"/>
      <c r="P68" s="143"/>
      <c r="Q68" s="143"/>
      <c r="R68" s="143"/>
      <c r="S68" s="143"/>
      <c r="T68" s="143"/>
      <c r="U68" s="143"/>
      <c r="V68" s="143"/>
      <c r="W68" s="143"/>
      <c r="X68" s="143"/>
      <c r="Y68" s="143"/>
      <c r="Z68" s="143"/>
      <c r="AA68" s="143"/>
      <c r="AB68" s="143"/>
      <c r="AC68" s="143"/>
      <c r="AD68" s="143"/>
      <c r="AE68" s="143"/>
      <c r="AF68" s="143"/>
      <c r="AG68" s="143"/>
      <c r="AH68" s="143"/>
      <c r="AI68" s="143"/>
      <c r="AJ68" s="143"/>
      <c r="AK68" s="143"/>
      <c r="AL68" s="143"/>
      <c r="AM68" s="142"/>
    </row>
    <row r="69" spans="1:39" ht="13.5" customHeight="1">
      <c r="A69" s="619"/>
      <c r="B69" s="619"/>
      <c r="C69" s="619"/>
      <c r="D69" s="155"/>
      <c r="E69" s="156"/>
      <c r="F69" s="143"/>
      <c r="G69" s="143"/>
      <c r="H69" s="143"/>
      <c r="I69" s="143"/>
      <c r="J69" s="143"/>
      <c r="K69" s="143"/>
      <c r="L69" s="143"/>
      <c r="M69" s="143"/>
      <c r="N69" s="143"/>
      <c r="O69" s="143"/>
      <c r="P69" s="143"/>
      <c r="Q69" s="143"/>
      <c r="R69" s="143"/>
      <c r="S69" s="143"/>
      <c r="T69" s="143"/>
      <c r="U69" s="143"/>
      <c r="V69" s="143"/>
      <c r="W69" s="143"/>
      <c r="X69" s="143"/>
      <c r="Y69" s="143"/>
      <c r="Z69" s="143"/>
      <c r="AA69" s="143"/>
      <c r="AB69" s="143"/>
      <c r="AC69" s="143"/>
      <c r="AD69" s="143"/>
      <c r="AE69" s="143"/>
      <c r="AF69" s="143"/>
      <c r="AG69" s="143"/>
      <c r="AH69" s="143"/>
      <c r="AI69" s="143"/>
      <c r="AJ69" s="143"/>
      <c r="AK69" s="143"/>
      <c r="AL69" s="143"/>
      <c r="AM69" s="142"/>
    </row>
    <row r="70" spans="1:39" ht="13.5" customHeight="1">
      <c r="A70" s="619"/>
      <c r="B70" s="619"/>
      <c r="C70" s="619"/>
      <c r="D70" s="155"/>
      <c r="E70" s="440" t="s">
        <v>1012</v>
      </c>
      <c r="F70" s="143"/>
      <c r="G70" s="143"/>
      <c r="H70" s="143"/>
      <c r="I70" s="143"/>
      <c r="J70" s="143"/>
      <c r="K70" s="143"/>
      <c r="L70" s="143"/>
      <c r="M70" s="143"/>
      <c r="N70" s="143"/>
      <c r="O70" s="143"/>
      <c r="P70" s="143"/>
      <c r="Q70" s="143"/>
      <c r="R70" s="143"/>
      <c r="S70" s="143"/>
      <c r="T70" s="143"/>
      <c r="U70" s="143"/>
      <c r="V70" s="143"/>
      <c r="W70" s="143"/>
      <c r="X70" s="143"/>
      <c r="Y70" s="143"/>
      <c r="Z70" s="143"/>
      <c r="AA70" s="143"/>
      <c r="AB70" s="143"/>
      <c r="AC70" s="143"/>
      <c r="AD70" s="143"/>
      <c r="AE70" s="143"/>
      <c r="AF70" s="143"/>
      <c r="AG70" s="143"/>
      <c r="AH70" s="143"/>
      <c r="AI70" s="143"/>
      <c r="AJ70" s="143"/>
      <c r="AK70" s="143"/>
      <c r="AL70" s="143"/>
      <c r="AM70" s="142"/>
    </row>
    <row r="71" spans="1:39" ht="13.5" customHeight="1">
      <c r="A71" s="619"/>
      <c r="B71" s="619" t="s">
        <v>1013</v>
      </c>
      <c r="C71" s="619" t="s">
        <v>1014</v>
      </c>
      <c r="D71" s="155"/>
      <c r="E71" s="562" t="s">
        <v>473</v>
      </c>
      <c r="F71" s="567">
        <v>0.66</v>
      </c>
      <c r="G71" s="567">
        <v>0.66</v>
      </c>
      <c r="H71" s="567">
        <v>0.66</v>
      </c>
      <c r="I71" s="567">
        <v>0.66</v>
      </c>
      <c r="J71" s="567">
        <v>0.66</v>
      </c>
      <c r="K71" s="567">
        <v>0.66</v>
      </c>
      <c r="L71" s="567">
        <v>0.66</v>
      </c>
      <c r="M71" s="567">
        <v>0.66</v>
      </c>
      <c r="N71" s="567">
        <v>0.66</v>
      </c>
      <c r="O71" s="567">
        <v>0.66</v>
      </c>
      <c r="P71" s="567">
        <v>0.66</v>
      </c>
      <c r="Q71" s="567">
        <v>0.66</v>
      </c>
      <c r="R71" s="567">
        <v>0.66</v>
      </c>
      <c r="S71" s="567">
        <v>0.66</v>
      </c>
      <c r="T71" s="567">
        <v>0.66</v>
      </c>
      <c r="U71" s="567">
        <v>0.66</v>
      </c>
      <c r="V71" s="567">
        <v>0.66</v>
      </c>
      <c r="W71" s="567">
        <v>0.66</v>
      </c>
      <c r="X71" s="567">
        <v>0.66</v>
      </c>
      <c r="Y71" s="567">
        <v>0.66</v>
      </c>
      <c r="Z71" s="567">
        <v>0.66</v>
      </c>
      <c r="AA71" s="567">
        <v>0.66</v>
      </c>
      <c r="AB71" s="567">
        <v>0.66</v>
      </c>
      <c r="AC71" s="567">
        <v>0.66</v>
      </c>
      <c r="AD71" s="567">
        <v>0.66</v>
      </c>
      <c r="AE71" s="567">
        <v>0.66</v>
      </c>
      <c r="AF71" s="567">
        <v>0.66</v>
      </c>
      <c r="AG71" s="567">
        <v>0.66</v>
      </c>
      <c r="AH71" s="567">
        <v>0.66</v>
      </c>
      <c r="AI71" s="567">
        <v>0.66</v>
      </c>
      <c r="AJ71" s="567">
        <v>0.66</v>
      </c>
      <c r="AK71" s="567">
        <v>0.66</v>
      </c>
      <c r="AL71" s="567">
        <v>0.66</v>
      </c>
      <c r="AM71" s="142"/>
    </row>
    <row r="72" spans="1:39" ht="13.5" customHeight="1">
      <c r="A72" s="619">
        <v>8</v>
      </c>
      <c r="B72" s="619" t="s">
        <v>1015</v>
      </c>
      <c r="C72" s="619" t="s">
        <v>1014</v>
      </c>
      <c r="D72" s="155"/>
      <c r="E72" s="164" t="s">
        <v>1016</v>
      </c>
      <c r="F72" s="165">
        <v>2.23</v>
      </c>
      <c r="G72" s="165">
        <v>2.23</v>
      </c>
      <c r="H72" s="165">
        <v>2.23</v>
      </c>
      <c r="I72" s="165">
        <v>2.23</v>
      </c>
      <c r="J72" s="165">
        <v>2.23</v>
      </c>
      <c r="K72" s="165">
        <v>2.23</v>
      </c>
      <c r="L72" s="165">
        <v>2.23</v>
      </c>
      <c r="M72" s="165">
        <v>2.23</v>
      </c>
      <c r="N72" s="165">
        <v>2.23</v>
      </c>
      <c r="O72" s="165">
        <v>2.23</v>
      </c>
      <c r="P72" s="165">
        <v>2.23</v>
      </c>
      <c r="Q72" s="165">
        <v>2.23</v>
      </c>
      <c r="R72" s="165">
        <v>2.23</v>
      </c>
      <c r="S72" s="165">
        <v>2.23</v>
      </c>
      <c r="T72" s="165">
        <v>2.23</v>
      </c>
      <c r="U72" s="165">
        <v>2.23</v>
      </c>
      <c r="V72" s="165">
        <v>2.23</v>
      </c>
      <c r="W72" s="165">
        <v>2.23</v>
      </c>
      <c r="X72" s="165">
        <v>2.23</v>
      </c>
      <c r="Y72" s="165">
        <v>2.23</v>
      </c>
      <c r="Z72" s="165">
        <v>2.23</v>
      </c>
      <c r="AA72" s="165">
        <v>2.23</v>
      </c>
      <c r="AB72" s="165">
        <v>2.23</v>
      </c>
      <c r="AC72" s="165">
        <v>2.23</v>
      </c>
      <c r="AD72" s="165">
        <v>2.23</v>
      </c>
      <c r="AE72" s="165">
        <v>2.23</v>
      </c>
      <c r="AF72" s="165">
        <v>2.23</v>
      </c>
      <c r="AG72" s="165">
        <v>2.23</v>
      </c>
      <c r="AH72" s="165">
        <v>2.23</v>
      </c>
      <c r="AI72" s="165">
        <v>2.23</v>
      </c>
      <c r="AJ72" s="165">
        <v>2.23</v>
      </c>
      <c r="AK72" s="165">
        <v>2.23</v>
      </c>
      <c r="AL72" s="165">
        <v>2.23</v>
      </c>
      <c r="AM72" s="142"/>
    </row>
    <row r="73" spans="1:39" ht="13.5" customHeight="1">
      <c r="A73" s="619">
        <v>11</v>
      </c>
      <c r="B73" s="619" t="s">
        <v>1017</v>
      </c>
      <c r="C73" s="619" t="s">
        <v>1014</v>
      </c>
      <c r="D73" s="155"/>
      <c r="E73" s="562" t="s">
        <v>475</v>
      </c>
      <c r="F73" s="572">
        <f t="shared" ref="F73:AL73" si="13">100.2153395*0.85</f>
        <v>85.183038574999998</v>
      </c>
      <c r="G73" s="572">
        <f t="shared" si="13"/>
        <v>85.183038574999998</v>
      </c>
      <c r="H73" s="572">
        <f t="shared" si="13"/>
        <v>85.183038574999998</v>
      </c>
      <c r="I73" s="572">
        <f t="shared" si="13"/>
        <v>85.183038574999998</v>
      </c>
      <c r="J73" s="572">
        <f t="shared" si="13"/>
        <v>85.183038574999998</v>
      </c>
      <c r="K73" s="572">
        <f t="shared" si="13"/>
        <v>85.183038574999998</v>
      </c>
      <c r="L73" s="572">
        <f t="shared" si="13"/>
        <v>85.183038574999998</v>
      </c>
      <c r="M73" s="572">
        <f t="shared" si="13"/>
        <v>85.183038574999998</v>
      </c>
      <c r="N73" s="572">
        <f t="shared" si="13"/>
        <v>85.183038574999998</v>
      </c>
      <c r="O73" s="572">
        <f t="shared" si="13"/>
        <v>85.183038574999998</v>
      </c>
      <c r="P73" s="572">
        <f t="shared" si="13"/>
        <v>85.183038574999998</v>
      </c>
      <c r="Q73" s="572">
        <f t="shared" si="13"/>
        <v>85.183038574999998</v>
      </c>
      <c r="R73" s="572">
        <f t="shared" si="13"/>
        <v>85.183038574999998</v>
      </c>
      <c r="S73" s="572">
        <f t="shared" si="13"/>
        <v>85.183038574999998</v>
      </c>
      <c r="T73" s="572">
        <f t="shared" si="13"/>
        <v>85.183038574999998</v>
      </c>
      <c r="U73" s="572">
        <f t="shared" si="13"/>
        <v>85.183038574999998</v>
      </c>
      <c r="V73" s="572">
        <f t="shared" si="13"/>
        <v>85.183038574999998</v>
      </c>
      <c r="W73" s="572">
        <f t="shared" si="13"/>
        <v>85.183038574999998</v>
      </c>
      <c r="X73" s="572">
        <f t="shared" si="13"/>
        <v>85.183038574999998</v>
      </c>
      <c r="Y73" s="572">
        <f t="shared" si="13"/>
        <v>85.183038574999998</v>
      </c>
      <c r="Z73" s="572">
        <f t="shared" si="13"/>
        <v>85.183038574999998</v>
      </c>
      <c r="AA73" s="572">
        <f t="shared" si="13"/>
        <v>85.183038574999998</v>
      </c>
      <c r="AB73" s="572">
        <f t="shared" si="13"/>
        <v>85.183038574999998</v>
      </c>
      <c r="AC73" s="572">
        <f t="shared" si="13"/>
        <v>85.183038574999998</v>
      </c>
      <c r="AD73" s="572">
        <f t="shared" si="13"/>
        <v>85.183038574999998</v>
      </c>
      <c r="AE73" s="572">
        <f t="shared" si="13"/>
        <v>85.183038574999998</v>
      </c>
      <c r="AF73" s="572">
        <f t="shared" si="13"/>
        <v>85.183038574999998</v>
      </c>
      <c r="AG73" s="572">
        <f t="shared" si="13"/>
        <v>85.183038574999998</v>
      </c>
      <c r="AH73" s="572">
        <f t="shared" si="13"/>
        <v>85.183038574999998</v>
      </c>
      <c r="AI73" s="572">
        <f t="shared" si="13"/>
        <v>85.183038574999998</v>
      </c>
      <c r="AJ73" s="572">
        <f t="shared" si="13"/>
        <v>85.183038574999998</v>
      </c>
      <c r="AK73" s="572">
        <f t="shared" si="13"/>
        <v>85.183038574999998</v>
      </c>
      <c r="AL73" s="572">
        <f t="shared" si="13"/>
        <v>85.183038574999998</v>
      </c>
      <c r="AM73" s="142"/>
    </row>
    <row r="74" spans="1:39" ht="13.5" customHeight="1">
      <c r="A74" s="619">
        <v>14</v>
      </c>
      <c r="B74" s="619"/>
      <c r="C74" s="619" t="s">
        <v>1014</v>
      </c>
      <c r="D74" s="155"/>
      <c r="E74" s="598" t="s">
        <v>476</v>
      </c>
      <c r="F74" s="573">
        <v>38.369999999999997</v>
      </c>
      <c r="G74" s="573">
        <v>38.369999999999997</v>
      </c>
      <c r="H74" s="573">
        <v>38.369999999999997</v>
      </c>
      <c r="I74" s="573">
        <v>38.369999999999997</v>
      </c>
      <c r="J74" s="573">
        <f t="shared" ref="J74:Q74" si="14">$I$74+(($R$74-$I$74)/($R$1-$I$1))*(J1-$I$1)</f>
        <v>35.482222222222219</v>
      </c>
      <c r="K74" s="573">
        <f t="shared" si="14"/>
        <v>32.594444444444441</v>
      </c>
      <c r="L74" s="573">
        <f t="shared" si="14"/>
        <v>29.706666666666667</v>
      </c>
      <c r="M74" s="573">
        <f t="shared" si="14"/>
        <v>26.818888888888889</v>
      </c>
      <c r="N74" s="573">
        <f t="shared" si="14"/>
        <v>23.931111111111111</v>
      </c>
      <c r="O74" s="573">
        <f t="shared" si="14"/>
        <v>21.043333333333337</v>
      </c>
      <c r="P74" s="573">
        <f t="shared" si="14"/>
        <v>18.155555555555559</v>
      </c>
      <c r="Q74" s="573">
        <f t="shared" si="14"/>
        <v>15.267777777777781</v>
      </c>
      <c r="R74" s="567">
        <v>12.38</v>
      </c>
      <c r="S74" s="573">
        <f t="shared" ref="S74:AK74" si="15">$R$74+(($AL$74-$R$74)/($AL$1-$R$1))*(S1-$R$1)</f>
        <v>12.091000000000001</v>
      </c>
      <c r="T74" s="573">
        <f t="shared" si="15"/>
        <v>11.802000000000001</v>
      </c>
      <c r="U74" s="573">
        <f t="shared" si="15"/>
        <v>11.513</v>
      </c>
      <c r="V74" s="573">
        <f t="shared" si="15"/>
        <v>11.224</v>
      </c>
      <c r="W74" s="573">
        <f t="shared" si="15"/>
        <v>10.935</v>
      </c>
      <c r="X74" s="573">
        <f t="shared" si="15"/>
        <v>10.646000000000001</v>
      </c>
      <c r="Y74" s="573">
        <f t="shared" si="15"/>
        <v>10.357000000000001</v>
      </c>
      <c r="Z74" s="573">
        <f t="shared" si="15"/>
        <v>10.068000000000001</v>
      </c>
      <c r="AA74" s="573">
        <f t="shared" si="15"/>
        <v>9.7789999999999999</v>
      </c>
      <c r="AB74" s="573">
        <f t="shared" si="15"/>
        <v>9.49</v>
      </c>
      <c r="AC74" s="573">
        <f t="shared" si="15"/>
        <v>9.2010000000000005</v>
      </c>
      <c r="AD74" s="573">
        <f t="shared" si="15"/>
        <v>8.9120000000000008</v>
      </c>
      <c r="AE74" s="573">
        <f t="shared" si="15"/>
        <v>8.6230000000000011</v>
      </c>
      <c r="AF74" s="573">
        <f t="shared" si="15"/>
        <v>8.3339999999999996</v>
      </c>
      <c r="AG74" s="573">
        <f t="shared" si="15"/>
        <v>8.0449999999999999</v>
      </c>
      <c r="AH74" s="573">
        <f t="shared" si="15"/>
        <v>7.7560000000000002</v>
      </c>
      <c r="AI74" s="573">
        <f t="shared" si="15"/>
        <v>7.4670000000000005</v>
      </c>
      <c r="AJ74" s="573">
        <f t="shared" si="15"/>
        <v>7.1779999999999999</v>
      </c>
      <c r="AK74" s="573">
        <f t="shared" si="15"/>
        <v>6.8890000000000002</v>
      </c>
      <c r="AL74" s="567">
        <v>6.6</v>
      </c>
      <c r="AM74" s="142"/>
    </row>
    <row r="75" spans="1:39" ht="13.5" customHeight="1">
      <c r="A75" s="619">
        <v>8</v>
      </c>
      <c r="B75" s="619"/>
      <c r="C75" s="619"/>
      <c r="D75" s="155"/>
      <c r="E75" s="164" t="s">
        <v>1018</v>
      </c>
      <c r="F75" s="165">
        <v>1.542</v>
      </c>
      <c r="G75" s="165">
        <v>1.542</v>
      </c>
      <c r="H75" s="165">
        <v>1.542</v>
      </c>
      <c r="I75" s="165">
        <v>1.542</v>
      </c>
      <c r="J75" s="165">
        <v>1.542</v>
      </c>
      <c r="K75" s="165">
        <v>1.542</v>
      </c>
      <c r="L75" s="165">
        <v>1.542</v>
      </c>
      <c r="M75" s="165">
        <v>1.542</v>
      </c>
      <c r="N75" s="165">
        <v>1.542</v>
      </c>
      <c r="O75" s="165">
        <v>1.542</v>
      </c>
      <c r="P75" s="165">
        <v>1.542</v>
      </c>
      <c r="Q75" s="165">
        <v>1.542</v>
      </c>
      <c r="R75" s="165">
        <v>1.542</v>
      </c>
      <c r="S75" s="165">
        <v>1.542</v>
      </c>
      <c r="T75" s="165">
        <v>1.542</v>
      </c>
      <c r="U75" s="165">
        <v>1.542</v>
      </c>
      <c r="V75" s="165">
        <v>1.542</v>
      </c>
      <c r="W75" s="165">
        <v>1.542</v>
      </c>
      <c r="X75" s="165">
        <v>1.542</v>
      </c>
      <c r="Y75" s="165">
        <v>1.542</v>
      </c>
      <c r="Z75" s="165">
        <v>1.542</v>
      </c>
      <c r="AA75" s="165">
        <v>1.542</v>
      </c>
      <c r="AB75" s="165">
        <v>1.542</v>
      </c>
      <c r="AC75" s="165">
        <v>1.542</v>
      </c>
      <c r="AD75" s="165">
        <v>1.542</v>
      </c>
      <c r="AE75" s="165">
        <v>1.542</v>
      </c>
      <c r="AF75" s="165">
        <v>1.542</v>
      </c>
      <c r="AG75" s="165">
        <v>1.542</v>
      </c>
      <c r="AH75" s="165">
        <v>1.542</v>
      </c>
      <c r="AI75" s="165">
        <v>1.542</v>
      </c>
      <c r="AJ75" s="165">
        <v>1.542</v>
      </c>
      <c r="AK75" s="165">
        <v>1.542</v>
      </c>
      <c r="AL75" s="165">
        <v>1.542</v>
      </c>
      <c r="AM75" s="142"/>
    </row>
    <row r="76" spans="1:39" ht="13.5" customHeight="1">
      <c r="A76" s="619">
        <v>8</v>
      </c>
      <c r="B76" s="619"/>
      <c r="C76" s="619"/>
      <c r="D76" s="155"/>
      <c r="E76" s="164" t="s">
        <v>1019</v>
      </c>
      <c r="F76" s="165">
        <v>2.246</v>
      </c>
      <c r="G76" s="165">
        <v>2.246</v>
      </c>
      <c r="H76" s="165">
        <v>2.246</v>
      </c>
      <c r="I76" s="165">
        <v>2.246</v>
      </c>
      <c r="J76" s="165">
        <v>2.246</v>
      </c>
      <c r="K76" s="165">
        <v>2.246</v>
      </c>
      <c r="L76" s="165">
        <v>2.246</v>
      </c>
      <c r="M76" s="165">
        <v>2.246</v>
      </c>
      <c r="N76" s="165">
        <v>2.246</v>
      </c>
      <c r="O76" s="165">
        <v>2.246</v>
      </c>
      <c r="P76" s="165">
        <v>2.246</v>
      </c>
      <c r="Q76" s="165">
        <v>2.246</v>
      </c>
      <c r="R76" s="165">
        <v>2.246</v>
      </c>
      <c r="S76" s="165">
        <v>2.246</v>
      </c>
      <c r="T76" s="165">
        <v>2.246</v>
      </c>
      <c r="U76" s="165">
        <v>2.246</v>
      </c>
      <c r="V76" s="165">
        <v>2.246</v>
      </c>
      <c r="W76" s="165">
        <v>2.246</v>
      </c>
      <c r="X76" s="165">
        <v>2.246</v>
      </c>
      <c r="Y76" s="165">
        <v>2.246</v>
      </c>
      <c r="Z76" s="165">
        <v>2.246</v>
      </c>
      <c r="AA76" s="165">
        <v>2.246</v>
      </c>
      <c r="AB76" s="165">
        <v>2.246</v>
      </c>
      <c r="AC76" s="165">
        <v>2.246</v>
      </c>
      <c r="AD76" s="165">
        <v>2.246</v>
      </c>
      <c r="AE76" s="165">
        <v>2.246</v>
      </c>
      <c r="AF76" s="165">
        <v>2.246</v>
      </c>
      <c r="AG76" s="165">
        <v>2.246</v>
      </c>
      <c r="AH76" s="165">
        <v>2.246</v>
      </c>
      <c r="AI76" s="165">
        <v>2.246</v>
      </c>
      <c r="AJ76" s="165">
        <v>2.246</v>
      </c>
      <c r="AK76" s="165">
        <v>2.246</v>
      </c>
      <c r="AL76" s="165">
        <v>2.246</v>
      </c>
      <c r="AM76" s="142"/>
    </row>
    <row r="77" spans="1:39" ht="13.5" customHeight="1">
      <c r="A77" s="619">
        <v>8</v>
      </c>
      <c r="B77" s="619"/>
      <c r="C77" s="619"/>
      <c r="D77" s="155"/>
      <c r="E77" s="164" t="s">
        <v>1020</v>
      </c>
      <c r="F77" s="165">
        <v>138.82499999999999</v>
      </c>
      <c r="G77" s="165">
        <v>138.82499999999999</v>
      </c>
      <c r="H77" s="165">
        <v>138.82499999999999</v>
      </c>
      <c r="I77" s="165">
        <v>138.82499999999999</v>
      </c>
      <c r="J77" s="165">
        <v>138.82499999999999</v>
      </c>
      <c r="K77" s="165">
        <v>138.82499999999999</v>
      </c>
      <c r="L77" s="165">
        <v>138.82499999999999</v>
      </c>
      <c r="M77" s="165">
        <v>138.82499999999999</v>
      </c>
      <c r="N77" s="165">
        <v>138.82499999999999</v>
      </c>
      <c r="O77" s="165">
        <v>138.82499999999999</v>
      </c>
      <c r="P77" s="165">
        <v>138.82499999999999</v>
      </c>
      <c r="Q77" s="165">
        <v>138.82499999999999</v>
      </c>
      <c r="R77" s="165">
        <v>138.82499999999999</v>
      </c>
      <c r="S77" s="165">
        <v>138.82499999999999</v>
      </c>
      <c r="T77" s="165">
        <v>138.82499999999999</v>
      </c>
      <c r="U77" s="165">
        <v>138.82499999999999</v>
      </c>
      <c r="V77" s="165">
        <v>138.82499999999999</v>
      </c>
      <c r="W77" s="165">
        <v>138.82499999999999</v>
      </c>
      <c r="X77" s="165">
        <v>138.82499999999999</v>
      </c>
      <c r="Y77" s="165">
        <v>138.82499999999999</v>
      </c>
      <c r="Z77" s="165">
        <v>138.82499999999999</v>
      </c>
      <c r="AA77" s="165">
        <v>138.82499999999999</v>
      </c>
      <c r="AB77" s="165">
        <v>138.82499999999999</v>
      </c>
      <c r="AC77" s="165">
        <v>138.82499999999999</v>
      </c>
      <c r="AD77" s="165">
        <v>138.82499999999999</v>
      </c>
      <c r="AE77" s="165">
        <v>138.82499999999999</v>
      </c>
      <c r="AF77" s="165">
        <v>138.82499999999999</v>
      </c>
      <c r="AG77" s="165">
        <v>138.82499999999999</v>
      </c>
      <c r="AH77" s="165">
        <v>138.82499999999999</v>
      </c>
      <c r="AI77" s="165">
        <v>138.82499999999999</v>
      </c>
      <c r="AJ77" s="165">
        <v>138.82499999999999</v>
      </c>
      <c r="AK77" s="165">
        <v>138.82499999999999</v>
      </c>
      <c r="AL77" s="165">
        <v>138.82499999999999</v>
      </c>
      <c r="AM77" s="142"/>
    </row>
    <row r="78" spans="1:39" ht="13.5" customHeight="1">
      <c r="A78" s="619"/>
      <c r="B78" s="619"/>
      <c r="C78" s="619"/>
      <c r="D78" s="155"/>
      <c r="E78" s="164" t="s">
        <v>1021</v>
      </c>
      <c r="F78" s="204">
        <v>2.78</v>
      </c>
      <c r="G78" s="204">
        <v>2.78</v>
      </c>
      <c r="H78" s="204">
        <v>2.78</v>
      </c>
      <c r="I78" s="204">
        <v>2.78</v>
      </c>
      <c r="J78" s="204">
        <v>2.78</v>
      </c>
      <c r="K78" s="204">
        <v>2.78</v>
      </c>
      <c r="L78" s="204">
        <v>2.78</v>
      </c>
      <c r="M78" s="204">
        <v>2.78</v>
      </c>
      <c r="N78" s="204">
        <v>2.78</v>
      </c>
      <c r="O78" s="204">
        <v>2.78</v>
      </c>
      <c r="P78" s="204">
        <v>2.78</v>
      </c>
      <c r="Q78" s="204">
        <v>2.78</v>
      </c>
      <c r="R78" s="204">
        <v>2.78</v>
      </c>
      <c r="S78" s="204">
        <v>2.78</v>
      </c>
      <c r="T78" s="204">
        <v>2.78</v>
      </c>
      <c r="U78" s="204">
        <v>2.78</v>
      </c>
      <c r="V78" s="204">
        <v>2.78</v>
      </c>
      <c r="W78" s="204">
        <v>2.78</v>
      </c>
      <c r="X78" s="204">
        <v>2.78</v>
      </c>
      <c r="Y78" s="204">
        <v>2.78</v>
      </c>
      <c r="Z78" s="204">
        <v>2.78</v>
      </c>
      <c r="AA78" s="204">
        <v>2.78</v>
      </c>
      <c r="AB78" s="204">
        <v>2.78</v>
      </c>
      <c r="AC78" s="204">
        <v>2.78</v>
      </c>
      <c r="AD78" s="204">
        <v>2.78</v>
      </c>
      <c r="AE78" s="204">
        <v>2.78</v>
      </c>
      <c r="AF78" s="204">
        <v>2.78</v>
      </c>
      <c r="AG78" s="204">
        <v>2.78</v>
      </c>
      <c r="AH78" s="204">
        <v>2.78</v>
      </c>
      <c r="AI78" s="204">
        <v>2.78</v>
      </c>
      <c r="AJ78" s="204">
        <v>2.78</v>
      </c>
      <c r="AK78" s="204">
        <v>2.78</v>
      </c>
      <c r="AL78" s="204">
        <v>2.78</v>
      </c>
      <c r="AM78" s="142"/>
    </row>
    <row r="79" spans="1:39" ht="13.5" customHeight="1">
      <c r="A79" s="619"/>
      <c r="B79" s="619"/>
      <c r="C79" s="619"/>
      <c r="D79" s="155"/>
      <c r="E79" s="164" t="s">
        <v>469</v>
      </c>
      <c r="F79" s="165">
        <f>SUM(F71:F77)</f>
        <v>269.056038575</v>
      </c>
      <c r="G79" s="165">
        <f t="shared" ref="G79:AL79" si="16">SUM(G71:G77)</f>
        <v>269.056038575</v>
      </c>
      <c r="H79" s="165">
        <f t="shared" si="16"/>
        <v>269.056038575</v>
      </c>
      <c r="I79" s="165">
        <f t="shared" si="16"/>
        <v>269.056038575</v>
      </c>
      <c r="J79" s="165">
        <f t="shared" si="16"/>
        <v>266.16826079722222</v>
      </c>
      <c r="K79" s="165">
        <f t="shared" si="16"/>
        <v>263.28048301944443</v>
      </c>
      <c r="L79" s="165">
        <f t="shared" si="16"/>
        <v>260.39270524166665</v>
      </c>
      <c r="M79" s="165">
        <f t="shared" si="16"/>
        <v>257.50492746388886</v>
      </c>
      <c r="N79" s="165">
        <f t="shared" si="16"/>
        <v>254.61714968611108</v>
      </c>
      <c r="O79" s="165">
        <f t="shared" si="16"/>
        <v>251.72937190833332</v>
      </c>
      <c r="P79" s="165">
        <f t="shared" si="16"/>
        <v>248.84159413055556</v>
      </c>
      <c r="Q79" s="165">
        <f t="shared" si="16"/>
        <v>245.95381635277778</v>
      </c>
      <c r="R79" s="165">
        <f t="shared" si="16"/>
        <v>243.06603857499999</v>
      </c>
      <c r="S79" s="165">
        <f t="shared" si="16"/>
        <v>242.77703857500001</v>
      </c>
      <c r="T79" s="165">
        <f t="shared" si="16"/>
        <v>242.48803857499999</v>
      </c>
      <c r="U79" s="165">
        <f t="shared" si="16"/>
        <v>242.19903857499997</v>
      </c>
      <c r="V79" s="165">
        <f t="shared" si="16"/>
        <v>241.91003857499999</v>
      </c>
      <c r="W79" s="165">
        <f t="shared" si="16"/>
        <v>241.621038575</v>
      </c>
      <c r="X79" s="165">
        <f t="shared" si="16"/>
        <v>241.33203857499998</v>
      </c>
      <c r="Y79" s="165">
        <f t="shared" si="16"/>
        <v>241.04303857499997</v>
      </c>
      <c r="Z79" s="165">
        <f t="shared" si="16"/>
        <v>240.75403857499998</v>
      </c>
      <c r="AA79" s="165">
        <f t="shared" si="16"/>
        <v>240.46503857499999</v>
      </c>
      <c r="AB79" s="165">
        <f t="shared" si="16"/>
        <v>240.17603857499998</v>
      </c>
      <c r="AC79" s="165">
        <f t="shared" si="16"/>
        <v>239.88703857499996</v>
      </c>
      <c r="AD79" s="165">
        <f t="shared" si="16"/>
        <v>239.59803857499998</v>
      </c>
      <c r="AE79" s="165">
        <f t="shared" si="16"/>
        <v>239.30903857499999</v>
      </c>
      <c r="AF79" s="165">
        <f t="shared" si="16"/>
        <v>239.020038575</v>
      </c>
      <c r="AG79" s="165">
        <f t="shared" si="16"/>
        <v>238.73103857499999</v>
      </c>
      <c r="AH79" s="165">
        <f t="shared" si="16"/>
        <v>238.44203857499997</v>
      </c>
      <c r="AI79" s="165">
        <f t="shared" si="16"/>
        <v>238.15303857499998</v>
      </c>
      <c r="AJ79" s="165">
        <f t="shared" si="16"/>
        <v>237.864038575</v>
      </c>
      <c r="AK79" s="165">
        <f t="shared" si="16"/>
        <v>237.57503857499998</v>
      </c>
      <c r="AL79" s="165">
        <f t="shared" si="16"/>
        <v>237.28603857499996</v>
      </c>
      <c r="AM79" s="142"/>
    </row>
    <row r="80" spans="1:39" ht="13.5" customHeight="1">
      <c r="A80" s="619"/>
      <c r="B80" s="619"/>
      <c r="C80" s="619"/>
      <c r="D80" s="155"/>
      <c r="E80" s="355"/>
      <c r="F80" s="143"/>
      <c r="G80" s="143"/>
      <c r="H80" s="143"/>
      <c r="I80" s="143"/>
      <c r="J80" s="143"/>
      <c r="K80" s="143"/>
      <c r="L80" s="143"/>
      <c r="M80" s="143"/>
      <c r="N80" s="143"/>
      <c r="O80" s="143"/>
      <c r="P80" s="143"/>
      <c r="Q80" s="143"/>
      <c r="R80" s="143"/>
      <c r="S80" s="143"/>
      <c r="T80" s="143"/>
      <c r="U80" s="143"/>
      <c r="V80" s="143"/>
      <c r="W80" s="143"/>
      <c r="X80" s="143"/>
      <c r="Y80" s="143"/>
      <c r="Z80" s="143"/>
      <c r="AA80" s="143"/>
      <c r="AB80" s="143"/>
      <c r="AC80" s="143"/>
      <c r="AD80" s="143"/>
      <c r="AE80" s="143"/>
      <c r="AF80" s="143"/>
      <c r="AG80" s="143"/>
      <c r="AH80" s="143"/>
      <c r="AI80" s="143"/>
      <c r="AJ80" s="143"/>
      <c r="AK80" s="143"/>
      <c r="AL80" s="143"/>
      <c r="AM80" s="142"/>
    </row>
    <row r="81" spans="1:39" ht="13.5" customHeight="1">
      <c r="A81" s="619"/>
      <c r="B81" s="619"/>
      <c r="C81" s="619"/>
      <c r="D81" s="155"/>
      <c r="E81" s="440" t="s">
        <v>1022</v>
      </c>
      <c r="F81" s="143"/>
      <c r="G81" s="143"/>
      <c r="H81" s="143"/>
      <c r="I81" s="143"/>
      <c r="J81" s="143"/>
      <c r="K81" s="143"/>
      <c r="L81" s="143"/>
      <c r="M81" s="143"/>
      <c r="N81" s="143"/>
      <c r="O81" s="143"/>
      <c r="P81" s="143"/>
      <c r="Q81" s="143"/>
      <c r="R81" s="143"/>
      <c r="S81" s="143"/>
      <c r="T81" s="143"/>
      <c r="U81" s="143"/>
      <c r="V81" s="143"/>
      <c r="W81" s="143"/>
      <c r="X81" s="143"/>
      <c r="Y81" s="143"/>
      <c r="Z81" s="143"/>
      <c r="AA81" s="143"/>
      <c r="AB81" s="143"/>
      <c r="AC81" s="143"/>
      <c r="AD81" s="143"/>
      <c r="AE81" s="143"/>
      <c r="AF81" s="143"/>
      <c r="AG81" s="143"/>
      <c r="AH81" s="143"/>
      <c r="AI81" s="143"/>
      <c r="AJ81" s="143"/>
      <c r="AK81" s="143"/>
      <c r="AL81" s="143"/>
      <c r="AM81" s="142"/>
    </row>
    <row r="82" spans="1:39" ht="13.5" customHeight="1">
      <c r="A82" s="619">
        <v>4</v>
      </c>
      <c r="B82" s="619" t="s">
        <v>1023</v>
      </c>
      <c r="C82" s="596" t="s">
        <v>1014</v>
      </c>
      <c r="D82" s="597"/>
      <c r="E82" s="598" t="s">
        <v>560</v>
      </c>
      <c r="F82" s="573">
        <v>0.66700000000000004</v>
      </c>
      <c r="G82" s="573">
        <v>0.66700000000000004</v>
      </c>
      <c r="H82" s="573">
        <v>0.66700000000000004</v>
      </c>
      <c r="I82" s="573">
        <v>0.66700000000000004</v>
      </c>
      <c r="J82" s="573">
        <v>0.66700000000000004</v>
      </c>
      <c r="K82" s="573">
        <v>0.66700000000000004</v>
      </c>
      <c r="L82" s="573">
        <v>0.66700000000000004</v>
      </c>
      <c r="M82" s="573">
        <v>0.66700000000000004</v>
      </c>
      <c r="N82" s="573">
        <v>0.66700000000000004</v>
      </c>
      <c r="O82" s="573">
        <v>0.66700000000000004</v>
      </c>
      <c r="P82" s="573">
        <v>0.66700000000000004</v>
      </c>
      <c r="Q82" s="573">
        <v>0.66700000000000004</v>
      </c>
      <c r="R82" s="573">
        <v>0.66700000000000004</v>
      </c>
      <c r="S82" s="573">
        <v>0.66700000000000004</v>
      </c>
      <c r="T82" s="573">
        <v>0.66700000000000004</v>
      </c>
      <c r="U82" s="573">
        <v>0.66700000000000004</v>
      </c>
      <c r="V82" s="573">
        <v>0.66700000000000004</v>
      </c>
      <c r="W82" s="573">
        <v>0.66700000000000004</v>
      </c>
      <c r="X82" s="573">
        <v>0.66700000000000004</v>
      </c>
      <c r="Y82" s="573">
        <v>0.66700000000000004</v>
      </c>
      <c r="Z82" s="573">
        <v>0.66700000000000004</v>
      </c>
      <c r="AA82" s="573">
        <v>0.66700000000000004</v>
      </c>
      <c r="AB82" s="573">
        <v>0.66700000000000004</v>
      </c>
      <c r="AC82" s="573">
        <v>0.66700000000000004</v>
      </c>
      <c r="AD82" s="573">
        <v>0.66700000000000004</v>
      </c>
      <c r="AE82" s="573">
        <v>0.66700000000000004</v>
      </c>
      <c r="AF82" s="573">
        <v>0.66700000000000004</v>
      </c>
      <c r="AG82" s="573">
        <v>0.66700000000000004</v>
      </c>
      <c r="AH82" s="573">
        <v>0.66700000000000004</v>
      </c>
      <c r="AI82" s="573">
        <v>0.66700000000000004</v>
      </c>
      <c r="AJ82" s="573">
        <v>0.66700000000000004</v>
      </c>
      <c r="AK82" s="573">
        <v>0.66700000000000004</v>
      </c>
      <c r="AL82" s="573">
        <v>0.66700000000000004</v>
      </c>
      <c r="AM82" s="142"/>
    </row>
    <row r="83" spans="1:39" ht="13.5" customHeight="1">
      <c r="A83" s="619">
        <v>4</v>
      </c>
      <c r="B83" s="619"/>
      <c r="C83" s="619" t="s">
        <v>997</v>
      </c>
      <c r="D83" s="155"/>
      <c r="E83" s="562" t="s">
        <v>1024</v>
      </c>
      <c r="F83" s="573">
        <f t="shared" ref="F83:AL83" si="17">(40/8760)*277.8</f>
        <v>1.2684931506849315</v>
      </c>
      <c r="G83" s="573">
        <f t="shared" si="17"/>
        <v>1.2684931506849315</v>
      </c>
      <c r="H83" s="573">
        <f t="shared" si="17"/>
        <v>1.2684931506849315</v>
      </c>
      <c r="I83" s="573">
        <f t="shared" si="17"/>
        <v>1.2684931506849315</v>
      </c>
      <c r="J83" s="573">
        <f t="shared" si="17"/>
        <v>1.2684931506849315</v>
      </c>
      <c r="K83" s="573">
        <f t="shared" si="17"/>
        <v>1.2684931506849315</v>
      </c>
      <c r="L83" s="573">
        <f t="shared" si="17"/>
        <v>1.2684931506849315</v>
      </c>
      <c r="M83" s="573">
        <f t="shared" si="17"/>
        <v>1.2684931506849315</v>
      </c>
      <c r="N83" s="573">
        <f t="shared" si="17"/>
        <v>1.2684931506849315</v>
      </c>
      <c r="O83" s="573">
        <f t="shared" si="17"/>
        <v>1.2684931506849315</v>
      </c>
      <c r="P83" s="573">
        <f t="shared" si="17"/>
        <v>1.2684931506849315</v>
      </c>
      <c r="Q83" s="573">
        <f t="shared" si="17"/>
        <v>1.2684931506849315</v>
      </c>
      <c r="R83" s="573">
        <f t="shared" si="17"/>
        <v>1.2684931506849315</v>
      </c>
      <c r="S83" s="573">
        <f t="shared" si="17"/>
        <v>1.2684931506849315</v>
      </c>
      <c r="T83" s="573">
        <f t="shared" si="17"/>
        <v>1.2684931506849315</v>
      </c>
      <c r="U83" s="573">
        <f t="shared" si="17"/>
        <v>1.2684931506849315</v>
      </c>
      <c r="V83" s="573">
        <f t="shared" si="17"/>
        <v>1.2684931506849315</v>
      </c>
      <c r="W83" s="573">
        <f t="shared" si="17"/>
        <v>1.2684931506849315</v>
      </c>
      <c r="X83" s="573">
        <f t="shared" si="17"/>
        <v>1.2684931506849315</v>
      </c>
      <c r="Y83" s="573">
        <f t="shared" si="17"/>
        <v>1.2684931506849315</v>
      </c>
      <c r="Z83" s="573">
        <f t="shared" si="17"/>
        <v>1.2684931506849315</v>
      </c>
      <c r="AA83" s="573">
        <f t="shared" si="17"/>
        <v>1.2684931506849315</v>
      </c>
      <c r="AB83" s="573">
        <f t="shared" si="17"/>
        <v>1.2684931506849315</v>
      </c>
      <c r="AC83" s="573">
        <f t="shared" si="17"/>
        <v>1.2684931506849315</v>
      </c>
      <c r="AD83" s="573">
        <f t="shared" si="17"/>
        <v>1.2684931506849315</v>
      </c>
      <c r="AE83" s="573">
        <f t="shared" si="17"/>
        <v>1.2684931506849315</v>
      </c>
      <c r="AF83" s="573">
        <f t="shared" si="17"/>
        <v>1.2684931506849315</v>
      </c>
      <c r="AG83" s="573">
        <f t="shared" si="17"/>
        <v>1.2684931506849315</v>
      </c>
      <c r="AH83" s="573">
        <f t="shared" si="17"/>
        <v>1.2684931506849315</v>
      </c>
      <c r="AI83" s="573">
        <f t="shared" si="17"/>
        <v>1.2684931506849315</v>
      </c>
      <c r="AJ83" s="573">
        <f t="shared" si="17"/>
        <v>1.2684931506849315</v>
      </c>
      <c r="AK83" s="573">
        <f t="shared" si="17"/>
        <v>1.2684931506849315</v>
      </c>
      <c r="AL83" s="573">
        <f t="shared" si="17"/>
        <v>1.2684931506849315</v>
      </c>
      <c r="AM83" s="574"/>
    </row>
    <row r="84" spans="1:39" ht="13.5" customHeight="1">
      <c r="A84" s="619">
        <v>4</v>
      </c>
      <c r="B84" s="619"/>
      <c r="C84" s="619" t="s">
        <v>1025</v>
      </c>
      <c r="D84" s="155"/>
      <c r="E84" s="164" t="s">
        <v>1026</v>
      </c>
      <c r="F84" s="204">
        <f>AL85*100/F85</f>
        <v>66.166477916194793</v>
      </c>
      <c r="G84" s="204">
        <f>100-F84</f>
        <v>33.833522083805207</v>
      </c>
      <c r="H84" s="204"/>
      <c r="I84" s="204"/>
      <c r="J84" s="204"/>
      <c r="K84" s="204"/>
      <c r="L84" s="204"/>
      <c r="M84" s="204"/>
      <c r="N84" s="204"/>
      <c r="O84" s="204"/>
      <c r="P84" s="204"/>
      <c r="Q84" s="204"/>
      <c r="R84" s="204"/>
      <c r="S84" s="204"/>
      <c r="T84" s="204"/>
      <c r="U84" s="204"/>
      <c r="V84" s="204"/>
      <c r="W84" s="204"/>
      <c r="X84" s="204"/>
      <c r="Y84" s="204"/>
      <c r="Z84" s="204"/>
      <c r="AA84" s="204"/>
      <c r="AB84" s="204"/>
      <c r="AC84" s="204"/>
      <c r="AD84" s="204"/>
      <c r="AE84" s="204"/>
      <c r="AF84" s="204"/>
      <c r="AG84" s="204"/>
      <c r="AH84" s="204"/>
      <c r="AI84" s="204"/>
      <c r="AJ84" s="204"/>
      <c r="AK84" s="204"/>
      <c r="AL84" s="204"/>
      <c r="AM84" s="142"/>
    </row>
    <row r="85" spans="1:39" ht="13.5" customHeight="1">
      <c r="A85" s="619"/>
      <c r="B85" s="619"/>
      <c r="C85" s="596" t="s">
        <v>1025</v>
      </c>
      <c r="D85" s="597"/>
      <c r="E85" s="598" t="s">
        <v>1027</v>
      </c>
      <c r="F85" s="204">
        <v>35.32</v>
      </c>
      <c r="G85" s="204">
        <v>35.32</v>
      </c>
      <c r="H85" s="204">
        <v>34.340000000000003</v>
      </c>
      <c r="I85" s="204">
        <v>34.340000000000003</v>
      </c>
      <c r="J85" s="204">
        <v>34.340000000000003</v>
      </c>
      <c r="K85" s="204">
        <v>34.340000000000003</v>
      </c>
      <c r="L85" s="204">
        <v>34.340000000000003</v>
      </c>
      <c r="M85" s="204">
        <v>33.770000000000003</v>
      </c>
      <c r="N85" s="204">
        <v>33.770000000000003</v>
      </c>
      <c r="O85" s="204">
        <v>33.770000000000003</v>
      </c>
      <c r="P85" s="204">
        <v>33.770000000000003</v>
      </c>
      <c r="Q85" s="204">
        <v>33.770000000000003</v>
      </c>
      <c r="R85" s="204">
        <v>23.37</v>
      </c>
      <c r="S85" s="204">
        <v>23.37</v>
      </c>
      <c r="T85" s="204">
        <v>23.37</v>
      </c>
      <c r="U85" s="204">
        <v>23.37</v>
      </c>
      <c r="V85" s="204">
        <v>23.37</v>
      </c>
      <c r="W85" s="204">
        <v>23.37</v>
      </c>
      <c r="X85" s="204">
        <v>23.37</v>
      </c>
      <c r="Y85" s="204">
        <v>23.37</v>
      </c>
      <c r="Z85" s="204">
        <v>23.37</v>
      </c>
      <c r="AA85" s="204">
        <v>23.37</v>
      </c>
      <c r="AB85" s="204">
        <v>23.37</v>
      </c>
      <c r="AC85" s="204">
        <v>23.37</v>
      </c>
      <c r="AD85" s="204">
        <v>23.37</v>
      </c>
      <c r="AE85" s="204">
        <v>23.37</v>
      </c>
      <c r="AF85" s="204">
        <v>23.37</v>
      </c>
      <c r="AG85" s="204">
        <v>23.37</v>
      </c>
      <c r="AH85" s="204">
        <v>23.37</v>
      </c>
      <c r="AI85" s="204">
        <v>23.37</v>
      </c>
      <c r="AJ85" s="204">
        <v>23.37</v>
      </c>
      <c r="AK85" s="204">
        <v>23.37</v>
      </c>
      <c r="AL85" s="204">
        <v>23.37</v>
      </c>
      <c r="AM85" s="142"/>
    </row>
    <row r="86" spans="1:39" ht="13.5" customHeight="1">
      <c r="A86" s="619"/>
      <c r="B86" s="619"/>
      <c r="C86" s="619" t="s">
        <v>1025</v>
      </c>
      <c r="D86" s="155"/>
      <c r="E86" s="164" t="s">
        <v>1028</v>
      </c>
      <c r="F86" s="204">
        <v>35.32</v>
      </c>
      <c r="G86" s="204">
        <v>35.32</v>
      </c>
      <c r="H86" s="204">
        <v>35.32</v>
      </c>
      <c r="I86" s="204">
        <v>35.32</v>
      </c>
      <c r="J86" s="204">
        <v>35.32</v>
      </c>
      <c r="K86" s="204">
        <v>35.32</v>
      </c>
      <c r="L86" s="204">
        <v>35.32</v>
      </c>
      <c r="M86" s="204">
        <v>33.770000000000003</v>
      </c>
      <c r="N86" s="204">
        <v>33.770000000000003</v>
      </c>
      <c r="O86" s="204">
        <v>33.770000000000003</v>
      </c>
      <c r="P86" s="204">
        <v>33.770000000000003</v>
      </c>
      <c r="Q86" s="204">
        <v>33.770000000000003</v>
      </c>
      <c r="R86" s="204">
        <v>23.37</v>
      </c>
      <c r="S86" s="204">
        <v>23.37</v>
      </c>
      <c r="T86" s="204">
        <v>23.37</v>
      </c>
      <c r="U86" s="204">
        <v>23.37</v>
      </c>
      <c r="V86" s="204">
        <v>23.37</v>
      </c>
      <c r="W86" s="204">
        <v>23.37</v>
      </c>
      <c r="X86" s="204">
        <v>23.37</v>
      </c>
      <c r="Y86" s="204">
        <v>23.37</v>
      </c>
      <c r="Z86" s="204">
        <v>23.37</v>
      </c>
      <c r="AA86" s="204">
        <v>23.37</v>
      </c>
      <c r="AB86" s="204">
        <v>23.37</v>
      </c>
      <c r="AC86" s="204">
        <v>23.37</v>
      </c>
      <c r="AD86" s="204">
        <v>23.37</v>
      </c>
      <c r="AE86" s="204">
        <v>23.37</v>
      </c>
      <c r="AF86" s="204">
        <v>23.37</v>
      </c>
      <c r="AG86" s="204">
        <v>23.37</v>
      </c>
      <c r="AH86" s="204">
        <v>23.37</v>
      </c>
      <c r="AI86" s="204">
        <v>23.37</v>
      </c>
      <c r="AJ86" s="204">
        <v>23.37</v>
      </c>
      <c r="AK86" s="204">
        <v>23.37</v>
      </c>
      <c r="AL86" s="204">
        <v>23.37</v>
      </c>
      <c r="AM86" s="142"/>
    </row>
    <row r="87" spans="1:39" ht="13.5" customHeight="1">
      <c r="A87" s="619"/>
      <c r="B87" s="619"/>
      <c r="C87" s="619" t="s">
        <v>1025</v>
      </c>
      <c r="D87" s="155"/>
      <c r="E87" s="164" t="s">
        <v>1029</v>
      </c>
      <c r="F87" s="204">
        <v>73.09</v>
      </c>
      <c r="G87" s="204">
        <v>73.09</v>
      </c>
      <c r="H87" s="204">
        <v>34.090000000000003</v>
      </c>
      <c r="I87" s="204">
        <v>34.090000000000003</v>
      </c>
      <c r="J87" s="204">
        <v>34.090000000000003</v>
      </c>
      <c r="K87" s="204">
        <v>34.090000000000003</v>
      </c>
      <c r="L87" s="204">
        <v>34.090000000000003</v>
      </c>
      <c r="M87" s="204">
        <v>33.520000000000003</v>
      </c>
      <c r="N87" s="204">
        <v>33.520000000000003</v>
      </c>
      <c r="O87" s="204">
        <v>33.520000000000003</v>
      </c>
      <c r="P87" s="204">
        <v>33.520000000000003</v>
      </c>
      <c r="Q87" s="204">
        <v>33.520000000000003</v>
      </c>
      <c r="R87" s="204">
        <v>23.37</v>
      </c>
      <c r="S87" s="204">
        <v>23.37</v>
      </c>
      <c r="T87" s="204">
        <v>23.37</v>
      </c>
      <c r="U87" s="204">
        <v>23.37</v>
      </c>
      <c r="V87" s="204">
        <v>23.37</v>
      </c>
      <c r="W87" s="204">
        <v>23.37</v>
      </c>
      <c r="X87" s="204">
        <v>23.37</v>
      </c>
      <c r="Y87" s="204">
        <v>23.37</v>
      </c>
      <c r="Z87" s="204">
        <v>23.37</v>
      </c>
      <c r="AA87" s="204">
        <v>23.37</v>
      </c>
      <c r="AB87" s="204">
        <v>23.37</v>
      </c>
      <c r="AC87" s="204">
        <v>23.37</v>
      </c>
      <c r="AD87" s="204">
        <v>23.37</v>
      </c>
      <c r="AE87" s="204">
        <v>23.37</v>
      </c>
      <c r="AF87" s="204">
        <v>23.37</v>
      </c>
      <c r="AG87" s="204">
        <v>23.37</v>
      </c>
      <c r="AH87" s="204">
        <v>23.37</v>
      </c>
      <c r="AI87" s="204">
        <v>23.37</v>
      </c>
      <c r="AJ87" s="204">
        <v>23.37</v>
      </c>
      <c r="AK87" s="204">
        <v>23.37</v>
      </c>
      <c r="AL87" s="204">
        <v>23.37</v>
      </c>
      <c r="AM87" s="142"/>
    </row>
    <row r="88" spans="1:39" ht="13.5" customHeight="1">
      <c r="A88" s="619"/>
      <c r="B88" s="619"/>
      <c r="C88" s="619"/>
      <c r="D88" s="167"/>
      <c r="E88" s="222"/>
      <c r="F88" s="230"/>
      <c r="G88" s="230"/>
      <c r="H88" s="230"/>
      <c r="I88" s="230"/>
      <c r="J88" s="230"/>
      <c r="K88" s="230"/>
      <c r="L88" s="230"/>
      <c r="M88" s="230"/>
      <c r="N88" s="230"/>
      <c r="O88" s="230"/>
      <c r="P88" s="230"/>
      <c r="Q88" s="230"/>
      <c r="R88" s="230"/>
      <c r="S88" s="230"/>
      <c r="T88" s="230"/>
      <c r="U88" s="230"/>
      <c r="V88" s="230"/>
      <c r="W88" s="230"/>
      <c r="X88" s="230"/>
      <c r="Y88" s="230"/>
      <c r="Z88" s="230"/>
      <c r="AA88" s="230"/>
      <c r="AB88" s="230"/>
      <c r="AC88" s="230"/>
      <c r="AD88" s="230"/>
      <c r="AE88" s="230"/>
      <c r="AF88" s="230"/>
      <c r="AG88" s="230"/>
      <c r="AH88" s="230"/>
      <c r="AI88" s="230"/>
      <c r="AJ88" s="230"/>
      <c r="AK88" s="230"/>
      <c r="AL88" s="230"/>
      <c r="AM88" s="231"/>
    </row>
    <row r="89" spans="1:39"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row>
    <row r="90" spans="1:39"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row>
    <row r="91" spans="1:39"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row>
    <row r="92" spans="1:39" ht="13.5" customHeight="1">
      <c r="A92" s="1"/>
      <c r="B92" s="1"/>
      <c r="C92" s="1"/>
      <c r="D92" s="1">
        <v>1</v>
      </c>
      <c r="E92" s="1" t="s">
        <v>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row>
    <row r="93" spans="1:39" ht="13.5" customHeight="1">
      <c r="A93" s="1"/>
      <c r="B93" s="1"/>
      <c r="C93" s="1"/>
      <c r="D93" s="1">
        <v>2</v>
      </c>
      <c r="E93" s="1" t="s">
        <v>549</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row>
    <row r="94" spans="1:39" ht="13.5" customHeight="1">
      <c r="A94" s="1"/>
      <c r="B94" s="1"/>
      <c r="C94" s="1"/>
      <c r="D94" s="1">
        <v>3</v>
      </c>
      <c r="E94" s="1" t="s">
        <v>1030</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row>
    <row r="95" spans="1:39" ht="13.5" customHeight="1">
      <c r="A95" s="1"/>
      <c r="B95" s="1"/>
      <c r="C95" s="1"/>
      <c r="D95" s="1">
        <v>4</v>
      </c>
      <c r="E95" s="442" t="s">
        <v>1031</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row>
    <row r="96" spans="1:39" ht="13.5" customHeight="1">
      <c r="A96" s="1"/>
      <c r="B96" s="1"/>
      <c r="C96" s="1"/>
      <c r="D96" s="1">
        <v>5</v>
      </c>
      <c r="E96" s="144" t="s">
        <v>1032</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row>
    <row r="97" spans="1:39" ht="13.5" customHeight="1">
      <c r="A97" s="1"/>
      <c r="B97" s="1"/>
      <c r="C97" s="1"/>
      <c r="D97" s="1">
        <v>6</v>
      </c>
      <c r="E97" s="104" t="s">
        <v>1033</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row>
    <row r="98" spans="1:39" ht="13.5" customHeight="1">
      <c r="A98" s="1"/>
      <c r="B98" s="1"/>
      <c r="C98" s="1"/>
      <c r="D98" s="1">
        <v>7</v>
      </c>
      <c r="E98" s="128" t="s">
        <v>1034</v>
      </c>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row>
    <row r="99" spans="1:39" ht="13.5" customHeight="1">
      <c r="A99" s="1"/>
      <c r="B99" s="1"/>
      <c r="C99" s="1"/>
      <c r="D99" s="1">
        <v>8</v>
      </c>
      <c r="E99" s="128" t="s">
        <v>1035</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row>
    <row r="100" spans="1:39" ht="13.5" customHeight="1">
      <c r="A100" s="1"/>
      <c r="B100" s="1"/>
      <c r="C100" s="1"/>
      <c r="D100" s="1">
        <v>9</v>
      </c>
      <c r="E100" s="128" t="s">
        <v>1036</v>
      </c>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row>
    <row r="101" spans="1:39" ht="13.5" customHeight="1">
      <c r="A101" s="1"/>
      <c r="B101" s="1"/>
      <c r="C101" s="1"/>
      <c r="D101" s="1">
        <v>10</v>
      </c>
      <c r="E101" s="128" t="s">
        <v>1037</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row>
    <row r="102" spans="1:39" ht="13.5" customHeight="1">
      <c r="A102" s="1"/>
      <c r="B102" s="1"/>
      <c r="C102" s="1"/>
      <c r="D102" s="1">
        <v>11</v>
      </c>
      <c r="E102" s="128" t="s">
        <v>1038</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row>
    <row r="103" spans="1:39" ht="13.5" customHeight="1">
      <c r="A103" s="1"/>
      <c r="B103" s="1"/>
      <c r="C103" s="1"/>
      <c r="D103" s="1">
        <v>12</v>
      </c>
      <c r="E103" s="128" t="s">
        <v>1039</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row>
    <row r="104" spans="1:39" ht="13.5" customHeight="1">
      <c r="A104" s="1"/>
      <c r="B104" s="1"/>
      <c r="C104" s="1"/>
      <c r="D104" s="1">
        <v>13</v>
      </c>
      <c r="E104" s="128" t="s">
        <v>1040</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row>
    <row r="105" spans="1:39" ht="13.5" customHeight="1">
      <c r="A105" s="1"/>
      <c r="B105" s="1"/>
      <c r="C105" s="1"/>
      <c r="D105" s="1">
        <v>14</v>
      </c>
      <c r="E105" s="128" t="s">
        <v>1041</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row>
    <row r="106" spans="1:39" ht="13.5" customHeight="1">
      <c r="A106" s="1"/>
      <c r="B106" s="1"/>
      <c r="C106" s="1"/>
      <c r="D106" s="1">
        <v>15</v>
      </c>
      <c r="E106" s="575" t="s">
        <v>1042</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row>
    <row r="107" spans="1:39"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row>
    <row r="108" spans="1:39" ht="13.5" customHeight="1">
      <c r="A108" s="1"/>
      <c r="B108" s="1"/>
      <c r="C108" s="1"/>
      <c r="D108" s="1"/>
      <c r="E108" s="15" t="s">
        <v>1043</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row>
    <row r="109" spans="1:39" ht="13.5" customHeight="1">
      <c r="A109" s="1"/>
      <c r="B109" s="1"/>
      <c r="C109" s="1"/>
      <c r="D109" s="1">
        <v>1</v>
      </c>
      <c r="E109" s="128" t="s">
        <v>1044</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row>
    <row r="110" spans="1:39"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row>
    <row r="111" spans="1:39" ht="13.5" customHeight="1">
      <c r="A111" s="1"/>
      <c r="B111" s="1"/>
      <c r="C111" s="1"/>
      <c r="D111" s="1"/>
      <c r="E111" s="15" t="s">
        <v>1045</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row>
    <row r="112" spans="1:39" ht="13.5" customHeight="1">
      <c r="A112" s="1"/>
      <c r="B112" s="1"/>
      <c r="C112" s="1"/>
      <c r="D112" s="1">
        <v>1</v>
      </c>
      <c r="E112" s="128" t="s">
        <v>1046</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row>
    <row r="113" spans="1:39"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row>
    <row r="114" spans="1:39"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row>
    <row r="115" spans="1:39" ht="13.5" customHeight="1">
      <c r="A115" s="1"/>
      <c r="B115" s="1"/>
      <c r="C115" s="1"/>
      <c r="D115" s="1"/>
      <c r="E115" s="1" t="s">
        <v>1047</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row>
    <row r="116" spans="1:39" ht="13.5" customHeight="1">
      <c r="A116" s="1"/>
      <c r="B116" s="1"/>
      <c r="C116" s="1"/>
      <c r="D116" s="1"/>
      <c r="E116" s="1" t="s">
        <v>1048</v>
      </c>
      <c r="F116" s="1">
        <v>200000</v>
      </c>
      <c r="G116" s="576" t="s">
        <v>100</v>
      </c>
      <c r="H116" s="619">
        <v>1</v>
      </c>
      <c r="I116" s="206" t="s">
        <v>101</v>
      </c>
      <c r="J116" s="14">
        <v>1.0015000000000001</v>
      </c>
      <c r="K116" s="206" t="s">
        <v>97</v>
      </c>
      <c r="L116" s="20">
        <v>5.8065553845323302E-3</v>
      </c>
      <c r="M116" s="1" t="s">
        <v>109</v>
      </c>
      <c r="N116" s="136">
        <f>(F116*J116*L116)/H117</f>
        <v>1.1630530435218256</v>
      </c>
      <c r="O116" s="1" t="s">
        <v>109</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row>
    <row r="117" spans="1:39" ht="13.5" customHeight="1">
      <c r="A117" s="1"/>
      <c r="B117" s="1"/>
      <c r="C117" s="1"/>
      <c r="D117" s="1"/>
      <c r="E117" s="1"/>
      <c r="F117" s="1"/>
      <c r="G117" s="1"/>
      <c r="H117" s="619">
        <v>1000</v>
      </c>
      <c r="I117" s="206" t="s">
        <v>100</v>
      </c>
      <c r="J117" s="619">
        <v>1</v>
      </c>
      <c r="K117" s="206" t="s">
        <v>101</v>
      </c>
      <c r="L117" s="1">
        <v>1</v>
      </c>
      <c r="M117" s="576" t="s">
        <v>97</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row>
    <row r="118" spans="1:39"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row>
    <row r="119" spans="1:39" ht="13.5" customHeight="1">
      <c r="A119" s="1"/>
      <c r="B119" s="1"/>
      <c r="C119" s="1"/>
      <c r="D119" s="1"/>
      <c r="E119" s="1" t="s">
        <v>1049</v>
      </c>
      <c r="F119" s="1">
        <v>5.4</v>
      </c>
      <c r="G119" s="577" t="s">
        <v>1050</v>
      </c>
      <c r="H119" s="1">
        <v>1000</v>
      </c>
      <c r="I119" s="577" t="s">
        <v>100</v>
      </c>
      <c r="J119" s="1">
        <v>1</v>
      </c>
      <c r="K119" s="577" t="s">
        <v>101</v>
      </c>
      <c r="L119" s="1">
        <v>1</v>
      </c>
      <c r="M119" s="577" t="s">
        <v>97</v>
      </c>
      <c r="N119" s="1">
        <v>1</v>
      </c>
      <c r="O119" s="132" t="s">
        <v>1051</v>
      </c>
      <c r="P119" s="578">
        <f>(F119*H119*J119*L119*N119)/(H120*J120*L120*N120)</f>
        <v>0.92859049380040837</v>
      </c>
      <c r="Q119" s="579" t="s">
        <v>1051</v>
      </c>
      <c r="R119" s="1"/>
      <c r="S119" s="1"/>
      <c r="T119" s="1"/>
      <c r="U119" s="1"/>
      <c r="V119" s="1"/>
      <c r="W119" s="1"/>
      <c r="X119" s="1"/>
      <c r="Y119" s="1"/>
      <c r="Z119" s="1"/>
      <c r="AA119" s="1"/>
      <c r="AB119" s="1"/>
      <c r="AC119" s="1"/>
      <c r="AD119" s="1"/>
      <c r="AE119" s="1"/>
      <c r="AF119" s="1"/>
      <c r="AG119" s="1"/>
      <c r="AH119" s="1"/>
      <c r="AI119" s="1"/>
      <c r="AJ119" s="1"/>
      <c r="AK119" s="1"/>
      <c r="AL119" s="1"/>
      <c r="AM119" s="1"/>
    </row>
    <row r="120" spans="1:39" ht="13.5" customHeight="1">
      <c r="A120" s="1"/>
      <c r="B120" s="1"/>
      <c r="C120" s="1"/>
      <c r="D120" s="1"/>
      <c r="E120" s="1"/>
      <c r="F120" s="1"/>
      <c r="G120" s="577" t="s">
        <v>100</v>
      </c>
      <c r="H120" s="1">
        <v>1</v>
      </c>
      <c r="I120" s="577" t="s">
        <v>101</v>
      </c>
      <c r="J120" s="14">
        <v>1.0015000000000001</v>
      </c>
      <c r="K120" s="577" t="s">
        <v>97</v>
      </c>
      <c r="L120" s="20">
        <v>5.8065553845323302E-3</v>
      </c>
      <c r="M120" s="1" t="s">
        <v>109</v>
      </c>
      <c r="N120" s="1">
        <v>1000000</v>
      </c>
      <c r="O120" s="577" t="s">
        <v>1050</v>
      </c>
      <c r="P120" s="1"/>
      <c r="Q120" s="579" t="s">
        <v>109</v>
      </c>
      <c r="R120" s="1"/>
      <c r="S120" s="1"/>
      <c r="T120" s="1"/>
      <c r="U120" s="1"/>
      <c r="V120" s="1"/>
      <c r="W120" s="1"/>
      <c r="X120" s="1"/>
      <c r="Y120" s="1"/>
      <c r="Z120" s="1"/>
      <c r="AA120" s="1"/>
      <c r="AB120" s="1"/>
      <c r="AC120" s="1"/>
      <c r="AD120" s="1"/>
      <c r="AE120" s="1"/>
      <c r="AF120" s="1"/>
      <c r="AG120" s="1"/>
      <c r="AH120" s="1"/>
      <c r="AI120" s="1"/>
      <c r="AJ120" s="1"/>
      <c r="AK120" s="1"/>
      <c r="AL120" s="1"/>
      <c r="AM120" s="1"/>
    </row>
    <row r="121" spans="1:39"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row>
    <row r="122" spans="1:39" ht="13.5" customHeight="1">
      <c r="A122" s="1"/>
      <c r="B122" s="1"/>
      <c r="C122" s="1"/>
      <c r="D122" s="1"/>
      <c r="E122" s="1" t="s">
        <v>1052</v>
      </c>
      <c r="F122" s="1">
        <v>5600</v>
      </c>
      <c r="G122" s="577" t="s">
        <v>1053</v>
      </c>
      <c r="H122" s="1">
        <v>1000</v>
      </c>
      <c r="I122" s="577" t="s">
        <v>100</v>
      </c>
      <c r="J122" s="1">
        <v>1</v>
      </c>
      <c r="K122" s="577" t="s">
        <v>101</v>
      </c>
      <c r="L122" s="1">
        <v>1</v>
      </c>
      <c r="M122" s="577" t="s">
        <v>97</v>
      </c>
      <c r="N122" s="580">
        <f>(F122*H122*J122*L122)/(F123*H123*J123*L123)</f>
        <v>4814.9136715576733</v>
      </c>
      <c r="O122" s="579" t="s">
        <v>1051</v>
      </c>
      <c r="P122" s="8"/>
      <c r="Q122" s="8"/>
      <c r="R122" s="1"/>
      <c r="S122" s="1"/>
      <c r="T122" s="1"/>
      <c r="U122" s="1"/>
      <c r="V122" s="1"/>
      <c r="W122" s="1"/>
      <c r="X122" s="1"/>
      <c r="Y122" s="1"/>
      <c r="Z122" s="1"/>
      <c r="AA122" s="1"/>
      <c r="AB122" s="1"/>
      <c r="AC122" s="1"/>
      <c r="AD122" s="1"/>
      <c r="AE122" s="1"/>
      <c r="AF122" s="1"/>
      <c r="AG122" s="1"/>
      <c r="AH122" s="1"/>
      <c r="AI122" s="1"/>
      <c r="AJ122" s="1"/>
      <c r="AK122" s="1"/>
      <c r="AL122" s="1"/>
      <c r="AM122" s="1"/>
    </row>
    <row r="123" spans="1:39" ht="13.5" customHeight="1">
      <c r="A123" s="1"/>
      <c r="B123" s="1"/>
      <c r="C123" s="1"/>
      <c r="D123" s="1"/>
      <c r="E123" s="1"/>
      <c r="F123" s="1">
        <v>200000</v>
      </c>
      <c r="G123" s="577" t="s">
        <v>100</v>
      </c>
      <c r="H123" s="1">
        <v>1</v>
      </c>
      <c r="I123" s="577" t="s">
        <v>101</v>
      </c>
      <c r="J123" s="14">
        <v>1.0015000000000001</v>
      </c>
      <c r="K123" s="577" t="s">
        <v>97</v>
      </c>
      <c r="L123" s="20">
        <v>5.8065553845323302E-3</v>
      </c>
      <c r="M123" s="1" t="s">
        <v>109</v>
      </c>
      <c r="N123" s="1"/>
      <c r="O123" s="579" t="s">
        <v>109</v>
      </c>
      <c r="P123" s="8"/>
      <c r="Q123" s="8"/>
      <c r="R123" s="1"/>
      <c r="S123" s="1"/>
      <c r="T123" s="1"/>
      <c r="U123" s="1"/>
      <c r="V123" s="1"/>
      <c r="W123" s="1"/>
      <c r="X123" s="1"/>
      <c r="Y123" s="1"/>
      <c r="Z123" s="1"/>
      <c r="AA123" s="1"/>
      <c r="AB123" s="1"/>
      <c r="AC123" s="1"/>
      <c r="AD123" s="1"/>
      <c r="AE123" s="1"/>
      <c r="AF123" s="1"/>
      <c r="AG123" s="1"/>
      <c r="AH123" s="1"/>
      <c r="AI123" s="1"/>
      <c r="AJ123" s="1"/>
      <c r="AK123" s="1"/>
      <c r="AL123" s="1"/>
      <c r="AM123" s="1"/>
    </row>
    <row r="124" spans="1:39" ht="13.5" customHeight="1">
      <c r="A124" s="1"/>
      <c r="B124" s="1"/>
      <c r="C124" s="1"/>
      <c r="D124" s="1"/>
      <c r="E124" s="1"/>
      <c r="F124" s="1"/>
      <c r="G124" s="1"/>
      <c r="H124" s="1"/>
      <c r="I124" s="1"/>
      <c r="J124" s="14"/>
      <c r="K124" s="1"/>
      <c r="L124" s="20"/>
      <c r="M124" s="1"/>
      <c r="N124" s="1"/>
      <c r="O124" s="1"/>
      <c r="P124" s="8"/>
      <c r="Q124" s="8"/>
      <c r="R124" s="1"/>
      <c r="S124" s="1"/>
      <c r="T124" s="1"/>
      <c r="U124" s="1"/>
      <c r="V124" s="1"/>
      <c r="W124" s="1"/>
      <c r="X124" s="1"/>
      <c r="Y124" s="1"/>
      <c r="Z124" s="1"/>
      <c r="AA124" s="1"/>
      <c r="AB124" s="1"/>
      <c r="AC124" s="1"/>
      <c r="AD124" s="1"/>
      <c r="AE124" s="1"/>
      <c r="AF124" s="1"/>
      <c r="AG124" s="1"/>
      <c r="AH124" s="1"/>
      <c r="AI124" s="1"/>
      <c r="AJ124" s="1"/>
      <c r="AK124" s="1"/>
      <c r="AL124" s="1"/>
      <c r="AM124" s="1"/>
    </row>
    <row r="125" spans="1:39" ht="13.5" customHeight="1">
      <c r="A125" s="1"/>
      <c r="B125" s="1"/>
      <c r="C125" s="1"/>
      <c r="D125" s="1"/>
      <c r="E125" s="1"/>
      <c r="F125" s="1"/>
      <c r="G125" s="1"/>
      <c r="H125" s="1" t="s">
        <v>1054</v>
      </c>
      <c r="I125" s="1"/>
      <c r="J125" s="1" t="s">
        <v>1055</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row>
    <row r="126" spans="1:39" ht="13.5" customHeight="1">
      <c r="A126" s="1"/>
      <c r="B126" s="1"/>
      <c r="C126" s="1"/>
      <c r="D126" s="1"/>
      <c r="E126" s="577" t="s">
        <v>1056</v>
      </c>
      <c r="F126" s="577">
        <v>5</v>
      </c>
      <c r="G126" s="577" t="s">
        <v>1057</v>
      </c>
      <c r="H126" s="581">
        <f>$N$122*F126%</f>
        <v>240.74568357788368</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row>
    <row r="127" spans="1:39" ht="13.5" customHeight="1">
      <c r="A127" s="1"/>
      <c r="B127" s="1"/>
      <c r="C127" s="1"/>
      <c r="D127" s="1"/>
      <c r="E127" s="577" t="s">
        <v>1058</v>
      </c>
      <c r="F127" s="577">
        <v>25</v>
      </c>
      <c r="G127" s="577" t="s">
        <v>1057</v>
      </c>
      <c r="H127" s="581">
        <f t="shared" ref="H127:H130" si="18">$N$122*F127%</f>
        <v>1203.7284178894183</v>
      </c>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row>
    <row r="128" spans="1:39" ht="13.5" customHeight="1">
      <c r="A128" s="1"/>
      <c r="B128" s="1"/>
      <c r="C128" s="1"/>
      <c r="D128" s="1"/>
      <c r="E128" s="1" t="s">
        <v>1059</v>
      </c>
      <c r="F128" s="1">
        <v>55</v>
      </c>
      <c r="G128" s="1" t="s">
        <v>1057</v>
      </c>
      <c r="H128" s="132">
        <f t="shared" si="18"/>
        <v>2648.2025193567206</v>
      </c>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row>
    <row r="129" spans="1:39" ht="13.5" customHeight="1">
      <c r="A129" s="1"/>
      <c r="B129" s="1"/>
      <c r="C129" s="1"/>
      <c r="D129" s="1"/>
      <c r="E129" s="1" t="s">
        <v>1060</v>
      </c>
      <c r="F129" s="1">
        <v>10</v>
      </c>
      <c r="G129" s="1" t="s">
        <v>1057</v>
      </c>
      <c r="H129" s="132">
        <f t="shared" si="18"/>
        <v>481.49136715576736</v>
      </c>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row>
    <row r="130" spans="1:39" ht="13.5" customHeight="1">
      <c r="A130" s="1"/>
      <c r="B130" s="1"/>
      <c r="C130" s="1"/>
      <c r="D130" s="1"/>
      <c r="E130" s="577" t="s">
        <v>160</v>
      </c>
      <c r="F130" s="577">
        <v>5</v>
      </c>
      <c r="G130" s="577" t="s">
        <v>1057</v>
      </c>
      <c r="H130" s="581">
        <f t="shared" si="18"/>
        <v>240.74568357788368</v>
      </c>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row>
    <row r="131" spans="1:39" ht="13.5" customHeight="1">
      <c r="A131" s="1"/>
      <c r="B131" s="1"/>
      <c r="C131" s="1"/>
      <c r="D131" s="1"/>
      <c r="E131" s="1"/>
      <c r="F131" s="1">
        <f>SUM(F126:F130)</f>
        <v>100</v>
      </c>
      <c r="G131" s="1" t="s">
        <v>1057</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row>
    <row r="132" spans="1:39"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row>
    <row r="133" spans="1:39" ht="13.5" customHeight="1">
      <c r="A133" s="1"/>
      <c r="B133" s="1"/>
      <c r="C133" s="1"/>
      <c r="D133" s="1"/>
      <c r="E133" s="145"/>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row>
    <row r="134" spans="1:39" ht="13.5" customHeight="1">
      <c r="A134" s="1"/>
      <c r="B134" s="1"/>
      <c r="C134" s="1"/>
      <c r="D134" s="1"/>
      <c r="E134" s="145"/>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row>
    <row r="135" spans="1:39" ht="13.5" customHeight="1">
      <c r="A135" s="1"/>
      <c r="B135" s="1"/>
      <c r="C135" s="1"/>
      <c r="D135" s="1"/>
      <c r="E135" s="145"/>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row>
    <row r="136" spans="1:39" ht="13.5" customHeight="1">
      <c r="A136" s="1"/>
      <c r="B136" s="1"/>
      <c r="C136" s="1"/>
      <c r="D136" s="1"/>
      <c r="E136" s="145"/>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row>
    <row r="137" spans="1:39" ht="13.5" customHeight="1">
      <c r="A137" s="1"/>
      <c r="B137" s="1"/>
      <c r="C137" s="1"/>
      <c r="D137" s="1"/>
      <c r="E137" s="145"/>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row>
    <row r="138" spans="1:39"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row>
    <row r="139" spans="1:39"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row>
    <row r="140" spans="1:39"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row>
    <row r="141" spans="1:39"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row>
    <row r="142" spans="1:39"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row>
    <row r="143" spans="1:39"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row>
    <row r="144" spans="1:39"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row>
    <row r="145" spans="1:39"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row>
    <row r="146" spans="1:39"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row>
    <row r="147" spans="1:39"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row>
    <row r="148" spans="1:39"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row>
    <row r="149" spans="1:39"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row>
    <row r="150" spans="1:39"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row>
    <row r="151" spans="1:39"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row>
    <row r="152" spans="1:39"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row>
    <row r="153" spans="1:39"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row>
    <row r="154" spans="1:39"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row>
    <row r="155" spans="1:39"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row>
    <row r="156" spans="1:39"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row>
    <row r="157" spans="1:39"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row>
    <row r="158" spans="1:39"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row>
    <row r="159" spans="1:39"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row>
    <row r="160" spans="1:39"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row>
    <row r="161" spans="1:39"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row>
    <row r="162" spans="1:39"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row>
    <row r="163" spans="1:39"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row>
    <row r="164" spans="1:39"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row>
    <row r="165" spans="1:39"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row>
    <row r="166" spans="1:39"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row>
    <row r="167" spans="1:39"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row>
    <row r="168" spans="1:39"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row>
    <row r="169" spans="1:39"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row>
    <row r="170" spans="1:39"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row>
    <row r="171" spans="1:39"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row>
    <row r="172" spans="1:39"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row>
    <row r="173" spans="1:39"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row>
    <row r="174" spans="1:39"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row>
    <row r="175" spans="1:39"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row>
    <row r="176" spans="1:39"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row>
    <row r="177" spans="1:39"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row>
    <row r="178" spans="1:39"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row>
    <row r="179" spans="1:39"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row>
    <row r="180" spans="1:39"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row>
    <row r="181" spans="1:39"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row>
    <row r="182" spans="1:39"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row>
    <row r="183" spans="1:39"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row>
    <row r="184" spans="1:39"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row>
    <row r="185" spans="1:39"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row>
    <row r="186" spans="1:39"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row>
    <row r="187" spans="1:39"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row>
    <row r="188" spans="1:39"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row>
    <row r="189" spans="1:39"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row>
    <row r="190" spans="1:39"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row>
    <row r="191" spans="1:39"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row>
    <row r="192" spans="1:39"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row>
    <row r="193" spans="1:39"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row>
    <row r="194" spans="1:39"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row>
    <row r="195" spans="1:39"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row>
    <row r="196" spans="1:39"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row>
    <row r="197" spans="1:39"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row>
    <row r="198" spans="1:39"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row>
    <row r="199" spans="1:39"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row>
    <row r="200" spans="1:39"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row>
    <row r="201" spans="1:39"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row>
    <row r="202" spans="1:39"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row>
    <row r="203" spans="1:39"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row>
    <row r="204" spans="1:39"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row>
    <row r="205" spans="1:39"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row>
    <row r="206" spans="1:39"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row>
    <row r="207" spans="1:39"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row>
    <row r="208" spans="1:39"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row>
    <row r="209" spans="1:39"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row>
    <row r="210" spans="1:39"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row>
    <row r="211" spans="1:39"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row>
    <row r="212" spans="1:39"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row>
    <row r="213" spans="1:39"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row>
    <row r="214" spans="1:39"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row>
    <row r="215" spans="1:39"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row>
    <row r="216" spans="1:39"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row>
    <row r="217" spans="1:39"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row>
    <row r="218" spans="1:39"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row>
    <row r="219" spans="1:39"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row>
    <row r="220" spans="1:39"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row>
    <row r="221" spans="1:39"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row>
    <row r="222" spans="1:39"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row>
    <row r="223" spans="1:39"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row>
    <row r="224" spans="1:39"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row>
    <row r="225" spans="1:39"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row>
    <row r="226" spans="1:39"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row>
    <row r="227" spans="1:39"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row>
    <row r="228" spans="1:39"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row>
    <row r="229" spans="1:39"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row>
    <row r="230" spans="1:39"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row>
    <row r="231" spans="1:39"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row>
    <row r="232" spans="1:39"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row>
    <row r="233" spans="1:39"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row>
    <row r="234" spans="1:39"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row>
    <row r="235" spans="1:39"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row>
    <row r="236" spans="1:39"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row>
    <row r="237" spans="1:39"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row>
    <row r="238" spans="1:39"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row>
    <row r="239" spans="1:39"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row>
    <row r="240" spans="1:39"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row>
    <row r="241" spans="1:39"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row>
    <row r="242" spans="1:39"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row>
    <row r="243" spans="1:39"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row>
    <row r="244" spans="1:39"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row>
    <row r="245" spans="1:39"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row>
    <row r="246" spans="1:39"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row>
    <row r="247" spans="1:39"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row>
    <row r="248" spans="1:39"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row>
    <row r="249" spans="1:39"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row>
    <row r="250" spans="1:39"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row>
    <row r="251" spans="1:39"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row>
    <row r="252" spans="1:39"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row>
    <row r="253" spans="1:39"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row>
    <row r="254" spans="1:39"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row>
    <row r="255" spans="1:39"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row>
    <row r="256" spans="1:39"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row>
    <row r="257" spans="1:39"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row>
    <row r="258" spans="1:39"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row>
    <row r="259" spans="1:39"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row>
    <row r="260" spans="1:39"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row>
    <row r="261" spans="1:39"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row>
    <row r="262" spans="1:39"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row>
    <row r="263" spans="1:39"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row>
    <row r="264" spans="1:39"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row>
    <row r="265" spans="1:39"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row>
    <row r="266" spans="1:39"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row>
    <row r="267" spans="1:39"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row>
    <row r="268" spans="1:39"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row>
    <row r="269" spans="1:39"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row>
    <row r="270" spans="1:39"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row>
    <row r="271" spans="1:39"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row>
    <row r="272" spans="1:39"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row>
    <row r="273" spans="1:39"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row>
    <row r="274" spans="1:39"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row>
    <row r="275" spans="1:39"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row>
    <row r="276" spans="1:39"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row>
    <row r="277" spans="1:39"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row>
    <row r="278" spans="1:39"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row>
    <row r="279" spans="1:39"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row>
    <row r="280" spans="1:39"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row>
    <row r="281" spans="1:39"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row>
    <row r="282" spans="1:39"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row>
    <row r="283" spans="1:39"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row>
    <row r="284" spans="1:39"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row>
    <row r="285" spans="1:39"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row>
    <row r="286" spans="1:39"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row>
    <row r="287" spans="1:39"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row>
    <row r="288" spans="1:39"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row>
    <row r="289" spans="1:39"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row>
    <row r="290" spans="1:39"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row>
    <row r="291" spans="1:39"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row>
    <row r="292" spans="1:39"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row>
    <row r="293" spans="1:39"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row>
    <row r="294" spans="1:39"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row>
    <row r="295" spans="1:39"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row>
    <row r="296" spans="1:39"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row>
    <row r="297" spans="1:39"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row>
    <row r="298" spans="1:39"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ht="15.75" customHeight="1">
      <c r="A332" s="617"/>
      <c r="B332" s="617"/>
      <c r="C332" s="617"/>
      <c r="D332" s="617"/>
      <c r="E332" s="617"/>
      <c r="F332" s="617"/>
      <c r="G332" s="617"/>
      <c r="H332" s="617"/>
      <c r="I332" s="617"/>
      <c r="J332" s="617"/>
      <c r="K332" s="617"/>
      <c r="L332" s="617"/>
      <c r="M332" s="617"/>
      <c r="N332" s="617"/>
      <c r="O332" s="617"/>
      <c r="P332" s="617"/>
      <c r="Q332" s="617"/>
      <c r="R332" s="617"/>
      <c r="S332" s="617"/>
      <c r="T332" s="617"/>
      <c r="U332" s="617"/>
      <c r="V332" s="617"/>
      <c r="W332" s="617"/>
      <c r="X332" s="617"/>
      <c r="Y332" s="617"/>
      <c r="Z332" s="617"/>
      <c r="AA332" s="617"/>
      <c r="AB332" s="617"/>
      <c r="AC332" s="617"/>
      <c r="AD332" s="617"/>
      <c r="AE332" s="617"/>
      <c r="AF332" s="617"/>
      <c r="AG332" s="617"/>
      <c r="AH332" s="617"/>
      <c r="AI332" s="617"/>
      <c r="AJ332" s="617"/>
      <c r="AK332" s="617"/>
      <c r="AL332" s="617"/>
      <c r="AM332" s="617"/>
    </row>
    <row r="333" spans="1:39" ht="15.75" customHeight="1">
      <c r="A333" s="617"/>
      <c r="B333" s="617"/>
      <c r="C333" s="617"/>
      <c r="D333" s="617"/>
      <c r="E333" s="617"/>
      <c r="F333" s="617"/>
      <c r="G333" s="617"/>
      <c r="H333" s="617"/>
      <c r="I333" s="617"/>
      <c r="J333" s="617"/>
      <c r="K333" s="617"/>
      <c r="L333" s="617"/>
      <c r="M333" s="617"/>
      <c r="N333" s="617"/>
      <c r="O333" s="617"/>
      <c r="P333" s="617"/>
      <c r="Q333" s="617"/>
      <c r="R333" s="617"/>
      <c r="S333" s="617"/>
      <c r="T333" s="617"/>
      <c r="U333" s="617"/>
      <c r="V333" s="617"/>
      <c r="W333" s="617"/>
      <c r="X333" s="617"/>
      <c r="Y333" s="617"/>
      <c r="Z333" s="617"/>
      <c r="AA333" s="617"/>
      <c r="AB333" s="617"/>
      <c r="AC333" s="617"/>
      <c r="AD333" s="617"/>
      <c r="AE333" s="617"/>
      <c r="AF333" s="617"/>
      <c r="AG333" s="617"/>
      <c r="AH333" s="617"/>
      <c r="AI333" s="617"/>
      <c r="AJ333" s="617"/>
      <c r="AK333" s="617"/>
      <c r="AL333" s="617"/>
      <c r="AM333" s="617"/>
    </row>
    <row r="334" spans="1:39" ht="15.75" customHeight="1">
      <c r="A334" s="617"/>
      <c r="B334" s="617"/>
      <c r="C334" s="617"/>
      <c r="D334" s="617"/>
      <c r="E334" s="617"/>
      <c r="F334" s="617"/>
      <c r="G334" s="617"/>
      <c r="H334" s="617"/>
      <c r="I334" s="617"/>
      <c r="J334" s="617"/>
      <c r="K334" s="617"/>
      <c r="L334" s="617"/>
      <c r="M334" s="617"/>
      <c r="N334" s="617"/>
      <c r="O334" s="617"/>
      <c r="P334" s="617"/>
      <c r="Q334" s="617"/>
      <c r="R334" s="617"/>
      <c r="S334" s="617"/>
      <c r="T334" s="617"/>
      <c r="U334" s="617"/>
      <c r="V334" s="617"/>
      <c r="W334" s="617"/>
      <c r="X334" s="617"/>
      <c r="Y334" s="617"/>
      <c r="Z334" s="617"/>
      <c r="AA334" s="617"/>
      <c r="AB334" s="617"/>
      <c r="AC334" s="617"/>
      <c r="AD334" s="617"/>
      <c r="AE334" s="617"/>
      <c r="AF334" s="617"/>
      <c r="AG334" s="617"/>
      <c r="AH334" s="617"/>
      <c r="AI334" s="617"/>
      <c r="AJ334" s="617"/>
      <c r="AK334" s="617"/>
      <c r="AL334" s="617"/>
      <c r="AM334" s="617"/>
    </row>
    <row r="335" spans="1:39" ht="15.75" customHeight="1">
      <c r="A335" s="617"/>
      <c r="B335" s="617"/>
      <c r="C335" s="617"/>
      <c r="D335" s="617"/>
      <c r="E335" s="617"/>
      <c r="F335" s="617"/>
      <c r="G335" s="617"/>
      <c r="H335" s="617"/>
      <c r="I335" s="617"/>
      <c r="J335" s="617"/>
      <c r="K335" s="617"/>
      <c r="L335" s="617"/>
      <c r="M335" s="617"/>
      <c r="N335" s="617"/>
      <c r="O335" s="617"/>
      <c r="P335" s="617"/>
      <c r="Q335" s="617"/>
      <c r="R335" s="617"/>
      <c r="S335" s="617"/>
      <c r="T335" s="617"/>
      <c r="U335" s="617"/>
      <c r="V335" s="617"/>
      <c r="W335" s="617"/>
      <c r="X335" s="617"/>
      <c r="Y335" s="617"/>
      <c r="Z335" s="617"/>
      <c r="AA335" s="617"/>
      <c r="AB335" s="617"/>
      <c r="AC335" s="617"/>
      <c r="AD335" s="617"/>
      <c r="AE335" s="617"/>
      <c r="AF335" s="617"/>
      <c r="AG335" s="617"/>
      <c r="AH335" s="617"/>
      <c r="AI335" s="617"/>
      <c r="AJ335" s="617"/>
      <c r="AK335" s="617"/>
      <c r="AL335" s="617"/>
      <c r="AM335" s="617"/>
    </row>
    <row r="336" spans="1:39" ht="15.75" customHeight="1">
      <c r="A336" s="617"/>
      <c r="B336" s="617"/>
      <c r="C336" s="617"/>
      <c r="D336" s="617"/>
      <c r="E336" s="617"/>
      <c r="F336" s="617"/>
      <c r="G336" s="617"/>
      <c r="H336" s="617"/>
      <c r="I336" s="617"/>
      <c r="J336" s="617"/>
      <c r="K336" s="617"/>
      <c r="L336" s="617"/>
      <c r="M336" s="617"/>
      <c r="N336" s="617"/>
      <c r="O336" s="617"/>
      <c r="P336" s="617"/>
      <c r="Q336" s="617"/>
      <c r="R336" s="617"/>
      <c r="S336" s="617"/>
      <c r="T336" s="617"/>
      <c r="U336" s="617"/>
      <c r="V336" s="617"/>
      <c r="W336" s="617"/>
      <c r="X336" s="617"/>
      <c r="Y336" s="617"/>
      <c r="Z336" s="617"/>
      <c r="AA336" s="617"/>
      <c r="AB336" s="617"/>
      <c r="AC336" s="617"/>
      <c r="AD336" s="617"/>
      <c r="AE336" s="617"/>
      <c r="AF336" s="617"/>
      <c r="AG336" s="617"/>
      <c r="AH336" s="617"/>
      <c r="AI336" s="617"/>
      <c r="AJ336" s="617"/>
      <c r="AK336" s="617"/>
      <c r="AL336" s="617"/>
      <c r="AM336" s="617"/>
    </row>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2">
    <mergeCell ref="A21:A25"/>
    <mergeCell ref="A59:A63"/>
  </mergeCells>
  <hyperlinks>
    <hyperlink ref="E95" r:id="rId1" xr:uid="{00000000-0004-0000-1400-000000000000}"/>
    <hyperlink ref="E97" r:id="rId2" xr:uid="{00000000-0004-0000-1400-000001000000}"/>
    <hyperlink ref="E98" r:id="rId3" xr:uid="{00000000-0004-0000-1400-000002000000}"/>
    <hyperlink ref="E99" r:id="rId4" xr:uid="{00000000-0004-0000-1400-000003000000}"/>
    <hyperlink ref="E100" r:id="rId5" xr:uid="{00000000-0004-0000-1400-000004000000}"/>
    <hyperlink ref="E103" r:id="rId6" location="/?id=12-AEO2022&amp;region=0-0&amp;cases=ref2022&amp;start=2020&amp;end=2050&amp;f=A&amp;linechart=~ref2022-d011222a.30-12-AEO2022~ref2022-d011222a.32-12-AEO2022&amp;ctype=linechart&amp;sid=ref2022-d011222a.30-12-AEO2022&amp;sourcekey=0" xr:uid="{00000000-0004-0000-1400-000005000000}"/>
    <hyperlink ref="E104" r:id="rId7" xr:uid="{00000000-0004-0000-1400-000006000000}"/>
    <hyperlink ref="E105" r:id="rId8" xr:uid="{00000000-0004-0000-1400-000007000000}"/>
    <hyperlink ref="E106" r:id="rId9" location="/?id=13-AEO2022&amp;region=0-0&amp;cases=ref2022&amp;start=2020&amp;end=2050&amp;f=A&amp;linechart=ref2022-d011222a.3-13-AEO2022&amp;sid=&amp;sourcekey=0" xr:uid="{00000000-0004-0000-1400-000008000000}"/>
    <hyperlink ref="E109" r:id="rId10" xr:uid="{00000000-0004-0000-1400-000009000000}"/>
    <hyperlink ref="E112" r:id="rId11" xr:uid="{00000000-0004-0000-1400-00000A000000}"/>
    <hyperlink ref="J116" r:id="rId12" display="https://biblioteca.olade.org/opac-tmpl/Documentos/old0380.pdf" xr:uid="{00000000-0004-0000-1400-00000B000000}"/>
    <hyperlink ref="J120" r:id="rId13" display="https://biblioteca.olade.org/opac-tmpl/Documentos/old0380.pdf" xr:uid="{00000000-0004-0000-1400-00000C000000}"/>
    <hyperlink ref="J123" r:id="rId14" display="https://biblioteca.olade.org/opac-tmpl/Documentos/old0380.pdf" xr:uid="{00000000-0004-0000-1400-00000D000000}"/>
  </hyperlinks>
  <pageMargins left="0.7" right="0.7" top="0.75" bottom="0.75" header="0" footer="0"/>
  <pageSetup orientation="landscape"/>
  <legacyDrawing r:id="rId1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000"/>
  <sheetViews>
    <sheetView workbookViewId="0"/>
  </sheetViews>
  <sheetFormatPr defaultColWidth="12.6640625" defaultRowHeight="15" customHeight="1"/>
  <cols>
    <col min="1" max="1" width="8.6640625" customWidth="1"/>
    <col min="2" max="2" width="9.109375" customWidth="1"/>
    <col min="3" max="5" width="8.6640625" customWidth="1"/>
    <col min="6" max="6" width="11.109375" customWidth="1"/>
    <col min="7" max="7" width="10.88671875" customWidth="1"/>
    <col min="8" max="26" width="8.6640625" customWidth="1"/>
  </cols>
  <sheetData>
    <row r="1" spans="1:11" ht="13.5" customHeight="1">
      <c r="A1" s="15" t="s">
        <v>1061</v>
      </c>
      <c r="B1" s="8"/>
      <c r="C1" s="8"/>
      <c r="D1" s="8"/>
      <c r="E1" s="8"/>
      <c r="F1" s="8"/>
      <c r="G1" s="8"/>
      <c r="H1" s="8"/>
      <c r="I1" s="8"/>
      <c r="J1" s="8"/>
      <c r="K1" s="8"/>
    </row>
    <row r="2" spans="1:11" ht="13.5" customHeight="1">
      <c r="A2" s="617"/>
      <c r="B2" s="617"/>
      <c r="C2" s="617"/>
      <c r="D2" s="617"/>
      <c r="E2" s="617"/>
      <c r="F2" s="617"/>
      <c r="G2" s="617"/>
      <c r="H2" s="617"/>
      <c r="I2" s="617"/>
      <c r="J2" s="617"/>
      <c r="K2" s="617"/>
    </row>
    <row r="3" spans="1:11" ht="13.5" customHeight="1">
      <c r="A3" s="617"/>
      <c r="B3" s="617"/>
      <c r="C3" s="617"/>
      <c r="D3" s="617"/>
      <c r="E3" s="617"/>
      <c r="F3" s="617"/>
      <c r="G3" s="617"/>
      <c r="H3" s="617"/>
      <c r="I3" s="617"/>
      <c r="J3" s="617"/>
      <c r="K3" s="617"/>
    </row>
    <row r="4" spans="1:11" ht="13.5" customHeight="1">
      <c r="A4" s="8"/>
      <c r="B4" s="8"/>
      <c r="C4" s="8"/>
      <c r="D4" s="8"/>
      <c r="E4" s="8"/>
      <c r="F4" s="8"/>
      <c r="G4" s="8"/>
      <c r="H4" s="8"/>
      <c r="I4" s="8"/>
      <c r="J4" s="8"/>
      <c r="K4" s="8" t="s">
        <v>1062</v>
      </c>
    </row>
    <row r="5" spans="1:11" ht="13.5" customHeight="1">
      <c r="A5" s="617"/>
      <c r="B5" s="617"/>
      <c r="C5" s="617"/>
      <c r="D5" s="617"/>
      <c r="E5" s="617"/>
      <c r="F5" s="617"/>
      <c r="G5" s="617"/>
      <c r="H5" s="617"/>
      <c r="I5" s="617"/>
      <c r="J5" s="617"/>
      <c r="K5" s="617"/>
    </row>
    <row r="6" spans="1:11" ht="13.5" customHeight="1">
      <c r="A6" s="617"/>
      <c r="B6" s="617"/>
      <c r="C6" s="617"/>
      <c r="D6" s="617"/>
      <c r="E6" s="617"/>
      <c r="F6" s="617"/>
      <c r="G6" s="617"/>
      <c r="H6" s="617"/>
      <c r="I6" s="617"/>
      <c r="J6" s="617"/>
      <c r="K6" s="617"/>
    </row>
    <row r="7" spans="1:11" ht="13.5" customHeight="1">
      <c r="A7" s="617"/>
      <c r="B7" s="617"/>
      <c r="C7" s="617"/>
      <c r="D7" s="617"/>
      <c r="E7" s="617"/>
      <c r="F7" s="617"/>
      <c r="G7" s="617"/>
      <c r="H7" s="617"/>
      <c r="I7" s="617"/>
      <c r="J7" s="617"/>
      <c r="K7" s="617"/>
    </row>
    <row r="8" spans="1:11" ht="13.5" customHeight="1">
      <c r="A8" s="617"/>
      <c r="B8" s="617"/>
      <c r="C8" s="617"/>
      <c r="D8" s="617"/>
      <c r="E8" s="617"/>
      <c r="F8" s="617"/>
      <c r="G8" s="617"/>
      <c r="H8" s="617"/>
      <c r="I8" s="617"/>
      <c r="J8" s="617"/>
      <c r="K8" s="617"/>
    </row>
    <row r="9" spans="1:11" ht="13.5" customHeight="1">
      <c r="A9" s="617"/>
      <c r="B9" s="617"/>
      <c r="C9" s="617"/>
      <c r="D9" s="617"/>
      <c r="E9" s="617"/>
      <c r="F9" s="617"/>
      <c r="G9" s="617"/>
      <c r="H9" s="617"/>
      <c r="I9" s="617"/>
      <c r="J9" s="617"/>
      <c r="K9" s="617"/>
    </row>
    <row r="10" spans="1:11" ht="13.5" customHeight="1">
      <c r="A10" s="617"/>
      <c r="B10" s="617"/>
      <c r="C10" s="617"/>
      <c r="D10" s="617"/>
      <c r="E10" s="617"/>
      <c r="F10" s="617"/>
      <c r="G10" s="617"/>
      <c r="H10" s="617"/>
      <c r="I10" s="617"/>
      <c r="J10" s="617"/>
      <c r="K10" s="617"/>
    </row>
    <row r="11" spans="1:11" ht="13.5" customHeight="1">
      <c r="A11" s="617"/>
      <c r="B11" s="617"/>
      <c r="C11" s="617"/>
      <c r="D11" s="617"/>
      <c r="E11" s="617"/>
      <c r="F11" s="617"/>
      <c r="G11" s="617"/>
      <c r="H11" s="617"/>
      <c r="I11" s="617"/>
      <c r="J11" s="617"/>
      <c r="K11" s="617"/>
    </row>
    <row r="12" spans="1:11" ht="13.5" customHeight="1">
      <c r="A12" s="617"/>
      <c r="B12" s="617"/>
      <c r="C12" s="617"/>
      <c r="D12" s="617"/>
      <c r="E12" s="617"/>
      <c r="F12" s="617"/>
      <c r="G12" s="617"/>
      <c r="H12" s="617"/>
      <c r="I12" s="617"/>
      <c r="J12" s="617"/>
      <c r="K12" s="617"/>
    </row>
    <row r="13" spans="1:11" ht="13.5" customHeight="1">
      <c r="A13" s="617"/>
      <c r="B13" s="617"/>
      <c r="C13" s="617"/>
      <c r="D13" s="617"/>
      <c r="E13" s="617"/>
      <c r="F13" s="617"/>
      <c r="G13" s="617"/>
      <c r="H13" s="617"/>
      <c r="I13" s="617"/>
      <c r="J13" s="617"/>
      <c r="K13" s="617"/>
    </row>
    <row r="14" spans="1:11" ht="13.5" customHeight="1">
      <c r="A14" s="8"/>
      <c r="B14" s="8"/>
      <c r="C14" s="8"/>
      <c r="D14" s="8"/>
      <c r="E14" s="8"/>
      <c r="F14" s="8"/>
      <c r="G14" s="8"/>
      <c r="H14" s="8"/>
      <c r="I14" s="8"/>
      <c r="J14" s="8"/>
      <c r="K14" s="8" t="s">
        <v>1063</v>
      </c>
    </row>
    <row r="15" spans="1:11" ht="13.5" customHeight="1">
      <c r="A15" s="617"/>
      <c r="B15" s="617"/>
      <c r="C15" s="617"/>
      <c r="D15" s="617"/>
      <c r="E15" s="617"/>
      <c r="F15" s="617"/>
      <c r="G15" s="617"/>
      <c r="H15" s="617"/>
      <c r="I15" s="617"/>
      <c r="J15" s="617"/>
      <c r="K15" s="617"/>
    </row>
    <row r="16" spans="1:11" ht="13.5" customHeight="1">
      <c r="A16" s="617"/>
      <c r="B16" s="617"/>
      <c r="C16" s="617"/>
      <c r="D16" s="617"/>
      <c r="E16" s="617"/>
      <c r="F16" s="617"/>
      <c r="G16" s="617"/>
      <c r="H16" s="617"/>
      <c r="I16" s="617"/>
      <c r="J16" s="617"/>
      <c r="K16" s="617"/>
    </row>
    <row r="17" spans="2:11" ht="13.5" customHeight="1">
      <c r="B17" s="617"/>
      <c r="C17" s="617"/>
      <c r="D17" s="617"/>
      <c r="E17" s="617"/>
      <c r="F17" s="617"/>
      <c r="G17" s="617"/>
      <c r="H17" s="617"/>
      <c r="I17" s="617"/>
      <c r="J17" s="617"/>
      <c r="K17" s="617"/>
    </row>
    <row r="18" spans="2:11" ht="13.5" customHeight="1">
      <c r="B18" s="8"/>
      <c r="C18" s="8"/>
      <c r="D18" s="8"/>
      <c r="E18" s="8"/>
      <c r="F18" s="8"/>
      <c r="G18" s="8"/>
      <c r="H18" s="8"/>
      <c r="I18" s="8"/>
      <c r="J18" s="8"/>
      <c r="K18" s="8" t="s">
        <v>1064</v>
      </c>
    </row>
    <row r="19" spans="2:11" ht="13.5" customHeight="1">
      <c r="B19" s="617"/>
      <c r="C19" s="617"/>
      <c r="D19" s="617"/>
      <c r="E19" s="617"/>
      <c r="F19" s="617"/>
      <c r="G19" s="617"/>
      <c r="H19" s="617"/>
      <c r="I19" s="617"/>
      <c r="J19" s="617"/>
      <c r="K19" s="617"/>
    </row>
    <row r="20" spans="2:11" ht="13.5" customHeight="1">
      <c r="B20" s="617"/>
      <c r="C20" s="617"/>
      <c r="D20" s="617"/>
      <c r="E20" s="617"/>
      <c r="F20" s="617"/>
      <c r="G20" s="617"/>
      <c r="H20" s="617"/>
      <c r="I20" s="617"/>
      <c r="J20" s="617"/>
      <c r="K20" s="617"/>
    </row>
    <row r="21" spans="2:11" ht="13.5" customHeight="1">
      <c r="B21" s="617"/>
      <c r="C21" s="617"/>
      <c r="D21" s="617"/>
      <c r="E21" s="617"/>
      <c r="F21" s="617"/>
      <c r="G21" s="617"/>
      <c r="H21" s="617"/>
      <c r="I21" s="617"/>
      <c r="J21" s="617"/>
      <c r="K21" s="617"/>
    </row>
    <row r="22" spans="2:11" ht="13.5" customHeight="1">
      <c r="B22" s="617"/>
      <c r="C22" s="617"/>
      <c r="D22" s="617"/>
      <c r="E22" s="617"/>
      <c r="F22" s="617"/>
      <c r="G22" s="617"/>
      <c r="H22" s="617"/>
      <c r="I22" s="617"/>
      <c r="J22" s="617"/>
      <c r="K22" s="617"/>
    </row>
    <row r="23" spans="2:11" ht="13.5" customHeight="1">
      <c r="B23" s="617"/>
      <c r="C23" s="617"/>
      <c r="D23" s="617"/>
      <c r="E23" s="617"/>
      <c r="F23" s="617"/>
      <c r="G23" s="617"/>
      <c r="H23" s="617"/>
      <c r="I23" s="617"/>
      <c r="J23" s="617"/>
      <c r="K23" s="617"/>
    </row>
    <row r="24" spans="2:11" ht="13.5" customHeight="1">
      <c r="B24" s="617"/>
      <c r="C24" s="617"/>
      <c r="D24" s="617"/>
      <c r="E24" s="617"/>
      <c r="F24" s="617"/>
      <c r="G24" s="617"/>
      <c r="H24" s="617"/>
      <c r="I24" s="617"/>
      <c r="J24" s="617"/>
      <c r="K24" s="617"/>
    </row>
    <row r="25" spans="2:11" ht="81" customHeight="1">
      <c r="B25" s="624" t="s">
        <v>1065</v>
      </c>
      <c r="C25" s="651"/>
      <c r="D25" s="651"/>
      <c r="E25" s="651"/>
      <c r="F25" s="651"/>
      <c r="G25" s="651"/>
      <c r="H25" s="8"/>
      <c r="I25" s="8"/>
      <c r="J25" s="8"/>
      <c r="K25" s="8"/>
    </row>
    <row r="26" spans="2:11" ht="13.5" customHeight="1">
      <c r="B26" s="617"/>
      <c r="C26" s="617"/>
      <c r="D26" s="617"/>
      <c r="E26" s="617"/>
      <c r="F26" s="617"/>
      <c r="G26" s="617"/>
      <c r="H26" s="617"/>
      <c r="I26" s="617"/>
      <c r="J26" s="617"/>
      <c r="K26" s="617"/>
    </row>
    <row r="27" spans="2:11" ht="13.5" customHeight="1">
      <c r="B27" s="642" t="s">
        <v>1066</v>
      </c>
      <c r="C27" s="651"/>
      <c r="D27" s="651"/>
      <c r="E27" s="651"/>
      <c r="F27" s="651"/>
      <c r="G27" s="651"/>
      <c r="H27" s="8"/>
      <c r="I27" s="8"/>
      <c r="J27" s="8"/>
      <c r="K27" s="8"/>
    </row>
    <row r="28" spans="2:11" ht="13.5" customHeight="1">
      <c r="B28" s="645">
        <f>32.52*32%/50</f>
        <v>0.20812800000000004</v>
      </c>
      <c r="C28" s="652"/>
      <c r="D28" s="652"/>
      <c r="E28" s="652"/>
      <c r="F28" s="652"/>
      <c r="G28" s="652"/>
      <c r="H28" s="16" t="s">
        <v>1067</v>
      </c>
      <c r="I28" s="8"/>
      <c r="J28" s="8"/>
      <c r="K28" s="8"/>
    </row>
    <row r="29" spans="2:11" ht="16.5" customHeight="1">
      <c r="B29" s="624" t="s">
        <v>1068</v>
      </c>
      <c r="C29" s="651"/>
      <c r="D29" s="651"/>
      <c r="E29" s="651"/>
      <c r="F29" s="651"/>
      <c r="G29" s="651"/>
      <c r="H29" s="16"/>
      <c r="I29" s="8"/>
      <c r="J29" s="8"/>
      <c r="K29" s="8"/>
    </row>
    <row r="30" spans="2:11" ht="16.5" customHeight="1">
      <c r="B30" s="624">
        <v>7940</v>
      </c>
      <c r="C30" s="651"/>
      <c r="D30" s="651"/>
      <c r="E30" s="651"/>
      <c r="F30" s="651"/>
      <c r="G30" s="651"/>
      <c r="H30" s="16" t="s">
        <v>1069</v>
      </c>
      <c r="I30" s="128" t="s">
        <v>1070</v>
      </c>
      <c r="J30" s="8"/>
      <c r="K30" s="8"/>
    </row>
    <row r="31" spans="2:11" ht="16.5" customHeight="1">
      <c r="B31" s="638">
        <f>B28/B30</f>
        <v>2.6212594458438291E-5</v>
      </c>
      <c r="C31" s="652"/>
      <c r="D31" s="652"/>
      <c r="E31" s="652"/>
      <c r="F31" s="652"/>
      <c r="G31" s="652"/>
      <c r="H31" s="16" t="s">
        <v>1071</v>
      </c>
      <c r="I31" s="128"/>
      <c r="J31" s="8"/>
      <c r="K31" s="8"/>
    </row>
    <row r="32" spans="2:11" ht="16.5" customHeight="1">
      <c r="B32" s="639">
        <f>(B31)*1000000</f>
        <v>26.212594458438289</v>
      </c>
      <c r="C32" s="652"/>
      <c r="D32" s="652"/>
      <c r="E32" s="652"/>
      <c r="F32" s="652"/>
      <c r="G32" s="652"/>
      <c r="H32" s="16" t="s">
        <v>1072</v>
      </c>
      <c r="I32" s="128"/>
      <c r="J32" s="8"/>
      <c r="K32" s="8"/>
    </row>
    <row r="33" spans="1:13" ht="16.5" customHeight="1">
      <c r="A33" s="8"/>
      <c r="B33" s="641">
        <f>B31*1000</f>
        <v>2.621259445843829E-2</v>
      </c>
      <c r="C33" s="651"/>
      <c r="D33" s="651"/>
      <c r="E33" s="651"/>
      <c r="F33" s="651"/>
      <c r="G33" s="651"/>
      <c r="H33" s="16" t="s">
        <v>1073</v>
      </c>
      <c r="I33" s="128"/>
      <c r="J33" s="8"/>
      <c r="K33" s="8"/>
      <c r="L33" s="8"/>
      <c r="M33" s="8"/>
    </row>
    <row r="34" spans="1:13" ht="13.5" customHeight="1">
      <c r="A34" s="8"/>
      <c r="B34" s="642" t="s">
        <v>1074</v>
      </c>
      <c r="C34" s="651"/>
      <c r="D34" s="651"/>
      <c r="E34" s="651"/>
      <c r="F34" s="651"/>
      <c r="G34" s="651"/>
      <c r="H34" s="8"/>
      <c r="I34" s="8"/>
      <c r="J34" s="8"/>
      <c r="K34" s="8"/>
      <c r="L34" s="8"/>
      <c r="M34" s="8"/>
    </row>
    <row r="35" spans="1:13" ht="13.5" customHeight="1">
      <c r="A35" s="8"/>
      <c r="B35" s="643">
        <f>32.52*68%/50</f>
        <v>0.44227200000000011</v>
      </c>
      <c r="C35" s="652"/>
      <c r="D35" s="652"/>
      <c r="E35" s="652"/>
      <c r="F35" s="652"/>
      <c r="G35" s="652"/>
      <c r="H35" s="16" t="s">
        <v>1067</v>
      </c>
      <c r="I35" s="8"/>
      <c r="J35" s="8"/>
      <c r="K35" s="8"/>
      <c r="L35" s="8"/>
      <c r="M35" s="8"/>
    </row>
    <row r="36" spans="1:13" ht="13.5" customHeight="1">
      <c r="A36" s="8"/>
      <c r="B36" s="644">
        <f>B35/B30</f>
        <v>5.5701763224181372E-5</v>
      </c>
      <c r="C36" s="652"/>
      <c r="D36" s="652"/>
      <c r="E36" s="652"/>
      <c r="F36" s="652"/>
      <c r="G36" s="652"/>
      <c r="H36" s="16" t="s">
        <v>1071</v>
      </c>
      <c r="I36" s="8"/>
      <c r="J36" s="8"/>
      <c r="K36" s="8"/>
      <c r="L36" s="8"/>
      <c r="M36" s="8"/>
    </row>
    <row r="37" spans="1:13" ht="13.5" customHeight="1">
      <c r="A37" s="8"/>
      <c r="B37" s="639">
        <f>(B36)*1000000</f>
        <v>55.70176322418137</v>
      </c>
      <c r="C37" s="652"/>
      <c r="D37" s="652"/>
      <c r="E37" s="652"/>
      <c r="F37" s="652"/>
      <c r="G37" s="652"/>
      <c r="H37" s="16" t="s">
        <v>1072</v>
      </c>
      <c r="I37" s="8"/>
      <c r="J37" s="8"/>
      <c r="K37" s="8"/>
      <c r="L37" s="8"/>
      <c r="M37" s="8"/>
    </row>
    <row r="38" spans="1:13" ht="13.5" customHeight="1">
      <c r="A38" s="8"/>
      <c r="B38" s="641">
        <f>B36*1000</f>
        <v>5.5701763224181369E-2</v>
      </c>
      <c r="C38" s="651"/>
      <c r="D38" s="651"/>
      <c r="E38" s="651"/>
      <c r="F38" s="651"/>
      <c r="G38" s="651"/>
      <c r="H38" s="16" t="s">
        <v>1073</v>
      </c>
      <c r="I38" s="8"/>
      <c r="J38" s="8"/>
      <c r="K38" s="8"/>
      <c r="L38" s="8"/>
      <c r="M38" s="8"/>
    </row>
    <row r="39" spans="1:13" ht="13.5" customHeight="1">
      <c r="A39" s="617"/>
      <c r="B39" s="617"/>
      <c r="C39" s="617"/>
      <c r="D39" s="617"/>
      <c r="E39" s="617"/>
      <c r="F39" s="617"/>
      <c r="G39" s="617"/>
      <c r="H39" s="617"/>
      <c r="I39" s="617"/>
      <c r="J39" s="617"/>
      <c r="K39" s="617"/>
      <c r="L39" s="617"/>
      <c r="M39" s="617"/>
    </row>
    <row r="40" spans="1:13" ht="13.5" customHeight="1">
      <c r="A40" s="617"/>
      <c r="B40" s="617"/>
      <c r="C40" s="617"/>
      <c r="D40" s="617"/>
      <c r="E40" s="617"/>
      <c r="F40" s="617"/>
      <c r="G40" s="617"/>
      <c r="H40" s="617"/>
      <c r="I40" s="617"/>
      <c r="J40" s="617"/>
      <c r="K40" s="617"/>
      <c r="L40" s="617"/>
      <c r="M40" s="617"/>
    </row>
    <row r="41" spans="1:13" ht="13.5" customHeight="1">
      <c r="A41" s="617"/>
      <c r="B41" s="617"/>
      <c r="C41" s="617"/>
      <c r="D41" s="617"/>
      <c r="E41" s="617"/>
      <c r="F41" s="617"/>
      <c r="G41" s="617"/>
      <c r="H41" s="617"/>
      <c r="I41" s="617"/>
      <c r="J41" s="617"/>
      <c r="K41" s="617"/>
      <c r="L41" s="617"/>
      <c r="M41" s="617"/>
    </row>
    <row r="42" spans="1:13" ht="13.5" customHeight="1">
      <c r="A42" s="16" t="s">
        <v>1075</v>
      </c>
      <c r="B42" s="8"/>
      <c r="C42" s="8"/>
      <c r="D42" s="8"/>
      <c r="E42" s="8"/>
      <c r="F42" s="8"/>
      <c r="G42" s="8"/>
      <c r="H42" s="8"/>
      <c r="I42" s="8"/>
      <c r="J42" s="8"/>
      <c r="K42" s="8"/>
      <c r="L42" s="8"/>
      <c r="M42" s="8"/>
    </row>
    <row r="43" spans="1:13" ht="13.5" customHeight="1">
      <c r="A43" s="8" t="s">
        <v>1076</v>
      </c>
      <c r="B43" s="128" t="s">
        <v>1040</v>
      </c>
      <c r="C43" s="8"/>
      <c r="D43" s="8"/>
      <c r="E43" s="8"/>
      <c r="F43" s="8"/>
      <c r="G43" s="8"/>
      <c r="H43" s="8"/>
      <c r="I43" s="8"/>
      <c r="J43" s="8"/>
      <c r="K43" s="8"/>
      <c r="L43" s="8"/>
      <c r="M43" s="8"/>
    </row>
    <row r="44" spans="1:13" ht="13.5" customHeight="1">
      <c r="A44" s="8" t="s">
        <v>1077</v>
      </c>
      <c r="B44" s="8">
        <v>1142000</v>
      </c>
      <c r="C44" s="8" t="s">
        <v>1050</v>
      </c>
      <c r="D44" s="8"/>
      <c r="E44" s="8"/>
      <c r="F44" s="8"/>
      <c r="G44" s="8"/>
      <c r="H44" s="8"/>
      <c r="I44" s="8"/>
      <c r="J44" s="8"/>
      <c r="K44" s="8"/>
      <c r="L44" s="8"/>
      <c r="M44" s="8"/>
    </row>
    <row r="45" spans="1:13" ht="13.5" customHeight="1">
      <c r="A45" s="8" t="s">
        <v>1078</v>
      </c>
      <c r="B45" s="8">
        <v>15000000</v>
      </c>
      <c r="C45" s="8" t="s">
        <v>1079</v>
      </c>
      <c r="D45" s="8"/>
      <c r="E45" s="8"/>
      <c r="F45" s="8"/>
      <c r="G45" s="8"/>
      <c r="H45" s="8"/>
      <c r="I45" s="8"/>
      <c r="J45" s="8"/>
      <c r="K45" s="8"/>
      <c r="L45" s="8"/>
      <c r="M45" s="8"/>
    </row>
    <row r="46" spans="1:13" ht="13.5" customHeight="1">
      <c r="A46" s="617"/>
      <c r="B46" s="617"/>
      <c r="C46" s="617"/>
      <c r="D46" s="617"/>
      <c r="E46" s="617"/>
      <c r="F46" s="617"/>
      <c r="G46" s="617"/>
      <c r="H46" s="617"/>
      <c r="I46" s="617"/>
      <c r="J46" s="617"/>
      <c r="K46" s="617"/>
      <c r="L46" s="617"/>
      <c r="M46" s="617"/>
    </row>
    <row r="47" spans="1:13" ht="13.5" customHeight="1">
      <c r="A47" s="8"/>
      <c r="B47" s="8">
        <f>B44/B45</f>
        <v>7.6133333333333331E-2</v>
      </c>
      <c r="C47" s="8" t="s">
        <v>1050</v>
      </c>
      <c r="D47" s="8">
        <v>1</v>
      </c>
      <c r="E47" s="8" t="s">
        <v>1079</v>
      </c>
      <c r="F47" s="8">
        <v>1000000000</v>
      </c>
      <c r="G47" s="8" t="s">
        <v>1080</v>
      </c>
      <c r="H47" s="8">
        <v>1</v>
      </c>
      <c r="I47" s="8" t="s">
        <v>1051</v>
      </c>
      <c r="J47" s="8"/>
      <c r="K47" s="8"/>
      <c r="L47" s="8">
        <f>(B47*F47)/(D48*H48)</f>
        <v>9.5885810243492848</v>
      </c>
      <c r="M47" s="8" t="s">
        <v>1051</v>
      </c>
    </row>
    <row r="48" spans="1:13" ht="13.5" customHeight="1">
      <c r="A48" s="8"/>
      <c r="B48" s="8"/>
      <c r="C48" s="8" t="s">
        <v>1079</v>
      </c>
      <c r="D48" s="8">
        <v>7.94</v>
      </c>
      <c r="E48" s="8" t="s">
        <v>1080</v>
      </c>
      <c r="F48" s="8">
        <v>1</v>
      </c>
      <c r="G48" s="8" t="s">
        <v>109</v>
      </c>
      <c r="H48" s="8">
        <v>1000000</v>
      </c>
      <c r="I48" s="8" t="s">
        <v>1050</v>
      </c>
      <c r="J48" s="8"/>
      <c r="K48" s="8"/>
      <c r="L48" s="8"/>
      <c r="M48" s="8" t="s">
        <v>109</v>
      </c>
    </row>
    <row r="49" spans="1:12" ht="13.5" customHeight="1">
      <c r="A49" s="617"/>
      <c r="B49" s="617"/>
      <c r="C49" s="617"/>
      <c r="D49" s="617"/>
      <c r="E49" s="617"/>
      <c r="F49" s="617"/>
      <c r="G49" s="617"/>
      <c r="H49" s="617"/>
      <c r="I49" s="617"/>
      <c r="J49" s="617"/>
      <c r="K49" s="617"/>
      <c r="L49" s="617"/>
    </row>
    <row r="50" spans="1:12" ht="13.5" customHeight="1">
      <c r="A50" s="617"/>
      <c r="B50" s="617"/>
      <c r="C50" s="617"/>
      <c r="D50" s="617"/>
      <c r="E50" s="617"/>
      <c r="F50" s="617"/>
      <c r="G50" s="617"/>
      <c r="H50" s="617"/>
      <c r="I50" s="617"/>
      <c r="J50" s="617"/>
      <c r="K50" s="617"/>
      <c r="L50" s="617"/>
    </row>
    <row r="51" spans="1:12" ht="13.5" customHeight="1">
      <c r="A51" s="125" t="s">
        <v>1081</v>
      </c>
      <c r="B51" s="8"/>
      <c r="C51" s="8"/>
      <c r="D51" s="8"/>
      <c r="E51" s="8"/>
      <c r="F51" s="8"/>
      <c r="G51" s="8"/>
      <c r="H51" s="8"/>
      <c r="I51" s="8"/>
      <c r="J51" s="8"/>
      <c r="K51" s="8"/>
      <c r="L51" s="8"/>
    </row>
    <row r="52" spans="1:12" ht="13.5" customHeight="1">
      <c r="A52" s="617"/>
      <c r="B52" s="617"/>
      <c r="C52" s="617"/>
      <c r="D52" s="617"/>
      <c r="E52" s="617"/>
      <c r="F52" s="617"/>
      <c r="G52" s="617"/>
      <c r="H52" s="617"/>
      <c r="I52" s="617"/>
      <c r="J52" s="617"/>
      <c r="K52" s="617"/>
      <c r="L52" s="617"/>
    </row>
    <row r="53" spans="1:12" ht="13.5" customHeight="1">
      <c r="A53" s="126">
        <v>0.8</v>
      </c>
      <c r="B53" s="126" t="s">
        <v>1050</v>
      </c>
      <c r="C53" s="126">
        <v>1</v>
      </c>
      <c r="D53" s="126" t="s">
        <v>1079</v>
      </c>
      <c r="E53" s="126">
        <v>1</v>
      </c>
      <c r="F53" s="126" t="s">
        <v>1082</v>
      </c>
      <c r="G53" s="126">
        <v>1</v>
      </c>
      <c r="H53" s="126" t="s">
        <v>1083</v>
      </c>
      <c r="I53" s="126">
        <v>1000000000000</v>
      </c>
      <c r="J53" s="126" t="s">
        <v>1084</v>
      </c>
      <c r="K53" s="126">
        <v>1</v>
      </c>
      <c r="L53" s="126" t="s">
        <v>1085</v>
      </c>
    </row>
    <row r="54" spans="1:12" ht="13.5" customHeight="1">
      <c r="A54" s="8"/>
      <c r="B54" s="126" t="s">
        <v>1079</v>
      </c>
      <c r="C54" s="126">
        <v>2.2000000000000002</v>
      </c>
      <c r="D54" s="126" t="s">
        <v>1082</v>
      </c>
      <c r="E54" s="126">
        <v>52217</v>
      </c>
      <c r="F54" s="126" t="s">
        <v>1083</v>
      </c>
      <c r="G54" s="126">
        <v>1.0549999999999999</v>
      </c>
      <c r="H54" s="126" t="s">
        <v>1084</v>
      </c>
      <c r="I54" s="126">
        <v>1</v>
      </c>
      <c r="J54" s="126" t="s">
        <v>109</v>
      </c>
      <c r="K54" s="126">
        <v>1000000</v>
      </c>
      <c r="L54" s="126" t="s">
        <v>1050</v>
      </c>
    </row>
    <row r="55" spans="1:12" ht="13.5" customHeight="1">
      <c r="A55" s="640" t="s">
        <v>1070</v>
      </c>
      <c r="B55" s="651"/>
      <c r="C55" s="8"/>
      <c r="D55" s="8"/>
      <c r="E55" s="640" t="s">
        <v>1070</v>
      </c>
      <c r="F55" s="651"/>
      <c r="G55" s="640" t="s">
        <v>1070</v>
      </c>
      <c r="H55" s="651"/>
      <c r="I55" s="8"/>
      <c r="J55" s="8"/>
      <c r="K55" s="8"/>
      <c r="L55" s="8"/>
    </row>
    <row r="56" spans="1:12" ht="13.5" customHeight="1">
      <c r="A56" s="617"/>
      <c r="B56" s="617"/>
      <c r="C56" s="617"/>
      <c r="D56" s="617"/>
      <c r="E56" s="617"/>
      <c r="F56" s="617"/>
      <c r="G56" s="617"/>
      <c r="H56" s="617"/>
      <c r="I56" s="617"/>
      <c r="J56" s="617"/>
      <c r="K56" s="617"/>
      <c r="L56" s="617"/>
    </row>
    <row r="57" spans="1:12" ht="13.5" customHeight="1">
      <c r="A57" s="146">
        <f>A53*I53/(C54*E54*G54*K54)</f>
        <v>6.6008965981347005</v>
      </c>
      <c r="B57" s="8" t="s">
        <v>1086</v>
      </c>
      <c r="C57" s="8"/>
      <c r="D57" s="8"/>
      <c r="E57" s="8"/>
      <c r="F57" s="8"/>
      <c r="G57" s="8"/>
      <c r="H57" s="8"/>
      <c r="I57" s="8"/>
      <c r="J57" s="8"/>
      <c r="K57" s="8"/>
      <c r="L57" s="8"/>
    </row>
    <row r="58" spans="1:12" ht="13.5" customHeight="1">
      <c r="A58" s="8"/>
      <c r="B58" s="8" t="s">
        <v>109</v>
      </c>
      <c r="C58" s="8"/>
      <c r="D58" s="8"/>
      <c r="E58" s="8"/>
      <c r="F58" s="8"/>
      <c r="G58" s="8"/>
      <c r="H58" s="8"/>
      <c r="I58" s="8"/>
      <c r="J58" s="8"/>
      <c r="K58" s="8"/>
      <c r="L58" s="8"/>
    </row>
    <row r="59" spans="1:12" ht="13.5" customHeight="1">
      <c r="A59" s="617"/>
      <c r="B59" s="617"/>
      <c r="C59" s="617"/>
      <c r="D59" s="617"/>
      <c r="E59" s="617"/>
      <c r="F59" s="617"/>
      <c r="G59" s="617"/>
      <c r="H59" s="617"/>
      <c r="I59" s="617"/>
      <c r="J59" s="617"/>
      <c r="K59" s="617"/>
      <c r="L59" s="617"/>
    </row>
    <row r="60" spans="1:12" ht="13.5" customHeight="1">
      <c r="A60" s="617"/>
      <c r="B60" s="617"/>
      <c r="C60" s="617"/>
      <c r="D60" s="617"/>
      <c r="E60" s="617"/>
      <c r="F60" s="617"/>
      <c r="G60" s="617"/>
      <c r="H60" s="617"/>
      <c r="I60" s="617"/>
      <c r="J60" s="617"/>
      <c r="K60" s="617"/>
      <c r="L60" s="617"/>
    </row>
    <row r="61" spans="1:12" ht="13.5" customHeight="1">
      <c r="A61" s="617"/>
      <c r="B61" s="617"/>
      <c r="C61" s="617"/>
      <c r="D61" s="617"/>
      <c r="E61" s="617"/>
      <c r="F61" s="617"/>
      <c r="G61" s="617"/>
      <c r="H61" s="617"/>
      <c r="I61" s="617"/>
      <c r="J61" s="617"/>
      <c r="K61" s="617"/>
      <c r="L61" s="617"/>
    </row>
    <row r="62" spans="1:12" ht="13.5" customHeight="1">
      <c r="A62" s="617"/>
      <c r="B62" s="617"/>
      <c r="C62" s="617"/>
      <c r="D62" s="617"/>
      <c r="E62" s="617"/>
      <c r="F62" s="617"/>
      <c r="G62" s="617"/>
      <c r="H62" s="617"/>
      <c r="I62" s="617"/>
      <c r="J62" s="617"/>
      <c r="K62" s="617"/>
      <c r="L62" s="617"/>
    </row>
    <row r="63" spans="1:12" ht="13.5" customHeight="1">
      <c r="A63" s="617"/>
      <c r="B63" s="617"/>
      <c r="C63" s="617"/>
      <c r="D63" s="617"/>
      <c r="E63" s="617"/>
      <c r="F63" s="617"/>
      <c r="G63" s="617"/>
      <c r="H63" s="617"/>
      <c r="I63" s="617"/>
      <c r="J63" s="617"/>
      <c r="K63" s="617"/>
      <c r="L63" s="617"/>
    </row>
    <row r="64" spans="1:12" ht="13.5" customHeight="1">
      <c r="A64" s="617"/>
      <c r="B64" s="617"/>
      <c r="C64" s="617"/>
      <c r="D64" s="617"/>
      <c r="E64" s="617"/>
      <c r="F64" s="617"/>
      <c r="G64" s="617"/>
      <c r="H64" s="617"/>
      <c r="I64" s="617"/>
      <c r="J64" s="617"/>
      <c r="K64" s="617"/>
      <c r="L64" s="617"/>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6">
    <mergeCell ref="B25:G25"/>
    <mergeCell ref="B27:G27"/>
    <mergeCell ref="B28:G28"/>
    <mergeCell ref="B29:G29"/>
    <mergeCell ref="B30:G30"/>
    <mergeCell ref="B31:G31"/>
    <mergeCell ref="B32:G32"/>
    <mergeCell ref="E55:F55"/>
    <mergeCell ref="G55:H55"/>
    <mergeCell ref="B33:G33"/>
    <mergeCell ref="B34:G34"/>
    <mergeCell ref="B35:G35"/>
    <mergeCell ref="B36:G36"/>
    <mergeCell ref="B37:G37"/>
    <mergeCell ref="B38:G38"/>
    <mergeCell ref="A55:B55"/>
  </mergeCells>
  <hyperlinks>
    <hyperlink ref="I30" r:id="rId1" xr:uid="{00000000-0004-0000-1500-000000000000}"/>
    <hyperlink ref="B43" r:id="rId2" xr:uid="{00000000-0004-0000-1500-000001000000}"/>
    <hyperlink ref="A55" r:id="rId3" xr:uid="{00000000-0004-0000-1500-000002000000}"/>
    <hyperlink ref="E55" r:id="rId4" xr:uid="{00000000-0004-0000-1500-000003000000}"/>
    <hyperlink ref="G55" r:id="rId5" xr:uid="{00000000-0004-0000-1500-000004000000}"/>
  </hyperlinks>
  <pageMargins left="0.7" right="0.7" top="0.75" bottom="0.75" header="0" footer="0"/>
  <pageSetup orientation="landscape"/>
  <drawing r:id="rId6"/>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9EBA-8816-4497-AAE9-A4A3DDDA564F}">
  <dimension ref="A1:AR80"/>
  <sheetViews>
    <sheetView tabSelected="1" topLeftCell="C55" workbookViewId="0">
      <selection activeCell="J71" sqref="J71"/>
    </sheetView>
  </sheetViews>
  <sheetFormatPr defaultRowHeight="13.9"/>
  <cols>
    <col min="2" max="2" width="22.44140625" customWidth="1"/>
    <col min="3" max="3" width="12.44140625" bestFit="1" customWidth="1"/>
    <col min="4" max="4" width="11.5546875" bestFit="1" customWidth="1"/>
    <col min="13" max="13" width="23" customWidth="1"/>
  </cols>
  <sheetData>
    <row r="1" spans="1:44">
      <c r="A1" s="604" t="s">
        <v>1087</v>
      </c>
      <c r="B1" s="617"/>
      <c r="C1" s="617"/>
      <c r="D1" s="617"/>
      <c r="E1" s="617"/>
      <c r="F1" s="617"/>
      <c r="G1" s="617"/>
      <c r="H1" s="617"/>
      <c r="I1" s="617"/>
      <c r="J1" s="617"/>
      <c r="K1" s="617"/>
      <c r="L1" s="617"/>
      <c r="M1" s="617"/>
      <c r="N1" s="617"/>
      <c r="O1" s="617"/>
      <c r="P1" s="617"/>
      <c r="Q1" s="617"/>
      <c r="R1" s="617"/>
      <c r="S1" s="617"/>
      <c r="T1" s="617"/>
      <c r="U1" s="617"/>
      <c r="V1" s="617"/>
      <c r="W1" s="617"/>
      <c r="X1" s="617"/>
      <c r="Y1" s="617"/>
      <c r="Z1" s="617"/>
      <c r="AA1" s="617"/>
      <c r="AB1" s="617"/>
      <c r="AC1" s="617"/>
      <c r="AD1" s="617"/>
      <c r="AE1" s="617"/>
      <c r="AF1" s="617"/>
      <c r="AG1" s="617"/>
      <c r="AH1" s="617"/>
      <c r="AI1" s="617"/>
      <c r="AJ1" s="617"/>
      <c r="AK1" s="617"/>
      <c r="AL1" s="617"/>
      <c r="AM1" s="617"/>
      <c r="AN1" s="617"/>
      <c r="AO1" s="617"/>
      <c r="AP1" s="617"/>
      <c r="AQ1" s="617"/>
      <c r="AR1" s="617"/>
    </row>
    <row r="2" spans="1:44">
      <c r="A2" s="604"/>
      <c r="B2" s="617"/>
      <c r="C2" s="617"/>
      <c r="D2" s="617"/>
      <c r="E2" s="617"/>
      <c r="F2" s="617"/>
      <c r="G2" s="617"/>
      <c r="H2" s="617"/>
      <c r="I2" s="617"/>
      <c r="J2" s="617"/>
      <c r="K2" s="617"/>
      <c r="L2" s="617"/>
      <c r="M2" s="617"/>
      <c r="N2" s="617"/>
      <c r="O2" s="617"/>
      <c r="P2" s="617"/>
      <c r="Q2" s="617"/>
      <c r="R2" s="617"/>
      <c r="S2" s="617"/>
      <c r="T2" s="617"/>
      <c r="U2" s="617"/>
      <c r="V2" s="617"/>
      <c r="W2" s="617"/>
      <c r="X2" s="617"/>
      <c r="Y2" s="617"/>
      <c r="Z2" s="617"/>
      <c r="AA2" s="617"/>
      <c r="AB2" s="617"/>
      <c r="AC2" s="617"/>
      <c r="AD2" s="617"/>
      <c r="AE2" s="617"/>
      <c r="AF2" s="617"/>
      <c r="AG2" s="617"/>
      <c r="AH2" s="617"/>
      <c r="AI2" s="617"/>
      <c r="AJ2" s="617"/>
      <c r="AK2" s="617"/>
      <c r="AL2" s="617"/>
      <c r="AM2" s="617"/>
      <c r="AN2" s="617"/>
      <c r="AO2" s="617"/>
      <c r="AP2" s="617"/>
      <c r="AQ2" s="617"/>
      <c r="AR2" s="617"/>
    </row>
    <row r="3" spans="1:44">
      <c r="A3" s="125" t="s">
        <v>1088</v>
      </c>
      <c r="B3" s="126"/>
      <c r="C3" s="126"/>
      <c r="D3" s="126"/>
      <c r="E3" s="126"/>
      <c r="F3" s="126"/>
      <c r="G3" s="126"/>
      <c r="H3" s="126"/>
      <c r="I3" s="126"/>
      <c r="J3" s="126"/>
      <c r="K3" s="126"/>
      <c r="L3" s="126"/>
      <c r="M3" s="126"/>
      <c r="N3" s="617"/>
      <c r="O3" s="617"/>
      <c r="P3" s="617"/>
      <c r="Q3" s="617"/>
      <c r="R3" s="617"/>
      <c r="S3" s="617"/>
      <c r="T3" s="617"/>
      <c r="U3" s="617"/>
      <c r="V3" s="617"/>
      <c r="W3" s="617"/>
      <c r="X3" s="617"/>
      <c r="Y3" s="617"/>
      <c r="Z3" s="617"/>
      <c r="AA3" s="617"/>
      <c r="AB3" s="617"/>
      <c r="AC3" s="617"/>
      <c r="AD3" s="617"/>
      <c r="AE3" s="617"/>
      <c r="AF3" s="617"/>
      <c r="AG3" s="617"/>
      <c r="AH3" s="617"/>
      <c r="AI3" s="617"/>
      <c r="AJ3" s="617"/>
      <c r="AK3" s="617"/>
      <c r="AL3" s="617"/>
      <c r="AM3" s="617"/>
      <c r="AN3" s="617"/>
      <c r="AO3" s="617"/>
      <c r="AP3" s="617"/>
      <c r="AQ3" s="617"/>
      <c r="AR3" s="617"/>
    </row>
    <row r="4" spans="1:44">
      <c r="A4" s="125"/>
      <c r="B4" s="126"/>
      <c r="C4" s="126"/>
      <c r="D4" s="126"/>
      <c r="E4" s="126"/>
      <c r="F4" s="126"/>
      <c r="G4" s="126"/>
      <c r="H4" s="126"/>
      <c r="I4" s="126"/>
      <c r="J4" s="126"/>
      <c r="K4" s="126"/>
      <c r="L4" s="126"/>
      <c r="M4" s="126"/>
      <c r="N4" s="617"/>
      <c r="O4" s="617"/>
      <c r="P4" s="617"/>
      <c r="Q4" s="617"/>
      <c r="R4" s="617"/>
      <c r="S4" s="617"/>
      <c r="T4" s="617"/>
      <c r="U4" s="617"/>
      <c r="V4" s="617"/>
      <c r="W4" s="617"/>
      <c r="X4" s="617"/>
      <c r="Y4" s="617"/>
      <c r="Z4" s="617"/>
      <c r="AA4" s="617"/>
      <c r="AB4" s="617"/>
      <c r="AC4" s="617"/>
      <c r="AD4" s="617"/>
      <c r="AE4" s="617"/>
      <c r="AF4" s="617"/>
      <c r="AG4" s="617"/>
      <c r="AH4" s="617"/>
      <c r="AI4" s="617"/>
      <c r="AJ4" s="617"/>
      <c r="AK4" s="617"/>
      <c r="AL4" s="617"/>
      <c r="AM4" s="617"/>
      <c r="AN4" s="617"/>
      <c r="AO4" s="617"/>
      <c r="AP4" s="617"/>
      <c r="AQ4" s="617"/>
      <c r="AR4" s="617"/>
    </row>
    <row r="5" spans="1:44">
      <c r="A5" s="599">
        <v>0.4</v>
      </c>
      <c r="B5" s="608" t="s">
        <v>1086</v>
      </c>
      <c r="C5" s="603">
        <v>5.8065553845323302E-3</v>
      </c>
      <c r="D5" s="606" t="s">
        <v>109</v>
      </c>
      <c r="E5" s="601">
        <v>0.61960000000000004</v>
      </c>
      <c r="F5" s="606" t="s">
        <v>97</v>
      </c>
      <c r="G5" s="601">
        <v>1</v>
      </c>
      <c r="H5" s="606" t="s">
        <v>375</v>
      </c>
      <c r="I5" s="601">
        <v>1000000</v>
      </c>
      <c r="J5" s="601" t="s">
        <v>1050</v>
      </c>
      <c r="K5" s="126"/>
      <c r="L5" s="617"/>
      <c r="M5" s="617"/>
      <c r="N5" s="617"/>
      <c r="O5" s="617"/>
      <c r="P5" s="617"/>
      <c r="Q5" s="617"/>
      <c r="R5" s="617"/>
      <c r="S5" s="617"/>
      <c r="T5" s="617"/>
      <c r="U5" s="617"/>
      <c r="V5" s="617"/>
      <c r="W5" s="617"/>
      <c r="X5" s="617"/>
      <c r="Y5" s="617"/>
      <c r="Z5" s="617"/>
      <c r="AA5" s="617"/>
      <c r="AB5" s="617"/>
      <c r="AC5" s="617"/>
      <c r="AD5" s="617"/>
      <c r="AE5" s="617"/>
      <c r="AF5" s="617"/>
      <c r="AG5" s="617"/>
      <c r="AH5" s="617"/>
      <c r="AI5" s="617"/>
      <c r="AJ5" s="617"/>
      <c r="AK5" s="617"/>
      <c r="AL5" s="617"/>
      <c r="AM5" s="617"/>
      <c r="AN5" s="617"/>
      <c r="AO5" s="617"/>
      <c r="AP5" s="617"/>
      <c r="AQ5" s="617"/>
      <c r="AR5" s="617"/>
    </row>
    <row r="6" spans="1:44">
      <c r="A6" s="600"/>
      <c r="B6" s="605" t="s">
        <v>109</v>
      </c>
      <c r="C6" s="602">
        <v>1</v>
      </c>
      <c r="D6" s="605" t="s">
        <v>97</v>
      </c>
      <c r="E6" s="602">
        <v>1</v>
      </c>
      <c r="F6" s="605" t="s">
        <v>375</v>
      </c>
      <c r="G6" s="602">
        <v>1000</v>
      </c>
      <c r="H6" s="602" t="s">
        <v>1089</v>
      </c>
      <c r="I6" s="602">
        <v>1</v>
      </c>
      <c r="J6" s="607" t="s">
        <v>1051</v>
      </c>
      <c r="K6" s="126"/>
      <c r="L6" s="617"/>
      <c r="M6" s="617"/>
      <c r="N6" s="617"/>
      <c r="O6" s="617"/>
      <c r="P6" s="617"/>
      <c r="Q6" s="617"/>
      <c r="R6" s="617"/>
      <c r="S6" s="617"/>
      <c r="T6" s="617"/>
      <c r="U6" s="617"/>
      <c r="V6" s="617"/>
      <c r="W6" s="617"/>
      <c r="X6" s="617"/>
      <c r="Y6" s="617"/>
      <c r="Z6" s="617"/>
      <c r="AA6" s="617"/>
      <c r="AB6" s="617"/>
      <c r="AC6" s="617"/>
      <c r="AD6" s="617"/>
      <c r="AE6" s="617"/>
      <c r="AF6" s="617"/>
      <c r="AG6" s="617"/>
      <c r="AH6" s="617"/>
      <c r="AI6" s="617"/>
      <c r="AJ6" s="617"/>
      <c r="AK6" s="617"/>
      <c r="AL6" s="617"/>
      <c r="AM6" s="617"/>
      <c r="AN6" s="617"/>
      <c r="AO6" s="617"/>
      <c r="AP6" s="617"/>
      <c r="AQ6" s="617"/>
      <c r="AR6" s="617"/>
    </row>
    <row r="7" spans="1:44">
      <c r="A7" s="126"/>
      <c r="B7" s="126"/>
      <c r="C7" s="126"/>
      <c r="D7" s="126"/>
      <c r="E7" s="126"/>
      <c r="F7" s="126"/>
      <c r="G7" s="126"/>
      <c r="H7" s="126"/>
      <c r="I7" s="126"/>
      <c r="J7" s="126"/>
      <c r="K7" s="126"/>
      <c r="L7" s="126"/>
      <c r="M7" s="126"/>
      <c r="N7" s="617"/>
      <c r="O7" s="617"/>
      <c r="P7" s="617"/>
      <c r="Q7" s="617"/>
      <c r="R7" s="617"/>
      <c r="S7" s="617"/>
      <c r="T7" s="617"/>
      <c r="U7" s="617"/>
      <c r="V7" s="617"/>
      <c r="W7" s="617"/>
      <c r="X7" s="617"/>
      <c r="Y7" s="617"/>
      <c r="Z7" s="617"/>
      <c r="AA7" s="617"/>
      <c r="AB7" s="617"/>
      <c r="AC7" s="617"/>
      <c r="AD7" s="617"/>
      <c r="AE7" s="617"/>
      <c r="AF7" s="617"/>
      <c r="AG7" s="617"/>
      <c r="AH7" s="617"/>
      <c r="AI7" s="617"/>
      <c r="AJ7" s="617"/>
      <c r="AK7" s="617"/>
      <c r="AL7" s="617"/>
      <c r="AM7" s="617"/>
      <c r="AN7" s="617"/>
      <c r="AO7" s="617"/>
      <c r="AP7" s="617"/>
      <c r="AQ7" s="617"/>
      <c r="AR7" s="617"/>
    </row>
    <row r="8" spans="1:44">
      <c r="A8" s="646">
        <f>(A5*C5*E5*I5)/G6</f>
        <v>1.439096686502493</v>
      </c>
      <c r="B8" s="601" t="s">
        <v>1050</v>
      </c>
      <c r="C8" s="126"/>
      <c r="D8" s="126"/>
      <c r="E8" s="126"/>
      <c r="F8" s="126"/>
      <c r="G8" s="126"/>
      <c r="H8" s="126"/>
      <c r="I8" s="126"/>
      <c r="J8" s="126"/>
      <c r="K8" s="126"/>
      <c r="L8" s="126"/>
      <c r="M8" s="126"/>
      <c r="N8" s="617"/>
      <c r="O8" s="617"/>
      <c r="P8" s="617"/>
      <c r="Q8" s="617"/>
      <c r="R8" s="617"/>
      <c r="S8" s="617"/>
      <c r="T8" s="617"/>
      <c r="U8" s="617"/>
      <c r="V8" s="617"/>
      <c r="W8" s="617"/>
      <c r="X8" s="617"/>
      <c r="Y8" s="617"/>
      <c r="Z8" s="617"/>
      <c r="AA8" s="617"/>
      <c r="AB8" s="617"/>
      <c r="AC8" s="617"/>
      <c r="AD8" s="617"/>
      <c r="AE8" s="617"/>
      <c r="AF8" s="617"/>
      <c r="AG8" s="617"/>
      <c r="AH8" s="617"/>
      <c r="AI8" s="617"/>
      <c r="AJ8" s="617"/>
      <c r="AK8" s="617"/>
      <c r="AL8" s="617"/>
      <c r="AM8" s="617"/>
      <c r="AN8" s="617"/>
      <c r="AO8" s="617"/>
      <c r="AP8" s="617"/>
      <c r="AQ8" s="617"/>
      <c r="AR8" s="617"/>
    </row>
    <row r="9" spans="1:44">
      <c r="A9" s="646"/>
      <c r="B9" s="602" t="s">
        <v>1089</v>
      </c>
      <c r="C9" s="126"/>
      <c r="D9" s="126"/>
      <c r="E9" s="126"/>
      <c r="F9" s="126"/>
      <c r="G9" s="126"/>
      <c r="H9" s="126"/>
      <c r="I9" s="126"/>
      <c r="J9" s="126"/>
      <c r="K9" s="126"/>
      <c r="L9" s="126"/>
      <c r="M9" s="126"/>
      <c r="N9" s="617"/>
      <c r="O9" s="617"/>
      <c r="P9" s="617"/>
      <c r="Q9" s="617"/>
      <c r="R9" s="617"/>
      <c r="S9" s="617"/>
      <c r="T9" s="617"/>
      <c r="U9" s="617"/>
      <c r="V9" s="617"/>
      <c r="W9" s="617"/>
      <c r="X9" s="617"/>
      <c r="Y9" s="617"/>
      <c r="Z9" s="617"/>
      <c r="AA9" s="617"/>
      <c r="AB9" s="617"/>
      <c r="AC9" s="617"/>
      <c r="AD9" s="617"/>
      <c r="AE9" s="617"/>
      <c r="AF9" s="617"/>
      <c r="AG9" s="617"/>
      <c r="AH9" s="617"/>
      <c r="AI9" s="617"/>
      <c r="AJ9" s="617"/>
      <c r="AK9" s="617"/>
      <c r="AL9" s="617"/>
      <c r="AM9" s="617"/>
      <c r="AN9" s="617"/>
      <c r="AO9" s="617"/>
      <c r="AP9" s="617"/>
      <c r="AQ9" s="617"/>
      <c r="AR9" s="617"/>
    </row>
    <row r="10" spans="1:44">
      <c r="A10" s="126"/>
      <c r="B10" s="126"/>
      <c r="C10" s="126"/>
      <c r="D10" s="126"/>
      <c r="E10" s="126"/>
      <c r="F10" s="126"/>
      <c r="G10" s="126"/>
      <c r="H10" s="126"/>
      <c r="I10" s="126"/>
      <c r="J10" s="126"/>
      <c r="K10" s="126"/>
      <c r="L10" s="600"/>
      <c r="M10" s="600"/>
      <c r="N10" s="610"/>
      <c r="O10" s="610"/>
      <c r="P10" s="610"/>
      <c r="Q10" s="610"/>
      <c r="R10" s="610"/>
      <c r="S10" s="610"/>
      <c r="T10" s="610"/>
      <c r="U10" s="610"/>
      <c r="V10" s="610"/>
      <c r="W10" s="610"/>
      <c r="X10" s="610"/>
      <c r="Y10" s="610"/>
      <c r="Z10" s="610"/>
      <c r="AA10" s="610"/>
      <c r="AB10" s="610"/>
      <c r="AC10" s="610"/>
      <c r="AD10" s="610"/>
      <c r="AE10" s="610"/>
      <c r="AF10" s="610"/>
      <c r="AG10" s="610"/>
      <c r="AH10" s="610"/>
      <c r="AI10" s="610"/>
      <c r="AJ10" s="610"/>
      <c r="AK10" s="610"/>
      <c r="AL10" s="610"/>
      <c r="AM10" s="610"/>
      <c r="AN10" s="610"/>
      <c r="AO10" s="610"/>
      <c r="AP10" s="610"/>
      <c r="AQ10" s="610"/>
      <c r="AR10" s="610"/>
    </row>
    <row r="11" spans="1:44">
      <c r="A11" s="125" t="s">
        <v>1090</v>
      </c>
      <c r="B11" s="126"/>
      <c r="C11" s="126"/>
      <c r="D11" s="126"/>
      <c r="E11" s="126"/>
      <c r="F11" s="126"/>
      <c r="G11" s="126"/>
      <c r="H11" s="126"/>
      <c r="I11" s="126"/>
      <c r="J11" s="126"/>
      <c r="K11" s="600"/>
      <c r="L11" s="617"/>
      <c r="M11" s="617"/>
      <c r="N11" s="617"/>
      <c r="O11" s="617"/>
      <c r="P11" s="617"/>
      <c r="Q11" s="610"/>
      <c r="R11" s="617"/>
      <c r="S11" s="617"/>
      <c r="T11" s="617"/>
      <c r="U11" s="617"/>
      <c r="V11" s="617"/>
      <c r="W11" s="617"/>
      <c r="X11" s="617"/>
      <c r="Y11" s="617"/>
      <c r="Z11" s="617"/>
      <c r="AA11" s="617"/>
      <c r="AB11" s="617"/>
      <c r="AC11" s="617"/>
      <c r="AD11" s="617"/>
      <c r="AE11" s="617"/>
      <c r="AF11" s="617"/>
      <c r="AG11" s="617"/>
      <c r="AH11" s="617"/>
      <c r="AI11" s="617"/>
      <c r="AJ11" s="617"/>
      <c r="AK11" s="617"/>
      <c r="AL11" s="617"/>
      <c r="AM11" s="617"/>
      <c r="AN11" s="617"/>
      <c r="AO11" s="617"/>
      <c r="AP11" s="617"/>
      <c r="AQ11" s="617"/>
      <c r="AR11" s="617"/>
    </row>
    <row r="12" spans="1:44">
      <c r="A12" s="599"/>
      <c r="B12" s="608" t="s">
        <v>1086</v>
      </c>
      <c r="C12" s="603">
        <v>5.8065553845323302E-3</v>
      </c>
      <c r="D12" s="606" t="s">
        <v>109</v>
      </c>
      <c r="E12" s="601">
        <v>1</v>
      </c>
      <c r="F12" s="606" t="s">
        <v>97</v>
      </c>
      <c r="G12" s="601">
        <v>1000000</v>
      </c>
      <c r="H12" s="601" t="s">
        <v>1050</v>
      </c>
      <c r="I12" s="126"/>
      <c r="J12" s="126"/>
      <c r="K12" s="600"/>
      <c r="L12" s="617"/>
      <c r="M12" s="617"/>
      <c r="N12" s="617"/>
      <c r="O12" s="617"/>
      <c r="P12" s="617"/>
      <c r="Q12" s="610"/>
      <c r="R12" s="617"/>
      <c r="S12" s="617"/>
      <c r="T12" s="617"/>
      <c r="U12" s="617"/>
      <c r="V12" s="617"/>
      <c r="W12" s="617"/>
      <c r="X12" s="617"/>
      <c r="Y12" s="617"/>
      <c r="Z12" s="617"/>
      <c r="AA12" s="617"/>
      <c r="AB12" s="617"/>
      <c r="AC12" s="617"/>
      <c r="AD12" s="617"/>
      <c r="AE12" s="617"/>
      <c r="AF12" s="617"/>
      <c r="AG12" s="617"/>
      <c r="AH12" s="617"/>
      <c r="AI12" s="617"/>
      <c r="AJ12" s="617"/>
      <c r="AK12" s="617"/>
      <c r="AL12" s="617"/>
      <c r="AM12" s="617"/>
      <c r="AN12" s="617"/>
      <c r="AO12" s="617"/>
      <c r="AP12" s="617"/>
      <c r="AQ12" s="617"/>
      <c r="AR12" s="617"/>
    </row>
    <row r="13" spans="1:44">
      <c r="A13" s="600"/>
      <c r="B13" s="605" t="s">
        <v>109</v>
      </c>
      <c r="C13" s="602">
        <v>1</v>
      </c>
      <c r="D13" s="605" t="s">
        <v>97</v>
      </c>
      <c r="E13" s="602">
        <v>1000</v>
      </c>
      <c r="F13" s="602" t="s">
        <v>107</v>
      </c>
      <c r="G13" s="602">
        <v>1</v>
      </c>
      <c r="H13" s="607" t="s">
        <v>1051</v>
      </c>
      <c r="I13" s="126"/>
      <c r="J13" s="126"/>
      <c r="K13" s="600"/>
      <c r="L13" s="617"/>
      <c r="M13" s="617"/>
      <c r="N13" s="617"/>
      <c r="O13" s="617"/>
      <c r="P13" s="617"/>
      <c r="Q13" s="610"/>
      <c r="R13" s="617"/>
      <c r="S13" s="617"/>
      <c r="T13" s="617"/>
      <c r="U13" s="617"/>
      <c r="V13" s="617"/>
      <c r="W13" s="617"/>
      <c r="X13" s="617"/>
      <c r="Y13" s="617"/>
      <c r="Z13" s="617"/>
      <c r="AA13" s="617"/>
      <c r="AB13" s="617"/>
      <c r="AC13" s="617"/>
      <c r="AD13" s="617"/>
      <c r="AE13" s="617"/>
      <c r="AF13" s="617"/>
      <c r="AG13" s="617"/>
      <c r="AH13" s="617"/>
      <c r="AI13" s="617"/>
      <c r="AJ13" s="617"/>
      <c r="AK13" s="617"/>
      <c r="AL13" s="617"/>
      <c r="AM13" s="617"/>
      <c r="AN13" s="617"/>
      <c r="AO13" s="617"/>
      <c r="AP13" s="617"/>
      <c r="AQ13" s="617"/>
      <c r="AR13" s="617"/>
    </row>
    <row r="14" spans="1:44">
      <c r="A14" s="126"/>
      <c r="B14" s="126"/>
      <c r="C14" s="126"/>
      <c r="D14" s="126"/>
      <c r="E14" s="126"/>
      <c r="F14" s="126"/>
      <c r="G14" s="126"/>
      <c r="H14" s="126"/>
      <c r="I14" s="126"/>
      <c r="J14" s="126"/>
      <c r="K14" s="600"/>
      <c r="L14" s="617"/>
      <c r="M14" s="617"/>
      <c r="N14" s="617"/>
      <c r="O14" s="617"/>
      <c r="P14" s="617"/>
      <c r="Q14" s="610"/>
      <c r="R14" s="617"/>
      <c r="S14" s="617"/>
      <c r="T14" s="617"/>
      <c r="U14" s="617"/>
      <c r="V14" s="617"/>
      <c r="W14" s="617"/>
      <c r="X14" s="617"/>
      <c r="Y14" s="617"/>
      <c r="Z14" s="617"/>
      <c r="AA14" s="617"/>
      <c r="AB14" s="617"/>
      <c r="AC14" s="617"/>
      <c r="AD14" s="617"/>
      <c r="AE14" s="617"/>
      <c r="AF14" s="617"/>
      <c r="AG14" s="617"/>
      <c r="AH14" s="617"/>
      <c r="AI14" s="617"/>
      <c r="AJ14" s="617"/>
      <c r="AK14" s="617"/>
      <c r="AL14" s="617"/>
      <c r="AM14" s="617"/>
      <c r="AN14" s="617"/>
      <c r="AO14" s="617"/>
      <c r="AP14" s="617"/>
      <c r="AQ14" s="617"/>
      <c r="AR14" s="617"/>
    </row>
    <row r="15" spans="1:44">
      <c r="A15" s="646">
        <f>(A12*C12*E12*G12)/(C13*E13*G13)</f>
        <v>0</v>
      </c>
      <c r="B15" s="601" t="s">
        <v>1050</v>
      </c>
      <c r="C15" s="126"/>
      <c r="D15" s="126"/>
      <c r="E15" s="126"/>
      <c r="F15" s="126"/>
      <c r="G15" s="126"/>
      <c r="H15" s="126"/>
      <c r="I15" s="126"/>
      <c r="J15" s="126"/>
      <c r="K15" s="600"/>
      <c r="L15" s="617"/>
      <c r="M15" s="617"/>
      <c r="N15" s="617"/>
      <c r="O15" s="617"/>
      <c r="P15" s="617"/>
      <c r="Q15" s="610"/>
      <c r="R15" s="617"/>
      <c r="S15" s="617"/>
      <c r="T15" s="617"/>
      <c r="U15" s="617"/>
      <c r="V15" s="617"/>
      <c r="W15" s="617"/>
      <c r="X15" s="617"/>
      <c r="Y15" s="617"/>
      <c r="Z15" s="617"/>
      <c r="AA15" s="617"/>
      <c r="AB15" s="617"/>
      <c r="AC15" s="617"/>
      <c r="AD15" s="617"/>
      <c r="AE15" s="617"/>
      <c r="AF15" s="617"/>
      <c r="AG15" s="617"/>
      <c r="AH15" s="617"/>
      <c r="AI15" s="617"/>
      <c r="AJ15" s="617"/>
      <c r="AK15" s="617"/>
      <c r="AL15" s="617"/>
      <c r="AM15" s="617"/>
      <c r="AN15" s="617"/>
      <c r="AO15" s="617"/>
      <c r="AP15" s="617"/>
      <c r="AQ15" s="617"/>
      <c r="AR15" s="617"/>
    </row>
    <row r="16" spans="1:44">
      <c r="A16" s="646"/>
      <c r="B16" s="602" t="s">
        <v>107</v>
      </c>
      <c r="C16" s="126"/>
      <c r="D16" s="126"/>
      <c r="E16" s="126"/>
      <c r="F16" s="126"/>
      <c r="G16" s="126"/>
      <c r="H16" s="126"/>
      <c r="I16" s="126"/>
      <c r="J16" s="126"/>
      <c r="K16" s="600"/>
      <c r="L16" s="617"/>
      <c r="M16" s="617"/>
      <c r="N16" s="617"/>
      <c r="O16" s="617"/>
      <c r="P16" s="617"/>
      <c r="Q16" s="610"/>
      <c r="R16" s="617"/>
      <c r="S16" s="617"/>
      <c r="T16" s="617"/>
      <c r="U16" s="617"/>
      <c r="V16" s="617"/>
      <c r="W16" s="617"/>
      <c r="X16" s="617"/>
      <c r="Y16" s="617"/>
      <c r="Z16" s="617"/>
      <c r="AA16" s="617"/>
      <c r="AB16" s="617"/>
      <c r="AC16" s="617"/>
      <c r="AD16" s="617"/>
      <c r="AE16" s="617"/>
      <c r="AF16" s="617"/>
      <c r="AG16" s="617"/>
      <c r="AH16" s="617"/>
      <c r="AI16" s="617"/>
      <c r="AJ16" s="617"/>
      <c r="AK16" s="617"/>
      <c r="AL16" s="617"/>
      <c r="AM16" s="617"/>
      <c r="AN16" s="617"/>
      <c r="AO16" s="617"/>
      <c r="AP16" s="617"/>
      <c r="AQ16" s="617"/>
      <c r="AR16" s="617"/>
    </row>
    <row r="17" spans="1:17">
      <c r="A17" s="126"/>
      <c r="B17" s="126"/>
      <c r="C17" s="126"/>
      <c r="D17" s="126"/>
      <c r="E17" s="126"/>
      <c r="F17" s="126"/>
      <c r="G17" s="126"/>
      <c r="H17" s="126"/>
      <c r="I17" s="126"/>
      <c r="J17" s="126"/>
      <c r="K17" s="600"/>
      <c r="L17" s="617"/>
      <c r="M17" s="617"/>
      <c r="N17" s="617"/>
      <c r="O17" s="617"/>
      <c r="P17" s="617"/>
      <c r="Q17" s="610"/>
    </row>
    <row r="18" spans="1:17" ht="18">
      <c r="A18" s="6"/>
      <c r="B18" s="611" t="s">
        <v>1000</v>
      </c>
      <c r="C18" s="609">
        <v>2021</v>
      </c>
      <c r="D18" s="609">
        <v>2050</v>
      </c>
      <c r="E18" s="201"/>
      <c r="F18" s="617"/>
      <c r="G18" s="617"/>
      <c r="H18" s="617"/>
      <c r="I18" s="617"/>
      <c r="J18" s="617"/>
      <c r="K18" s="610"/>
      <c r="L18" s="617"/>
      <c r="M18" s="617"/>
      <c r="N18" s="617"/>
      <c r="O18" s="617"/>
      <c r="P18" s="617"/>
      <c r="Q18" s="610"/>
    </row>
    <row r="19" spans="1:17" ht="14.45">
      <c r="A19" s="155"/>
      <c r="B19" s="612" t="s">
        <v>1001</v>
      </c>
      <c r="C19" s="204">
        <v>88.6</v>
      </c>
      <c r="D19" s="567">
        <v>90.7</v>
      </c>
      <c r="E19" s="142"/>
      <c r="F19" s="617"/>
      <c r="G19" s="617"/>
      <c r="H19" s="617"/>
      <c r="I19" s="617"/>
      <c r="J19" s="617"/>
      <c r="K19" s="610"/>
      <c r="L19" s="617"/>
      <c r="M19" s="617"/>
      <c r="N19" s="617"/>
      <c r="O19" s="617"/>
      <c r="P19" s="617"/>
      <c r="Q19" s="610"/>
    </row>
    <row r="20" spans="1:17" ht="14.45">
      <c r="A20" s="155"/>
      <c r="B20" s="612" t="s">
        <v>1002</v>
      </c>
      <c r="C20" s="204">
        <v>84.6</v>
      </c>
      <c r="D20" s="567">
        <v>91.81</v>
      </c>
      <c r="E20" s="142"/>
      <c r="F20" s="617"/>
      <c r="G20" s="617"/>
      <c r="H20" s="617"/>
      <c r="I20" s="617"/>
      <c r="J20" s="617"/>
      <c r="K20" s="610"/>
      <c r="L20" s="617"/>
      <c r="M20" s="617"/>
      <c r="N20" s="617"/>
      <c r="O20" s="617"/>
      <c r="P20" s="617"/>
      <c r="Q20" s="610"/>
    </row>
    <row r="21" spans="1:17" ht="14.45">
      <c r="A21" s="155"/>
      <c r="B21" s="612" t="s">
        <v>1003</v>
      </c>
      <c r="C21" s="204">
        <v>54.7</v>
      </c>
      <c r="D21" s="568">
        <v>75.400000000000006</v>
      </c>
      <c r="E21" s="142"/>
      <c r="F21" s="617"/>
      <c r="G21" s="617"/>
      <c r="H21" s="617"/>
      <c r="I21" s="617"/>
      <c r="J21" s="617"/>
      <c r="K21" s="610"/>
      <c r="L21" s="617"/>
      <c r="M21" s="617"/>
      <c r="N21" s="617"/>
      <c r="O21" s="617"/>
      <c r="P21" s="617"/>
      <c r="Q21" s="610"/>
    </row>
    <row r="22" spans="1:17" ht="14.45">
      <c r="A22" s="155"/>
      <c r="B22" s="614" t="s">
        <v>1091</v>
      </c>
      <c r="C22" s="613">
        <f>('Costos Sector Petrolero'!I59*'Transformación de Unidades'!$E$12*'Transformación de Unidades'!$C$12*'Transformación de Unidades'!$G$12)/('Transformación de Unidades'!$C$13*'Transformación de Unidades'!$E$13*'Transformación de Unidades'!$G$13)</f>
        <v>68.914346567810895</v>
      </c>
      <c r="D22" s="613">
        <f>('Costos Sector Petrolero'!AL59*'Transformación de Unidades'!$C$12*'Transformación de Unidades'!$E$12*'Transformación de Unidades'!$G$12)/('Transformación de Unidades'!$C$13*'Transformación de Unidades'!$E$13*'Transformación de Unidades'!$G$13)</f>
        <v>86.932611677310419</v>
      </c>
      <c r="E22" s="142"/>
      <c r="F22" s="617"/>
      <c r="G22" s="617"/>
      <c r="H22" s="617"/>
      <c r="I22" s="617"/>
      <c r="J22" s="617"/>
      <c r="K22" s="617"/>
      <c r="L22" s="610"/>
      <c r="M22" s="610"/>
      <c r="N22" s="610"/>
      <c r="O22" s="610"/>
      <c r="P22" s="610"/>
      <c r="Q22" s="617"/>
    </row>
    <row r="23" spans="1:17" ht="14.45">
      <c r="A23" s="155"/>
      <c r="B23" s="614" t="s">
        <v>1092</v>
      </c>
      <c r="C23" s="613">
        <f>('Costos Sector Petrolero'!I60*'Transformación de Unidades'!$E$12*'Transformación de Unidades'!$C$12*'Transformación de Unidades'!$G$12)/('Transformación de Unidades'!$C$13*'Transformación de Unidades'!$E$13*'Transformación de Unidades'!$G$13)</f>
        <v>133.84154987954591</v>
      </c>
      <c r="D23" s="613">
        <f>('Costos Sector Petrolero'!AL60*'Transformación de Unidades'!$C$12*'Transformación de Unidades'!$E$12*'Transformación de Unidades'!$G$12)/('Transformación de Unidades'!$C$13*'Transformación de Unidades'!$E$13*'Transformación de Unidades'!$G$13)</f>
        <v>143.73947851192864</v>
      </c>
      <c r="E23" s="142"/>
      <c r="F23" s="617"/>
      <c r="G23" s="617"/>
      <c r="H23" s="617"/>
      <c r="I23" s="617"/>
      <c r="J23" s="617"/>
      <c r="K23" s="617"/>
      <c r="L23" s="617"/>
      <c r="M23" s="617"/>
      <c r="N23" s="617"/>
      <c r="O23" s="617"/>
      <c r="P23" s="617"/>
      <c r="Q23" s="617"/>
    </row>
    <row r="24" spans="1:17" ht="14.45">
      <c r="A24" s="155"/>
      <c r="B24" s="614" t="s">
        <v>1093</v>
      </c>
      <c r="C24" s="613">
        <f>('Costos Sector Petrolero'!I61*'Transformación de Unidades'!$E$12*'Transformación de Unidades'!$C$12*'Transformación de Unidades'!$G$12)/('Transformación de Unidades'!$C$13*'Transformación de Unidades'!$E$13*'Transformación de Unidades'!$G$13)</f>
        <v>83.202317914736071</v>
      </c>
      <c r="D24" s="613">
        <f>('Costos Sector Petrolero'!AL61*'Transformación de Unidades'!$C$12*'Transformación de Unidades'!$E$12*'Transformación de Unidades'!$G$12)/('Transformación de Unidades'!$C$13*'Transformación de Unidades'!$E$13*'Transformación de Unidades'!$G$13)</f>
        <v>110.57011153332614</v>
      </c>
      <c r="E24" s="142"/>
      <c r="F24" s="617"/>
      <c r="G24" s="617"/>
      <c r="H24" s="617"/>
      <c r="I24" s="617"/>
      <c r="J24" s="617"/>
      <c r="K24" s="617"/>
      <c r="L24" s="617"/>
      <c r="M24" s="617"/>
      <c r="N24" s="617"/>
      <c r="O24" s="617"/>
      <c r="P24" s="617"/>
      <c r="Q24" s="617"/>
    </row>
    <row r="25" spans="1:17" ht="14.45">
      <c r="A25" s="155"/>
      <c r="B25" s="614" t="s">
        <v>1094</v>
      </c>
      <c r="C25" s="613">
        <f>('Costos Sector Petrolero'!I62*'Transformación de Unidades'!$E$12*'Transformación de Unidades'!$C$12*'Transformación de Unidades'!$G$12)/('Transformación de Unidades'!$C$13*'Transformación de Unidades'!$E$13*'Transformación de Unidades'!$G$13)</f>
        <v>83.202317914736071</v>
      </c>
      <c r="D25" s="613">
        <f>('Costos Sector Petrolero'!AL62*'Transformación de Unidades'!$C$12*'Transformación de Unidades'!$E$12*'Transformación de Unidades'!$G$12)/('Transformación de Unidades'!$C$13*'Transformación de Unidades'!$E$13*'Transformación de Unidades'!$G$13)</f>
        <v>110.57011153332614</v>
      </c>
      <c r="E25" s="142"/>
      <c r="F25" s="617"/>
      <c r="G25" s="617"/>
      <c r="H25" s="617"/>
      <c r="I25" s="617"/>
      <c r="J25" s="617"/>
      <c r="K25" s="617"/>
      <c r="L25" s="617"/>
      <c r="M25" s="617"/>
      <c r="N25" s="617"/>
      <c r="O25" s="617"/>
      <c r="P25" s="617"/>
      <c r="Q25" s="617"/>
    </row>
    <row r="26" spans="1:17" ht="14.45">
      <c r="A26" s="155"/>
      <c r="B26" s="615" t="s">
        <v>1095</v>
      </c>
      <c r="C26" s="613">
        <f>('Costos Sector Petrolero'!I63*'Transformación de Unidades'!$E$12*'Transformación de Unidades'!$C$12*'Transformación de Unidades'!$G$12)/('Transformación de Unidades'!$C$13*'Transformación de Unidades'!$E$13*'Transformación de Unidades'!$G$13)</f>
        <v>78.117500566136385</v>
      </c>
      <c r="D26" s="613">
        <f>('Costos Sector Petrolero'!AL63*'Transformación de Unidades'!$C$12*'Transformación de Unidades'!$E$12*'Transformación de Unidades'!$G$12)/('Transformación de Unidades'!$C$13*'Transformación de Unidades'!$E$13*'Transformación de Unidades'!$G$13)</f>
        <v>69.119192551288577</v>
      </c>
      <c r="E26" s="142"/>
      <c r="F26" s="617"/>
      <c r="G26" s="617"/>
      <c r="H26" s="617"/>
      <c r="I26" s="617"/>
      <c r="J26" s="617"/>
      <c r="K26" s="617"/>
      <c r="L26" s="617"/>
      <c r="M26" s="617"/>
      <c r="N26" s="617"/>
      <c r="O26" s="617"/>
      <c r="P26" s="617"/>
      <c r="Q26" s="617"/>
    </row>
    <row r="27" spans="1:17" ht="14.45">
      <c r="A27" s="155"/>
      <c r="B27" s="615" t="s">
        <v>1096</v>
      </c>
      <c r="C27" s="613">
        <f>('Costos Sector Petrolero'!I64*'Transformación de Unidades'!$E$12*'Transformación de Unidades'!$C$12*'Transformación de Unidades'!$G$12)/('Transformación de Unidades'!$C$13*'Transformación de Unidades'!$E$13*'Transformación de Unidades'!$G$13)</f>
        <v>41.15243315346612</v>
      </c>
      <c r="D27" s="613">
        <f>('Costos Sector Petrolero'!AL64*'Transformación de Unidades'!$C$12*'Transformación de Unidades'!$E$12*'Transformación de Unidades'!$G$12)/('Transformación de Unidades'!$C$13*'Transformación de Unidades'!$E$13*'Transformación de Unidades'!$G$13)</f>
        <v>52.540360391720441</v>
      </c>
      <c r="E27" s="142"/>
      <c r="F27" s="617"/>
      <c r="G27" s="617"/>
      <c r="H27" s="617"/>
      <c r="I27" s="617"/>
      <c r="J27" s="617"/>
      <c r="K27" s="617"/>
      <c r="L27" s="617"/>
      <c r="M27" s="617"/>
      <c r="N27" s="617"/>
      <c r="O27" s="617"/>
      <c r="P27" s="617"/>
      <c r="Q27" s="617"/>
    </row>
    <row r="28" spans="1:17" ht="14.45">
      <c r="A28" s="167"/>
      <c r="B28" s="222"/>
      <c r="C28" s="230"/>
      <c r="D28" s="230"/>
      <c r="E28" s="231"/>
      <c r="F28" s="617"/>
      <c r="G28" s="617"/>
      <c r="H28" s="617"/>
      <c r="I28" s="617"/>
      <c r="J28" s="617"/>
      <c r="K28" s="617"/>
      <c r="L28" s="617"/>
      <c r="M28" s="617"/>
      <c r="N28" s="617"/>
      <c r="O28" s="617"/>
      <c r="P28" s="617"/>
      <c r="Q28" s="617"/>
    </row>
    <row r="30" spans="1:17">
      <c r="A30" s="125" t="s">
        <v>1097</v>
      </c>
      <c r="B30" s="126"/>
      <c r="C30" s="617"/>
      <c r="D30" s="617"/>
      <c r="E30" s="617"/>
      <c r="F30" s="617"/>
      <c r="G30" s="617"/>
      <c r="H30" s="617"/>
      <c r="I30" s="617"/>
      <c r="J30" s="617"/>
      <c r="K30" s="617"/>
      <c r="L30" s="617"/>
      <c r="M30" s="617"/>
      <c r="N30" s="617"/>
      <c r="O30" s="617"/>
      <c r="P30" s="617"/>
      <c r="Q30" s="617"/>
    </row>
    <row r="31" spans="1:17">
      <c r="A31" s="599"/>
      <c r="B31" s="601" t="s">
        <v>1050</v>
      </c>
      <c r="C31" s="616">
        <v>1</v>
      </c>
      <c r="D31" s="606" t="s">
        <v>107</v>
      </c>
      <c r="E31" s="601">
        <v>1</v>
      </c>
      <c r="F31" s="606" t="s">
        <v>1098</v>
      </c>
      <c r="G31" s="601">
        <v>1000000</v>
      </c>
      <c r="H31" s="606" t="s">
        <v>1083</v>
      </c>
      <c r="I31" s="617"/>
      <c r="J31" s="617"/>
      <c r="K31" s="617"/>
      <c r="L31" s="617"/>
      <c r="M31" s="617"/>
      <c r="N31" s="617"/>
      <c r="O31" s="617"/>
      <c r="P31" s="617"/>
      <c r="Q31" s="617"/>
    </row>
    <row r="32" spans="1:17">
      <c r="A32" s="600"/>
      <c r="B32" s="605" t="s">
        <v>107</v>
      </c>
      <c r="C32" s="602">
        <v>5524.86</v>
      </c>
      <c r="D32" s="605" t="s">
        <v>1098</v>
      </c>
      <c r="E32" s="602">
        <v>1000</v>
      </c>
      <c r="F32" s="605" t="s">
        <v>1083</v>
      </c>
      <c r="G32" s="602">
        <v>1</v>
      </c>
      <c r="H32" s="602" t="s">
        <v>1099</v>
      </c>
      <c r="I32" s="617"/>
      <c r="J32" s="617"/>
      <c r="K32" s="617"/>
      <c r="L32" s="617"/>
      <c r="M32" s="617"/>
      <c r="N32" s="617"/>
      <c r="O32" s="617"/>
      <c r="P32" s="617"/>
      <c r="Q32" s="617"/>
    </row>
    <row r="34" spans="1:5">
      <c r="A34" s="646">
        <f>(A31*C31*E31*G31)/(C32*E32*G32)</f>
        <v>0</v>
      </c>
      <c r="B34" s="601" t="s">
        <v>1050</v>
      </c>
      <c r="C34" s="617"/>
      <c r="D34" s="617"/>
      <c r="E34" s="617"/>
    </row>
    <row r="35" spans="1:5">
      <c r="A35" s="646"/>
      <c r="B35" s="602" t="s">
        <v>1099</v>
      </c>
      <c r="C35" s="617"/>
      <c r="D35" s="617"/>
      <c r="E35" s="617"/>
    </row>
    <row r="37" spans="1:5" ht="18">
      <c r="A37" s="6"/>
      <c r="B37" s="611" t="s">
        <v>1000</v>
      </c>
      <c r="C37" s="609">
        <v>2021</v>
      </c>
      <c r="D37" s="609">
        <v>2050</v>
      </c>
      <c r="E37" s="201"/>
    </row>
    <row r="38" spans="1:5" ht="14.45">
      <c r="A38" s="155"/>
      <c r="B38" s="612" t="s">
        <v>1100</v>
      </c>
      <c r="C38" s="165">
        <f>(C19*$C$31*$E$31*$G$31)/($C$32*$E$32*$G$32)</f>
        <v>16.036605452445855</v>
      </c>
      <c r="D38" s="165">
        <f>(D19*$C$31*$E$31*$G$31)/($C$32*$E$32*$G$32)</f>
        <v>16.416705581679899</v>
      </c>
      <c r="E38" s="142"/>
    </row>
    <row r="39" spans="1:5" ht="14.45">
      <c r="A39" s="155"/>
      <c r="B39" s="612" t="s">
        <v>1101</v>
      </c>
      <c r="C39" s="165">
        <f t="shared" ref="C39:D39" si="0">(C20*$C$31*$E$31*$G$31)/($C$32*$E$32*$G$32)</f>
        <v>15.31260520628577</v>
      </c>
      <c r="D39" s="165">
        <f t="shared" si="0"/>
        <v>16.617615649989322</v>
      </c>
      <c r="E39" s="142"/>
    </row>
    <row r="40" spans="1:5" ht="14.45">
      <c r="A40" s="155"/>
      <c r="B40" s="612" t="s">
        <v>1102</v>
      </c>
      <c r="C40" s="165">
        <f t="shared" ref="C40:D40" si="1">(C21*$C$31*$E$31*$G$31)/($C$32*$E$32*$G$32)</f>
        <v>9.9007033662391439</v>
      </c>
      <c r="D40" s="165">
        <f t="shared" si="1"/>
        <v>13.647404640117578</v>
      </c>
      <c r="E40" s="142"/>
    </row>
    <row r="41" spans="1:5" ht="14.45">
      <c r="A41" s="155"/>
      <c r="B41" s="614" t="s">
        <v>1103</v>
      </c>
      <c r="C41" s="165">
        <f t="shared" ref="C41:D41" si="2">(C22*$C$31*$E$31*$G$31)/($C$32*$E$32*$G$32)</f>
        <v>12.473500969764101</v>
      </c>
      <c r="D41" s="165">
        <f t="shared" si="2"/>
        <v>15.734808063427929</v>
      </c>
      <c r="E41" s="142"/>
    </row>
    <row r="42" spans="1:5" ht="14.45">
      <c r="A42" s="155"/>
      <c r="B42" s="614" t="s">
        <v>1104</v>
      </c>
      <c r="C42" s="165">
        <f t="shared" ref="C42:D42" si="3">(C23*$C$31*$E$31*$G$31)/($C$32*$E$32*$G$32)</f>
        <v>24.225328764809589</v>
      </c>
      <c r="D42" s="165">
        <f t="shared" si="3"/>
        <v>26.016854456389602</v>
      </c>
      <c r="E42" s="142"/>
    </row>
    <row r="43" spans="1:5" ht="14.45">
      <c r="A43" s="155"/>
      <c r="B43" s="614" t="s">
        <v>1105</v>
      </c>
      <c r="C43" s="165">
        <f t="shared" ref="C43:D43" si="4">(C24*$C$31*$E$31*$G$31)/($C$32*$E$32*$G$32)</f>
        <v>15.059624662839616</v>
      </c>
      <c r="D43" s="165">
        <f t="shared" si="4"/>
        <v>20.013196992019008</v>
      </c>
      <c r="E43" s="142"/>
    </row>
    <row r="44" spans="1:5" ht="14.45">
      <c r="A44" s="155"/>
      <c r="B44" s="614" t="s">
        <v>1106</v>
      </c>
      <c r="C44" s="165">
        <f t="shared" ref="C44:D44" si="5">(C25*$C$31*$E$31*$G$31)/($C$32*$E$32*$G$32)</f>
        <v>15.059624662839616</v>
      </c>
      <c r="D44" s="165">
        <f t="shared" si="5"/>
        <v>20.013196992019008</v>
      </c>
      <c r="E44" s="142"/>
    </row>
    <row r="45" spans="1:5" ht="14.45">
      <c r="A45" s="155"/>
      <c r="B45" s="615" t="s">
        <v>1107</v>
      </c>
      <c r="C45" s="165">
        <f t="shared" ref="C45:D45" si="6">(C26*$C$31*$E$31*$G$31)/($C$32*$E$32*$G$32)</f>
        <v>14.139272409823306</v>
      </c>
      <c r="D45" s="165">
        <f t="shared" si="6"/>
        <v>12.510578105379787</v>
      </c>
      <c r="E45" s="142"/>
    </row>
    <row r="46" spans="1:5" ht="14.45">
      <c r="A46" s="155"/>
      <c r="B46" s="615" t="s">
        <v>1108</v>
      </c>
      <c r="C46" s="165">
        <f t="shared" ref="C46:D46" si="7">(C27*$C$31*$E$31*$G$31)/($C$32*$E$32*$G$32)</f>
        <v>7.4485929332989649</v>
      </c>
      <c r="D46" s="165">
        <f t="shared" si="7"/>
        <v>9.5098084642362775</v>
      </c>
      <c r="E46" s="142"/>
    </row>
    <row r="47" spans="1:5" ht="14.45">
      <c r="A47" s="167"/>
      <c r="B47" s="222"/>
      <c r="C47" s="230"/>
      <c r="D47" s="230"/>
      <c r="E47" s="231"/>
    </row>
    <row r="50" spans="1:14">
      <c r="A50" s="125" t="s">
        <v>1109</v>
      </c>
      <c r="B50" s="617"/>
      <c r="C50" s="617"/>
      <c r="D50" s="617"/>
      <c r="E50" s="617"/>
      <c r="F50" s="617"/>
      <c r="G50" s="617"/>
      <c r="H50" s="617"/>
      <c r="I50" s="617"/>
      <c r="J50" s="617"/>
      <c r="K50" s="617"/>
      <c r="L50" s="617"/>
      <c r="M50" s="617"/>
      <c r="N50" s="617"/>
    </row>
    <row r="51" spans="1:14">
      <c r="A51" s="599"/>
      <c r="B51" s="608" t="s">
        <v>1086</v>
      </c>
      <c r="C51" s="603">
        <v>5.8065553845323302E-3</v>
      </c>
      <c r="D51" s="606" t="s">
        <v>109</v>
      </c>
      <c r="E51" s="616">
        <v>1</v>
      </c>
      <c r="F51" s="606" t="s">
        <v>97</v>
      </c>
      <c r="G51" s="616">
        <v>1</v>
      </c>
      <c r="H51" s="606" t="s">
        <v>107</v>
      </c>
      <c r="I51" s="601">
        <v>1</v>
      </c>
      <c r="J51" s="606" t="s">
        <v>1098</v>
      </c>
      <c r="K51" s="601">
        <v>1000000</v>
      </c>
      <c r="L51" s="606" t="s">
        <v>1083</v>
      </c>
      <c r="M51" s="601">
        <v>1000000</v>
      </c>
      <c r="N51" s="601" t="s">
        <v>1050</v>
      </c>
    </row>
    <row r="52" spans="1:14">
      <c r="A52" s="600"/>
      <c r="B52" s="605" t="s">
        <v>109</v>
      </c>
      <c r="C52" s="602">
        <v>1</v>
      </c>
      <c r="D52" s="605" t="s">
        <v>97</v>
      </c>
      <c r="E52" s="602">
        <v>1000</v>
      </c>
      <c r="F52" s="605" t="s">
        <v>107</v>
      </c>
      <c r="G52" s="602">
        <v>5524.86</v>
      </c>
      <c r="H52" s="605" t="s">
        <v>1098</v>
      </c>
      <c r="I52" s="602">
        <v>1000</v>
      </c>
      <c r="J52" s="605" t="s">
        <v>1083</v>
      </c>
      <c r="K52" s="602">
        <v>1</v>
      </c>
      <c r="L52" s="602" t="s">
        <v>1099</v>
      </c>
      <c r="M52" s="602">
        <v>1</v>
      </c>
      <c r="N52" s="607" t="s">
        <v>1051</v>
      </c>
    </row>
    <row r="53" spans="1:14">
      <c r="A53" s="600"/>
      <c r="B53" s="600"/>
      <c r="C53" s="600"/>
      <c r="D53" s="600"/>
      <c r="E53" s="600"/>
      <c r="F53" s="600"/>
      <c r="G53" s="600"/>
      <c r="H53" s="600"/>
      <c r="I53" s="600"/>
      <c r="J53" s="600"/>
      <c r="K53" s="600"/>
      <c r="L53" s="600"/>
      <c r="M53" s="600"/>
      <c r="N53" s="600"/>
    </row>
    <row r="54" spans="1:14">
      <c r="A54" s="646">
        <f>(A51*C51*E51*G51*I51*K51*M51)/(C52*E52*G52*I52*K52*M52)</f>
        <v>0</v>
      </c>
      <c r="B54" s="601" t="s">
        <v>1050</v>
      </c>
      <c r="C54" s="600"/>
      <c r="D54" s="600"/>
      <c r="E54" s="600"/>
      <c r="F54" s="600"/>
      <c r="G54" s="600"/>
      <c r="H54" s="600"/>
      <c r="I54" s="600"/>
      <c r="J54" s="600"/>
      <c r="K54" s="600"/>
      <c r="L54" s="600"/>
      <c r="M54" s="600"/>
      <c r="N54" s="600"/>
    </row>
    <row r="55" spans="1:14">
      <c r="A55" s="646"/>
      <c r="B55" s="602" t="s">
        <v>1099</v>
      </c>
      <c r="C55" s="600"/>
      <c r="D55" s="600"/>
      <c r="E55" s="600"/>
      <c r="F55" s="600"/>
      <c r="G55" s="600"/>
      <c r="H55" s="600"/>
      <c r="I55" s="600"/>
      <c r="J55" s="600"/>
      <c r="K55" s="600"/>
      <c r="L55" s="600"/>
      <c r="M55" s="600"/>
      <c r="N55" s="600"/>
    </row>
    <row r="56" spans="1:14">
      <c r="A56" s="600"/>
      <c r="B56" s="600"/>
      <c r="C56" s="600"/>
      <c r="D56" s="600"/>
      <c r="E56" s="617"/>
      <c r="F56" s="617"/>
      <c r="G56" s="617"/>
      <c r="H56" s="617"/>
      <c r="I56" s="617"/>
      <c r="J56" s="617"/>
      <c r="K56" s="617"/>
      <c r="L56" s="617"/>
      <c r="M56" s="617"/>
      <c r="N56" s="617"/>
    </row>
    <row r="57" spans="1:14" ht="14.45">
      <c r="A57" s="6"/>
      <c r="B57" s="152" t="s">
        <v>1012</v>
      </c>
      <c r="C57" s="200">
        <v>2018</v>
      </c>
      <c r="D57" s="200">
        <v>2050</v>
      </c>
      <c r="E57" s="201"/>
      <c r="F57" s="610"/>
      <c r="G57" s="617"/>
      <c r="H57" s="617"/>
      <c r="I57" s="617"/>
      <c r="J57" s="617"/>
      <c r="K57" s="617"/>
      <c r="L57" s="617"/>
      <c r="M57" s="617"/>
      <c r="N57" s="617"/>
    </row>
    <row r="58" spans="1:14" ht="14.45">
      <c r="A58" s="155"/>
      <c r="B58" s="562" t="s">
        <v>1110</v>
      </c>
      <c r="C58" s="573">
        <f>('Costos Sector Petrolero'!F71*'Transformación de Unidades'!$C$51*'Transformación de Unidades'!$K$51*'Transformación de Unidades'!$M$51)/('Transformación de Unidades'!$E$52*'Transformación de Unidades'!$G$52*'Transformación de Unidades'!$I$52)</f>
        <v>0.69365134207768853</v>
      </c>
      <c r="D58" s="573">
        <f>('Costos Sector Petrolero'!AL71
*'Transformación de Unidades'!$C$51*'Transformación de Unidades'!$K$51*'Transformación de Unidades'!$M$51)/('Transformación de Unidades'!$E$52*'Transformación de Unidades'!$G$52*'Transformación de Unidades'!$I$52)</f>
        <v>0.69365134207768853</v>
      </c>
      <c r="E58" s="142"/>
      <c r="F58" s="610"/>
      <c r="G58" s="617"/>
      <c r="H58" s="617"/>
      <c r="I58" s="617"/>
      <c r="J58" s="617"/>
      <c r="K58" s="617"/>
      <c r="L58" s="617"/>
      <c r="M58" s="617"/>
      <c r="N58" s="617"/>
    </row>
    <row r="59" spans="1:14" ht="14.45">
      <c r="A59" s="155"/>
      <c r="B59" s="164" t="s">
        <v>1111</v>
      </c>
      <c r="C59" s="573">
        <f>('Costos Sector Petrolero'!F72*'Transformación de Unidades'!$C$51*'Transformación de Unidades'!$K$51*'Transformación de Unidades'!$M$51)/('Transformación de Unidades'!$E$52*'Transformación de Unidades'!$G$52*'Transformación de Unidades'!$I$52)</f>
        <v>2.3437007467170381</v>
      </c>
      <c r="D59" s="573">
        <f>('Costos Sector Petrolero'!AL72
*'Transformación de Unidades'!$C$51*'Transformación de Unidades'!$K$51*'Transformación de Unidades'!$M$51)/('Transformación de Unidades'!$E$52*'Transformación de Unidades'!$G$52*'Transformación de Unidades'!$I$52)</f>
        <v>2.3437007467170381</v>
      </c>
      <c r="E59" s="142"/>
      <c r="F59" s="610"/>
      <c r="G59" s="617"/>
      <c r="H59" s="617"/>
      <c r="I59" s="617"/>
      <c r="J59" s="617"/>
      <c r="K59" s="617"/>
      <c r="L59" s="617"/>
      <c r="M59" s="617"/>
      <c r="N59" s="617"/>
    </row>
    <row r="60" spans="1:14" ht="14.45">
      <c r="A60" s="155"/>
      <c r="B60" s="562" t="s">
        <v>1112</v>
      </c>
      <c r="C60" s="573">
        <f>('Costos Sector Petrolero'!F73*'Transformación de Unidades'!$C$51*'Transformación de Unidades'!$K$51*'Transformación de Unidades'!$M$51)/('Transformación de Unidades'!$E$52*'Transformación de Unidades'!$G$52*'Transformación de Unidades'!$I$52)</f>
        <v>89.52625610576402</v>
      </c>
      <c r="D60" s="573">
        <f>('Costos Sector Petrolero'!AL73
*'Transformación de Unidades'!$C$51*'Transformación de Unidades'!$K$51*'Transformación de Unidades'!$M$51)/('Transformación de Unidades'!$E$52*'Transformación de Unidades'!$G$52*'Transformación de Unidades'!$I$52)</f>
        <v>89.52625610576402</v>
      </c>
      <c r="E60" s="142"/>
      <c r="F60" s="610"/>
      <c r="G60" s="617"/>
      <c r="H60" s="617"/>
      <c r="I60" s="617"/>
      <c r="J60" s="617"/>
      <c r="K60" s="617"/>
      <c r="L60" s="617"/>
      <c r="M60" s="617"/>
      <c r="N60" s="617"/>
    </row>
    <row r="61" spans="1:14" ht="14.45">
      <c r="A61" s="155"/>
      <c r="B61" s="612" t="s">
        <v>1113</v>
      </c>
      <c r="C61" s="573">
        <f>('Costos Sector Petrolero'!F74*'Transformación de Unidades'!$C$51*'Transformación de Unidades'!$K$51*'Transformación de Unidades'!$M$51)/('Transformación de Unidades'!$E$52*'Transformación de Unidades'!$G$52*'Transformación de Unidades'!$I$52)</f>
        <v>40.326366659880158</v>
      </c>
      <c r="D61" s="573">
        <f>('Costos Sector Petrolero'!AL74
*'Transformación de Unidades'!$C$51*'Transformación de Unidades'!$K$51*'Transformación de Unidades'!$M$51)/('Transformación de Unidades'!$E$52*'Transformación de Unidades'!$G$52*'Transformación de Unidades'!$I$52)</f>
        <v>6.9365134207768842</v>
      </c>
      <c r="E61" s="142"/>
      <c r="F61" s="610"/>
      <c r="G61" s="617"/>
      <c r="H61" s="617"/>
      <c r="I61" s="617"/>
      <c r="J61" s="617"/>
      <c r="K61" s="617"/>
      <c r="L61" s="617"/>
      <c r="M61" s="617"/>
      <c r="N61" s="617"/>
    </row>
    <row r="62" spans="1:14" ht="14.45">
      <c r="A62" s="155"/>
      <c r="B62" s="164" t="s">
        <v>1114</v>
      </c>
      <c r="C62" s="165">
        <f>('Costos Sector Petrolero'!F78*'Transformación de Unidades'!$C$51*'Transformación de Unidades'!$K$51*'Transformación de Unidades'!$M$51)/('Transformación de Unidades'!$E$52*'Transformación de Unidades'!$G$52*'Transformación de Unidades'!$I$52)</f>
        <v>2.9217435317817784</v>
      </c>
      <c r="D62" s="165">
        <f>C62</f>
        <v>2.9217435317817784</v>
      </c>
      <c r="E62" s="142"/>
      <c r="F62" s="610"/>
      <c r="G62" s="617"/>
      <c r="H62" s="617"/>
      <c r="I62" s="617"/>
      <c r="J62" s="617"/>
      <c r="K62" s="617"/>
      <c r="L62" s="617"/>
      <c r="M62" s="617"/>
      <c r="N62" s="617"/>
    </row>
    <row r="63" spans="1:14" ht="14.45">
      <c r="A63" s="167"/>
      <c r="B63" s="222"/>
      <c r="C63" s="222"/>
      <c r="D63" s="230"/>
      <c r="E63" s="231"/>
      <c r="F63" s="610"/>
      <c r="G63" s="617"/>
      <c r="H63" s="617"/>
      <c r="I63" s="617"/>
      <c r="J63" s="617"/>
      <c r="K63" s="617"/>
      <c r="L63" s="617"/>
      <c r="M63" s="617"/>
      <c r="N63" s="617"/>
    </row>
    <row r="64" spans="1:14">
      <c r="A64" s="610"/>
      <c r="B64" s="610"/>
      <c r="C64" s="610"/>
      <c r="D64" s="610"/>
      <c r="E64" s="617"/>
      <c r="F64" s="617"/>
      <c r="G64" s="617"/>
      <c r="H64" s="617"/>
      <c r="I64" s="617"/>
      <c r="J64" s="617"/>
      <c r="K64" s="617"/>
      <c r="L64" s="617"/>
      <c r="M64" s="617"/>
      <c r="N64" s="617"/>
    </row>
    <row r="67" spans="1:14" ht="16.5">
      <c r="A67" s="125" t="s">
        <v>1115</v>
      </c>
      <c r="B67" s="617"/>
      <c r="C67" s="617"/>
      <c r="D67" s="617"/>
      <c r="E67" s="617"/>
      <c r="F67" s="617"/>
      <c r="G67" s="617"/>
      <c r="H67" s="617"/>
      <c r="I67" s="617"/>
      <c r="J67" s="617"/>
      <c r="K67" s="617"/>
      <c r="L67" s="617"/>
      <c r="M67" s="617"/>
      <c r="N67" s="617"/>
    </row>
    <row r="69" spans="1:14" ht="16.5">
      <c r="A69" s="599"/>
      <c r="B69" s="608" t="s">
        <v>1050</v>
      </c>
      <c r="C69" s="601">
        <v>1</v>
      </c>
      <c r="D69" s="649" t="s">
        <v>1099</v>
      </c>
      <c r="E69" s="616">
        <v>1000</v>
      </c>
      <c r="F69" s="606" t="s">
        <v>1083</v>
      </c>
      <c r="G69" s="616">
        <v>5524.86</v>
      </c>
      <c r="H69" s="606" t="s">
        <v>1098</v>
      </c>
      <c r="I69" s="601">
        <v>1</v>
      </c>
      <c r="J69" s="606" t="s">
        <v>107</v>
      </c>
      <c r="K69" s="617"/>
      <c r="L69" s="617"/>
      <c r="M69" s="617"/>
      <c r="N69" s="617"/>
    </row>
    <row r="70" spans="1:14" ht="16.5">
      <c r="A70" s="600"/>
      <c r="B70" s="605" t="s">
        <v>1099</v>
      </c>
      <c r="C70" s="602">
        <v>1000000</v>
      </c>
      <c r="D70" s="605" t="s">
        <v>1083</v>
      </c>
      <c r="E70" s="602">
        <v>1</v>
      </c>
      <c r="F70" s="605" t="s">
        <v>1098</v>
      </c>
      <c r="G70" s="602">
        <v>1</v>
      </c>
      <c r="H70" s="605" t="s">
        <v>107</v>
      </c>
      <c r="I70" s="602">
        <v>1</v>
      </c>
      <c r="J70" s="650" t="s">
        <v>107</v>
      </c>
      <c r="K70" s="617"/>
      <c r="L70" s="617"/>
      <c r="M70" s="617"/>
      <c r="N70" s="617"/>
    </row>
    <row r="72" spans="1:14" ht="16.5">
      <c r="A72" s="617"/>
      <c r="B72" s="617"/>
      <c r="C72" s="617"/>
      <c r="D72" s="617"/>
      <c r="E72" s="617"/>
      <c r="F72" s="617"/>
      <c r="G72" s="617"/>
      <c r="H72" s="617"/>
      <c r="I72" s="617"/>
      <c r="J72" s="617"/>
      <c r="K72" s="617"/>
      <c r="L72" s="617"/>
      <c r="M72" s="617"/>
      <c r="N72" s="617"/>
    </row>
    <row r="73" spans="1:14" ht="16.5">
      <c r="A73" s="6"/>
      <c r="B73" s="152" t="s">
        <v>1116</v>
      </c>
      <c r="C73" s="200">
        <v>2018</v>
      </c>
      <c r="D73" s="200">
        <v>2050</v>
      </c>
      <c r="E73" s="201"/>
      <c r="F73" s="617"/>
      <c r="G73" s="617"/>
      <c r="H73" s="617"/>
      <c r="I73" s="617"/>
      <c r="J73" s="617"/>
      <c r="K73" s="617"/>
      <c r="L73" s="617"/>
      <c r="M73" s="617"/>
      <c r="N73" s="617"/>
    </row>
    <row r="74" spans="1:14" ht="16.5">
      <c r="A74" s="155"/>
      <c r="B74" s="562" t="s">
        <v>1117</v>
      </c>
      <c r="C74" s="573">
        <f>(C58*$C$69*$E$69*$G$69*$I$69)/($C$70*$E$70*$G$70*$I$70)</f>
        <v>3.8323265537913382</v>
      </c>
      <c r="D74" s="573">
        <f>(D58*$C$69*$E$69*$G$69*$I$69)/($C$70*$E$70*$G$70*$I$70)</f>
        <v>3.8323265537913382</v>
      </c>
      <c r="E74" s="142"/>
      <c r="F74" s="617"/>
      <c r="G74" s="617"/>
      <c r="H74" s="617"/>
      <c r="I74" s="617"/>
      <c r="J74" s="617"/>
      <c r="K74" s="617"/>
      <c r="L74" s="617"/>
      <c r="M74" s="617"/>
      <c r="N74" s="617"/>
    </row>
    <row r="75" spans="1:14" ht="16.5">
      <c r="A75" s="155"/>
      <c r="B75" s="164" t="s">
        <v>1118</v>
      </c>
      <c r="C75" s="573">
        <f t="shared" ref="C75:D78" si="8">(C59*$C$69*$E$69*$G$69*$I$69)/($C$70*$E$70*$G$70*$I$70)</f>
        <v>12.948618507507094</v>
      </c>
      <c r="D75" s="573">
        <f t="shared" si="8"/>
        <v>12.948618507507094</v>
      </c>
      <c r="E75" s="142"/>
      <c r="F75" s="617"/>
      <c r="G75" s="617"/>
      <c r="H75" s="617"/>
      <c r="I75" s="617"/>
      <c r="J75" s="617"/>
      <c r="K75" s="617"/>
      <c r="L75" s="617"/>
      <c r="M75" s="617"/>
      <c r="N75" s="617"/>
    </row>
    <row r="76" spans="1:14" ht="16.5">
      <c r="A76" s="155"/>
      <c r="B76" s="562" t="s">
        <v>1119</v>
      </c>
      <c r="C76" s="573">
        <f t="shared" si="8"/>
        <v>494.62003130849143</v>
      </c>
      <c r="D76" s="573">
        <f t="shared" si="8"/>
        <v>494.62003130849143</v>
      </c>
      <c r="E76" s="142"/>
      <c r="F76" s="617"/>
      <c r="G76" s="617"/>
      <c r="H76" s="617"/>
      <c r="I76" s="617"/>
      <c r="J76" s="617"/>
      <c r="K76" s="617"/>
      <c r="L76" s="617"/>
      <c r="M76" s="617"/>
      <c r="N76" s="617"/>
    </row>
    <row r="77" spans="1:14" ht="16.5">
      <c r="A77" s="155"/>
      <c r="B77" s="612" t="s">
        <v>1120</v>
      </c>
      <c r="C77" s="573">
        <f t="shared" si="8"/>
        <v>222.79753010450548</v>
      </c>
      <c r="D77" s="573">
        <f t="shared" si="8"/>
        <v>38.323265537913372</v>
      </c>
      <c r="E77" s="142"/>
      <c r="F77" s="617"/>
      <c r="G77" s="617"/>
      <c r="H77" s="617"/>
      <c r="I77" s="617"/>
      <c r="J77" s="617"/>
      <c r="K77" s="617"/>
      <c r="L77" s="617"/>
      <c r="M77" s="617"/>
      <c r="N77" s="617"/>
    </row>
    <row r="78" spans="1:14" ht="16.5">
      <c r="A78" s="155"/>
      <c r="B78" s="164" t="s">
        <v>1121</v>
      </c>
      <c r="C78" s="573">
        <f t="shared" si="8"/>
        <v>16.142223968999875</v>
      </c>
      <c r="D78" s="573">
        <f t="shared" si="8"/>
        <v>16.142223968999875</v>
      </c>
      <c r="E78" s="142"/>
      <c r="F78" s="617"/>
      <c r="G78" s="617"/>
      <c r="H78" s="617"/>
      <c r="I78" s="617"/>
      <c r="J78" s="617"/>
      <c r="K78" s="617"/>
      <c r="L78" s="617"/>
      <c r="M78" s="617"/>
      <c r="N78" s="617"/>
    </row>
    <row r="79" spans="1:14" ht="16.5">
      <c r="A79" s="167"/>
      <c r="B79" s="222"/>
      <c r="C79" s="222"/>
      <c r="D79" s="230"/>
      <c r="E79" s="231"/>
      <c r="F79" s="617"/>
      <c r="G79" s="617"/>
      <c r="H79" s="617"/>
      <c r="I79" s="617"/>
      <c r="J79" s="617"/>
      <c r="K79" s="617"/>
      <c r="L79" s="617"/>
      <c r="M79" s="617"/>
      <c r="N79" s="617"/>
    </row>
    <row r="80" spans="1:14" ht="16.5">
      <c r="A80" s="617"/>
      <c r="B80" s="617"/>
      <c r="C80" s="617"/>
      <c r="D80" s="617"/>
      <c r="E80" s="617"/>
      <c r="F80" s="617"/>
      <c r="G80" s="617"/>
      <c r="H80" s="617"/>
      <c r="I80" s="617"/>
      <c r="J80" s="617"/>
      <c r="K80" s="617"/>
      <c r="L80" s="617"/>
      <c r="M80" s="617"/>
      <c r="N80" s="617"/>
    </row>
  </sheetData>
  <mergeCells count="4">
    <mergeCell ref="A8:A9"/>
    <mergeCell ref="A15:A16"/>
    <mergeCell ref="A34:A35"/>
    <mergeCell ref="A54:A55"/>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B0710-720F-4BD1-BF0A-03B38BBCAB92}">
  <dimension ref="A1:AK976"/>
  <sheetViews>
    <sheetView workbookViewId="0">
      <pane ySplit="1" topLeftCell="A4" activePane="bottomLeft" state="frozen"/>
      <selection pane="bottomLeft" activeCell="C77" sqref="C77"/>
    </sheetView>
  </sheetViews>
  <sheetFormatPr defaultColWidth="12.6640625" defaultRowHeight="15" customHeight="1"/>
  <cols>
    <col min="1" max="1" width="9.77734375" customWidth="1"/>
    <col min="2" max="2" width="2.44140625" customWidth="1"/>
    <col min="3" max="3" width="24.88671875" customWidth="1"/>
    <col min="4" max="4" width="8.44140625" customWidth="1"/>
    <col min="5" max="5" width="9.21875" customWidth="1"/>
    <col min="6" max="11" width="8.44140625" customWidth="1"/>
    <col min="12" max="12" width="10.77734375" customWidth="1"/>
    <col min="13" max="37" width="8.44140625" customWidth="1"/>
  </cols>
  <sheetData>
    <row r="1" spans="1:37" ht="13.5" customHeight="1">
      <c r="A1" s="619"/>
      <c r="B1" s="52"/>
      <c r="C1" s="621" t="s">
        <v>6</v>
      </c>
      <c r="D1" s="374">
        <v>2018</v>
      </c>
      <c r="E1" s="374">
        <v>2019</v>
      </c>
      <c r="F1" s="374">
        <v>2020</v>
      </c>
      <c r="G1" s="373">
        <v>2021</v>
      </c>
      <c r="H1" s="373">
        <v>2022</v>
      </c>
      <c r="I1" s="373">
        <v>2023</v>
      </c>
      <c r="J1" s="373">
        <v>2024</v>
      </c>
      <c r="K1" s="373">
        <v>2025</v>
      </c>
      <c r="L1" s="373">
        <v>2026</v>
      </c>
      <c r="M1" s="373">
        <v>2027</v>
      </c>
      <c r="N1" s="373">
        <v>2028</v>
      </c>
      <c r="O1" s="373">
        <v>2029</v>
      </c>
      <c r="P1" s="373">
        <v>2030</v>
      </c>
      <c r="Q1" s="373">
        <v>2031</v>
      </c>
      <c r="R1" s="373">
        <v>2032</v>
      </c>
      <c r="S1" s="373">
        <v>2033</v>
      </c>
      <c r="T1" s="373">
        <v>2034</v>
      </c>
      <c r="U1" s="373">
        <v>2035</v>
      </c>
      <c r="V1" s="373">
        <v>2036</v>
      </c>
      <c r="W1" s="373">
        <v>2037</v>
      </c>
      <c r="X1" s="373">
        <v>2038</v>
      </c>
      <c r="Y1" s="373">
        <v>2039</v>
      </c>
      <c r="Z1" s="373">
        <v>2040</v>
      </c>
      <c r="AA1" s="373">
        <v>2041</v>
      </c>
      <c r="AB1" s="373">
        <v>2042</v>
      </c>
      <c r="AC1" s="373">
        <v>2043</v>
      </c>
      <c r="AD1" s="373">
        <v>2044</v>
      </c>
      <c r="AE1" s="373">
        <v>2045</v>
      </c>
      <c r="AF1" s="373">
        <v>2046</v>
      </c>
      <c r="AG1" s="373">
        <v>2047</v>
      </c>
      <c r="AH1" s="373">
        <v>2048</v>
      </c>
      <c r="AI1" s="373">
        <v>2049</v>
      </c>
      <c r="AJ1" s="373">
        <v>2050</v>
      </c>
      <c r="AK1" s="53"/>
    </row>
    <row r="2" spans="1:37" ht="13.5" customHeight="1">
      <c r="A2" s="619"/>
      <c r="B2" s="589"/>
      <c r="C2" s="590"/>
      <c r="D2" s="589"/>
      <c r="E2" s="589"/>
      <c r="F2" s="589"/>
      <c r="G2" s="589"/>
      <c r="H2" s="589"/>
      <c r="I2" s="589"/>
      <c r="J2" s="589"/>
      <c r="K2" s="589"/>
      <c r="L2" s="589"/>
      <c r="M2" s="589"/>
      <c r="N2" s="589"/>
      <c r="O2" s="589"/>
      <c r="P2" s="589"/>
      <c r="Q2" s="589"/>
      <c r="R2" s="589"/>
      <c r="S2" s="589"/>
      <c r="T2" s="589"/>
      <c r="U2" s="589"/>
      <c r="V2" s="589"/>
      <c r="W2" s="589"/>
      <c r="X2" s="589"/>
      <c r="Y2" s="589"/>
      <c r="Z2" s="589"/>
      <c r="AA2" s="589"/>
      <c r="AB2" s="589"/>
      <c r="AC2" s="589"/>
      <c r="AD2" s="589"/>
      <c r="AE2" s="589"/>
      <c r="AF2" s="589"/>
      <c r="AG2" s="589"/>
      <c r="AH2" s="589"/>
      <c r="AI2" s="589"/>
      <c r="AJ2" s="589"/>
      <c r="AK2" s="589"/>
    </row>
    <row r="3" spans="1:37" ht="13.5" customHeight="1">
      <c r="A3" s="619"/>
      <c r="B3" s="589"/>
      <c r="C3" s="591" t="s">
        <v>1122</v>
      </c>
      <c r="D3" s="589"/>
      <c r="E3" s="589"/>
      <c r="F3" s="589"/>
      <c r="G3" s="589"/>
      <c r="H3" s="589"/>
      <c r="I3" s="589"/>
      <c r="J3" s="589"/>
      <c r="K3" s="589"/>
      <c r="L3" s="589"/>
      <c r="M3" s="589"/>
      <c r="N3" s="589"/>
      <c r="O3" s="589"/>
      <c r="P3" s="589"/>
      <c r="Q3" s="589"/>
      <c r="R3" s="589"/>
      <c r="S3" s="589"/>
      <c r="T3" s="589"/>
      <c r="U3" s="589"/>
      <c r="V3" s="589"/>
      <c r="W3" s="589"/>
      <c r="X3" s="589"/>
      <c r="Y3" s="589"/>
      <c r="Z3" s="589"/>
      <c r="AA3" s="589"/>
      <c r="AB3" s="589"/>
      <c r="AC3" s="589"/>
      <c r="AD3" s="589"/>
      <c r="AE3" s="589"/>
      <c r="AF3" s="589"/>
      <c r="AG3" s="589"/>
      <c r="AH3" s="589"/>
      <c r="AI3" s="589"/>
      <c r="AJ3" s="589"/>
      <c r="AK3" s="589"/>
    </row>
    <row r="4" spans="1:37" ht="13.5" customHeight="1">
      <c r="A4" s="619"/>
      <c r="B4" s="589"/>
      <c r="C4" s="590"/>
      <c r="D4" s="589"/>
      <c r="E4" s="589"/>
      <c r="F4" s="589"/>
      <c r="G4" s="589"/>
      <c r="H4" s="589"/>
      <c r="I4" s="589"/>
      <c r="J4" s="589"/>
      <c r="K4" s="589"/>
      <c r="L4" s="589"/>
      <c r="M4" s="589"/>
      <c r="N4" s="589"/>
      <c r="O4" s="589"/>
      <c r="P4" s="589"/>
      <c r="Q4" s="589"/>
      <c r="R4" s="589"/>
      <c r="S4" s="589"/>
      <c r="T4" s="589"/>
      <c r="U4" s="589"/>
      <c r="V4" s="589"/>
      <c r="W4" s="589"/>
      <c r="X4" s="589"/>
      <c r="Y4" s="589"/>
      <c r="Z4" s="589"/>
      <c r="AA4" s="589"/>
      <c r="AB4" s="589"/>
      <c r="AC4" s="589"/>
      <c r="AD4" s="589"/>
      <c r="AE4" s="589"/>
      <c r="AF4" s="589"/>
      <c r="AG4" s="589"/>
      <c r="AH4" s="589"/>
      <c r="AI4" s="589"/>
      <c r="AJ4" s="589"/>
      <c r="AK4" s="589"/>
    </row>
    <row r="5" spans="1:37" ht="13.5" customHeight="1">
      <c r="A5" s="619"/>
      <c r="B5" s="619"/>
      <c r="C5" s="4"/>
      <c r="D5" s="619"/>
      <c r="E5" s="619"/>
      <c r="F5" s="619"/>
      <c r="G5" s="619"/>
      <c r="H5" s="619"/>
      <c r="I5" s="619"/>
      <c r="J5" s="619"/>
      <c r="K5" s="619"/>
      <c r="L5" s="619"/>
      <c r="M5" s="619"/>
      <c r="N5" s="619"/>
      <c r="O5" s="619"/>
      <c r="P5" s="619"/>
      <c r="Q5" s="619"/>
      <c r="R5" s="619"/>
      <c r="S5" s="619"/>
      <c r="T5" s="619"/>
      <c r="U5" s="619"/>
      <c r="V5" s="619"/>
      <c r="W5" s="619"/>
      <c r="X5" s="619"/>
      <c r="Y5" s="619"/>
      <c r="Z5" s="619"/>
      <c r="AA5" s="619"/>
      <c r="AB5" s="619"/>
      <c r="AC5" s="619"/>
      <c r="AD5" s="619"/>
      <c r="AE5" s="619"/>
      <c r="AF5" s="619"/>
      <c r="AG5" s="619"/>
      <c r="AH5" s="619"/>
      <c r="AI5" s="619"/>
      <c r="AJ5" s="619"/>
      <c r="AK5" s="619"/>
    </row>
    <row r="6" spans="1:37" ht="13.5" customHeight="1">
      <c r="A6" s="619"/>
      <c r="B6" s="6"/>
      <c r="C6" s="152"/>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1"/>
    </row>
    <row r="7" spans="1:37" ht="13.5" customHeight="1">
      <c r="A7" s="619"/>
      <c r="B7" s="155"/>
      <c r="C7" s="156" t="s">
        <v>7</v>
      </c>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2"/>
    </row>
    <row r="8" spans="1:37" ht="13.5" customHeight="1">
      <c r="A8" s="619"/>
      <c r="B8" s="155"/>
      <c r="C8" s="440" t="s">
        <v>462</v>
      </c>
      <c r="D8" s="143"/>
      <c r="E8" s="143"/>
      <c r="F8" s="143"/>
      <c r="G8" s="143"/>
      <c r="H8" s="143"/>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2"/>
    </row>
    <row r="9" spans="1:37" ht="13.5" customHeight="1">
      <c r="A9" s="632">
        <v>1</v>
      </c>
      <c r="B9" s="155"/>
      <c r="C9" s="164" t="s">
        <v>1123</v>
      </c>
      <c r="D9" s="586">
        <f>('Costos Sector Petrolero'!F21*'Copia Costos Sector Petrolero'!$F$106*'Copia Costos Sector Petrolero'!$H$106*$L$106)/'Copia Costos Sector Petrolero'!$J$107</f>
        <v>70.154790445229693</v>
      </c>
      <c r="E9" s="165"/>
      <c r="F9" s="165"/>
      <c r="G9" s="165"/>
      <c r="H9" s="165"/>
      <c r="I9" s="165"/>
      <c r="J9" s="165"/>
      <c r="K9" s="165"/>
      <c r="L9" s="165"/>
      <c r="M9" s="165"/>
      <c r="N9" s="165"/>
      <c r="O9" s="165"/>
      <c r="P9" s="165"/>
      <c r="Q9" s="165"/>
      <c r="R9" s="165"/>
      <c r="S9" s="165"/>
      <c r="T9" s="165"/>
      <c r="U9" s="165"/>
      <c r="V9" s="165"/>
      <c r="W9" s="165"/>
      <c r="X9" s="165"/>
      <c r="Y9" s="165"/>
      <c r="Z9" s="165"/>
      <c r="AA9" s="165"/>
      <c r="AB9" s="165"/>
      <c r="AC9" s="165"/>
      <c r="AD9" s="165"/>
      <c r="AE9" s="165"/>
      <c r="AF9" s="165"/>
      <c r="AG9" s="165"/>
      <c r="AH9" s="165"/>
      <c r="AI9" s="165"/>
      <c r="AJ9" s="165"/>
      <c r="AK9" s="142"/>
    </row>
    <row r="10" spans="1:37" ht="13.5" customHeight="1">
      <c r="A10" s="651"/>
      <c r="B10" s="155"/>
      <c r="C10" s="164" t="s">
        <v>1124</v>
      </c>
      <c r="D10" s="586">
        <f>('Costos Sector Petrolero'!F22*'Copia Costos Sector Petrolero'!$F$106*'Copia Costos Sector Petrolero'!$H$106*$L$106)/'Copia Costos Sector Petrolero'!$J$107</f>
        <v>63.874943805691061</v>
      </c>
      <c r="E10" s="165"/>
      <c r="F10" s="165"/>
      <c r="G10" s="165"/>
      <c r="H10" s="165"/>
      <c r="I10" s="165"/>
      <c r="J10" s="165"/>
      <c r="K10" s="165"/>
      <c r="L10" s="165"/>
      <c r="M10" s="165"/>
      <c r="N10" s="165"/>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42"/>
    </row>
    <row r="11" spans="1:37" ht="13.5" customHeight="1">
      <c r="A11" s="651"/>
      <c r="B11" s="155"/>
      <c r="C11" s="164" t="s">
        <v>1125</v>
      </c>
      <c r="D11" s="586">
        <f>('Costos Sector Petrolero'!F23*'Copia Costos Sector Petrolero'!$F$106*'Copia Costos Sector Petrolero'!$H$106*$L$106)/'Copia Costos Sector Petrolero'!$J$107</f>
        <v>20.137614691777472</v>
      </c>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42"/>
    </row>
    <row r="12" spans="1:37" ht="13.5" customHeight="1">
      <c r="A12" s="651"/>
      <c r="B12" s="155"/>
      <c r="C12" s="164" t="s">
        <v>1126</v>
      </c>
      <c r="D12" s="586">
        <f>('Costos Sector Petrolero'!F24*'Copia Costos Sector Petrolero'!$F$106*'Copia Costos Sector Petrolero'!$H$106*$L$106)/'Copia Costos Sector Petrolero'!$J$107</f>
        <v>4.6765229775584958</v>
      </c>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42"/>
    </row>
    <row r="13" spans="1:37" ht="13.5" customHeight="1">
      <c r="A13" s="651"/>
      <c r="B13" s="155"/>
      <c r="C13" s="164" t="s">
        <v>1127</v>
      </c>
      <c r="D13" s="586">
        <f>('Costos Sector Petrolero'!F25*'Copia Costos Sector Petrolero'!$F$106*'Copia Costos Sector Petrolero'!$H$106*$L$106)/'Copia Costos Sector Petrolero'!$J$107</f>
        <v>93.68110731133325</v>
      </c>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42"/>
    </row>
    <row r="14" spans="1:37" ht="13.5" customHeight="1">
      <c r="A14" s="619">
        <v>10</v>
      </c>
      <c r="B14" s="155"/>
      <c r="C14" s="562" t="s">
        <v>1128</v>
      </c>
      <c r="D14" s="586">
        <f>('Costos Sector Petrolero'!F26*'Copia Costos Sector Petrolero'!$F$106*'Copia Costos Sector Petrolero'!$H$106*$L$106)/'Copia Costos Sector Petrolero'!$J$107</f>
        <v>11.863141043922624</v>
      </c>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142"/>
    </row>
    <row r="15" spans="1:37" ht="13.5" customHeight="1">
      <c r="A15" s="619"/>
      <c r="B15" s="155"/>
      <c r="C15" s="355"/>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2"/>
    </row>
    <row r="16" spans="1:37" ht="13.5" customHeight="1">
      <c r="A16" s="619">
        <v>2</v>
      </c>
      <c r="B16" s="155"/>
      <c r="C16" s="440" t="s">
        <v>470</v>
      </c>
      <c r="D16" s="587" t="s">
        <v>1129</v>
      </c>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2"/>
    </row>
    <row r="17" spans="1:37" ht="13.5" customHeight="1">
      <c r="A17" s="619"/>
      <c r="B17" s="155"/>
      <c r="C17" s="164" t="s">
        <v>1130</v>
      </c>
      <c r="D17" s="586">
        <f>('Costos Sector Petrolero'!F31*'Copia Costos Sector Petrolero'!$F$109*'Copia Costos Sector Petrolero'!$H$109)/'Copia Costos Sector Petrolero'!$F$110</f>
        <v>6.3324287999999997</v>
      </c>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142"/>
    </row>
    <row r="18" spans="1:37" ht="13.5" customHeight="1">
      <c r="A18" s="619"/>
      <c r="B18" s="155"/>
      <c r="C18" s="164" t="s">
        <v>1131</v>
      </c>
      <c r="D18" s="586">
        <f>('Costos Sector Petrolero'!F32*'Copia Costos Sector Petrolero'!$F$109*'Copia Costos Sector Petrolero'!$H$109)/'Copia Costos Sector Petrolero'!$F$110</f>
        <v>6.6130991999999997</v>
      </c>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142"/>
    </row>
    <row r="19" spans="1:37" ht="13.5" customHeight="1">
      <c r="A19" s="619"/>
      <c r="B19" s="155"/>
      <c r="C19" s="164" t="s">
        <v>1132</v>
      </c>
      <c r="D19" s="586">
        <f>('Costos Sector Petrolero'!F33*'Copia Costos Sector Petrolero'!$F$109*'Copia Costos Sector Petrolero'!$H$109)/'Copia Costos Sector Petrolero'!$F$110</f>
        <v>0.43835039999999997</v>
      </c>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142"/>
    </row>
    <row r="20" spans="1:37" ht="13.5" customHeight="1">
      <c r="A20" s="619"/>
      <c r="B20" s="155"/>
      <c r="C20" s="164" t="s">
        <v>1133</v>
      </c>
      <c r="D20" s="586">
        <f>('Costos Sector Petrolero'!F34*'Copia Costos Sector Petrolero'!$F$109*'Copia Costos Sector Petrolero'!$H$109)/'Copia Costos Sector Petrolero'!$F$110</f>
        <v>13.907376000000001</v>
      </c>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142"/>
    </row>
    <row r="21" spans="1:37" ht="13.5" customHeight="1">
      <c r="A21" s="619"/>
      <c r="B21" s="155"/>
      <c r="C21" s="164" t="s">
        <v>1134</v>
      </c>
      <c r="D21" s="586">
        <f>('Costos Sector Petrolero'!F35*'Copia Costos Sector Petrolero'!$F$109*'Copia Costos Sector Petrolero'!$H$109)/'Copia Costos Sector Petrolero'!$F$110</f>
        <v>1.5421104000000001</v>
      </c>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142"/>
    </row>
    <row r="22" spans="1:37" ht="13.5" customHeight="1">
      <c r="A22" s="619"/>
      <c r="B22" s="155"/>
      <c r="C22" s="164" t="s">
        <v>1135</v>
      </c>
      <c r="D22" s="586">
        <f>('Costos Sector Petrolero'!F36*'Copia Costos Sector Petrolero'!$F$109*'Copia Costos Sector Petrolero'!$H$109)/'Copia Costos Sector Petrolero'!$F$110</f>
        <v>1.5768000000000001E-2</v>
      </c>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142"/>
    </row>
    <row r="23" spans="1:37" ht="13.5" customHeight="1">
      <c r="A23" s="619">
        <v>10</v>
      </c>
      <c r="B23" s="155"/>
      <c r="C23" s="562" t="s">
        <v>1136</v>
      </c>
      <c r="D23" s="586">
        <f>('Costos Sector Petrolero'!F37*'Copia Costos Sector Petrolero'!$F$109*'Copia Costos Sector Petrolero'!$H$109)/'Copia Costos Sector Petrolero'!$F$110</f>
        <v>15.768000000000001</v>
      </c>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142"/>
    </row>
    <row r="24" spans="1:37" ht="13.5" customHeight="1">
      <c r="A24" s="619"/>
      <c r="B24" s="155"/>
      <c r="C24" s="355"/>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2"/>
    </row>
    <row r="25" spans="1:37" ht="13.5" customHeight="1">
      <c r="A25" s="619">
        <v>2</v>
      </c>
      <c r="B25" s="155"/>
      <c r="C25" s="440" t="s">
        <v>471</v>
      </c>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2"/>
    </row>
    <row r="26" spans="1:37" ht="13.5" customHeight="1">
      <c r="A26" s="619"/>
      <c r="B26" s="155"/>
      <c r="C26" s="164" t="s">
        <v>1137</v>
      </c>
      <c r="D26" s="586">
        <f>('Costos Sector Petrolero'!F42*'Copia Costos Sector Petrolero'!$F$113*'Copia Costos Sector Petrolero'!$H$113)/'Copia Costos Sector Petrolero'!$F$114</f>
        <v>84.516480000000001</v>
      </c>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04"/>
      <c r="AJ26" s="204"/>
      <c r="AK26" s="142"/>
    </row>
    <row r="27" spans="1:37" ht="13.5" customHeight="1">
      <c r="A27" s="619">
        <v>5</v>
      </c>
      <c r="B27" s="155"/>
      <c r="C27" s="164" t="s">
        <v>1138</v>
      </c>
      <c r="D27" s="586">
        <f>('Costos Sector Petrolero'!F43*'Copia Costos Sector Petrolero'!$F$113*'Copia Costos Sector Petrolero'!$H$113)/'Copia Costos Sector Petrolero'!$F$114</f>
        <v>88.30080000000001</v>
      </c>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142"/>
    </row>
    <row r="28" spans="1:37" ht="13.5" customHeight="1">
      <c r="A28" s="619">
        <v>5</v>
      </c>
      <c r="B28" s="155"/>
      <c r="C28" s="164" t="s">
        <v>1139</v>
      </c>
      <c r="D28" s="586">
        <f>('Costos Sector Petrolero'!F44*'Copia Costos Sector Petrolero'!$F$113*'Copia Costos Sector Petrolero'!$H$113)/'Copia Costos Sector Petrolero'!$F$114</f>
        <v>5.9918400000000007</v>
      </c>
      <c r="E28" s="204"/>
      <c r="F28" s="204"/>
      <c r="G28" s="204"/>
      <c r="H28" s="204"/>
      <c r="I28" s="204"/>
      <c r="J28" s="204"/>
      <c r="K28" s="204"/>
      <c r="L28" s="204"/>
      <c r="M28" s="204"/>
      <c r="N28" s="204"/>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142"/>
    </row>
    <row r="29" spans="1:37" ht="13.5" customHeight="1">
      <c r="A29" s="619">
        <v>5</v>
      </c>
      <c r="B29" s="155"/>
      <c r="C29" s="164" t="s">
        <v>1140</v>
      </c>
      <c r="D29" s="586">
        <f>('Costos Sector Petrolero'!F45*'Copia Costos Sector Petrolero'!$F$113*'Copia Costos Sector Petrolero'!$H$113)/'Copia Costos Sector Petrolero'!$F$114</f>
        <v>185.43168</v>
      </c>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142"/>
    </row>
    <row r="30" spans="1:37" ht="13.5" customHeight="1">
      <c r="A30" s="619"/>
      <c r="B30" s="155"/>
      <c r="C30" s="164" t="s">
        <v>1141</v>
      </c>
      <c r="D30" s="586">
        <f>('Costos Sector Petrolero'!F46*'Copia Costos Sector Petrolero'!$F$113*'Copia Costos Sector Petrolero'!$H$113)/'Copia Costos Sector Petrolero'!$F$114</f>
        <v>20.4984</v>
      </c>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4"/>
      <c r="AG30" s="204"/>
      <c r="AH30" s="204"/>
      <c r="AI30" s="204"/>
      <c r="AJ30" s="204"/>
      <c r="AK30" s="142"/>
    </row>
    <row r="31" spans="1:37" ht="13.5" customHeight="1">
      <c r="A31" s="619"/>
      <c r="B31" s="155"/>
      <c r="C31" s="164" t="s">
        <v>1142</v>
      </c>
      <c r="D31" s="586">
        <f>('Costos Sector Petrolero'!F47*'Copia Costos Sector Petrolero'!$F$113*'Copia Costos Sector Petrolero'!$H$113)/'Copia Costos Sector Petrolero'!$F$114</f>
        <v>0.31536000000000003</v>
      </c>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4"/>
      <c r="AG31" s="204"/>
      <c r="AH31" s="204"/>
      <c r="AI31" s="204"/>
      <c r="AJ31" s="204"/>
      <c r="AK31" s="142"/>
    </row>
    <row r="32" spans="1:37" ht="13.5" customHeight="1">
      <c r="A32" s="619">
        <v>10</v>
      </c>
      <c r="B32" s="155"/>
      <c r="C32" s="562" t="s">
        <v>1143</v>
      </c>
      <c r="D32" s="586">
        <f>('Costos Sector Petrolero'!F48*'Copia Costos Sector Petrolero'!$F$113*'Copia Costos Sector Petrolero'!$H$113)/'Copia Costos Sector Petrolero'!$F$114</f>
        <v>32.166720000000005</v>
      </c>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142"/>
    </row>
    <row r="33" spans="1:37" ht="13.5" customHeight="1">
      <c r="A33" s="619"/>
      <c r="B33" s="167"/>
      <c r="C33" s="222"/>
      <c r="D33" s="230"/>
      <c r="E33" s="230"/>
      <c r="F33" s="230"/>
      <c r="G33" s="230"/>
      <c r="H33" s="230"/>
      <c r="I33" s="230"/>
      <c r="J33" s="230"/>
      <c r="K33" s="230"/>
      <c r="L33" s="230"/>
      <c r="M33" s="230"/>
      <c r="N33" s="230"/>
      <c r="O33" s="230"/>
      <c r="P33" s="230"/>
      <c r="Q33" s="230"/>
      <c r="R33" s="230"/>
      <c r="S33" s="230"/>
      <c r="T33" s="230"/>
      <c r="U33" s="230"/>
      <c r="V33" s="230"/>
      <c r="W33" s="230"/>
      <c r="X33" s="230"/>
      <c r="Y33" s="230"/>
      <c r="Z33" s="230"/>
      <c r="AA33" s="230"/>
      <c r="AB33" s="230"/>
      <c r="AC33" s="230"/>
      <c r="AD33" s="230"/>
      <c r="AE33" s="230"/>
      <c r="AF33" s="230"/>
      <c r="AG33" s="230"/>
      <c r="AH33" s="230"/>
      <c r="AI33" s="230"/>
      <c r="AJ33" s="230"/>
      <c r="AK33" s="230"/>
    </row>
    <row r="34" spans="1:37"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row>
    <row r="35" spans="1:37" ht="13.5" customHeight="1">
      <c r="A35" s="619"/>
      <c r="B35" s="6"/>
      <c r="C35" s="152"/>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1"/>
    </row>
    <row r="36" spans="1:37" ht="13.5" customHeight="1">
      <c r="A36" s="619"/>
      <c r="B36" s="155"/>
      <c r="C36" s="156" t="s">
        <v>60</v>
      </c>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2"/>
    </row>
    <row r="37" spans="1:37" ht="13.5" customHeight="1">
      <c r="A37" s="619"/>
      <c r="B37" s="155"/>
      <c r="C37" s="440" t="s">
        <v>472</v>
      </c>
      <c r="D37" s="587" t="s">
        <v>1129</v>
      </c>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2"/>
    </row>
    <row r="38" spans="1:37" ht="13.5" customHeight="1">
      <c r="A38" s="619"/>
      <c r="B38" s="155"/>
      <c r="C38" s="562" t="s">
        <v>1144</v>
      </c>
      <c r="D38" s="589">
        <v>7.46</v>
      </c>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142"/>
    </row>
    <row r="39" spans="1:37" ht="13.5" customHeight="1">
      <c r="A39" s="619">
        <v>8</v>
      </c>
      <c r="B39" s="155"/>
      <c r="C39" s="164" t="s">
        <v>1145</v>
      </c>
      <c r="D39" s="586">
        <v>17.71</v>
      </c>
      <c r="E39" s="165"/>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s="165"/>
      <c r="AK39" s="142"/>
    </row>
    <row r="40" spans="1:37" ht="13.5" customHeight="1">
      <c r="A40" s="619">
        <v>11</v>
      </c>
      <c r="B40" s="155"/>
      <c r="C40" s="562" t="s">
        <v>1146</v>
      </c>
      <c r="D40" s="592">
        <v>6.5</v>
      </c>
      <c r="E40" s="593" t="s">
        <v>1147</v>
      </c>
      <c r="F40" s="572"/>
      <c r="G40" s="572"/>
      <c r="H40" s="572"/>
      <c r="I40" s="572"/>
      <c r="J40" s="572"/>
      <c r="K40" s="572"/>
      <c r="L40" s="572"/>
      <c r="M40" s="572"/>
      <c r="N40" s="572"/>
      <c r="O40" s="572"/>
      <c r="P40" s="572"/>
      <c r="Q40" s="572"/>
      <c r="R40" s="572"/>
      <c r="S40" s="572"/>
      <c r="T40" s="572"/>
      <c r="U40" s="572"/>
      <c r="V40" s="572"/>
      <c r="W40" s="572"/>
      <c r="X40" s="572"/>
      <c r="Y40" s="572"/>
      <c r="Z40" s="572"/>
      <c r="AA40" s="572"/>
      <c r="AB40" s="572"/>
      <c r="AC40" s="572"/>
      <c r="AD40" s="572"/>
      <c r="AE40" s="572"/>
      <c r="AF40" s="572"/>
      <c r="AG40" s="572"/>
      <c r="AH40" s="572"/>
      <c r="AI40" s="572"/>
      <c r="AJ40" s="572"/>
      <c r="AK40" s="142"/>
    </row>
    <row r="41" spans="1:37" ht="13.5" customHeight="1">
      <c r="A41" s="619">
        <v>14</v>
      </c>
      <c r="B41" s="155"/>
      <c r="C41" s="562" t="s">
        <v>1148</v>
      </c>
      <c r="D41" s="586">
        <v>4.6500000000000004</v>
      </c>
      <c r="E41" s="594" t="s">
        <v>1149</v>
      </c>
      <c r="F41" s="573"/>
      <c r="G41" s="573"/>
      <c r="H41" s="573"/>
      <c r="I41" s="573"/>
      <c r="J41" s="573"/>
      <c r="K41" s="573"/>
      <c r="L41" s="573"/>
      <c r="M41" s="573"/>
      <c r="N41" s="573"/>
      <c r="O41" s="573"/>
      <c r="P41" s="567"/>
      <c r="Q41" s="573"/>
      <c r="R41" s="573"/>
      <c r="S41" s="573"/>
      <c r="T41" s="573"/>
      <c r="U41" s="573"/>
      <c r="V41" s="573"/>
      <c r="W41" s="573"/>
      <c r="X41" s="573"/>
      <c r="Y41" s="573"/>
      <c r="Z41" s="573"/>
      <c r="AA41" s="573"/>
      <c r="AB41" s="573"/>
      <c r="AC41" s="573"/>
      <c r="AD41" s="573"/>
      <c r="AE41" s="573"/>
      <c r="AF41" s="573"/>
      <c r="AG41" s="573"/>
      <c r="AH41" s="573"/>
      <c r="AI41" s="573"/>
      <c r="AJ41" s="567"/>
      <c r="AK41" s="142"/>
    </row>
    <row r="42" spans="1:37" ht="13.5" customHeight="1">
      <c r="A42" s="619">
        <v>8</v>
      </c>
      <c r="B42" s="155"/>
      <c r="C42" s="164" t="s">
        <v>1150</v>
      </c>
      <c r="D42" s="586">
        <v>15</v>
      </c>
      <c r="E42" s="165"/>
      <c r="F42" s="165"/>
      <c r="G42" s="165"/>
      <c r="H42" s="165"/>
      <c r="I42" s="165"/>
      <c r="J42" s="165"/>
      <c r="K42" s="165"/>
      <c r="L42" s="165"/>
      <c r="M42" s="165"/>
      <c r="N42" s="165"/>
      <c r="O42" s="165"/>
      <c r="P42" s="165"/>
      <c r="Q42" s="165"/>
      <c r="R42" s="165"/>
      <c r="S42" s="165"/>
      <c r="T42" s="165"/>
      <c r="U42" s="165"/>
      <c r="V42" s="165"/>
      <c r="W42" s="165"/>
      <c r="X42" s="165"/>
      <c r="Y42" s="165"/>
      <c r="Z42" s="165"/>
      <c r="AA42" s="165"/>
      <c r="AB42" s="165"/>
      <c r="AC42" s="165"/>
      <c r="AD42" s="165"/>
      <c r="AE42" s="165"/>
      <c r="AF42" s="165"/>
      <c r="AG42" s="165"/>
      <c r="AH42" s="165"/>
      <c r="AI42" s="165"/>
      <c r="AJ42" s="165"/>
      <c r="AK42" s="142"/>
    </row>
    <row r="43" spans="1:37" ht="13.5" customHeight="1">
      <c r="A43" s="619">
        <v>8</v>
      </c>
      <c r="B43" s="155"/>
      <c r="C43" s="164" t="s">
        <v>1151</v>
      </c>
      <c r="D43" s="586">
        <v>27</v>
      </c>
      <c r="E43" s="165"/>
      <c r="F43" s="165"/>
      <c r="G43" s="165"/>
      <c r="H43" s="165"/>
      <c r="I43" s="165"/>
      <c r="J43" s="165"/>
      <c r="K43" s="165"/>
      <c r="L43" s="165"/>
      <c r="M43" s="165"/>
      <c r="N43" s="165"/>
      <c r="O43" s="165"/>
      <c r="P43" s="165"/>
      <c r="Q43" s="165"/>
      <c r="R43" s="165"/>
      <c r="S43" s="165"/>
      <c r="T43" s="165"/>
      <c r="U43" s="165"/>
      <c r="V43" s="165"/>
      <c r="W43" s="165"/>
      <c r="X43" s="165"/>
      <c r="Y43" s="165"/>
      <c r="Z43" s="165"/>
      <c r="AA43" s="165"/>
      <c r="AB43" s="165"/>
      <c r="AC43" s="165"/>
      <c r="AD43" s="165"/>
      <c r="AE43" s="165"/>
      <c r="AF43" s="165"/>
      <c r="AG43" s="165"/>
      <c r="AH43" s="165"/>
      <c r="AI43" s="165"/>
      <c r="AJ43" s="165"/>
      <c r="AK43" s="142"/>
    </row>
    <row r="44" spans="1:37" ht="13.5" customHeight="1">
      <c r="A44" s="619">
        <v>8</v>
      </c>
      <c r="B44" s="155"/>
      <c r="C44" s="164" t="s">
        <v>1152</v>
      </c>
      <c r="D44" s="586">
        <v>87.46</v>
      </c>
      <c r="E44" s="165"/>
      <c r="F44" s="165"/>
      <c r="G44" s="165"/>
      <c r="H44" s="165"/>
      <c r="I44" s="165"/>
      <c r="J44" s="165"/>
      <c r="K44" s="165"/>
      <c r="L44" s="165"/>
      <c r="M44" s="165"/>
      <c r="N44" s="165"/>
      <c r="O44" s="165"/>
      <c r="P44" s="165"/>
      <c r="Q44" s="165"/>
      <c r="R44" s="165"/>
      <c r="S44" s="165"/>
      <c r="T44" s="165"/>
      <c r="U44" s="165"/>
      <c r="V44" s="165"/>
      <c r="W44" s="165"/>
      <c r="X44" s="165"/>
      <c r="Y44" s="165"/>
      <c r="Z44" s="165"/>
      <c r="AA44" s="165"/>
      <c r="AB44" s="165"/>
      <c r="AC44" s="165"/>
      <c r="AD44" s="165"/>
      <c r="AE44" s="165"/>
      <c r="AF44" s="165"/>
      <c r="AG44" s="165"/>
      <c r="AH44" s="165"/>
      <c r="AI44" s="165"/>
      <c r="AJ44" s="165"/>
      <c r="AK44" s="142"/>
    </row>
    <row r="45" spans="1:37" ht="13.5" customHeight="1">
      <c r="A45" s="619"/>
      <c r="B45" s="155"/>
      <c r="C45" s="355"/>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c r="AK45" s="142"/>
    </row>
    <row r="46" spans="1:37" ht="13.5" customHeight="1">
      <c r="A46" s="619"/>
      <c r="B46" s="155"/>
      <c r="C46" s="440" t="s">
        <v>470</v>
      </c>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c r="AC46" s="143"/>
      <c r="AD46" s="143"/>
      <c r="AE46" s="143"/>
      <c r="AF46" s="143"/>
      <c r="AG46" s="143"/>
      <c r="AH46" s="143"/>
      <c r="AI46" s="143"/>
      <c r="AJ46" s="143"/>
      <c r="AK46" s="142"/>
    </row>
    <row r="47" spans="1:37" ht="13.5" customHeight="1">
      <c r="A47" s="619"/>
      <c r="B47" s="155"/>
      <c r="C47" s="562" t="s">
        <v>1144</v>
      </c>
      <c r="D47" s="589">
        <v>0</v>
      </c>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142"/>
    </row>
    <row r="48" spans="1:37" ht="13.5" customHeight="1">
      <c r="A48" s="619">
        <v>9</v>
      </c>
      <c r="B48" s="155"/>
      <c r="C48" s="164" t="s">
        <v>1153</v>
      </c>
      <c r="D48" s="586">
        <f>D39/2</f>
        <v>8.8550000000000004</v>
      </c>
      <c r="E48" s="595" t="s">
        <v>1154</v>
      </c>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5"/>
      <c r="AF48" s="165"/>
      <c r="AG48" s="165"/>
      <c r="AH48" s="165"/>
      <c r="AI48" s="165"/>
      <c r="AJ48" s="165"/>
      <c r="AK48" s="142"/>
    </row>
    <row r="49" spans="1:37" ht="13.5" customHeight="1">
      <c r="A49" s="619">
        <v>11</v>
      </c>
      <c r="B49" s="155"/>
      <c r="C49" s="562" t="s">
        <v>475</v>
      </c>
      <c r="D49" s="572">
        <f>100.2153395*0.1</f>
        <v>10.02153395</v>
      </c>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5"/>
      <c r="AF49" s="165"/>
      <c r="AG49" s="165"/>
      <c r="AH49" s="165"/>
      <c r="AI49" s="165"/>
      <c r="AJ49" s="165"/>
      <c r="AK49" s="142"/>
    </row>
    <row r="50" spans="1:37" ht="13.5" customHeight="1">
      <c r="A50" s="619">
        <v>4</v>
      </c>
      <c r="B50" s="155"/>
      <c r="C50" s="562" t="s">
        <v>1155</v>
      </c>
      <c r="D50" s="586">
        <v>40</v>
      </c>
      <c r="E50" s="573"/>
      <c r="F50" s="573"/>
      <c r="G50" s="573"/>
      <c r="H50" s="573"/>
      <c r="I50" s="573"/>
      <c r="J50" s="573"/>
      <c r="K50" s="573"/>
      <c r="L50" s="573"/>
      <c r="M50" s="573"/>
      <c r="N50" s="573"/>
      <c r="O50" s="573"/>
      <c r="P50" s="573"/>
      <c r="Q50" s="573"/>
      <c r="R50" s="573"/>
      <c r="S50" s="573"/>
      <c r="T50" s="573"/>
      <c r="U50" s="573"/>
      <c r="V50" s="573"/>
      <c r="W50" s="573"/>
      <c r="X50" s="573"/>
      <c r="Y50" s="573"/>
      <c r="Z50" s="573"/>
      <c r="AA50" s="573"/>
      <c r="AB50" s="573"/>
      <c r="AC50" s="573"/>
      <c r="AD50" s="573"/>
      <c r="AE50" s="573"/>
      <c r="AF50" s="573"/>
      <c r="AG50" s="573"/>
      <c r="AH50" s="573"/>
      <c r="AI50" s="573"/>
      <c r="AJ50" s="573"/>
      <c r="AK50" s="574"/>
    </row>
    <row r="51" spans="1:37" ht="13.5" customHeight="1">
      <c r="A51" s="619"/>
      <c r="B51" s="155"/>
      <c r="C51" s="355"/>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2"/>
    </row>
    <row r="52" spans="1:37" ht="13.5" customHeight="1">
      <c r="A52" s="619"/>
      <c r="B52" s="155"/>
      <c r="C52" s="440" t="s">
        <v>471</v>
      </c>
      <c r="D52" s="143"/>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2"/>
    </row>
    <row r="53" spans="1:37" ht="13.5" customHeight="1">
      <c r="A53" s="619"/>
      <c r="B53" s="155"/>
      <c r="C53" s="164" t="s">
        <v>1144</v>
      </c>
      <c r="D53" s="589">
        <v>0</v>
      </c>
      <c r="E53" s="204"/>
      <c r="F53" s="204"/>
      <c r="G53" s="204"/>
      <c r="H53" s="204"/>
      <c r="I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4"/>
      <c r="AG53" s="204"/>
      <c r="AH53" s="204"/>
      <c r="AI53" s="204"/>
      <c r="AJ53" s="204"/>
      <c r="AK53" s="142"/>
    </row>
    <row r="54" spans="1:37" ht="13.5" customHeight="1">
      <c r="A54" s="619">
        <v>13</v>
      </c>
      <c r="B54" s="155"/>
      <c r="C54" s="562" t="s">
        <v>1156</v>
      </c>
      <c r="D54" s="586">
        <v>0.08</v>
      </c>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42"/>
    </row>
    <row r="55" spans="1:37" ht="13.5" customHeight="1">
      <c r="A55" s="619">
        <v>11</v>
      </c>
      <c r="B55" s="155"/>
      <c r="C55" s="562" t="s">
        <v>475</v>
      </c>
      <c r="D55" s="572">
        <f>100.2153395*0.05</f>
        <v>5.0107669750000001</v>
      </c>
      <c r="E55" s="165"/>
      <c r="F55" s="165"/>
      <c r="G55" s="165"/>
      <c r="H55" s="165"/>
      <c r="I55" s="165"/>
      <c r="J55" s="165"/>
      <c r="K55" s="165"/>
      <c r="L55" s="165"/>
      <c r="M55" s="165"/>
      <c r="N55" s="165"/>
      <c r="O55" s="165"/>
      <c r="P55" s="165"/>
      <c r="Q55" s="165"/>
      <c r="R55" s="165"/>
      <c r="S55" s="165"/>
      <c r="T55" s="165"/>
      <c r="U55" s="165"/>
      <c r="V55" s="165"/>
      <c r="W55" s="165"/>
      <c r="X55" s="165"/>
      <c r="Y55" s="165"/>
      <c r="Z55" s="165"/>
      <c r="AA55" s="165"/>
      <c r="AB55" s="165"/>
      <c r="AC55" s="165"/>
      <c r="AD55" s="165"/>
      <c r="AE55" s="165"/>
      <c r="AF55" s="165"/>
      <c r="AG55" s="165"/>
      <c r="AH55" s="165"/>
      <c r="AI55" s="165"/>
      <c r="AJ55" s="165"/>
      <c r="AK55" s="142"/>
    </row>
    <row r="56" spans="1:37" ht="13.5" customHeight="1">
      <c r="A56" s="619">
        <v>4</v>
      </c>
      <c r="B56" s="155"/>
      <c r="C56" s="164" t="s">
        <v>1155</v>
      </c>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4"/>
      <c r="AG56" s="204"/>
      <c r="AH56" s="204"/>
      <c r="AI56" s="204"/>
      <c r="AJ56" s="204"/>
      <c r="AK56" s="142"/>
    </row>
    <row r="57" spans="1:37" ht="13.5" customHeight="1">
      <c r="A57" s="619"/>
      <c r="B57" s="155"/>
      <c r="C57" s="164" t="s">
        <v>1027</v>
      </c>
      <c r="D57" s="589">
        <v>1114</v>
      </c>
      <c r="E57" s="204"/>
      <c r="F57" s="204"/>
      <c r="G57" s="204"/>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142"/>
    </row>
    <row r="58" spans="1:37" ht="13.5" customHeight="1">
      <c r="A58" s="619"/>
      <c r="B58" s="155"/>
      <c r="C58" s="164" t="s">
        <v>1028</v>
      </c>
      <c r="D58" s="589">
        <v>1114</v>
      </c>
      <c r="E58" s="204"/>
      <c r="F58" s="204"/>
      <c r="G58" s="204"/>
      <c r="H58" s="204"/>
      <c r="I58" s="204"/>
      <c r="J58" s="204"/>
      <c r="K58" s="204"/>
      <c r="L58" s="204"/>
      <c r="M58" s="204"/>
      <c r="N58" s="204"/>
      <c r="O58" s="204"/>
      <c r="P58" s="204"/>
      <c r="Q58" s="204"/>
      <c r="R58" s="204"/>
      <c r="S58" s="204"/>
      <c r="T58" s="204"/>
      <c r="U58" s="204"/>
      <c r="V58" s="204"/>
      <c r="W58" s="204"/>
      <c r="X58" s="204"/>
      <c r="Y58" s="204"/>
      <c r="Z58" s="204"/>
      <c r="AA58" s="204"/>
      <c r="AB58" s="204"/>
      <c r="AC58" s="204"/>
      <c r="AD58" s="204"/>
      <c r="AE58" s="204"/>
      <c r="AF58" s="204"/>
      <c r="AG58" s="204"/>
      <c r="AH58" s="204"/>
      <c r="AI58" s="204"/>
      <c r="AJ58" s="204"/>
      <c r="AK58" s="142"/>
    </row>
    <row r="59" spans="1:37" ht="13.5" customHeight="1">
      <c r="A59" s="619"/>
      <c r="B59" s="155"/>
      <c r="C59" s="164" t="s">
        <v>1029</v>
      </c>
      <c r="D59" s="589">
        <v>2305</v>
      </c>
      <c r="E59" s="204"/>
      <c r="F59" s="204"/>
      <c r="G59" s="204"/>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4"/>
      <c r="AG59" s="204"/>
      <c r="AH59" s="204"/>
      <c r="AI59" s="204"/>
      <c r="AJ59" s="204"/>
      <c r="AK59" s="142"/>
    </row>
    <row r="60" spans="1:37" ht="13.5" customHeight="1">
      <c r="A60" s="619"/>
      <c r="B60" s="167"/>
      <c r="C60" s="222"/>
      <c r="D60" s="230"/>
      <c r="E60" s="230"/>
      <c r="F60" s="230"/>
      <c r="G60" s="230"/>
      <c r="H60" s="230"/>
      <c r="I60" s="230"/>
      <c r="J60" s="230"/>
      <c r="K60" s="230"/>
      <c r="L60" s="230"/>
      <c r="M60" s="230"/>
      <c r="N60" s="230"/>
      <c r="O60" s="230"/>
      <c r="P60" s="230"/>
      <c r="Q60" s="230"/>
      <c r="R60" s="230"/>
      <c r="S60" s="230"/>
      <c r="T60" s="230"/>
      <c r="U60" s="230"/>
      <c r="V60" s="230"/>
      <c r="W60" s="230"/>
      <c r="X60" s="230"/>
      <c r="Y60" s="230"/>
      <c r="Z60" s="230"/>
      <c r="AA60" s="230"/>
      <c r="AB60" s="230"/>
      <c r="AC60" s="230"/>
      <c r="AD60" s="230"/>
      <c r="AE60" s="230"/>
      <c r="AF60" s="230"/>
      <c r="AG60" s="230"/>
      <c r="AH60" s="230"/>
      <c r="AI60" s="230"/>
      <c r="AJ60" s="230"/>
      <c r="AK60" s="231"/>
    </row>
    <row r="61" spans="1:37"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spans="1:37"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row>
    <row r="64" spans="1:37" ht="13.5" customHeight="1">
      <c r="A64" s="1"/>
      <c r="B64" s="1">
        <v>1</v>
      </c>
      <c r="C64" s="1" t="s">
        <v>548</v>
      </c>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row>
    <row r="65" spans="1:37" ht="13.5" customHeight="1">
      <c r="A65" s="1"/>
      <c r="B65" s="1">
        <v>2</v>
      </c>
      <c r="C65" s="1" t="s">
        <v>549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row>
    <row r="66" spans="1:37" ht="13.5" customHeight="1">
      <c r="A66" s="1"/>
      <c r="B66" s="1">
        <v>3</v>
      </c>
      <c r="C66" s="1" t="s">
        <v>1030</v>
      </c>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row>
    <row r="67" spans="1:37" ht="13.5" customHeight="1">
      <c r="A67" s="1"/>
      <c r="B67" s="1">
        <v>4</v>
      </c>
      <c r="C67" s="442" t="s">
        <v>1031</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row>
    <row r="68" spans="1:37" ht="13.5" customHeight="1">
      <c r="A68" s="1"/>
      <c r="B68" s="1">
        <v>5</v>
      </c>
      <c r="C68" s="144" t="s">
        <v>1032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row>
    <row r="69" spans="1:37" ht="13.5" customHeight="1">
      <c r="A69" s="1"/>
      <c r="B69" s="1">
        <v>6</v>
      </c>
      <c r="C69" s="104" t="s">
        <v>1033</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row>
    <row r="70" spans="1:37" ht="13.5" customHeight="1">
      <c r="A70" s="1"/>
      <c r="B70" s="1">
        <v>7</v>
      </c>
      <c r="C70" s="128" t="s">
        <v>1034</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row>
    <row r="71" spans="1:37" ht="13.5" customHeight="1">
      <c r="A71" s="1"/>
      <c r="B71" s="1">
        <v>8</v>
      </c>
      <c r="C71" s="128" t="s">
        <v>1035</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row r="72" spans="1:37" ht="13.5" customHeight="1">
      <c r="A72" s="1"/>
      <c r="B72" s="1">
        <v>9</v>
      </c>
      <c r="C72" s="128" t="s">
        <v>1036</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c r="A73" s="1"/>
      <c r="B73" s="1">
        <v>10</v>
      </c>
      <c r="C73" s="128" t="s">
        <v>1037</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row>
    <row r="74" spans="1:37" ht="13.5" customHeight="1">
      <c r="A74" s="1"/>
      <c r="B74" s="1">
        <v>11</v>
      </c>
      <c r="C74" s="128" t="s">
        <v>1038</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row>
    <row r="75" spans="1:37" ht="13.5" customHeight="1">
      <c r="A75" s="1"/>
      <c r="B75" s="1">
        <v>12</v>
      </c>
      <c r="C75" s="128" t="s">
        <v>1039</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row>
    <row r="76" spans="1:37" ht="13.5" customHeight="1">
      <c r="A76" s="1"/>
      <c r="B76" s="1">
        <v>13</v>
      </c>
      <c r="C76" s="128" t="s">
        <v>1040</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row>
    <row r="77" spans="1:37" ht="13.5" customHeight="1">
      <c r="A77" s="1"/>
      <c r="B77" s="1">
        <v>14</v>
      </c>
      <c r="C77" s="128" t="s">
        <v>1041</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row>
    <row r="78" spans="1:37" ht="13.5" customHeight="1">
      <c r="A78" s="1"/>
      <c r="B78" s="1">
        <v>15</v>
      </c>
      <c r="C78" s="575" t="s">
        <v>1042</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row>
    <row r="79" spans="1:37"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row>
    <row r="80" spans="1:37" ht="13.5" customHeight="1">
      <c r="A80" s="1"/>
      <c r="B80" s="1"/>
      <c r="C80" s="15" t="s">
        <v>1043</v>
      </c>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c r="A81" s="1"/>
      <c r="B81" s="1">
        <v>1</v>
      </c>
      <c r="C81" s="128" t="s">
        <v>1044</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row>
    <row r="83" spans="1:37" ht="13.5" customHeight="1">
      <c r="A83" s="1"/>
      <c r="B83" s="1"/>
      <c r="C83" s="15" t="s">
        <v>1045</v>
      </c>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row>
    <row r="84" spans="1:37" ht="13.5" customHeight="1">
      <c r="A84" s="1"/>
      <c r="B84" s="1">
        <v>1</v>
      </c>
      <c r="C84" s="128" t="s">
        <v>1046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row>
    <row r="85" spans="1:37"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row>
    <row r="86" spans="1:37"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ht="13.5" customHeight="1">
      <c r="A87" s="1"/>
      <c r="B87" s="1"/>
      <c r="C87" s="1" t="s">
        <v>1047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row>
    <row r="88" spans="1:37" ht="13.5" customHeight="1">
      <c r="A88" s="1"/>
      <c r="B88" s="1"/>
      <c r="C88" s="1" t="s">
        <v>1048</v>
      </c>
      <c r="D88" s="1">
        <v>1</v>
      </c>
      <c r="E88" s="576" t="s">
        <v>100</v>
      </c>
      <c r="F88" s="619">
        <v>1</v>
      </c>
      <c r="G88" s="206" t="s">
        <v>101</v>
      </c>
      <c r="H88" s="14">
        <v>1.0015000000000001</v>
      </c>
      <c r="I88" s="206" t="s">
        <v>97</v>
      </c>
      <c r="J88" s="20">
        <v>5.8065553845323302E-3</v>
      </c>
      <c r="K88" s="1" t="s">
        <v>109</v>
      </c>
      <c r="L88" s="136">
        <f>(D88*H88*J88)/F89</f>
        <v>5.8152652176091289E-6</v>
      </c>
      <c r="M88" s="1" t="s">
        <v>109</v>
      </c>
      <c r="N88" s="1"/>
      <c r="O88" s="1"/>
      <c r="P88" s="1"/>
      <c r="Q88" s="1"/>
      <c r="R88" s="1"/>
      <c r="S88" s="1"/>
      <c r="T88" s="1"/>
      <c r="U88" s="1"/>
      <c r="V88" s="1"/>
      <c r="W88" s="1"/>
      <c r="X88" s="1"/>
      <c r="Y88" s="1"/>
      <c r="Z88" s="1"/>
      <c r="AA88" s="1"/>
      <c r="AB88" s="1"/>
      <c r="AC88" s="1"/>
      <c r="AD88" s="1"/>
      <c r="AE88" s="1"/>
      <c r="AF88" s="1"/>
      <c r="AG88" s="1"/>
      <c r="AH88" s="1"/>
      <c r="AI88" s="1"/>
      <c r="AJ88" s="1"/>
      <c r="AK88" s="1"/>
    </row>
    <row r="89" spans="1:37" ht="13.5" customHeight="1">
      <c r="A89" s="1"/>
      <c r="B89" s="1"/>
      <c r="C89" s="1"/>
      <c r="D89" s="1"/>
      <c r="E89" s="1"/>
      <c r="F89" s="619">
        <v>1000</v>
      </c>
      <c r="G89" s="206" t="s">
        <v>100</v>
      </c>
      <c r="H89" s="619">
        <v>1</v>
      </c>
      <c r="I89" s="206" t="s">
        <v>101</v>
      </c>
      <c r="J89" s="1">
        <v>1</v>
      </c>
      <c r="K89" s="576" t="s">
        <v>97</v>
      </c>
      <c r="L89" s="1"/>
      <c r="M89" s="1"/>
      <c r="N89" s="1"/>
      <c r="O89" s="1"/>
      <c r="P89" s="1"/>
      <c r="Q89" s="1"/>
      <c r="R89" s="1"/>
      <c r="S89" s="1"/>
      <c r="T89" s="1"/>
      <c r="U89" s="1"/>
      <c r="V89" s="1"/>
      <c r="W89" s="1"/>
      <c r="X89" s="1"/>
      <c r="Y89" s="1"/>
      <c r="Z89" s="1"/>
      <c r="AA89" s="1"/>
      <c r="AB89" s="1"/>
      <c r="AC89" s="1"/>
      <c r="AD89" s="1"/>
      <c r="AE89" s="1"/>
      <c r="AF89" s="1"/>
      <c r="AG89" s="1"/>
      <c r="AH89" s="1"/>
      <c r="AI89" s="1"/>
      <c r="AJ89" s="1"/>
      <c r="AK89" s="1"/>
    </row>
    <row r="90" spans="1:37"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row>
    <row r="91" spans="1:37" ht="13.5" customHeight="1">
      <c r="A91" s="1"/>
      <c r="B91" s="1"/>
      <c r="C91" s="1" t="s">
        <v>1049</v>
      </c>
      <c r="D91" s="1">
        <v>5.4</v>
      </c>
      <c r="E91" s="577" t="s">
        <v>1050</v>
      </c>
      <c r="F91" s="1">
        <v>1000</v>
      </c>
      <c r="G91" s="577" t="s">
        <v>100</v>
      </c>
      <c r="H91" s="1">
        <v>1</v>
      </c>
      <c r="I91" s="577" t="s">
        <v>101</v>
      </c>
      <c r="J91" s="1">
        <v>1</v>
      </c>
      <c r="K91" s="577" t="s">
        <v>97</v>
      </c>
      <c r="L91" s="1">
        <v>1</v>
      </c>
      <c r="M91" s="132" t="s">
        <v>1051</v>
      </c>
      <c r="N91" s="578">
        <f>(D91*F91*H91*J91*L91)/(F92*H92*J92*L92)</f>
        <v>0.92859049380040837</v>
      </c>
      <c r="O91" s="579" t="s">
        <v>1051</v>
      </c>
      <c r="P91" s="1"/>
      <c r="Q91" s="1"/>
      <c r="R91" s="1"/>
      <c r="S91" s="1"/>
      <c r="T91" s="1"/>
      <c r="U91" s="1"/>
      <c r="V91" s="1"/>
      <c r="W91" s="1"/>
      <c r="X91" s="1"/>
      <c r="Y91" s="1"/>
      <c r="Z91" s="1"/>
      <c r="AA91" s="1"/>
      <c r="AB91" s="1"/>
      <c r="AC91" s="1"/>
      <c r="AD91" s="1"/>
      <c r="AE91" s="1"/>
      <c r="AF91" s="1"/>
      <c r="AG91" s="1"/>
      <c r="AH91" s="1"/>
      <c r="AI91" s="1"/>
      <c r="AJ91" s="1"/>
      <c r="AK91" s="1"/>
    </row>
    <row r="92" spans="1:37" ht="13.5" customHeight="1">
      <c r="A92" s="1"/>
      <c r="B92" s="1"/>
      <c r="C92" s="1"/>
      <c r="D92" s="1"/>
      <c r="E92" s="577" t="s">
        <v>100</v>
      </c>
      <c r="F92" s="1">
        <v>1</v>
      </c>
      <c r="G92" s="577" t="s">
        <v>101</v>
      </c>
      <c r="H92" s="14">
        <v>1.0015000000000001</v>
      </c>
      <c r="I92" s="577" t="s">
        <v>97</v>
      </c>
      <c r="J92" s="20">
        <v>5.8065553845323302E-3</v>
      </c>
      <c r="K92" s="1" t="s">
        <v>109</v>
      </c>
      <c r="L92" s="1">
        <v>1000000</v>
      </c>
      <c r="M92" s="577" t="s">
        <v>1050</v>
      </c>
      <c r="N92" s="1"/>
      <c r="O92" s="579" t="s">
        <v>109</v>
      </c>
      <c r="P92" s="1"/>
      <c r="Q92" s="1"/>
      <c r="R92" s="1"/>
      <c r="S92" s="1"/>
      <c r="T92" s="1"/>
      <c r="U92" s="1"/>
      <c r="V92" s="1"/>
      <c r="W92" s="1"/>
      <c r="X92" s="1"/>
      <c r="Y92" s="1"/>
      <c r="Z92" s="1"/>
      <c r="AA92" s="1"/>
      <c r="AB92" s="1"/>
      <c r="AC92" s="1"/>
      <c r="AD92" s="1"/>
      <c r="AE92" s="1"/>
      <c r="AF92" s="1"/>
      <c r="AG92" s="1"/>
      <c r="AH92" s="1"/>
      <c r="AI92" s="1"/>
      <c r="AJ92" s="1"/>
      <c r="AK92" s="1"/>
    </row>
    <row r="93" spans="1:37"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3.5" customHeight="1">
      <c r="A94" s="1"/>
      <c r="B94" s="1"/>
      <c r="C94" s="1" t="s">
        <v>1052</v>
      </c>
      <c r="D94" s="1">
        <v>5600</v>
      </c>
      <c r="E94" s="577" t="s">
        <v>1053</v>
      </c>
      <c r="F94" s="1">
        <v>1000</v>
      </c>
      <c r="G94" s="577" t="s">
        <v>100</v>
      </c>
      <c r="H94" s="1">
        <v>1</v>
      </c>
      <c r="I94" s="577" t="s">
        <v>101</v>
      </c>
      <c r="J94" s="1">
        <v>1</v>
      </c>
      <c r="K94" s="577" t="s">
        <v>97</v>
      </c>
      <c r="L94" s="580">
        <f>(D94*F94*H94*J94)/(D95*F95*H95*J95)</f>
        <v>4814.9136715576733</v>
      </c>
      <c r="M94" s="579" t="s">
        <v>1051</v>
      </c>
      <c r="N94" s="8"/>
      <c r="O94" s="8"/>
      <c r="P94" s="1"/>
      <c r="Q94" s="1"/>
      <c r="R94" s="1"/>
      <c r="S94" s="1"/>
      <c r="T94" s="1"/>
      <c r="U94" s="1"/>
      <c r="V94" s="1"/>
      <c r="W94" s="1"/>
      <c r="X94" s="1"/>
      <c r="Y94" s="1"/>
      <c r="Z94" s="1"/>
      <c r="AA94" s="1"/>
      <c r="AB94" s="1"/>
      <c r="AC94" s="1"/>
      <c r="AD94" s="1"/>
      <c r="AE94" s="1"/>
      <c r="AF94" s="1"/>
      <c r="AG94" s="1"/>
      <c r="AH94" s="1"/>
      <c r="AI94" s="1"/>
      <c r="AJ94" s="1"/>
      <c r="AK94" s="1"/>
    </row>
    <row r="95" spans="1:37" ht="13.5" customHeight="1">
      <c r="A95" s="1"/>
      <c r="B95" s="1"/>
      <c r="C95" s="1"/>
      <c r="D95" s="1">
        <v>200000</v>
      </c>
      <c r="E95" s="577" t="s">
        <v>100</v>
      </c>
      <c r="F95" s="1">
        <v>1</v>
      </c>
      <c r="G95" s="577" t="s">
        <v>101</v>
      </c>
      <c r="H95" s="14">
        <v>1.0015000000000001</v>
      </c>
      <c r="I95" s="577" t="s">
        <v>97</v>
      </c>
      <c r="J95" s="20">
        <v>5.8065553845323302E-3</v>
      </c>
      <c r="K95" s="1" t="s">
        <v>109</v>
      </c>
      <c r="L95" s="1"/>
      <c r="M95" s="579" t="s">
        <v>109</v>
      </c>
      <c r="N95" s="8"/>
      <c r="O95" s="8"/>
      <c r="P95" s="1"/>
      <c r="Q95" s="1"/>
      <c r="R95" s="1"/>
      <c r="S95" s="1"/>
      <c r="T95" s="1"/>
      <c r="U95" s="1"/>
      <c r="V95" s="1"/>
      <c r="W95" s="1"/>
      <c r="X95" s="1"/>
      <c r="Y95" s="1"/>
      <c r="Z95" s="1"/>
      <c r="AA95" s="1"/>
      <c r="AB95" s="1"/>
      <c r="AC95" s="1"/>
      <c r="AD95" s="1"/>
      <c r="AE95" s="1"/>
      <c r="AF95" s="1"/>
      <c r="AG95" s="1"/>
      <c r="AH95" s="1"/>
      <c r="AI95" s="1"/>
      <c r="AJ95" s="1"/>
      <c r="AK95" s="1"/>
    </row>
    <row r="96" spans="1:37" ht="13.5" customHeight="1">
      <c r="A96" s="1"/>
      <c r="B96" s="1"/>
      <c r="C96" s="1"/>
      <c r="D96" s="1"/>
      <c r="E96" s="1"/>
      <c r="F96" s="1"/>
      <c r="G96" s="1"/>
      <c r="H96" s="14"/>
      <c r="I96" s="1"/>
      <c r="J96" s="20"/>
      <c r="K96" s="1"/>
      <c r="L96" s="1"/>
      <c r="M96" s="1"/>
      <c r="N96" s="8"/>
      <c r="O96" s="8"/>
      <c r="P96" s="1"/>
      <c r="Q96" s="1"/>
      <c r="R96" s="1"/>
      <c r="S96" s="1"/>
      <c r="T96" s="1"/>
      <c r="U96" s="1"/>
      <c r="V96" s="1"/>
      <c r="W96" s="1"/>
      <c r="X96" s="1"/>
      <c r="Y96" s="1"/>
      <c r="Z96" s="1"/>
      <c r="AA96" s="1"/>
      <c r="AB96" s="1"/>
      <c r="AC96" s="1"/>
      <c r="AD96" s="1"/>
      <c r="AE96" s="1"/>
      <c r="AF96" s="1"/>
      <c r="AG96" s="1"/>
      <c r="AH96" s="1"/>
      <c r="AI96" s="1"/>
      <c r="AJ96" s="1"/>
      <c r="AK96" s="1"/>
    </row>
    <row r="97" spans="1:37" ht="13.5" customHeight="1">
      <c r="A97" s="1"/>
      <c r="B97" s="1"/>
      <c r="C97" s="1"/>
      <c r="D97" s="1"/>
      <c r="E97" s="1"/>
      <c r="F97" s="1" t="s">
        <v>1054</v>
      </c>
      <c r="G97" s="1"/>
      <c r="H97" s="1" t="s">
        <v>1055</v>
      </c>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c r="A98" s="1"/>
      <c r="B98" s="1"/>
      <c r="C98" s="577" t="s">
        <v>1056</v>
      </c>
      <c r="D98" s="577">
        <v>5</v>
      </c>
      <c r="E98" s="577" t="s">
        <v>1057</v>
      </c>
      <c r="F98" s="581">
        <f t="shared" ref="F98:F102" si="0">$L$94*D98%</f>
        <v>240.74568357788368</v>
      </c>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c r="A99" s="1"/>
      <c r="B99" s="1"/>
      <c r="C99" s="577" t="s">
        <v>1058</v>
      </c>
      <c r="D99" s="577">
        <v>25</v>
      </c>
      <c r="E99" s="577" t="s">
        <v>1057</v>
      </c>
      <c r="F99" s="581">
        <f t="shared" si="0"/>
        <v>1203.7284178894183</v>
      </c>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3.5" customHeight="1">
      <c r="A100" s="1"/>
      <c r="B100" s="1"/>
      <c r="C100" s="1" t="s">
        <v>1059</v>
      </c>
      <c r="D100" s="1">
        <v>55</v>
      </c>
      <c r="E100" s="1" t="s">
        <v>1057</v>
      </c>
      <c r="F100" s="132">
        <f t="shared" si="0"/>
        <v>2648.2025193567206</v>
      </c>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3.5" customHeight="1">
      <c r="A101" s="1"/>
      <c r="B101" s="1"/>
      <c r="C101" s="1" t="s">
        <v>1060</v>
      </c>
      <c r="D101" s="1">
        <v>10</v>
      </c>
      <c r="E101" s="1" t="s">
        <v>1057</v>
      </c>
      <c r="F101" s="132">
        <f t="shared" si="0"/>
        <v>481.49136715576736</v>
      </c>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3.5" customHeight="1">
      <c r="A102" s="1"/>
      <c r="B102" s="1"/>
      <c r="C102" s="577" t="s">
        <v>160</v>
      </c>
      <c r="D102" s="577">
        <v>5</v>
      </c>
      <c r="E102" s="577" t="s">
        <v>1057</v>
      </c>
      <c r="F102" s="581">
        <f t="shared" si="0"/>
        <v>240.74568357788368</v>
      </c>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3.5" customHeight="1">
      <c r="A103" s="1"/>
      <c r="B103" s="1"/>
      <c r="C103" s="1"/>
      <c r="D103" s="1">
        <f>SUM(D98:D102)</f>
        <v>100</v>
      </c>
      <c r="E103" s="1" t="s">
        <v>1057</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3.5" customHeight="1">
      <c r="A105" s="1"/>
      <c r="B105" s="1"/>
      <c r="C105" s="10" t="s">
        <v>1157</v>
      </c>
      <c r="D105" s="15" t="s">
        <v>1158</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3.5" customHeight="1">
      <c r="A106" s="1"/>
      <c r="B106" s="1"/>
      <c r="C106" s="145"/>
      <c r="D106" s="1"/>
      <c r="E106" s="583" t="s">
        <v>1086</v>
      </c>
      <c r="F106" s="20">
        <v>5.8065553845323302E-3</v>
      </c>
      <c r="G106" s="583" t="s">
        <v>109</v>
      </c>
      <c r="H106" s="14">
        <v>1.0015000000000001</v>
      </c>
      <c r="I106" s="206" t="s">
        <v>97</v>
      </c>
      <c r="J106" s="619">
        <v>1</v>
      </c>
      <c r="K106" s="206" t="s">
        <v>101</v>
      </c>
      <c r="L106" s="1">
        <v>1000000</v>
      </c>
      <c r="M106" s="584" t="s">
        <v>1050</v>
      </c>
      <c r="N106" s="1"/>
      <c r="O106" s="585" t="s">
        <v>1050</v>
      </c>
      <c r="P106" s="1"/>
      <c r="Q106" s="1"/>
      <c r="R106" s="1"/>
      <c r="S106" s="1"/>
      <c r="T106" s="1"/>
      <c r="U106" s="1"/>
      <c r="V106" s="1"/>
      <c r="W106" s="1"/>
      <c r="X106" s="1"/>
      <c r="Y106" s="1"/>
      <c r="Z106" s="1"/>
      <c r="AA106" s="1"/>
      <c r="AB106" s="1"/>
      <c r="AC106" s="1"/>
      <c r="AD106" s="1"/>
      <c r="AE106" s="1"/>
      <c r="AF106" s="1"/>
      <c r="AG106" s="1"/>
      <c r="AH106" s="1"/>
      <c r="AI106" s="1"/>
      <c r="AJ106" s="1"/>
      <c r="AK106" s="1"/>
    </row>
    <row r="107" spans="1:37" ht="13.5" customHeight="1">
      <c r="A107" s="1"/>
      <c r="B107" s="1"/>
      <c r="C107" s="145"/>
      <c r="D107" s="1"/>
      <c r="E107" s="583" t="s">
        <v>109</v>
      </c>
      <c r="F107" s="1">
        <v>1</v>
      </c>
      <c r="G107" s="576" t="s">
        <v>97</v>
      </c>
      <c r="H107" s="619">
        <v>1</v>
      </c>
      <c r="I107" s="206" t="s">
        <v>101</v>
      </c>
      <c r="J107" s="619">
        <v>1000</v>
      </c>
      <c r="K107" s="584" t="s">
        <v>100</v>
      </c>
      <c r="L107" s="1">
        <v>1</v>
      </c>
      <c r="M107" s="583" t="s">
        <v>1086</v>
      </c>
      <c r="N107" s="1"/>
      <c r="O107" s="585" t="s">
        <v>100</v>
      </c>
      <c r="P107" s="1"/>
      <c r="Q107" s="1"/>
      <c r="R107" s="1"/>
      <c r="S107" s="1"/>
      <c r="T107" s="1"/>
      <c r="U107" s="1"/>
      <c r="V107" s="1"/>
      <c r="W107" s="1"/>
      <c r="X107" s="1"/>
      <c r="Y107" s="1"/>
      <c r="Z107" s="1"/>
      <c r="AA107" s="1"/>
      <c r="AB107" s="1"/>
      <c r="AC107" s="1"/>
      <c r="AD107" s="1"/>
      <c r="AE107" s="1"/>
      <c r="AF107" s="1"/>
      <c r="AG107" s="1"/>
      <c r="AH107" s="1"/>
      <c r="AI107" s="1"/>
      <c r="AJ107" s="1"/>
      <c r="AK107" s="1"/>
    </row>
    <row r="108" spans="1:37" ht="13.5" customHeight="1">
      <c r="A108" s="1"/>
      <c r="B108" s="1"/>
      <c r="C108" s="145"/>
      <c r="D108" s="15" t="s">
        <v>1159</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3.5" customHeight="1">
      <c r="A109" s="1"/>
      <c r="B109" s="1"/>
      <c r="C109" s="145"/>
      <c r="D109" s="1"/>
      <c r="E109" s="583" t="s">
        <v>1086</v>
      </c>
      <c r="F109" s="588">
        <v>3.6E-9</v>
      </c>
      <c r="G109" s="583" t="s">
        <v>109</v>
      </c>
      <c r="H109" s="1">
        <v>1000000</v>
      </c>
      <c r="I109" s="1" t="s">
        <v>1050</v>
      </c>
      <c r="J109" s="132"/>
      <c r="K109" s="585" t="s">
        <v>1050</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3.5" customHeight="1">
      <c r="A110" s="1"/>
      <c r="B110" s="1"/>
      <c r="C110" s="1"/>
      <c r="D110" s="1"/>
      <c r="E110" s="583" t="s">
        <v>109</v>
      </c>
      <c r="F110" s="20">
        <f>1/8760</f>
        <v>1.1415525114155251E-4</v>
      </c>
      <c r="G110" s="106" t="s">
        <v>1160</v>
      </c>
      <c r="H110" s="1">
        <v>1</v>
      </c>
      <c r="I110" s="583" t="s">
        <v>1051</v>
      </c>
      <c r="J110" s="1"/>
      <c r="K110" s="585" t="s">
        <v>1160</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3.5" customHeight="1">
      <c r="A112" s="1"/>
      <c r="B112" s="1"/>
      <c r="C112" s="1"/>
      <c r="D112" s="15" t="s">
        <v>1161</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3.5" customHeight="1">
      <c r="A113" s="1"/>
      <c r="B113" s="1"/>
      <c r="C113" s="1"/>
      <c r="D113" s="1"/>
      <c r="E113" s="583" t="s">
        <v>1086</v>
      </c>
      <c r="F113" s="588">
        <v>3.6E-9</v>
      </c>
      <c r="G113" s="583" t="s">
        <v>109</v>
      </c>
      <c r="H113" s="1">
        <v>1000000</v>
      </c>
      <c r="I113" s="1" t="s">
        <v>1050</v>
      </c>
      <c r="J113" s="132"/>
      <c r="K113" s="585" t="s">
        <v>1050</v>
      </c>
      <c r="L113" s="617"/>
      <c r="M113" s="617"/>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3.5" customHeight="1">
      <c r="A114" s="1"/>
      <c r="B114" s="1"/>
      <c r="C114" s="1"/>
      <c r="D114" s="1"/>
      <c r="E114" s="583" t="s">
        <v>109</v>
      </c>
      <c r="F114" s="20">
        <f>1/8760</f>
        <v>1.1415525114155251E-4</v>
      </c>
      <c r="G114" s="106" t="s">
        <v>1162</v>
      </c>
      <c r="H114" s="1">
        <v>1</v>
      </c>
      <c r="I114" s="583" t="s">
        <v>1051</v>
      </c>
      <c r="J114" s="1"/>
      <c r="K114" s="585" t="s">
        <v>1162</v>
      </c>
      <c r="L114" s="617"/>
      <c r="M114" s="617"/>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ht="15.75" customHeight="1">
      <c r="A304" s="617"/>
      <c r="B304" s="617"/>
      <c r="C304" s="617"/>
      <c r="D304" s="617"/>
      <c r="E304" s="617"/>
      <c r="F304" s="617"/>
      <c r="G304" s="617"/>
      <c r="H304" s="617"/>
      <c r="I304" s="617"/>
      <c r="J304" s="617"/>
      <c r="K304" s="617"/>
      <c r="L304" s="617"/>
      <c r="M304" s="617"/>
      <c r="N304" s="617"/>
      <c r="O304" s="617"/>
      <c r="P304" s="617"/>
      <c r="Q304" s="617"/>
      <c r="R304" s="617"/>
      <c r="S304" s="617"/>
      <c r="T304" s="617"/>
      <c r="U304" s="617"/>
      <c r="V304" s="617"/>
      <c r="W304" s="617"/>
      <c r="X304" s="617"/>
      <c r="Y304" s="617"/>
      <c r="Z304" s="617"/>
      <c r="AA304" s="617"/>
      <c r="AB304" s="617"/>
      <c r="AC304" s="617"/>
      <c r="AD304" s="617"/>
      <c r="AE304" s="617"/>
      <c r="AF304" s="617"/>
      <c r="AG304" s="617"/>
      <c r="AH304" s="617"/>
      <c r="AI304" s="617"/>
      <c r="AJ304" s="617"/>
      <c r="AK304" s="617"/>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sheetData>
  <mergeCells count="1">
    <mergeCell ref="A9:A13"/>
  </mergeCells>
  <hyperlinks>
    <hyperlink ref="C67" r:id="rId1" xr:uid="{924F3F47-43A0-49B2-9E58-F5E8AF01C731}"/>
    <hyperlink ref="C69" r:id="rId2" xr:uid="{491F11FC-EA6D-441C-BC7C-B964A04C1EE3}"/>
    <hyperlink ref="C70" r:id="rId3" xr:uid="{8861E706-2C9D-4795-9B56-B1AACE2C3CA4}"/>
    <hyperlink ref="C71" r:id="rId4" xr:uid="{9F9C82A1-AD0A-4980-AC68-BB4D91C8795C}"/>
    <hyperlink ref="C72" r:id="rId5" xr:uid="{A3B695F8-B288-4021-A5CC-DDAFEB95E51D}"/>
    <hyperlink ref="C75" r:id="rId6" location="/?id=12-AEO2022&amp;region=0-0&amp;cases=ref2022&amp;start=2020&amp;end=2050&amp;f=A&amp;linechart=~ref2022-d011222a.30-12-AEO2022~ref2022-d011222a.32-12-AEO2022&amp;ctype=linechart&amp;sid=ref2022-d011222a.30-12-AEO2022&amp;sourcekey=0" xr:uid="{1C1FEE18-A19F-4A97-A0FC-1F2B8D040B28}"/>
    <hyperlink ref="C76" r:id="rId7" xr:uid="{91B3A0A4-4573-4099-87F8-D20C436088CF}"/>
    <hyperlink ref="C77" r:id="rId8" xr:uid="{32516460-3FD4-44A5-A4FC-1DAF6FC5CB52}"/>
    <hyperlink ref="C78" r:id="rId9" location="/?id=13-AEO2022&amp;region=0-0&amp;cases=ref2022&amp;start=2020&amp;end=2050&amp;f=A&amp;linechart=ref2022-d011222a.3-13-AEO2022&amp;sid=&amp;sourcekey=0" xr:uid="{F994BE7B-6AC6-435F-B233-7FEF39844F53}"/>
    <hyperlink ref="C81" r:id="rId10" xr:uid="{71CCE0FF-59EE-4673-BE56-6F553913C7A4}"/>
    <hyperlink ref="C84" r:id="rId11" xr:uid="{72747525-4E39-4CF6-877C-0257EF091A29}"/>
    <hyperlink ref="H106" r:id="rId12" display="https://biblioteca.olade.org/opac-tmpl/Documentos/old0380.pdf" xr:uid="{A62625DB-4775-46CB-81EC-A6E63E99FA68}"/>
    <hyperlink ref="H95" r:id="rId13" display="https://biblioteca.olade.org/opac-tmpl/Documentos/old0380.pdf" xr:uid="{2668F928-DF2A-4C4A-9395-143BD6590326}"/>
    <hyperlink ref="H92" r:id="rId14" display="https://biblioteca.olade.org/opac-tmpl/Documentos/old0380.pdf" xr:uid="{5B6BDA25-79DB-47AC-B2CA-24EFDC3EDBE9}"/>
    <hyperlink ref="H88" r:id="rId15" display="https://biblioteca.olade.org/opac-tmpl/Documentos/old0380.pdf" xr:uid="{ED2E9783-215F-4936-82CB-AB3853898283}"/>
    <hyperlink ref="D16" r:id="rId16" xr:uid="{B4723A7D-B2B1-40C8-90C4-4D318BD8B64B}"/>
    <hyperlink ref="D37" r:id="rId17" xr:uid="{C63A84EC-9679-4E15-A570-C198D24B8966}"/>
  </hyperlinks>
  <pageMargins left="0.7" right="0.7" top="0.75" bottom="0.75" header="0" footer="0"/>
  <pageSetup orientation="landscape"/>
  <legacyDrawing r:id="rId18"/>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1000"/>
  <sheetViews>
    <sheetView showGridLines="0" workbookViewId="0"/>
  </sheetViews>
  <sheetFormatPr defaultColWidth="12.6640625" defaultRowHeight="15" customHeight="1"/>
  <cols>
    <col min="1" max="1" width="10.44140625" customWidth="1"/>
    <col min="2" max="2" width="11.77734375" customWidth="1"/>
    <col min="3" max="4" width="14.44140625" customWidth="1"/>
    <col min="5" max="5" width="7" customWidth="1"/>
    <col min="6" max="6" width="9.88671875" customWidth="1"/>
    <col min="7" max="26" width="8.6640625" customWidth="1"/>
  </cols>
  <sheetData>
    <row r="1" spans="1:7" ht="13.5" customHeight="1">
      <c r="A1" s="8" t="s">
        <v>1163</v>
      </c>
      <c r="B1" s="8"/>
      <c r="C1" s="8"/>
      <c r="D1" s="8"/>
      <c r="E1" s="8"/>
      <c r="F1" s="8"/>
      <c r="G1" s="8"/>
    </row>
    <row r="2" spans="1:7" ht="13.5" customHeight="1">
      <c r="A2" s="8" t="s">
        <v>1164</v>
      </c>
      <c r="B2" s="8"/>
      <c r="C2" s="8"/>
      <c r="D2" s="8"/>
      <c r="E2" s="8"/>
      <c r="F2" s="8"/>
      <c r="G2" s="8"/>
    </row>
    <row r="3" spans="1:7" ht="13.5" customHeight="1">
      <c r="A3" s="8"/>
      <c r="B3" s="8"/>
      <c r="C3" s="8"/>
      <c r="D3" s="8"/>
      <c r="E3" s="8"/>
      <c r="F3" s="8"/>
      <c r="G3" s="8"/>
    </row>
    <row r="4" spans="1:7" ht="13.5" customHeight="1">
      <c r="A4" s="16" t="s">
        <v>1165</v>
      </c>
      <c r="B4" s="8"/>
      <c r="C4" s="8"/>
      <c r="D4" s="8"/>
      <c r="E4" s="8"/>
      <c r="F4" s="128">
        <v>2019</v>
      </c>
      <c r="G4" s="8"/>
    </row>
    <row r="5" spans="1:7" ht="13.5" customHeight="1">
      <c r="A5" s="647" t="s">
        <v>1166</v>
      </c>
      <c r="B5" s="651"/>
      <c r="C5" s="651"/>
      <c r="D5" s="651"/>
      <c r="E5" s="651"/>
      <c r="F5" s="8">
        <v>1.22</v>
      </c>
      <c r="G5" s="8" t="s">
        <v>1167</v>
      </c>
    </row>
    <row r="6" spans="1:7" ht="13.5" customHeight="1">
      <c r="A6" s="647" t="s">
        <v>1168</v>
      </c>
      <c r="B6" s="651"/>
      <c r="C6" s="651"/>
      <c r="D6" s="651"/>
      <c r="E6" s="651"/>
      <c r="F6" s="8">
        <v>2.31</v>
      </c>
      <c r="G6" s="8" t="s">
        <v>1167</v>
      </c>
    </row>
    <row r="7" spans="1:7" ht="13.5" customHeight="1">
      <c r="A7" s="622"/>
      <c r="B7" s="622"/>
      <c r="C7" s="622"/>
      <c r="D7" s="622"/>
      <c r="E7" s="622"/>
      <c r="F7" s="128">
        <v>2019</v>
      </c>
      <c r="G7" s="8"/>
    </row>
    <row r="8" spans="1:7" ht="13.5" customHeight="1">
      <c r="A8" s="8" t="s">
        <v>1169</v>
      </c>
      <c r="B8" s="8"/>
      <c r="C8" s="8"/>
      <c r="D8" s="8"/>
      <c r="E8" s="8"/>
      <c r="F8" s="147">
        <v>0.64700000000000002</v>
      </c>
      <c r="G8" s="8"/>
    </row>
    <row r="9" spans="1:7" ht="13.5" customHeight="1">
      <c r="A9" s="8" t="s">
        <v>1170</v>
      </c>
      <c r="B9" s="8"/>
      <c r="C9" s="8"/>
      <c r="D9" s="8"/>
      <c r="E9" s="8"/>
      <c r="F9" s="147">
        <v>0.35299999999999998</v>
      </c>
      <c r="G9" s="8"/>
    </row>
    <row r="10" spans="1:7" ht="13.5" customHeight="1">
      <c r="A10" s="8" t="s">
        <v>1171</v>
      </c>
      <c r="B10" s="8"/>
      <c r="C10" s="8"/>
      <c r="D10" s="8"/>
      <c r="E10" s="8"/>
      <c r="F10" s="8">
        <v>450000</v>
      </c>
      <c r="G10" s="8"/>
    </row>
    <row r="11" spans="1:7" ht="93" customHeight="1">
      <c r="A11" s="648" t="s">
        <v>1172</v>
      </c>
      <c r="B11" s="651"/>
      <c r="C11" s="651"/>
      <c r="D11" s="651"/>
      <c r="E11" s="651"/>
      <c r="F11" s="582">
        <v>1475000</v>
      </c>
      <c r="G11" s="8"/>
    </row>
    <row r="12" spans="1:7" ht="13.5" customHeight="1">
      <c r="A12" s="617"/>
      <c r="B12" s="617"/>
      <c r="C12" s="617"/>
      <c r="D12" s="617"/>
      <c r="E12" s="617"/>
      <c r="F12" s="617"/>
      <c r="G12" s="617"/>
    </row>
    <row r="13" spans="1:7" ht="13.5" customHeight="1">
      <c r="A13" s="16" t="s">
        <v>1173</v>
      </c>
      <c r="B13" s="8"/>
      <c r="C13" s="8"/>
      <c r="D13" s="8"/>
      <c r="E13" s="8"/>
      <c r="F13" s="8"/>
      <c r="G13" s="8"/>
    </row>
    <row r="14" spans="1:7" ht="13.5" customHeight="1">
      <c r="A14" s="8" t="s">
        <v>985</v>
      </c>
      <c r="B14" s="8"/>
      <c r="C14" s="8"/>
      <c r="D14" s="8"/>
      <c r="E14" s="8"/>
      <c r="F14" s="146">
        <f>F11/F10</f>
        <v>3.2777777777777777</v>
      </c>
      <c r="G14" s="8" t="s">
        <v>1167</v>
      </c>
    </row>
    <row r="15" spans="1:7" ht="13.5" customHeight="1">
      <c r="A15" s="8"/>
      <c r="B15" s="8"/>
      <c r="C15" s="8"/>
      <c r="D15" s="8"/>
      <c r="E15" s="8"/>
      <c r="F15" s="146"/>
      <c r="G15" s="8"/>
    </row>
    <row r="16" spans="1:7" ht="13.5" customHeight="1">
      <c r="A16" s="617"/>
      <c r="B16" s="617"/>
      <c r="C16" s="617"/>
      <c r="D16" s="617"/>
      <c r="E16" s="617"/>
      <c r="F16" s="617"/>
      <c r="G16" s="617"/>
    </row>
    <row r="17" spans="1:2" ht="13.5" customHeight="1">
      <c r="A17" s="148">
        <v>45027</v>
      </c>
      <c r="B17" s="8"/>
    </row>
    <row r="18" spans="1:2" ht="13.5" customHeight="1">
      <c r="A18" s="8" t="s">
        <v>1174</v>
      </c>
      <c r="B18" s="8"/>
    </row>
    <row r="19" spans="1:2" ht="13.5" customHeight="1">
      <c r="A19" s="8" t="s">
        <v>1175</v>
      </c>
      <c r="B19" s="8"/>
    </row>
    <row r="20" spans="1:2" ht="13.5" customHeight="1">
      <c r="A20" s="617"/>
      <c r="B20" s="617"/>
    </row>
    <row r="21" spans="1:2" ht="13.5" customHeight="1">
      <c r="A21" s="16" t="s">
        <v>1176</v>
      </c>
      <c r="B21" s="8"/>
    </row>
    <row r="22" spans="1:2" ht="13.5" customHeight="1">
      <c r="A22" s="8" t="s">
        <v>1177</v>
      </c>
      <c r="B22" s="8"/>
    </row>
    <row r="23" spans="1:2" ht="13.5" customHeight="1">
      <c r="A23" s="149" t="s">
        <v>1178</v>
      </c>
      <c r="B23" s="8"/>
    </row>
    <row r="24" spans="1:2" ht="13.5" customHeight="1">
      <c r="A24" s="617"/>
      <c r="B24" s="617"/>
    </row>
    <row r="25" spans="1:2" ht="13.5" customHeight="1">
      <c r="A25" s="16" t="s">
        <v>1179</v>
      </c>
      <c r="B25" s="8"/>
    </row>
    <row r="26" spans="1:2" ht="13.5" customHeight="1">
      <c r="A26" s="617"/>
      <c r="B26" s="617"/>
    </row>
    <row r="27" spans="1:2" ht="13.5" customHeight="1">
      <c r="A27" s="8">
        <v>2.7E-2</v>
      </c>
      <c r="B27" s="8" t="s">
        <v>1180</v>
      </c>
    </row>
    <row r="28" spans="1:2" ht="13.5" customHeight="1">
      <c r="A28" s="64">
        <v>8.0499999999999999E-3</v>
      </c>
      <c r="B28" s="8" t="s">
        <v>1181</v>
      </c>
    </row>
    <row r="29" spans="1:2" ht="13.5" customHeight="1">
      <c r="A29" s="64">
        <v>1.8221999999999999E-2</v>
      </c>
      <c r="B29" s="8" t="s">
        <v>1182</v>
      </c>
    </row>
    <row r="30" spans="1:2" ht="13.5" customHeight="1">
      <c r="A30" s="617"/>
      <c r="B30" s="617"/>
    </row>
    <row r="31" spans="1:2" ht="13.5" customHeight="1">
      <c r="A31" s="8" t="s">
        <v>1183</v>
      </c>
      <c r="B31" s="8"/>
    </row>
    <row r="32" spans="1:2" ht="13.5" customHeight="1">
      <c r="A32" s="150">
        <v>0.11310000000000001</v>
      </c>
      <c r="B32" s="8" t="s">
        <v>1184</v>
      </c>
    </row>
    <row r="33" spans="1:2" ht="13.5" customHeight="1">
      <c r="A33" s="150">
        <v>0.88690000000000002</v>
      </c>
      <c r="B33" s="8" t="s">
        <v>1185</v>
      </c>
    </row>
    <row r="34" spans="1:2" ht="13.5" customHeight="1">
      <c r="A34" s="150"/>
      <c r="B34" s="8"/>
    </row>
    <row r="35" spans="1:2" ht="13.5" customHeight="1">
      <c r="A35" s="8" t="s">
        <v>1186</v>
      </c>
      <c r="B35" s="8"/>
    </row>
    <row r="36" spans="1:2" ht="13.5" customHeight="1">
      <c r="A36" s="64">
        <f t="shared" ref="A36:A38" si="0">A27*$A$33</f>
        <v>2.39463E-2</v>
      </c>
      <c r="B36" s="8" t="s">
        <v>1180</v>
      </c>
    </row>
    <row r="37" spans="1:2" ht="13.5" customHeight="1">
      <c r="A37" s="64">
        <f t="shared" si="0"/>
        <v>7.1395449999999997E-3</v>
      </c>
      <c r="B37" s="8" t="s">
        <v>1181</v>
      </c>
    </row>
    <row r="38" spans="1:2" ht="13.5" customHeight="1">
      <c r="A38" s="64">
        <f t="shared" si="0"/>
        <v>1.6161091799999999E-2</v>
      </c>
      <c r="B38" s="8" t="s">
        <v>1182</v>
      </c>
    </row>
    <row r="39" spans="1:2" ht="13.5" customHeight="1">
      <c r="A39" s="149" t="s">
        <v>1187</v>
      </c>
      <c r="B39" s="8"/>
    </row>
    <row r="40" spans="1:2" ht="13.5" customHeight="1">
      <c r="A40" s="617"/>
      <c r="B40" s="617"/>
    </row>
    <row r="41" spans="1:2" ht="13.5" customHeight="1">
      <c r="A41" s="8" t="s">
        <v>1188</v>
      </c>
      <c r="B41" s="8"/>
    </row>
    <row r="42" spans="1:2" ht="13.5" customHeight="1">
      <c r="A42" s="64">
        <f t="shared" ref="A42:A43" si="1">A37*42</f>
        <v>0.29986088999999999</v>
      </c>
      <c r="B42" s="8" t="s">
        <v>1189</v>
      </c>
    </row>
    <row r="43" spans="1:2" ht="13.5" customHeight="1">
      <c r="A43" s="64">
        <f t="shared" si="1"/>
        <v>0.67876585560000002</v>
      </c>
      <c r="B43" s="8" t="s">
        <v>1190</v>
      </c>
    </row>
    <row r="44" spans="1:2" ht="13.5" customHeight="1">
      <c r="A44" s="64">
        <f>SUM(A42:A43)</f>
        <v>0.97862674559999996</v>
      </c>
      <c r="B44" s="8" t="s">
        <v>1191</v>
      </c>
    </row>
    <row r="45" spans="1:2" ht="13.5" customHeight="1">
      <c r="A45" s="8" t="s">
        <v>1192</v>
      </c>
      <c r="B45" s="8"/>
    </row>
    <row r="46" spans="1:2" ht="13.5" customHeight="1">
      <c r="A46" s="8">
        <f>F6</f>
        <v>2.31</v>
      </c>
      <c r="B46" s="8" t="s">
        <v>1193</v>
      </c>
    </row>
    <row r="47" spans="1:2" ht="13.5" customHeight="1">
      <c r="A47" s="151">
        <f>A46-A44</f>
        <v>1.3313732544000001</v>
      </c>
      <c r="B47" s="8" t="s">
        <v>1194</v>
      </c>
    </row>
    <row r="48" spans="1:2" ht="13.5" customHeight="1">
      <c r="A48" s="617"/>
      <c r="B48" s="617"/>
    </row>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
    <mergeCell ref="A5:E5"/>
    <mergeCell ref="A6:E6"/>
    <mergeCell ref="A11:E11"/>
  </mergeCells>
  <hyperlinks>
    <hyperlink ref="F4" r:id="rId1" display="https://www.eppetroecuador.ec/wp-content/uploads/downloads/2020/11/INFORME-ESTADI%CC%81STICO-ANUAL-2019.pdf" xr:uid="{00000000-0004-0000-1700-000000000000}"/>
    <hyperlink ref="F7" r:id="rId2" display="https://www.eppetroecuador.ec/wp-content/uploads/downloads/2020/11/INFORME-ESTADI%CC%81STICO-ANUAL-2019.pdf" xr:uid="{00000000-0004-0000-1700-000001000000}"/>
    <hyperlink ref="F11" r:id="rId3" display="https://www.ocpecuador.com/aporte-al-pais/" xr:uid="{00000000-0004-0000-1700-000002000000}"/>
  </hyperlinks>
  <pageMargins left="0.7" right="0.7" top="0.75" bottom="0.75" header="0" footer="0"/>
  <pageSetup orientation="portrait"/>
  <legacyDrawing r:id="rId4"/>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Lissete Davila</cp:lastModifiedBy>
  <cp:revision/>
  <dcterms:created xsi:type="dcterms:W3CDTF">2022-08-17T22:24:18Z</dcterms:created>
  <dcterms:modified xsi:type="dcterms:W3CDTF">2023-08-26T18:47:52Z</dcterms:modified>
  <cp:category/>
  <cp:contentStatus/>
</cp:coreProperties>
</file>